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3\SEGUNDO TRIMESTRE\"/>
    </mc:Choice>
  </mc:AlternateContent>
  <xr:revisionPtr revIDLastSave="0" documentId="13_ncr:1_{92200375-C7E4-4E1B-8BA5-3F0AB15D8EAB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M3" i="16" l="1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C37" i="13"/>
  <c r="M358" i="15" l="1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Q2243" i="3" l="1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7" i="3"/>
  <c r="Q2278" i="3"/>
  <c r="Q2280" i="3"/>
  <c r="Q2281" i="3"/>
  <c r="Q2282" i="3"/>
  <c r="Q2283" i="3"/>
  <c r="Q2284" i="3"/>
  <c r="Q2286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9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6" i="3"/>
  <c r="Q3153" i="3"/>
  <c r="Q3154" i="3"/>
  <c r="Q3155" i="3"/>
  <c r="Q3156" i="3"/>
  <c r="Q3157" i="3"/>
  <c r="Q3158" i="3"/>
  <c r="Q3159" i="3"/>
  <c r="Q3161" i="3"/>
  <c r="Q3162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S2243" i="3"/>
  <c r="T2243" i="3" s="1"/>
  <c r="S2244" i="3"/>
  <c r="T2244" i="3" s="1"/>
  <c r="S2245" i="3"/>
  <c r="S2246" i="3"/>
  <c r="T2246" i="3" s="1"/>
  <c r="S2247" i="3"/>
  <c r="S2248" i="3"/>
  <c r="T2248" i="3" s="1"/>
  <c r="S2249" i="3"/>
  <c r="S2250" i="3"/>
  <c r="T2250" i="3" s="1"/>
  <c r="S2251" i="3"/>
  <c r="S2252" i="3"/>
  <c r="S2253" i="3"/>
  <c r="T2253" i="3" s="1"/>
  <c r="S2254" i="3"/>
  <c r="T2254" i="3" s="1"/>
  <c r="S2255" i="3"/>
  <c r="T2255" i="3" s="1"/>
  <c r="S2256" i="3"/>
  <c r="T2256" i="3" s="1"/>
  <c r="S2257" i="3"/>
  <c r="S2258" i="3"/>
  <c r="T2258" i="3" s="1"/>
  <c r="S2259" i="3"/>
  <c r="T2259" i="3" s="1"/>
  <c r="S2260" i="3"/>
  <c r="T2260" i="3" s="1"/>
  <c r="S2261" i="3"/>
  <c r="S2262" i="3"/>
  <c r="S2263" i="3"/>
  <c r="T2263" i="3" s="1"/>
  <c r="S2264" i="3"/>
  <c r="S2265" i="3"/>
  <c r="S2266" i="3"/>
  <c r="T2266" i="3" s="1"/>
  <c r="S2267" i="3"/>
  <c r="T2267" i="3" s="1"/>
  <c r="S2268" i="3"/>
  <c r="T2268" i="3" s="1"/>
  <c r="S2269" i="3"/>
  <c r="T2269" i="3" s="1"/>
  <c r="S2270" i="3"/>
  <c r="T2270" i="3" s="1"/>
  <c r="S2271" i="3"/>
  <c r="S2272" i="3"/>
  <c r="T2272" i="3" s="1"/>
  <c r="S2273" i="3"/>
  <c r="S2274" i="3"/>
  <c r="S2275" i="3"/>
  <c r="T2275" i="3" s="1"/>
  <c r="S2276" i="3"/>
  <c r="S2277" i="3"/>
  <c r="T2277" i="3" s="1"/>
  <c r="S2278" i="3"/>
  <c r="T2278" i="3" s="1"/>
  <c r="S2279" i="3"/>
  <c r="T2279" i="3" s="1"/>
  <c r="S2280" i="3"/>
  <c r="T2280" i="3" s="1"/>
  <c r="S2281" i="3"/>
  <c r="S2282" i="3"/>
  <c r="T2282" i="3" s="1"/>
  <c r="S2283" i="3"/>
  <c r="S2284" i="3"/>
  <c r="T2284" i="3" s="1"/>
  <c r="S2285" i="3"/>
  <c r="T2285" i="3" s="1"/>
  <c r="S2286" i="3"/>
  <c r="S2287" i="3"/>
  <c r="T2287" i="3" s="1"/>
  <c r="S2288" i="3"/>
  <c r="T2288" i="3" s="1"/>
  <c r="S2289" i="3"/>
  <c r="T2289" i="3" s="1"/>
  <c r="S2290" i="3"/>
  <c r="T2290" i="3" s="1"/>
  <c r="S2291" i="3"/>
  <c r="T2291" i="3" s="1"/>
  <c r="S2292" i="3"/>
  <c r="T2292" i="3" s="1"/>
  <c r="S2293" i="3"/>
  <c r="S2294" i="3"/>
  <c r="T2294" i="3" s="1"/>
  <c r="S2295" i="3"/>
  <c r="S2296" i="3"/>
  <c r="T2296" i="3" s="1"/>
  <c r="S2297" i="3"/>
  <c r="T2297" i="3" s="1"/>
  <c r="S2298" i="3"/>
  <c r="S2299" i="3"/>
  <c r="T2299" i="3" s="1"/>
  <c r="S2300" i="3"/>
  <c r="T2300" i="3" s="1"/>
  <c r="S2301" i="3"/>
  <c r="T2301" i="3" s="1"/>
  <c r="S2302" i="3"/>
  <c r="T2302" i="3" s="1"/>
  <c r="S2303" i="3"/>
  <c r="T2303" i="3" s="1"/>
  <c r="S2304" i="3"/>
  <c r="T2304" i="3" s="1"/>
  <c r="S2305" i="3"/>
  <c r="S2306" i="3"/>
  <c r="T2306" i="3" s="1"/>
  <c r="S2307" i="3"/>
  <c r="S2308" i="3"/>
  <c r="T2308" i="3" s="1"/>
  <c r="S2309" i="3"/>
  <c r="T2309" i="3" s="1"/>
  <c r="S2310" i="3"/>
  <c r="S2311" i="3"/>
  <c r="T2311" i="3" s="1"/>
  <c r="S2312" i="3"/>
  <c r="T2312" i="3" s="1"/>
  <c r="S2313" i="3"/>
  <c r="T2313" i="3" s="1"/>
  <c r="S2314" i="3"/>
  <c r="T2314" i="3" s="1"/>
  <c r="S2315" i="3"/>
  <c r="T2315" i="3" s="1"/>
  <c r="S2316" i="3"/>
  <c r="T2316" i="3" s="1"/>
  <c r="S2317" i="3"/>
  <c r="S2318" i="3"/>
  <c r="T2318" i="3" s="1"/>
  <c r="S2319" i="3"/>
  <c r="S2320" i="3"/>
  <c r="T2320" i="3" s="1"/>
  <c r="S2321" i="3"/>
  <c r="T2321" i="3" s="1"/>
  <c r="S2322" i="3"/>
  <c r="S2323" i="3"/>
  <c r="T2323" i="3" s="1"/>
  <c r="S2324" i="3"/>
  <c r="T2324" i="3" s="1"/>
  <c r="S2325" i="3"/>
  <c r="T2325" i="3" s="1"/>
  <c r="S2326" i="3"/>
  <c r="T2326" i="3" s="1"/>
  <c r="S2327" i="3"/>
  <c r="T2327" i="3" s="1"/>
  <c r="S2328" i="3"/>
  <c r="T2328" i="3" s="1"/>
  <c r="S2329" i="3"/>
  <c r="S2330" i="3"/>
  <c r="T2330" i="3" s="1"/>
  <c r="S2331" i="3"/>
  <c r="S2332" i="3"/>
  <c r="T2332" i="3" s="1"/>
  <c r="S2333" i="3"/>
  <c r="T2333" i="3" s="1"/>
  <c r="S2334" i="3"/>
  <c r="S2335" i="3"/>
  <c r="T2335" i="3" s="1"/>
  <c r="S2336" i="3"/>
  <c r="T2336" i="3" s="1"/>
  <c r="S2337" i="3"/>
  <c r="T2337" i="3" s="1"/>
  <c r="S2338" i="3"/>
  <c r="T2338" i="3" s="1"/>
  <c r="S2339" i="3"/>
  <c r="T2339" i="3" s="1"/>
  <c r="S2340" i="3"/>
  <c r="T2340" i="3" s="1"/>
  <c r="S2341" i="3"/>
  <c r="S2342" i="3"/>
  <c r="T2342" i="3" s="1"/>
  <c r="S2343" i="3"/>
  <c r="S2344" i="3"/>
  <c r="T2344" i="3" s="1"/>
  <c r="S2345" i="3"/>
  <c r="T2345" i="3" s="1"/>
  <c r="S2346" i="3"/>
  <c r="S2347" i="3"/>
  <c r="S2348" i="3"/>
  <c r="S2349" i="3"/>
  <c r="T2349" i="3" s="1"/>
  <c r="S2350" i="3"/>
  <c r="T2350" i="3" s="1"/>
  <c r="S2351" i="3"/>
  <c r="T2351" i="3" s="1"/>
  <c r="S2352" i="3"/>
  <c r="T2352" i="3" s="1"/>
  <c r="S2353" i="3"/>
  <c r="S2354" i="3"/>
  <c r="T2354" i="3" s="1"/>
  <c r="S2355" i="3"/>
  <c r="T2355" i="3" s="1"/>
  <c r="S2356" i="3"/>
  <c r="T2356" i="3" s="1"/>
  <c r="S2357" i="3"/>
  <c r="S2358" i="3"/>
  <c r="T2358" i="3" s="1"/>
  <c r="S2359" i="3"/>
  <c r="S2360" i="3"/>
  <c r="S2361" i="3"/>
  <c r="T2361" i="3" s="1"/>
  <c r="S2362" i="3"/>
  <c r="T2362" i="3" s="1"/>
  <c r="S2363" i="3"/>
  <c r="T2363" i="3" s="1"/>
  <c r="S2364" i="3"/>
  <c r="T2364" i="3" s="1"/>
  <c r="S2365" i="3"/>
  <c r="S2366" i="3"/>
  <c r="T2366" i="3" s="1"/>
  <c r="S2367" i="3"/>
  <c r="T2367" i="3" s="1"/>
  <c r="S2368" i="3"/>
  <c r="T2368" i="3" s="1"/>
  <c r="S2369" i="3"/>
  <c r="S2370" i="3"/>
  <c r="T2370" i="3" s="1"/>
  <c r="S2371" i="3"/>
  <c r="S2372" i="3"/>
  <c r="S2373" i="3"/>
  <c r="T2373" i="3" s="1"/>
  <c r="S2374" i="3"/>
  <c r="T2374" i="3" s="1"/>
  <c r="S2375" i="3"/>
  <c r="T2375" i="3" s="1"/>
  <c r="S2376" i="3"/>
  <c r="T2376" i="3" s="1"/>
  <c r="S2377" i="3"/>
  <c r="T2377" i="3" s="1"/>
  <c r="S2378" i="3"/>
  <c r="S2379" i="3"/>
  <c r="S2380" i="3"/>
  <c r="T2380" i="3" s="1"/>
  <c r="S2381" i="3"/>
  <c r="S2382" i="3"/>
  <c r="T2382" i="3" s="1"/>
  <c r="S2383" i="3"/>
  <c r="T2383" i="3" s="1"/>
  <c r="S2384" i="3"/>
  <c r="T2384" i="3" s="1"/>
  <c r="S2385" i="3"/>
  <c r="S2386" i="3"/>
  <c r="T2386" i="3" s="1"/>
  <c r="S2387" i="3"/>
  <c r="S2388" i="3"/>
  <c r="T2388" i="3" s="1"/>
  <c r="S2389" i="3"/>
  <c r="S2390" i="3"/>
  <c r="T2390" i="3" s="1"/>
  <c r="S2391" i="3"/>
  <c r="T2391" i="3" s="1"/>
  <c r="S2392" i="3"/>
  <c r="T2392" i="3" s="1"/>
  <c r="S2393" i="3"/>
  <c r="T2393" i="3" s="1"/>
  <c r="S2394" i="3"/>
  <c r="T2394" i="3" s="1"/>
  <c r="S2395" i="3"/>
  <c r="T2395" i="3" s="1"/>
  <c r="S2396" i="3"/>
  <c r="S2397" i="3"/>
  <c r="T2397" i="3" s="1"/>
  <c r="S2398" i="3"/>
  <c r="T2398" i="3" s="1"/>
  <c r="S2399" i="3"/>
  <c r="T2399" i="3" s="1"/>
  <c r="S2400" i="3"/>
  <c r="T2400" i="3" s="1"/>
  <c r="S2401" i="3"/>
  <c r="S2402" i="3"/>
  <c r="S2403" i="3"/>
  <c r="T2403" i="3" s="1"/>
  <c r="S2404" i="3"/>
  <c r="T2404" i="3" s="1"/>
  <c r="S2405" i="3"/>
  <c r="T2405" i="3" s="1"/>
  <c r="S2406" i="3"/>
  <c r="T2406" i="3" s="1"/>
  <c r="S2407" i="3"/>
  <c r="T2407" i="3" s="1"/>
  <c r="S2408" i="3"/>
  <c r="S2409" i="3"/>
  <c r="T2409" i="3" s="1"/>
  <c r="S2410" i="3"/>
  <c r="T2410" i="3" s="1"/>
  <c r="S2411" i="3"/>
  <c r="T2411" i="3" s="1"/>
  <c r="S2412" i="3"/>
  <c r="T2412" i="3" s="1"/>
  <c r="S2413" i="3"/>
  <c r="S2414" i="3"/>
  <c r="S2415" i="3"/>
  <c r="T2415" i="3" s="1"/>
  <c r="S2416" i="3"/>
  <c r="T2416" i="3" s="1"/>
  <c r="S2417" i="3"/>
  <c r="T2417" i="3" s="1"/>
  <c r="S2418" i="3"/>
  <c r="T2418" i="3" s="1"/>
  <c r="S2419" i="3"/>
  <c r="S2420" i="3"/>
  <c r="T2420" i="3" s="1"/>
  <c r="S2421" i="3"/>
  <c r="T2421" i="3" s="1"/>
  <c r="S2422" i="3"/>
  <c r="T2422" i="3" s="1"/>
  <c r="S2423" i="3"/>
  <c r="T2423" i="3" s="1"/>
  <c r="S2424" i="3"/>
  <c r="T2424" i="3" s="1"/>
  <c r="S2425" i="3"/>
  <c r="S2426" i="3"/>
  <c r="T2426" i="3" s="1"/>
  <c r="S2427" i="3"/>
  <c r="S2428" i="3"/>
  <c r="T2428" i="3" s="1"/>
  <c r="S2429" i="3"/>
  <c r="T2429" i="3" s="1"/>
  <c r="S2430" i="3"/>
  <c r="S2431" i="3"/>
  <c r="S2432" i="3"/>
  <c r="T2432" i="3" s="1"/>
  <c r="S2433" i="3"/>
  <c r="T2433" i="3" s="1"/>
  <c r="S2434" i="3"/>
  <c r="T2434" i="3" s="1"/>
  <c r="S2435" i="3"/>
  <c r="T2435" i="3" s="1"/>
  <c r="S2436" i="3"/>
  <c r="T2436" i="3" s="1"/>
  <c r="S2437" i="3"/>
  <c r="S2438" i="3"/>
  <c r="T2438" i="3" s="1"/>
  <c r="S2439" i="3"/>
  <c r="S2440" i="3"/>
  <c r="T2440" i="3" s="1"/>
  <c r="S2441" i="3"/>
  <c r="S2442" i="3"/>
  <c r="S2443" i="3"/>
  <c r="S2444" i="3"/>
  <c r="T2444" i="3" s="1"/>
  <c r="S2445" i="3"/>
  <c r="T2445" i="3" s="1"/>
  <c r="S2446" i="3"/>
  <c r="T2446" i="3" s="1"/>
  <c r="S2447" i="3"/>
  <c r="T2447" i="3" s="1"/>
  <c r="S2448" i="3"/>
  <c r="T2448" i="3" s="1"/>
  <c r="S2449" i="3"/>
  <c r="S2450" i="3"/>
  <c r="S2451" i="3"/>
  <c r="T2451" i="3" s="1"/>
  <c r="S2452" i="3"/>
  <c r="T2452" i="3" s="1"/>
  <c r="S2453" i="3"/>
  <c r="S2454" i="3"/>
  <c r="T2454" i="3" s="1"/>
  <c r="S2455" i="3"/>
  <c r="S2456" i="3"/>
  <c r="T2456" i="3" s="1"/>
  <c r="S2457" i="3"/>
  <c r="T2457" i="3" s="1"/>
  <c r="S2458" i="3"/>
  <c r="T2458" i="3" s="1"/>
  <c r="S2459" i="3"/>
  <c r="T2459" i="3" s="1"/>
  <c r="S2460" i="3"/>
  <c r="T2460" i="3" s="1"/>
  <c r="S2461" i="3"/>
  <c r="S2462" i="3"/>
  <c r="S2463" i="3"/>
  <c r="T2463" i="3" s="1"/>
  <c r="S2464" i="3"/>
  <c r="T2464" i="3" s="1"/>
  <c r="S2465" i="3"/>
  <c r="S2466" i="3"/>
  <c r="T2466" i="3" s="1"/>
  <c r="S2467" i="3"/>
  <c r="S2468" i="3"/>
  <c r="T2468" i="3" s="1"/>
  <c r="S2469" i="3"/>
  <c r="T2469" i="3" s="1"/>
  <c r="S2470" i="3"/>
  <c r="T2470" i="3" s="1"/>
  <c r="S2471" i="3"/>
  <c r="T2471" i="3" s="1"/>
  <c r="S2472" i="3"/>
  <c r="T2472" i="3" s="1"/>
  <c r="S2473" i="3"/>
  <c r="S2474" i="3"/>
  <c r="S2475" i="3"/>
  <c r="T2475" i="3" s="1"/>
  <c r="S2476" i="3"/>
  <c r="T2476" i="3" s="1"/>
  <c r="S2477" i="3"/>
  <c r="S2478" i="3"/>
  <c r="T2478" i="3" s="1"/>
  <c r="S2479" i="3"/>
  <c r="S2480" i="3"/>
  <c r="T2480" i="3" s="1"/>
  <c r="S2481" i="3"/>
  <c r="T2481" i="3" s="1"/>
  <c r="S2482" i="3"/>
  <c r="T2482" i="3" s="1"/>
  <c r="S2483" i="3"/>
  <c r="T2483" i="3" s="1"/>
  <c r="S2484" i="3"/>
  <c r="T2484" i="3" s="1"/>
  <c r="S2485" i="3"/>
  <c r="S2486" i="3"/>
  <c r="S2487" i="3"/>
  <c r="T2487" i="3" s="1"/>
  <c r="S2488" i="3"/>
  <c r="T2488" i="3" s="1"/>
  <c r="S2489" i="3"/>
  <c r="S2490" i="3"/>
  <c r="T2490" i="3" s="1"/>
  <c r="S2491" i="3"/>
  <c r="S2492" i="3"/>
  <c r="T2492" i="3" s="1"/>
  <c r="S2493" i="3"/>
  <c r="T2493" i="3" s="1"/>
  <c r="S2494" i="3"/>
  <c r="T2494" i="3" s="1"/>
  <c r="S2495" i="3"/>
  <c r="T2495" i="3" s="1"/>
  <c r="S2496" i="3"/>
  <c r="T2496" i="3" s="1"/>
  <c r="S2497" i="3"/>
  <c r="S2498" i="3"/>
  <c r="S2499" i="3"/>
  <c r="T2499" i="3" s="1"/>
  <c r="S2500" i="3"/>
  <c r="T2500" i="3" s="1"/>
  <c r="S2501" i="3"/>
  <c r="S2502" i="3"/>
  <c r="T2502" i="3" s="1"/>
  <c r="S2503" i="3"/>
  <c r="T2503" i="3" s="1"/>
  <c r="S2504" i="3"/>
  <c r="T2504" i="3" s="1"/>
  <c r="S2505" i="3"/>
  <c r="T2505" i="3" s="1"/>
  <c r="S2506" i="3"/>
  <c r="T2506" i="3" s="1"/>
  <c r="S2507" i="3"/>
  <c r="T2507" i="3" s="1"/>
  <c r="S2508" i="3"/>
  <c r="T2508" i="3" s="1"/>
  <c r="S2509" i="3"/>
  <c r="T2509" i="3" s="1"/>
  <c r="S2510" i="3"/>
  <c r="S2511" i="3"/>
  <c r="S2512" i="3"/>
  <c r="T2512" i="3" s="1"/>
  <c r="S2513" i="3"/>
  <c r="S2514" i="3"/>
  <c r="T2514" i="3" s="1"/>
  <c r="S2515" i="3"/>
  <c r="T2515" i="3" s="1"/>
  <c r="S2516" i="3"/>
  <c r="T2516" i="3" s="1"/>
  <c r="S2517" i="3"/>
  <c r="T2517" i="3" s="1"/>
  <c r="S2518" i="3"/>
  <c r="T2518" i="3" s="1"/>
  <c r="S2519" i="3"/>
  <c r="T2519" i="3" s="1"/>
  <c r="S2520" i="3"/>
  <c r="T2520" i="3" s="1"/>
  <c r="S2521" i="3"/>
  <c r="T2521" i="3" s="1"/>
  <c r="S2522" i="3"/>
  <c r="S2523" i="3"/>
  <c r="S2524" i="3"/>
  <c r="T2524" i="3" s="1"/>
  <c r="S2525" i="3"/>
  <c r="S2526" i="3"/>
  <c r="T2526" i="3" s="1"/>
  <c r="S2527" i="3"/>
  <c r="T2527" i="3" s="1"/>
  <c r="S2528" i="3"/>
  <c r="T2528" i="3" s="1"/>
  <c r="S2529" i="3"/>
  <c r="T2529" i="3" s="1"/>
  <c r="S2530" i="3"/>
  <c r="T2530" i="3" s="1"/>
  <c r="S2531" i="3"/>
  <c r="T2531" i="3" s="1"/>
  <c r="S2532" i="3"/>
  <c r="T2532" i="3" s="1"/>
  <c r="S2533" i="3"/>
  <c r="T2533" i="3" s="1"/>
  <c r="S2534" i="3"/>
  <c r="S2535" i="3"/>
  <c r="S2536" i="3"/>
  <c r="T2536" i="3" s="1"/>
  <c r="S2537" i="3"/>
  <c r="S2538" i="3"/>
  <c r="T2538" i="3" s="1"/>
  <c r="S2539" i="3"/>
  <c r="T2539" i="3" s="1"/>
  <c r="S2540" i="3"/>
  <c r="T2540" i="3" s="1"/>
  <c r="S2541" i="3"/>
  <c r="T2541" i="3" s="1"/>
  <c r="S2542" i="3"/>
  <c r="T2542" i="3" s="1"/>
  <c r="S2543" i="3"/>
  <c r="T2543" i="3" s="1"/>
  <c r="S2544" i="3"/>
  <c r="T2544" i="3" s="1"/>
  <c r="S2545" i="3"/>
  <c r="T2545" i="3" s="1"/>
  <c r="S2546" i="3"/>
  <c r="S2547" i="3"/>
  <c r="S2548" i="3"/>
  <c r="T2548" i="3" s="1"/>
  <c r="S2549" i="3"/>
  <c r="S2550" i="3"/>
  <c r="T2550" i="3" s="1"/>
  <c r="S2551" i="3"/>
  <c r="T2551" i="3" s="1"/>
  <c r="S2552" i="3"/>
  <c r="T2552" i="3" s="1"/>
  <c r="S2553" i="3"/>
  <c r="T2553" i="3" s="1"/>
  <c r="S2554" i="3"/>
  <c r="T2554" i="3" s="1"/>
  <c r="S2555" i="3"/>
  <c r="T2555" i="3" s="1"/>
  <c r="S2556" i="3"/>
  <c r="T2556" i="3" s="1"/>
  <c r="S2557" i="3"/>
  <c r="T2557" i="3" s="1"/>
  <c r="S2558" i="3"/>
  <c r="S2559" i="3"/>
  <c r="S2560" i="3"/>
  <c r="T2560" i="3" s="1"/>
  <c r="S2561" i="3"/>
  <c r="S2562" i="3"/>
  <c r="T2562" i="3" s="1"/>
  <c r="S2563" i="3"/>
  <c r="T2563" i="3" s="1"/>
  <c r="S2564" i="3"/>
  <c r="T2564" i="3" s="1"/>
  <c r="S2565" i="3"/>
  <c r="S2566" i="3"/>
  <c r="T2566" i="3" s="1"/>
  <c r="S2567" i="3"/>
  <c r="T2567" i="3" s="1"/>
  <c r="S2568" i="3"/>
  <c r="T2568" i="3" s="1"/>
  <c r="S2569" i="3"/>
  <c r="T2569" i="3" s="1"/>
  <c r="S2570" i="3"/>
  <c r="S2571" i="3"/>
  <c r="S2572" i="3"/>
  <c r="T2572" i="3" s="1"/>
  <c r="S2573" i="3"/>
  <c r="S2574" i="3"/>
  <c r="T2574" i="3" s="1"/>
  <c r="S2575" i="3"/>
  <c r="T2575" i="3" s="1"/>
  <c r="S2576" i="3"/>
  <c r="T2576" i="3" s="1"/>
  <c r="S2577" i="3"/>
  <c r="T2577" i="3" s="1"/>
  <c r="S2578" i="3"/>
  <c r="T2578" i="3" s="1"/>
  <c r="S2579" i="3"/>
  <c r="T2579" i="3" s="1"/>
  <c r="S2580" i="3"/>
  <c r="T2580" i="3" s="1"/>
  <c r="S2581" i="3"/>
  <c r="T2581" i="3" s="1"/>
  <c r="S2582" i="3"/>
  <c r="S2583" i="3"/>
  <c r="S2584" i="3"/>
  <c r="T2584" i="3" s="1"/>
  <c r="S2585" i="3"/>
  <c r="S2586" i="3"/>
  <c r="T2586" i="3" s="1"/>
  <c r="S2587" i="3"/>
  <c r="T2587" i="3" s="1"/>
  <c r="S2588" i="3"/>
  <c r="T2588" i="3" s="1"/>
  <c r="S2589" i="3"/>
  <c r="T2589" i="3" s="1"/>
  <c r="S2590" i="3"/>
  <c r="T2590" i="3" s="1"/>
  <c r="S2591" i="3"/>
  <c r="T2591" i="3" s="1"/>
  <c r="S2592" i="3"/>
  <c r="T2592" i="3" s="1"/>
  <c r="S2593" i="3"/>
  <c r="T2593" i="3" s="1"/>
  <c r="S2594" i="3"/>
  <c r="S2595" i="3"/>
  <c r="S2596" i="3"/>
  <c r="T2596" i="3" s="1"/>
  <c r="S2597" i="3"/>
  <c r="S2598" i="3"/>
  <c r="T2598" i="3" s="1"/>
  <c r="S2599" i="3"/>
  <c r="T2599" i="3" s="1"/>
  <c r="S2600" i="3"/>
  <c r="T2600" i="3" s="1"/>
  <c r="S2601" i="3"/>
  <c r="T2601" i="3" s="1"/>
  <c r="S2602" i="3"/>
  <c r="T2602" i="3" s="1"/>
  <c r="S2603" i="3"/>
  <c r="T2603" i="3" s="1"/>
  <c r="S2604" i="3"/>
  <c r="T2604" i="3" s="1"/>
  <c r="S2605" i="3"/>
  <c r="T2605" i="3" s="1"/>
  <c r="S2606" i="3"/>
  <c r="S2607" i="3"/>
  <c r="S2608" i="3"/>
  <c r="T2608" i="3" s="1"/>
  <c r="S2609" i="3"/>
  <c r="S2610" i="3"/>
  <c r="T2610" i="3" s="1"/>
  <c r="S2611" i="3"/>
  <c r="T2611" i="3" s="1"/>
  <c r="S2612" i="3"/>
  <c r="T2612" i="3" s="1"/>
  <c r="S2613" i="3"/>
  <c r="T2613" i="3" s="1"/>
  <c r="S2614" i="3"/>
  <c r="T2614" i="3" s="1"/>
  <c r="S2615" i="3"/>
  <c r="T2615" i="3" s="1"/>
  <c r="S2616" i="3"/>
  <c r="T2616" i="3" s="1"/>
  <c r="S2617" i="3"/>
  <c r="T2617" i="3" s="1"/>
  <c r="S2618" i="3"/>
  <c r="S2619" i="3"/>
  <c r="S2620" i="3"/>
  <c r="T2620" i="3" s="1"/>
  <c r="S2621" i="3"/>
  <c r="S2622" i="3"/>
  <c r="T2622" i="3" s="1"/>
  <c r="S2623" i="3"/>
  <c r="T2623" i="3" s="1"/>
  <c r="S2624" i="3"/>
  <c r="T2624" i="3" s="1"/>
  <c r="S2625" i="3"/>
  <c r="T2625" i="3" s="1"/>
  <c r="S2626" i="3"/>
  <c r="T2626" i="3" s="1"/>
  <c r="S2627" i="3"/>
  <c r="T2627" i="3" s="1"/>
  <c r="S2628" i="3"/>
  <c r="T2628" i="3" s="1"/>
  <c r="S2629" i="3"/>
  <c r="T2629" i="3" s="1"/>
  <c r="S2630" i="3"/>
  <c r="S2631" i="3"/>
  <c r="S2632" i="3"/>
  <c r="T2632" i="3" s="1"/>
  <c r="S2633" i="3"/>
  <c r="S2634" i="3"/>
  <c r="T2634" i="3" s="1"/>
  <c r="S2635" i="3"/>
  <c r="T2635" i="3" s="1"/>
  <c r="S2636" i="3"/>
  <c r="T2636" i="3" s="1"/>
  <c r="S2637" i="3"/>
  <c r="S2638" i="3"/>
  <c r="T2638" i="3" s="1"/>
  <c r="S2639" i="3"/>
  <c r="T2639" i="3" s="1"/>
  <c r="S2640" i="3"/>
  <c r="T2640" i="3" s="1"/>
  <c r="S2641" i="3"/>
  <c r="T2641" i="3" s="1"/>
  <c r="S2642" i="3"/>
  <c r="S2643" i="3"/>
  <c r="S2644" i="3"/>
  <c r="T2644" i="3" s="1"/>
  <c r="S2645" i="3"/>
  <c r="S2646" i="3"/>
  <c r="T2646" i="3" s="1"/>
  <c r="S2647" i="3"/>
  <c r="S2648" i="3"/>
  <c r="S2649" i="3"/>
  <c r="T2649" i="3" s="1"/>
  <c r="S2650" i="3"/>
  <c r="T2650" i="3" s="1"/>
  <c r="S2651" i="3"/>
  <c r="T2651" i="3" s="1"/>
  <c r="S2652" i="3"/>
  <c r="T2652" i="3" s="1"/>
  <c r="S2653" i="3"/>
  <c r="T2653" i="3" s="1"/>
  <c r="S2654" i="3"/>
  <c r="T2654" i="3" s="1"/>
  <c r="S2655" i="3"/>
  <c r="S2656" i="3"/>
  <c r="T2656" i="3" s="1"/>
  <c r="S2657" i="3"/>
  <c r="S2658" i="3"/>
  <c r="T2658" i="3" s="1"/>
  <c r="S2659" i="3"/>
  <c r="S2660" i="3"/>
  <c r="T2660" i="3" s="1"/>
  <c r="S2661" i="3"/>
  <c r="S2662" i="3"/>
  <c r="T2662" i="3" s="1"/>
  <c r="S2663" i="3"/>
  <c r="T2663" i="3" s="1"/>
  <c r="S2664" i="3"/>
  <c r="T2664" i="3" s="1"/>
  <c r="S2665" i="3"/>
  <c r="S2666" i="3"/>
  <c r="T2666" i="3" s="1"/>
  <c r="S2667" i="3"/>
  <c r="S2668" i="3"/>
  <c r="T2668" i="3" s="1"/>
  <c r="S2669" i="3"/>
  <c r="S2670" i="3"/>
  <c r="T2670" i="3" s="1"/>
  <c r="S2671" i="3"/>
  <c r="T2671" i="3" s="1"/>
  <c r="S2672" i="3"/>
  <c r="S2673" i="3"/>
  <c r="T2673" i="3" s="1"/>
  <c r="S2674" i="3"/>
  <c r="T2674" i="3" s="1"/>
  <c r="S2675" i="3"/>
  <c r="T2675" i="3" s="1"/>
  <c r="S2676" i="3"/>
  <c r="T2676" i="3" s="1"/>
  <c r="S2677" i="3"/>
  <c r="S2678" i="3"/>
  <c r="S2679" i="3"/>
  <c r="S2680" i="3"/>
  <c r="T2680" i="3" s="1"/>
  <c r="S2681" i="3"/>
  <c r="T2681" i="3" s="1"/>
  <c r="S2682" i="3"/>
  <c r="T2682" i="3" s="1"/>
  <c r="S2683" i="3"/>
  <c r="T2683" i="3" s="1"/>
  <c r="S2684" i="3"/>
  <c r="S2685" i="3"/>
  <c r="T2685" i="3" s="1"/>
  <c r="S2686" i="3"/>
  <c r="T2686" i="3" s="1"/>
  <c r="S2687" i="3"/>
  <c r="T2687" i="3" s="1"/>
  <c r="S2688" i="3"/>
  <c r="T2688" i="3" s="1"/>
  <c r="S2689" i="3"/>
  <c r="S2690" i="3"/>
  <c r="S2691" i="3"/>
  <c r="T2691" i="3" s="1"/>
  <c r="S2692" i="3"/>
  <c r="T2692" i="3" s="1"/>
  <c r="S2693" i="3"/>
  <c r="T2693" i="3" s="1"/>
  <c r="S2694" i="3"/>
  <c r="T2694" i="3" s="1"/>
  <c r="S2695" i="3"/>
  <c r="T2695" i="3" s="1"/>
  <c r="S2696" i="3"/>
  <c r="S2697" i="3"/>
  <c r="T2697" i="3" s="1"/>
  <c r="S2698" i="3"/>
  <c r="T2698" i="3" s="1"/>
  <c r="S2699" i="3"/>
  <c r="T2699" i="3" s="1"/>
  <c r="S2700" i="3"/>
  <c r="T2700" i="3" s="1"/>
  <c r="S2701" i="3"/>
  <c r="S2702" i="3"/>
  <c r="S2703" i="3"/>
  <c r="T2703" i="3" s="1"/>
  <c r="S2704" i="3"/>
  <c r="T2704" i="3" s="1"/>
  <c r="S2705" i="3"/>
  <c r="T2705" i="3" s="1"/>
  <c r="S2706" i="3"/>
  <c r="T2706" i="3" s="1"/>
  <c r="S2707" i="3"/>
  <c r="T2707" i="3" s="1"/>
  <c r="S2708" i="3"/>
  <c r="S2709" i="3"/>
  <c r="T2709" i="3" s="1"/>
  <c r="S2710" i="3"/>
  <c r="T2710" i="3" s="1"/>
  <c r="S2711" i="3"/>
  <c r="T2711" i="3" s="1"/>
  <c r="S2712" i="3"/>
  <c r="T2712" i="3" s="1"/>
  <c r="S2713" i="3"/>
  <c r="S2714" i="3"/>
  <c r="T2714" i="3" s="1"/>
  <c r="S2715" i="3"/>
  <c r="S2716" i="3"/>
  <c r="T2716" i="3" s="1"/>
  <c r="S2717" i="3"/>
  <c r="T2717" i="3" s="1"/>
  <c r="S2718" i="3"/>
  <c r="T2718" i="3" s="1"/>
  <c r="S2719" i="3"/>
  <c r="S2720" i="3"/>
  <c r="T2720" i="3" s="1"/>
  <c r="S2721" i="3"/>
  <c r="T2721" i="3" s="1"/>
  <c r="S2722" i="3"/>
  <c r="T2722" i="3" s="1"/>
  <c r="S2723" i="3"/>
  <c r="T2723" i="3" s="1"/>
  <c r="S2724" i="3"/>
  <c r="T2724" i="3" s="1"/>
  <c r="S2725" i="3"/>
  <c r="S2726" i="3"/>
  <c r="T2726" i="3" s="1"/>
  <c r="S2727" i="3"/>
  <c r="S2728" i="3"/>
  <c r="T2728" i="3" s="1"/>
  <c r="S2729" i="3"/>
  <c r="T2729" i="3" s="1"/>
  <c r="S2730" i="3"/>
  <c r="T2730" i="3" s="1"/>
  <c r="S2731" i="3"/>
  <c r="T2731" i="3" s="1"/>
  <c r="S2732" i="3"/>
  <c r="T2732" i="3" s="1"/>
  <c r="S2733" i="3"/>
  <c r="T2733" i="3" s="1"/>
  <c r="S2734" i="3"/>
  <c r="T2734" i="3" s="1"/>
  <c r="S2735" i="3"/>
  <c r="T2735" i="3" s="1"/>
  <c r="S2736" i="3"/>
  <c r="T2736" i="3" s="1"/>
  <c r="S2737" i="3"/>
  <c r="S2738" i="3"/>
  <c r="T2738" i="3" s="1"/>
  <c r="S2739" i="3"/>
  <c r="S2740" i="3"/>
  <c r="T2740" i="3" s="1"/>
  <c r="S2741" i="3"/>
  <c r="S2742" i="3"/>
  <c r="S2743" i="3"/>
  <c r="S2744" i="3"/>
  <c r="T2744" i="3" s="1"/>
  <c r="S2745" i="3"/>
  <c r="T2745" i="3" s="1"/>
  <c r="S2746" i="3"/>
  <c r="T2746" i="3" s="1"/>
  <c r="S2747" i="3"/>
  <c r="T2747" i="3" s="1"/>
  <c r="S2748" i="3"/>
  <c r="T2748" i="3" s="1"/>
  <c r="S2749" i="3"/>
  <c r="T2749" i="3" s="1"/>
  <c r="S2750" i="3"/>
  <c r="T2750" i="3" s="1"/>
  <c r="S2751" i="3"/>
  <c r="S2752" i="3"/>
  <c r="T2752" i="3" s="1"/>
  <c r="S2753" i="3"/>
  <c r="S2754" i="3"/>
  <c r="S2755" i="3"/>
  <c r="T2755" i="3" s="1"/>
  <c r="S2756" i="3"/>
  <c r="S2757" i="3"/>
  <c r="T2757" i="3" s="1"/>
  <c r="S2758" i="3"/>
  <c r="T2758" i="3" s="1"/>
  <c r="S2759" i="3"/>
  <c r="T2759" i="3" s="1"/>
  <c r="S2760" i="3"/>
  <c r="T2760" i="3" s="1"/>
  <c r="S2761" i="3"/>
  <c r="S2762" i="3"/>
  <c r="T2762" i="3" s="1"/>
  <c r="S2763" i="3"/>
  <c r="S2764" i="3"/>
  <c r="T2764" i="3" s="1"/>
  <c r="S2765" i="3"/>
  <c r="T2765" i="3" s="1"/>
  <c r="S2766" i="3"/>
  <c r="S2767" i="3"/>
  <c r="S2768" i="3"/>
  <c r="T2768" i="3" s="1"/>
  <c r="S2769" i="3"/>
  <c r="T2769" i="3" s="1"/>
  <c r="S2770" i="3"/>
  <c r="T2770" i="3" s="1"/>
  <c r="S2771" i="3"/>
  <c r="T2771" i="3" s="1"/>
  <c r="S2772" i="3"/>
  <c r="T2772" i="3" s="1"/>
  <c r="S2773" i="3"/>
  <c r="T2773" i="3" s="1"/>
  <c r="S2774" i="3"/>
  <c r="T2774" i="3" s="1"/>
  <c r="S2775" i="3"/>
  <c r="S2776" i="3"/>
  <c r="T2776" i="3" s="1"/>
  <c r="S2777" i="3"/>
  <c r="S2778" i="3"/>
  <c r="S2779" i="3"/>
  <c r="T2779" i="3" s="1"/>
  <c r="S2780" i="3"/>
  <c r="S2781" i="3"/>
  <c r="T2781" i="3" s="1"/>
  <c r="S2782" i="3"/>
  <c r="T2782" i="3" s="1"/>
  <c r="S2783" i="3"/>
  <c r="T2783" i="3" s="1"/>
  <c r="S2784" i="3"/>
  <c r="T2784" i="3" s="1"/>
  <c r="S2785" i="3"/>
  <c r="T2785" i="3" s="1"/>
  <c r="S2786" i="3"/>
  <c r="T2786" i="3" s="1"/>
  <c r="S2787" i="3"/>
  <c r="S2788" i="3"/>
  <c r="T2788" i="3" s="1"/>
  <c r="S2789" i="3"/>
  <c r="S2790" i="3"/>
  <c r="T2790" i="3" s="1"/>
  <c r="S2791" i="3"/>
  <c r="S2792" i="3"/>
  <c r="S2793" i="3"/>
  <c r="T2793" i="3" s="1"/>
  <c r="S2794" i="3"/>
  <c r="T2794" i="3" s="1"/>
  <c r="S2795" i="3"/>
  <c r="T2795" i="3" s="1"/>
  <c r="S2796" i="3"/>
  <c r="T2796" i="3" s="1"/>
  <c r="S2797" i="3"/>
  <c r="T2797" i="3" s="1"/>
  <c r="S2798" i="3"/>
  <c r="S2799" i="3"/>
  <c r="T2799" i="3" s="1"/>
  <c r="S2800" i="3"/>
  <c r="T2800" i="3" s="1"/>
  <c r="S2801" i="3"/>
  <c r="S2802" i="3"/>
  <c r="T2802" i="3" s="1"/>
  <c r="S2803" i="3"/>
  <c r="S2804" i="3"/>
  <c r="S2805" i="3"/>
  <c r="T2805" i="3" s="1"/>
  <c r="S2806" i="3"/>
  <c r="T2806" i="3" s="1"/>
  <c r="S2807" i="3"/>
  <c r="T2807" i="3" s="1"/>
  <c r="S2808" i="3"/>
  <c r="T2808" i="3" s="1"/>
  <c r="S2809" i="3"/>
  <c r="S2810" i="3"/>
  <c r="T2810" i="3" s="1"/>
  <c r="S2811" i="3"/>
  <c r="S2812" i="3"/>
  <c r="T2812" i="3" s="1"/>
  <c r="S2813" i="3"/>
  <c r="T2813" i="3" s="1"/>
  <c r="S2814" i="3"/>
  <c r="S2815" i="3"/>
  <c r="S2816" i="3"/>
  <c r="T2816" i="3" s="1"/>
  <c r="S2817" i="3"/>
  <c r="S2818" i="3"/>
  <c r="T2818" i="3" s="1"/>
  <c r="S2819" i="3"/>
  <c r="T2819" i="3" s="1"/>
  <c r="S2820" i="3"/>
  <c r="T2820" i="3" s="1"/>
  <c r="S2821" i="3"/>
  <c r="T2821" i="3" s="1"/>
  <c r="S2822" i="3"/>
  <c r="S2823" i="3"/>
  <c r="S2824" i="3"/>
  <c r="T2824" i="3" s="1"/>
  <c r="S2825" i="3"/>
  <c r="T2825" i="3" s="1"/>
  <c r="S2826" i="3"/>
  <c r="T2826" i="3" s="1"/>
  <c r="S2827" i="3"/>
  <c r="T2827" i="3" s="1"/>
  <c r="S2828" i="3"/>
  <c r="S2829" i="3"/>
  <c r="T2829" i="3" s="1"/>
  <c r="S2830" i="3"/>
  <c r="T2830" i="3" s="1"/>
  <c r="S2831" i="3"/>
  <c r="T2831" i="3" s="1"/>
  <c r="S2832" i="3"/>
  <c r="T2832" i="3" s="1"/>
  <c r="S2833" i="3"/>
  <c r="S2834" i="3"/>
  <c r="T2834" i="3" s="1"/>
  <c r="S2835" i="3"/>
  <c r="T2835" i="3" s="1"/>
  <c r="S2836" i="3"/>
  <c r="T2836" i="3" s="1"/>
  <c r="S2837" i="3"/>
  <c r="S2838" i="3"/>
  <c r="T2838" i="3" s="1"/>
  <c r="S2839" i="3"/>
  <c r="S2840" i="3"/>
  <c r="S2841" i="3"/>
  <c r="T2841" i="3" s="1"/>
  <c r="S2842" i="3"/>
  <c r="T2842" i="3" s="1"/>
  <c r="S2843" i="3"/>
  <c r="T2843" i="3" s="1"/>
  <c r="S2844" i="3"/>
  <c r="T2844" i="3" s="1"/>
  <c r="S2845" i="3"/>
  <c r="T2845" i="3" s="1"/>
  <c r="S2846" i="3"/>
  <c r="T2846" i="3" s="1"/>
  <c r="S2847" i="3"/>
  <c r="S2848" i="3"/>
  <c r="T2848" i="3" s="1"/>
  <c r="S2849" i="3"/>
  <c r="T2849" i="3" s="1"/>
  <c r="S2850" i="3"/>
  <c r="T2850" i="3" s="1"/>
  <c r="S2851" i="3"/>
  <c r="S2852" i="3"/>
  <c r="T2852" i="3" s="1"/>
  <c r="S2853" i="3"/>
  <c r="T2853" i="3" s="1"/>
  <c r="S2854" i="3"/>
  <c r="T2854" i="3" s="1"/>
  <c r="S2855" i="3"/>
  <c r="T2855" i="3" s="1"/>
  <c r="S2856" i="3"/>
  <c r="T2856" i="3" s="1"/>
  <c r="S2857" i="3"/>
  <c r="S2858" i="3"/>
  <c r="T2858" i="3" s="1"/>
  <c r="S2859" i="3"/>
  <c r="S2860" i="3"/>
  <c r="T2860" i="3" s="1"/>
  <c r="S2861" i="3"/>
  <c r="T2861" i="3" s="1"/>
  <c r="S2862" i="3"/>
  <c r="S2863" i="3"/>
  <c r="S2864" i="3"/>
  <c r="T2864" i="3" s="1"/>
  <c r="S2865" i="3"/>
  <c r="T2865" i="3" s="1"/>
  <c r="S2866" i="3"/>
  <c r="T2866" i="3" s="1"/>
  <c r="S2867" i="3"/>
  <c r="T2867" i="3" s="1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2874" i="3"/>
  <c r="S2875" i="3"/>
  <c r="S2876" i="3"/>
  <c r="S2877" i="3"/>
  <c r="T2877" i="3" s="1"/>
  <c r="S2878" i="3"/>
  <c r="T2878" i="3" s="1"/>
  <c r="S2879" i="3"/>
  <c r="T2879" i="3" s="1"/>
  <c r="S2880" i="3"/>
  <c r="T2880" i="3" s="1"/>
  <c r="S2881" i="3"/>
  <c r="S2882" i="3"/>
  <c r="T2882" i="3" s="1"/>
  <c r="S2883" i="3"/>
  <c r="S2884" i="3"/>
  <c r="T2884" i="3" s="1"/>
  <c r="S2885" i="3"/>
  <c r="T2885" i="3" s="1"/>
  <c r="S2886" i="3"/>
  <c r="S2887" i="3"/>
  <c r="S2888" i="3"/>
  <c r="T2888" i="3" s="1"/>
  <c r="S2889" i="3"/>
  <c r="S2890" i="3"/>
  <c r="T2890" i="3" s="1"/>
  <c r="S2891" i="3"/>
  <c r="T2891" i="3" s="1"/>
  <c r="S2892" i="3"/>
  <c r="T2892" i="3" s="1"/>
  <c r="S2893" i="3"/>
  <c r="S2894" i="3"/>
  <c r="S2895" i="3"/>
  <c r="T2895" i="3" s="1"/>
  <c r="S2896" i="3"/>
  <c r="T2896" i="3" s="1"/>
  <c r="S2897" i="3"/>
  <c r="S2898" i="3"/>
  <c r="T2898" i="3" s="1"/>
  <c r="S2899" i="3"/>
  <c r="S2900" i="3"/>
  <c r="S2901" i="3"/>
  <c r="S2902" i="3"/>
  <c r="T2902" i="3" s="1"/>
  <c r="S2903" i="3"/>
  <c r="T2903" i="3" s="1"/>
  <c r="S2904" i="3"/>
  <c r="T2904" i="3" s="1"/>
  <c r="S2905" i="3"/>
  <c r="S2906" i="3"/>
  <c r="T2906" i="3" s="1"/>
  <c r="S2907" i="3"/>
  <c r="S2908" i="3"/>
  <c r="T2908" i="3" s="1"/>
  <c r="S2909" i="3"/>
  <c r="T2909" i="3" s="1"/>
  <c r="S2910" i="3"/>
  <c r="S2911" i="3"/>
  <c r="T2911" i="3" s="1"/>
  <c r="S2912" i="3"/>
  <c r="S2913" i="3"/>
  <c r="T2913" i="3" s="1"/>
  <c r="S2914" i="3"/>
  <c r="T2914" i="3" s="1"/>
  <c r="S2915" i="3"/>
  <c r="T2915" i="3" s="1"/>
  <c r="S2916" i="3"/>
  <c r="T2916" i="3" s="1"/>
  <c r="S2917" i="3"/>
  <c r="S2918" i="3"/>
  <c r="S2919" i="3"/>
  <c r="S2920" i="3"/>
  <c r="T2920" i="3" s="1"/>
  <c r="S2921" i="3"/>
  <c r="T2921" i="3" s="1"/>
  <c r="S2922" i="3"/>
  <c r="S2923" i="3"/>
  <c r="T2923" i="3" s="1"/>
  <c r="S2924" i="3"/>
  <c r="T2924" i="3" s="1"/>
  <c r="S2925" i="3"/>
  <c r="T2925" i="3" s="1"/>
  <c r="S2926" i="3"/>
  <c r="T2926" i="3" s="1"/>
  <c r="S2927" i="3"/>
  <c r="T2927" i="3" s="1"/>
  <c r="S2928" i="3"/>
  <c r="T2928" i="3" s="1"/>
  <c r="S2929" i="3"/>
  <c r="S2930" i="3"/>
  <c r="T2930" i="3" s="1"/>
  <c r="S2931" i="3"/>
  <c r="S2932" i="3"/>
  <c r="T2932" i="3" s="1"/>
  <c r="S2933" i="3"/>
  <c r="T2933" i="3" s="1"/>
  <c r="S2934" i="3"/>
  <c r="S2935" i="3"/>
  <c r="T2935" i="3" s="1"/>
  <c r="S2936" i="3"/>
  <c r="T2936" i="3" s="1"/>
  <c r="S2937" i="3"/>
  <c r="T2937" i="3" s="1"/>
  <c r="S2938" i="3"/>
  <c r="T2938" i="3" s="1"/>
  <c r="S2939" i="3"/>
  <c r="T2939" i="3" s="1"/>
  <c r="S2940" i="3"/>
  <c r="T2940" i="3" s="1"/>
  <c r="S2941" i="3"/>
  <c r="T2941" i="3" s="1"/>
  <c r="S2942" i="3"/>
  <c r="S2943" i="3"/>
  <c r="S2944" i="3"/>
  <c r="T2944" i="3" s="1"/>
  <c r="S2945" i="3"/>
  <c r="S2946" i="3"/>
  <c r="T2946" i="3" s="1"/>
  <c r="S2947" i="3"/>
  <c r="T2947" i="3" s="1"/>
  <c r="S2948" i="3"/>
  <c r="T2948" i="3" s="1"/>
  <c r="S2949" i="3"/>
  <c r="T2949" i="3" s="1"/>
  <c r="S2950" i="3"/>
  <c r="T2950" i="3" s="1"/>
  <c r="S2951" i="3"/>
  <c r="T2951" i="3" s="1"/>
  <c r="S2952" i="3"/>
  <c r="T2952" i="3" s="1"/>
  <c r="S2953" i="3"/>
  <c r="T2953" i="3" s="1"/>
  <c r="S2954" i="3"/>
  <c r="S2955" i="3"/>
  <c r="S2956" i="3"/>
  <c r="T2956" i="3" s="1"/>
  <c r="S2957" i="3"/>
  <c r="S2958" i="3"/>
  <c r="T2958" i="3" s="1"/>
  <c r="S2959" i="3"/>
  <c r="T2959" i="3" s="1"/>
  <c r="S2960" i="3"/>
  <c r="S2961" i="3"/>
  <c r="T2961" i="3" s="1"/>
  <c r="S2962" i="3"/>
  <c r="T2962" i="3" s="1"/>
  <c r="S2963" i="3"/>
  <c r="T2963" i="3" s="1"/>
  <c r="S2964" i="3"/>
  <c r="T2964" i="3" s="1"/>
  <c r="S2965" i="3"/>
  <c r="T2965" i="3" s="1"/>
  <c r="S2966" i="3"/>
  <c r="S2967" i="3"/>
  <c r="S2968" i="3"/>
  <c r="T2968" i="3" s="1"/>
  <c r="S2969" i="3"/>
  <c r="S2970" i="3"/>
  <c r="T2970" i="3" s="1"/>
  <c r="S2971" i="3"/>
  <c r="S2972" i="3"/>
  <c r="T2972" i="3" s="1"/>
  <c r="S2973" i="3"/>
  <c r="T2973" i="3" s="1"/>
  <c r="S2974" i="3"/>
  <c r="T2974" i="3" s="1"/>
  <c r="S2975" i="3"/>
  <c r="T2975" i="3" s="1"/>
  <c r="S2976" i="3"/>
  <c r="T2976" i="3" s="1"/>
  <c r="S2977" i="3"/>
  <c r="S2978" i="3"/>
  <c r="T2978" i="3" s="1"/>
  <c r="S2979" i="3"/>
  <c r="S2980" i="3"/>
  <c r="T2980" i="3" s="1"/>
  <c r="S2981" i="3"/>
  <c r="S2982" i="3"/>
  <c r="T2982" i="3" s="1"/>
  <c r="S2983" i="3"/>
  <c r="S2984" i="3"/>
  <c r="S2985" i="3"/>
  <c r="T2985" i="3" s="1"/>
  <c r="S2986" i="3"/>
  <c r="T2986" i="3" s="1"/>
  <c r="S2987" i="3"/>
  <c r="T2987" i="3" s="1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S2995" i="3"/>
  <c r="S2996" i="3"/>
  <c r="T2996" i="3" s="1"/>
  <c r="S2997" i="3"/>
  <c r="T2997" i="3" s="1"/>
  <c r="S2998" i="3"/>
  <c r="T2998" i="3" s="1"/>
  <c r="S2999" i="3"/>
  <c r="T2999" i="3" s="1"/>
  <c r="S3000" i="3"/>
  <c r="T3000" i="3" s="1"/>
  <c r="S3001" i="3"/>
  <c r="T3001" i="3" s="1"/>
  <c r="S3002" i="3"/>
  <c r="T3002" i="3" s="1"/>
  <c r="S3003" i="3"/>
  <c r="T3003" i="3" s="1"/>
  <c r="S3004" i="3"/>
  <c r="T3004" i="3" s="1"/>
  <c r="S3005" i="3"/>
  <c r="T3005" i="3" s="1"/>
  <c r="S3006" i="3"/>
  <c r="S3007" i="3"/>
  <c r="S3008" i="3"/>
  <c r="T3008" i="3" s="1"/>
  <c r="S3009" i="3"/>
  <c r="S3010" i="3"/>
  <c r="T3010" i="3" s="1"/>
  <c r="S3011" i="3"/>
  <c r="T3011" i="3" s="1"/>
  <c r="S3012" i="3"/>
  <c r="T3012" i="3" s="1"/>
  <c r="S3013" i="3"/>
  <c r="T3013" i="3" s="1"/>
  <c r="S3014" i="3"/>
  <c r="S3015" i="3"/>
  <c r="S3016" i="3"/>
  <c r="T3016" i="3" s="1"/>
  <c r="S3017" i="3"/>
  <c r="S3018" i="3"/>
  <c r="S3019" i="3"/>
  <c r="T3019" i="3" s="1"/>
  <c r="S3020" i="3"/>
  <c r="T3020" i="3" s="1"/>
  <c r="S3021" i="3"/>
  <c r="T3021" i="3" s="1"/>
  <c r="S3022" i="3"/>
  <c r="T3022" i="3" s="1"/>
  <c r="S3023" i="3"/>
  <c r="T3023" i="3" s="1"/>
  <c r="S3024" i="3"/>
  <c r="T3024" i="3" s="1"/>
  <c r="S3025" i="3"/>
  <c r="T3025" i="3" s="1"/>
  <c r="S3026" i="3"/>
  <c r="T3026" i="3" s="1"/>
  <c r="S3027" i="3"/>
  <c r="T3027" i="3" s="1"/>
  <c r="S3028" i="3"/>
  <c r="T3028" i="3" s="1"/>
  <c r="S3029" i="3"/>
  <c r="S3030" i="3"/>
  <c r="S3031" i="3"/>
  <c r="T3031" i="3" s="1"/>
  <c r="S3032" i="3"/>
  <c r="S3033" i="3"/>
  <c r="T3033" i="3" s="1"/>
  <c r="S3034" i="3"/>
  <c r="T3034" i="3" s="1"/>
  <c r="S3035" i="3"/>
  <c r="T3035" i="3" s="1"/>
  <c r="S3036" i="3"/>
  <c r="T3036" i="3" s="1"/>
  <c r="S3037" i="3"/>
  <c r="T3037" i="3" s="1"/>
  <c r="S3038" i="3"/>
  <c r="T3038" i="3" s="1"/>
  <c r="S3039" i="3"/>
  <c r="S3040" i="3"/>
  <c r="T3040" i="3" s="1"/>
  <c r="S3041" i="3"/>
  <c r="S3042" i="3"/>
  <c r="S3043" i="3"/>
  <c r="T3043" i="3" s="1"/>
  <c r="S3044" i="3"/>
  <c r="S3045" i="3"/>
  <c r="S3046" i="3"/>
  <c r="T3046" i="3" s="1"/>
  <c r="S3047" i="3"/>
  <c r="T3047" i="3" s="1"/>
  <c r="S3048" i="3"/>
  <c r="T3048" i="3" s="1"/>
  <c r="S3049" i="3"/>
  <c r="T3049" i="3" s="1"/>
  <c r="S3050" i="3"/>
  <c r="S3051" i="3"/>
  <c r="T3051" i="3" s="1"/>
  <c r="S3052" i="3"/>
  <c r="T3052" i="3" s="1"/>
  <c r="S3053" i="3"/>
  <c r="S3054" i="3"/>
  <c r="S3055" i="3"/>
  <c r="T3055" i="3" s="1"/>
  <c r="S3056" i="3"/>
  <c r="S3057" i="3"/>
  <c r="T3057" i="3" s="1"/>
  <c r="S3058" i="3"/>
  <c r="T3058" i="3" s="1"/>
  <c r="S3059" i="3"/>
  <c r="T3059" i="3" s="1"/>
  <c r="S3060" i="3"/>
  <c r="T3060" i="3" s="1"/>
  <c r="S3061" i="3"/>
  <c r="S3062" i="3"/>
  <c r="T3062" i="3" s="1"/>
  <c r="S3063" i="3"/>
  <c r="S3064" i="3"/>
  <c r="T3064" i="3" s="1"/>
  <c r="S3065" i="3"/>
  <c r="T3065" i="3" s="1"/>
  <c r="S3066" i="3"/>
  <c r="T3066" i="3" s="1"/>
  <c r="S3067" i="3"/>
  <c r="S3068" i="3"/>
  <c r="T3068" i="3" s="1"/>
  <c r="S3069" i="3"/>
  <c r="T3069" i="3" s="1"/>
  <c r="S3070" i="3"/>
  <c r="T3070" i="3" s="1"/>
  <c r="S3071" i="3"/>
  <c r="T3071" i="3" s="1"/>
  <c r="S3072" i="3"/>
  <c r="T3072" i="3" s="1"/>
  <c r="S3073" i="3"/>
  <c r="T3073" i="3" s="1"/>
  <c r="S3074" i="3"/>
  <c r="S3075" i="3"/>
  <c r="T3075" i="3" s="1"/>
  <c r="S3076" i="3"/>
  <c r="T3076" i="3" s="1"/>
  <c r="S3077" i="3"/>
  <c r="T3077" i="3" s="1"/>
  <c r="S3078" i="3"/>
  <c r="S3079" i="3"/>
  <c r="T3079" i="3" s="1"/>
  <c r="S3080" i="3"/>
  <c r="S3081" i="3"/>
  <c r="S3082" i="3"/>
  <c r="T3082" i="3" s="1"/>
  <c r="S3083" i="3"/>
  <c r="T3083" i="3" s="1"/>
  <c r="S3084" i="3"/>
  <c r="T3084" i="3" s="1"/>
  <c r="S3085" i="3"/>
  <c r="T3085" i="3" s="1"/>
  <c r="S3086" i="3"/>
  <c r="S3087" i="3"/>
  <c r="T3087" i="3" s="1"/>
  <c r="S3088" i="3"/>
  <c r="T3088" i="3" s="1"/>
  <c r="S3089" i="3"/>
  <c r="T3089" i="3" s="1"/>
  <c r="S3090" i="3"/>
  <c r="S3091" i="3"/>
  <c r="T3091" i="3" s="1"/>
  <c r="S3092" i="3"/>
  <c r="S3093" i="3"/>
  <c r="T3093" i="3" s="1"/>
  <c r="S3094" i="3"/>
  <c r="T3094" i="3" s="1"/>
  <c r="S3095" i="3"/>
  <c r="T3095" i="3" s="1"/>
  <c r="S3096" i="3"/>
  <c r="T3096" i="3" s="1"/>
  <c r="S3097" i="3"/>
  <c r="T3097" i="3" s="1"/>
  <c r="S3098" i="3"/>
  <c r="S3099" i="3"/>
  <c r="T3099" i="3" s="1"/>
  <c r="S3100" i="3"/>
  <c r="T3100" i="3" s="1"/>
  <c r="S3101" i="3"/>
  <c r="T3101" i="3" s="1"/>
  <c r="S3102" i="3"/>
  <c r="S3103" i="3"/>
  <c r="S3104" i="3"/>
  <c r="T3104" i="3" s="1"/>
  <c r="S3105" i="3"/>
  <c r="T3105" i="3" s="1"/>
  <c r="S3106" i="3"/>
  <c r="T3106" i="3" s="1"/>
  <c r="S3107" i="3"/>
  <c r="T3107" i="3" s="1"/>
  <c r="S3108" i="3"/>
  <c r="T3108" i="3" s="1"/>
  <c r="S3109" i="3"/>
  <c r="T3109" i="3" s="1"/>
  <c r="S3110" i="3"/>
  <c r="T3110" i="3" s="1"/>
  <c r="S3111" i="3"/>
  <c r="T3111" i="3" s="1"/>
  <c r="S3112" i="3"/>
  <c r="T3112" i="3" s="1"/>
  <c r="S3113" i="3"/>
  <c r="T3113" i="3" s="1"/>
  <c r="S3114" i="3"/>
  <c r="S3115" i="3"/>
  <c r="S3116" i="3"/>
  <c r="T3116" i="3" s="1"/>
  <c r="S3117" i="3"/>
  <c r="T3117" i="3" s="1"/>
  <c r="S3118" i="3"/>
  <c r="T3118" i="3" s="1"/>
  <c r="S3119" i="3"/>
  <c r="T3119" i="3" s="1"/>
  <c r="S3120" i="3"/>
  <c r="T3120" i="3" s="1"/>
  <c r="S3121" i="3"/>
  <c r="T3121" i="3" s="1"/>
  <c r="S3122" i="3"/>
  <c r="T3122" i="3" s="1"/>
  <c r="S3123" i="3"/>
  <c r="T3123" i="3" s="1"/>
  <c r="S3124" i="3"/>
  <c r="T3124" i="3" s="1"/>
  <c r="S3125" i="3"/>
  <c r="S3126" i="3"/>
  <c r="S3127" i="3"/>
  <c r="T3127" i="3" s="1"/>
  <c r="S3128" i="3"/>
  <c r="S3129" i="3"/>
  <c r="T3129" i="3" s="1"/>
  <c r="S3130" i="3"/>
  <c r="T3130" i="3" s="1"/>
  <c r="S3131" i="3"/>
  <c r="T3131" i="3" s="1"/>
  <c r="S3132" i="3"/>
  <c r="T3132" i="3" s="1"/>
  <c r="S3133" i="3"/>
  <c r="T3133" i="3" s="1"/>
  <c r="S3134" i="3"/>
  <c r="S3135" i="3"/>
  <c r="S3136" i="3"/>
  <c r="T3136" i="3" s="1"/>
  <c r="S3137" i="3"/>
  <c r="S3138" i="3"/>
  <c r="T3138" i="3" s="1"/>
  <c r="S3139" i="3"/>
  <c r="S3140" i="3"/>
  <c r="T3140" i="3" s="1"/>
  <c r="S3141" i="3"/>
  <c r="T3141" i="3" s="1"/>
  <c r="S3142" i="3"/>
  <c r="T3142" i="3" s="1"/>
  <c r="S3143" i="3"/>
  <c r="T3143" i="3" s="1"/>
  <c r="S3144" i="3"/>
  <c r="T3144" i="3" s="1"/>
  <c r="S3145" i="3"/>
  <c r="S3146" i="3"/>
  <c r="S3147" i="3"/>
  <c r="T3147" i="3" s="1"/>
  <c r="S3148" i="3"/>
  <c r="T3148" i="3" s="1"/>
  <c r="S3149" i="3"/>
  <c r="S3150" i="3"/>
  <c r="T3150" i="3" s="1"/>
  <c r="S3151" i="3"/>
  <c r="S3152" i="3"/>
  <c r="T3152" i="3" s="1"/>
  <c r="S3153" i="3"/>
  <c r="T3153" i="3" s="1"/>
  <c r="S3154" i="3"/>
  <c r="T3154" i="3" s="1"/>
  <c r="S3155" i="3"/>
  <c r="T3155" i="3" s="1"/>
  <c r="S3156" i="3"/>
  <c r="T3156" i="3" s="1"/>
  <c r="S3157" i="3"/>
  <c r="S3158" i="3"/>
  <c r="T3158" i="3" s="1"/>
  <c r="S3159" i="3"/>
  <c r="S3160" i="3"/>
  <c r="T3160" i="3" s="1"/>
  <c r="S3161" i="3"/>
  <c r="S3162" i="3"/>
  <c r="S3163" i="3"/>
  <c r="T3163" i="3" s="1"/>
  <c r="S3164" i="3"/>
  <c r="T3164" i="3" s="1"/>
  <c r="S3165" i="3"/>
  <c r="T3165" i="3" s="1"/>
  <c r="S3166" i="3"/>
  <c r="T3166" i="3" s="1"/>
  <c r="S3167" i="3"/>
  <c r="T3167" i="3" s="1"/>
  <c r="S3168" i="3"/>
  <c r="T3168" i="3" s="1"/>
  <c r="S3169" i="3"/>
  <c r="S3170" i="3"/>
  <c r="T3170" i="3" s="1"/>
  <c r="S3171" i="3"/>
  <c r="S3172" i="3"/>
  <c r="T3172" i="3" s="1"/>
  <c r="S3173" i="3"/>
  <c r="T3173" i="3" s="1"/>
  <c r="S3174" i="3"/>
  <c r="S3175" i="3"/>
  <c r="S3176" i="3"/>
  <c r="S3177" i="3"/>
  <c r="T3177" i="3" s="1"/>
  <c r="S3178" i="3"/>
  <c r="T3178" i="3" s="1"/>
  <c r="S3179" i="3"/>
  <c r="T3179" i="3" s="1"/>
  <c r="S3180" i="3"/>
  <c r="T3180" i="3" s="1"/>
  <c r="S3181" i="3"/>
  <c r="S3182" i="3"/>
  <c r="T3182" i="3" s="1"/>
  <c r="S3183" i="3"/>
  <c r="T3183" i="3" s="1"/>
  <c r="S3184" i="3"/>
  <c r="T3184" i="3" s="1"/>
  <c r="S3185" i="3"/>
  <c r="S3186" i="3"/>
  <c r="T3186" i="3" s="1"/>
  <c r="S3187" i="3"/>
  <c r="S3188" i="3"/>
  <c r="S3189" i="3"/>
  <c r="T3189" i="3" s="1"/>
  <c r="S3190" i="3"/>
  <c r="T3190" i="3" s="1"/>
  <c r="S3191" i="3"/>
  <c r="T3191" i="3" s="1"/>
  <c r="S3192" i="3"/>
  <c r="T3192" i="3" s="1"/>
  <c r="S3193" i="3"/>
  <c r="T3193" i="3" s="1"/>
  <c r="S3194" i="3"/>
  <c r="S3195" i="3"/>
  <c r="T3195" i="3" s="1"/>
  <c r="S3196" i="3"/>
  <c r="T3196" i="3" s="1"/>
  <c r="S3197" i="3"/>
  <c r="S3198" i="3"/>
  <c r="T3198" i="3" s="1"/>
  <c r="S3199" i="3"/>
  <c r="S3200" i="3"/>
  <c r="S3201" i="3"/>
  <c r="T3201" i="3" s="1"/>
  <c r="S3202" i="3"/>
  <c r="T3202" i="3" s="1"/>
  <c r="S3203" i="3"/>
  <c r="T3203" i="3" s="1"/>
  <c r="S3204" i="3"/>
  <c r="T3204" i="3" s="1"/>
  <c r="S3205" i="3"/>
  <c r="T3205" i="3" s="1"/>
  <c r="S3206" i="3"/>
  <c r="S3207" i="3"/>
  <c r="T3207" i="3" s="1"/>
  <c r="S3208" i="3"/>
  <c r="T3208" i="3" s="1"/>
  <c r="S3209" i="3"/>
  <c r="S3210" i="3"/>
  <c r="T3210" i="3" s="1"/>
  <c r="S3211" i="3"/>
  <c r="S3212" i="3"/>
  <c r="S3213" i="3"/>
  <c r="T3213" i="3" s="1"/>
  <c r="S3214" i="3"/>
  <c r="T3214" i="3" s="1"/>
  <c r="S3215" i="3"/>
  <c r="T3215" i="3" s="1"/>
  <c r="S3216" i="3"/>
  <c r="T3216" i="3" s="1"/>
  <c r="S3217" i="3"/>
  <c r="T3217" i="3" s="1"/>
  <c r="S3218" i="3"/>
  <c r="S3219" i="3"/>
  <c r="T3219" i="3" s="1"/>
  <c r="S3220" i="3"/>
  <c r="T3220" i="3" s="1"/>
  <c r="S3221" i="3"/>
  <c r="S3222" i="3"/>
  <c r="T3222" i="3" s="1"/>
  <c r="S3223" i="3"/>
  <c r="S3224" i="3"/>
  <c r="S3225" i="3"/>
  <c r="T3225" i="3" s="1"/>
  <c r="S3226" i="3"/>
  <c r="T3226" i="3" s="1"/>
  <c r="S3227" i="3"/>
  <c r="T3227" i="3" s="1"/>
  <c r="S3228" i="3"/>
  <c r="T3228" i="3" s="1"/>
  <c r="S3229" i="3"/>
  <c r="T3229" i="3" s="1"/>
  <c r="S3230" i="3"/>
  <c r="S3231" i="3"/>
  <c r="T3231" i="3" s="1"/>
  <c r="S3232" i="3"/>
  <c r="T3232" i="3" s="1"/>
  <c r="S3233" i="3"/>
  <c r="S3234" i="3"/>
  <c r="T3234" i="3" s="1"/>
  <c r="S3235" i="3"/>
  <c r="S3236" i="3"/>
  <c r="S3237" i="3"/>
  <c r="T3237" i="3" s="1"/>
  <c r="S3238" i="3"/>
  <c r="T3238" i="3" s="1"/>
  <c r="S3239" i="3"/>
  <c r="T3239" i="3" s="1"/>
  <c r="S3240" i="3"/>
  <c r="T3240" i="3" s="1"/>
  <c r="S3241" i="3"/>
  <c r="T3241" i="3" s="1"/>
  <c r="S3242" i="3"/>
  <c r="S3243" i="3"/>
  <c r="T3243" i="3" s="1"/>
  <c r="S3244" i="3"/>
  <c r="T3244" i="3" s="1"/>
  <c r="S3245" i="3"/>
  <c r="S3246" i="3"/>
  <c r="T3246" i="3" s="1"/>
  <c r="S3247" i="3"/>
  <c r="S3248" i="3"/>
  <c r="S3249" i="3"/>
  <c r="T3249" i="3" s="1"/>
  <c r="S3250" i="3"/>
  <c r="T3250" i="3" s="1"/>
  <c r="S3251" i="3"/>
  <c r="T3251" i="3" s="1"/>
  <c r="S3252" i="3"/>
  <c r="T3252" i="3" s="1"/>
  <c r="S3253" i="3"/>
  <c r="T3253" i="3" s="1"/>
  <c r="S3254" i="3"/>
  <c r="S3255" i="3"/>
  <c r="T3255" i="3" s="1"/>
  <c r="S3256" i="3"/>
  <c r="T3256" i="3" s="1"/>
  <c r="S3257" i="3"/>
  <c r="S3258" i="3"/>
  <c r="T3258" i="3" s="1"/>
  <c r="S3259" i="3"/>
  <c r="S3260" i="3"/>
  <c r="S3261" i="3"/>
  <c r="T3261" i="3" s="1"/>
  <c r="S3262" i="3"/>
  <c r="T3262" i="3" s="1"/>
  <c r="S3263" i="3"/>
  <c r="T3263" i="3" s="1"/>
  <c r="S3264" i="3"/>
  <c r="T3264" i="3" s="1"/>
  <c r="S3265" i="3"/>
  <c r="T3265" i="3" s="1"/>
  <c r="S3266" i="3"/>
  <c r="T3266" i="3" s="1"/>
  <c r="S3267" i="3"/>
  <c r="S3268" i="3"/>
  <c r="T3268" i="3" s="1"/>
  <c r="S3269" i="3"/>
  <c r="T3269" i="3" s="1"/>
  <c r="S3270" i="3"/>
  <c r="S3271" i="3"/>
  <c r="T3271" i="3" s="1"/>
  <c r="S3272" i="3"/>
  <c r="S3273" i="3"/>
  <c r="T3273" i="3" s="1"/>
  <c r="S3274" i="3"/>
  <c r="T3274" i="3" s="1"/>
  <c r="S3275" i="3"/>
  <c r="T3275" i="3" s="1"/>
  <c r="S3276" i="3"/>
  <c r="T3276" i="3" s="1"/>
  <c r="S3277" i="3"/>
  <c r="T3277" i="3" s="1"/>
  <c r="S3278" i="3"/>
  <c r="S3279" i="3"/>
  <c r="S3280" i="3"/>
  <c r="T3280" i="3" s="1"/>
  <c r="S3281" i="3"/>
  <c r="S3282" i="3"/>
  <c r="S3283" i="3"/>
  <c r="T3283" i="3" s="1"/>
  <c r="S3284" i="3"/>
  <c r="S3285" i="3"/>
  <c r="T3285" i="3" s="1"/>
  <c r="S3286" i="3"/>
  <c r="T3286" i="3" s="1"/>
  <c r="S3287" i="3"/>
  <c r="T3287" i="3" s="1"/>
  <c r="S3288" i="3"/>
  <c r="T3288" i="3" s="1"/>
  <c r="S3289" i="3"/>
  <c r="T3289" i="3" s="1"/>
  <c r="S3290" i="3"/>
  <c r="S3291" i="3"/>
  <c r="S3292" i="3"/>
  <c r="T3292" i="3" s="1"/>
  <c r="S3293" i="3"/>
  <c r="S3294" i="3"/>
  <c r="S3295" i="3"/>
  <c r="T3295" i="3" s="1"/>
  <c r="S3296" i="3"/>
  <c r="T3296" i="3" s="1"/>
  <c r="S3297" i="3"/>
  <c r="T3297" i="3" s="1"/>
  <c r="S3298" i="3"/>
  <c r="T3298" i="3" s="1"/>
  <c r="S3299" i="3"/>
  <c r="T3299" i="3" s="1"/>
  <c r="S3300" i="3"/>
  <c r="T3300" i="3" s="1"/>
  <c r="S3301" i="3"/>
  <c r="T3301" i="3" s="1"/>
  <c r="S3302" i="3"/>
  <c r="S3303" i="3"/>
  <c r="S3304" i="3"/>
  <c r="T3304" i="3" s="1"/>
  <c r="S3305" i="3"/>
  <c r="S3306" i="3"/>
  <c r="T3306" i="3" s="1"/>
  <c r="S3307" i="3"/>
  <c r="S3308" i="3"/>
  <c r="S3309" i="3"/>
  <c r="T3309" i="3" s="1"/>
  <c r="S3310" i="3"/>
  <c r="T3310" i="3" s="1"/>
  <c r="S3311" i="3"/>
  <c r="T3311" i="3" s="1"/>
  <c r="S3312" i="3"/>
  <c r="T3312" i="3" s="1"/>
  <c r="S3313" i="3"/>
  <c r="S3314" i="3"/>
  <c r="T3314" i="3" s="1"/>
  <c r="S3315" i="3"/>
  <c r="T3315" i="3" s="1"/>
  <c r="S3316" i="3"/>
  <c r="T3316" i="3" s="1"/>
  <c r="S3317" i="3"/>
  <c r="S3318" i="3"/>
  <c r="S3319" i="3"/>
  <c r="S3320" i="3"/>
  <c r="S3321" i="3"/>
  <c r="T3321" i="3" s="1"/>
  <c r="S3322" i="3"/>
  <c r="T3322" i="3" s="1"/>
  <c r="S3323" i="3"/>
  <c r="T3323" i="3" s="1"/>
  <c r="S3324" i="3"/>
  <c r="T3324" i="3" s="1"/>
  <c r="S3325" i="3"/>
  <c r="T3325" i="3" s="1"/>
  <c r="S3326" i="3"/>
  <c r="S3327" i="3"/>
  <c r="S3328" i="3"/>
  <c r="T3328" i="3" s="1"/>
  <c r="S3329" i="3"/>
  <c r="S3330" i="3"/>
  <c r="S3331" i="3"/>
  <c r="S3332" i="3"/>
  <c r="S3333" i="3"/>
  <c r="T3333" i="3" s="1"/>
  <c r="S3334" i="3"/>
  <c r="T3334" i="3" s="1"/>
  <c r="S3335" i="3"/>
  <c r="T3335" i="3" s="1"/>
  <c r="S3336" i="3"/>
  <c r="T3336" i="3" s="1"/>
  <c r="S3337" i="3"/>
  <c r="T3337" i="3" s="1"/>
  <c r="S3338" i="3"/>
  <c r="T3338" i="3" s="1"/>
  <c r="S3339" i="3"/>
  <c r="S3340" i="3"/>
  <c r="T3340" i="3" s="1"/>
  <c r="S3341" i="3"/>
  <c r="S3342" i="3"/>
  <c r="T3342" i="3" s="1"/>
  <c r="S3343" i="3"/>
  <c r="S3344" i="3"/>
  <c r="S3345" i="3"/>
  <c r="T3345" i="3" s="1"/>
  <c r="S3346" i="3"/>
  <c r="T3346" i="3" s="1"/>
  <c r="S3347" i="3"/>
  <c r="T3347" i="3" s="1"/>
  <c r="S3348" i="3"/>
  <c r="T3348" i="3" s="1"/>
  <c r="S3349" i="3"/>
  <c r="T3349" i="3" s="1"/>
  <c r="S3350" i="3"/>
  <c r="T3350" i="3" s="1"/>
  <c r="S3351" i="3"/>
  <c r="S3352" i="3"/>
  <c r="T3352" i="3" s="1"/>
  <c r="S3353" i="3"/>
  <c r="S3354" i="3"/>
  <c r="S3355" i="3"/>
  <c r="T3355" i="3" s="1"/>
  <c r="S3356" i="3"/>
  <c r="S3357" i="3"/>
  <c r="T3357" i="3" s="1"/>
  <c r="S3358" i="3"/>
  <c r="T3358" i="3" s="1"/>
  <c r="S3359" i="3"/>
  <c r="T3359" i="3" s="1"/>
  <c r="S3360" i="3"/>
  <c r="T3360" i="3" s="1"/>
  <c r="S3361" i="3"/>
  <c r="T3361" i="3" s="1"/>
  <c r="S3362" i="3"/>
  <c r="S3363" i="3"/>
  <c r="S3364" i="3"/>
  <c r="T3364" i="3" s="1"/>
  <c r="S3365" i="3"/>
  <c r="S3366" i="3"/>
  <c r="S3367" i="3"/>
  <c r="T3367" i="3" s="1"/>
  <c r="S3368" i="3"/>
  <c r="S3369" i="3"/>
  <c r="T3369" i="3" s="1"/>
  <c r="S3370" i="3"/>
  <c r="T3370" i="3" s="1"/>
  <c r="S3371" i="3"/>
  <c r="T3371" i="3" s="1"/>
  <c r="S3372" i="3"/>
  <c r="T3372" i="3" s="1"/>
  <c r="S3373" i="3"/>
  <c r="T3373" i="3" s="1"/>
  <c r="S3374" i="3"/>
  <c r="S3375" i="3"/>
  <c r="S3376" i="3"/>
  <c r="T3376" i="3" s="1"/>
  <c r="S3377" i="3"/>
  <c r="S3378" i="3"/>
  <c r="S3379" i="3"/>
  <c r="T3379" i="3" s="1"/>
  <c r="S3380" i="3"/>
  <c r="S3381" i="3"/>
  <c r="T3381" i="3" s="1"/>
  <c r="S3382" i="3"/>
  <c r="T3382" i="3" s="1"/>
  <c r="S3383" i="3"/>
  <c r="T3383" i="3" s="1"/>
  <c r="S3384" i="3"/>
  <c r="T3384" i="3" s="1"/>
  <c r="S3385" i="3"/>
  <c r="T3385" i="3" s="1"/>
  <c r="S3386" i="3"/>
  <c r="S3387" i="3"/>
  <c r="S3388" i="3"/>
  <c r="T3388" i="3" s="1"/>
  <c r="S3389" i="3"/>
  <c r="S3390" i="3"/>
  <c r="S3391" i="3"/>
  <c r="T3391" i="3" s="1"/>
  <c r="S3392" i="3"/>
  <c r="S3393" i="3"/>
  <c r="T3393" i="3" s="1"/>
  <c r="S3394" i="3"/>
  <c r="T3394" i="3" s="1"/>
  <c r="S3395" i="3"/>
  <c r="T3395" i="3" s="1"/>
  <c r="S3396" i="3"/>
  <c r="T3396" i="3" s="1"/>
  <c r="S3397" i="3"/>
  <c r="T3397" i="3" s="1"/>
  <c r="S3398" i="3"/>
  <c r="S3399" i="3"/>
  <c r="S3400" i="3"/>
  <c r="T3400" i="3" s="1"/>
  <c r="S3401" i="3"/>
  <c r="S3402" i="3"/>
  <c r="S3403" i="3"/>
  <c r="T3403" i="3" s="1"/>
  <c r="S3404" i="3"/>
  <c r="S3405" i="3"/>
  <c r="T3405" i="3" s="1"/>
  <c r="S3406" i="3"/>
  <c r="T3406" i="3" s="1"/>
  <c r="S3407" i="3"/>
  <c r="T3407" i="3" s="1"/>
  <c r="S3408" i="3"/>
  <c r="T3408" i="3" s="1"/>
  <c r="S3409" i="3"/>
  <c r="T3409" i="3" s="1"/>
  <c r="S3410" i="3"/>
  <c r="S3411" i="3"/>
  <c r="S3412" i="3"/>
  <c r="T3412" i="3" s="1"/>
  <c r="S3413" i="3"/>
  <c r="S3414" i="3"/>
  <c r="S3415" i="3"/>
  <c r="T3415" i="3" s="1"/>
  <c r="S3416" i="3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S3423" i="3"/>
  <c r="S3424" i="3"/>
  <c r="T3424" i="3" s="1"/>
  <c r="S3425" i="3"/>
  <c r="S3426" i="3"/>
  <c r="S3427" i="3"/>
  <c r="T3427" i="3" s="1"/>
  <c r="S3428" i="3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S3435" i="3"/>
  <c r="S3436" i="3"/>
  <c r="T3436" i="3" s="1"/>
  <c r="S3437" i="3"/>
  <c r="S3438" i="3"/>
  <c r="T3438" i="3" s="1"/>
  <c r="S3439" i="3"/>
  <c r="S3440" i="3"/>
  <c r="T3440" i="3" s="1"/>
  <c r="S3441" i="3"/>
  <c r="T3441" i="3" s="1"/>
  <c r="S3442" i="3"/>
  <c r="T3442" i="3" s="1"/>
  <c r="S3443" i="3"/>
  <c r="T3443" i="3" s="1"/>
  <c r="S3444" i="3"/>
  <c r="T3444" i="3" s="1"/>
  <c r="S3445" i="3"/>
  <c r="S3446" i="3"/>
  <c r="T3446" i="3" s="1"/>
  <c r="S3447" i="3"/>
  <c r="S3448" i="3"/>
  <c r="T3448" i="3" s="1"/>
  <c r="S3449" i="3"/>
  <c r="T3449" i="3" s="1"/>
  <c r="S3450" i="3"/>
  <c r="S3451" i="3"/>
  <c r="S3452" i="3"/>
  <c r="T3452" i="3" s="1"/>
  <c r="S3453" i="3"/>
  <c r="T3453" i="3" s="1"/>
  <c r="S3454" i="3"/>
  <c r="T3454" i="3" s="1"/>
  <c r="S3455" i="3"/>
  <c r="T3455" i="3" s="1"/>
  <c r="S3456" i="3"/>
  <c r="T3456" i="3" s="1"/>
  <c r="S3457" i="3"/>
  <c r="T3457" i="3" s="1"/>
  <c r="S3458" i="3"/>
  <c r="S3459" i="3"/>
  <c r="S3460" i="3"/>
  <c r="T3460" i="3" s="1"/>
  <c r="S3461" i="3"/>
  <c r="S3462" i="3"/>
  <c r="S3463" i="3"/>
  <c r="T3463" i="3" s="1"/>
  <c r="S3464" i="3"/>
  <c r="S3465" i="3"/>
  <c r="T3465" i="3" s="1"/>
  <c r="S3466" i="3"/>
  <c r="T3466" i="3" s="1"/>
  <c r="S3467" i="3"/>
  <c r="T3467" i="3" s="1"/>
  <c r="S3468" i="3"/>
  <c r="T3468" i="3" s="1"/>
  <c r="S3469" i="3"/>
  <c r="S3470" i="3"/>
  <c r="T3470" i="3" s="1"/>
  <c r="S3471" i="3"/>
  <c r="S3472" i="3"/>
  <c r="T3472" i="3" s="1"/>
  <c r="S3473" i="3"/>
  <c r="T3473" i="3" s="1"/>
  <c r="S3474" i="3"/>
  <c r="S3475" i="3"/>
  <c r="T3475" i="3" s="1"/>
  <c r="S3476" i="3"/>
  <c r="T3476" i="3" s="1"/>
  <c r="S3477" i="3"/>
  <c r="T3477" i="3" s="1"/>
  <c r="S3478" i="3"/>
  <c r="T3478" i="3" s="1"/>
  <c r="S3479" i="3"/>
  <c r="T3479" i="3" s="1"/>
  <c r="S3480" i="3"/>
  <c r="T3480" i="3" s="1"/>
  <c r="S3481" i="3"/>
  <c r="S3482" i="3"/>
  <c r="S3483" i="3"/>
  <c r="T3483" i="3" s="1"/>
  <c r="S3484" i="3"/>
  <c r="T3484" i="3" s="1"/>
  <c r="S3485" i="3"/>
  <c r="S3486" i="3"/>
  <c r="T3486" i="3" s="1"/>
  <c r="S3487" i="3"/>
  <c r="S3488" i="3"/>
  <c r="T3488" i="3" s="1"/>
  <c r="S3489" i="3"/>
  <c r="T3489" i="3" s="1"/>
  <c r="S3490" i="3"/>
  <c r="T3490" i="3" s="1"/>
  <c r="S3491" i="3"/>
  <c r="T3491" i="3" s="1"/>
  <c r="S3492" i="3"/>
  <c r="T3492" i="3" s="1"/>
  <c r="S3493" i="3"/>
  <c r="S3494" i="3"/>
  <c r="S3495" i="3"/>
  <c r="T3495" i="3" s="1"/>
  <c r="S3496" i="3"/>
  <c r="T3496" i="3" s="1"/>
  <c r="S3497" i="3"/>
  <c r="S3498" i="3"/>
  <c r="T3498" i="3" s="1"/>
  <c r="S3499" i="3"/>
  <c r="S3500" i="3"/>
  <c r="T3500" i="3" s="1"/>
  <c r="S3501" i="3"/>
  <c r="T3501" i="3" s="1"/>
  <c r="S3502" i="3"/>
  <c r="T3502" i="3" s="1"/>
  <c r="S3503" i="3"/>
  <c r="T3503" i="3" s="1"/>
  <c r="S3504" i="3"/>
  <c r="T3504" i="3" s="1"/>
  <c r="S3505" i="3"/>
  <c r="S3506" i="3"/>
  <c r="S3507" i="3"/>
  <c r="T3507" i="3" s="1"/>
  <c r="S3508" i="3"/>
  <c r="T3508" i="3" s="1"/>
  <c r="S3509" i="3"/>
  <c r="S3510" i="3"/>
  <c r="T3510" i="3" s="1"/>
  <c r="S3511" i="3"/>
  <c r="S3512" i="3"/>
  <c r="T3512" i="3" s="1"/>
  <c r="S3513" i="3"/>
  <c r="T3513" i="3" s="1"/>
  <c r="S3514" i="3"/>
  <c r="T3514" i="3" s="1"/>
  <c r="S3515" i="3"/>
  <c r="T3515" i="3" s="1"/>
  <c r="S3516" i="3"/>
  <c r="T3516" i="3" s="1"/>
  <c r="S3517" i="3"/>
  <c r="S3518" i="3"/>
  <c r="S3519" i="3"/>
  <c r="T3519" i="3" s="1"/>
  <c r="S3520" i="3"/>
  <c r="T3520" i="3" s="1"/>
  <c r="S3521" i="3"/>
  <c r="S3522" i="3"/>
  <c r="T3522" i="3" s="1"/>
  <c r="S3523" i="3"/>
  <c r="S3524" i="3"/>
  <c r="T3524" i="3" s="1"/>
  <c r="S3525" i="3"/>
  <c r="T3525" i="3" s="1"/>
  <c r="S3526" i="3"/>
  <c r="T3526" i="3" s="1"/>
  <c r="S3527" i="3"/>
  <c r="T3527" i="3" s="1"/>
  <c r="S3528" i="3"/>
  <c r="T3528" i="3" s="1"/>
  <c r="S3529" i="3"/>
  <c r="S3530" i="3"/>
  <c r="S3531" i="3"/>
  <c r="T3531" i="3" s="1"/>
  <c r="S3532" i="3"/>
  <c r="T3532" i="3" s="1"/>
  <c r="S3533" i="3"/>
  <c r="S3534" i="3"/>
  <c r="T3534" i="3" s="1"/>
  <c r="S3535" i="3"/>
  <c r="S3536" i="3"/>
  <c r="T3536" i="3" s="1"/>
  <c r="S3537" i="3"/>
  <c r="T3537" i="3" s="1"/>
  <c r="S3538" i="3"/>
  <c r="T3538" i="3" s="1"/>
  <c r="S3539" i="3"/>
  <c r="T3539" i="3" s="1"/>
  <c r="S3540" i="3"/>
  <c r="T3540" i="3" s="1"/>
  <c r="S3541" i="3"/>
  <c r="S3542" i="3"/>
  <c r="S3543" i="3"/>
  <c r="T3543" i="3" s="1"/>
  <c r="S3544" i="3"/>
  <c r="T3544" i="3" s="1"/>
  <c r="S3545" i="3"/>
  <c r="S3546" i="3"/>
  <c r="S3547" i="3"/>
  <c r="S3548" i="3"/>
  <c r="T3548" i="3" s="1"/>
  <c r="S3549" i="3"/>
  <c r="T3549" i="3" s="1"/>
  <c r="S3550" i="3"/>
  <c r="T3550" i="3" s="1"/>
  <c r="S3551" i="3"/>
  <c r="T3551" i="3" s="1"/>
  <c r="S3552" i="3"/>
  <c r="T3552" i="3" s="1"/>
  <c r="S3553" i="3"/>
  <c r="S3554" i="3"/>
  <c r="T3554" i="3" s="1"/>
  <c r="S3555" i="3"/>
  <c r="S3556" i="3"/>
  <c r="T3556" i="3" s="1"/>
  <c r="S3557" i="3"/>
  <c r="S3558" i="3"/>
  <c r="T3558" i="3" s="1"/>
  <c r="S3559" i="3"/>
  <c r="T3559" i="3" s="1"/>
  <c r="S3560" i="3"/>
  <c r="T3560" i="3" s="1"/>
  <c r="S3561" i="3"/>
  <c r="T3561" i="3" s="1"/>
  <c r="S3562" i="3"/>
  <c r="T3562" i="3" s="1"/>
  <c r="S3563" i="3"/>
  <c r="T3563" i="3" s="1"/>
  <c r="S3564" i="3"/>
  <c r="T3564" i="3" s="1"/>
  <c r="S3565" i="3"/>
  <c r="T3565" i="3" s="1"/>
  <c r="S3566" i="3"/>
  <c r="S3567" i="3"/>
  <c r="S3568" i="3"/>
  <c r="T3568" i="3" s="1"/>
  <c r="S3569" i="3"/>
  <c r="S3570" i="3"/>
  <c r="T3570" i="3" s="1"/>
  <c r="S3571" i="3"/>
  <c r="T3571" i="3" s="1"/>
  <c r="S3572" i="3"/>
  <c r="T3572" i="3" s="1"/>
  <c r="S3573" i="3"/>
  <c r="T3573" i="3" s="1"/>
  <c r="S3574" i="3"/>
  <c r="T3574" i="3" s="1"/>
  <c r="S3575" i="3"/>
  <c r="T3575" i="3" s="1"/>
  <c r="S3576" i="3"/>
  <c r="T3576" i="3" s="1"/>
  <c r="S3577" i="3"/>
  <c r="S3578" i="3"/>
  <c r="S3579" i="3"/>
  <c r="T3579" i="3" s="1"/>
  <c r="S3580" i="3"/>
  <c r="T3580" i="3" s="1"/>
  <c r="S3581" i="3"/>
  <c r="T3581" i="3" s="1"/>
  <c r="S3582" i="3"/>
  <c r="T3582" i="3" s="1"/>
  <c r="S3583" i="3"/>
  <c r="S3584" i="3"/>
  <c r="T3584" i="3" s="1"/>
  <c r="S3585" i="3"/>
  <c r="T3585" i="3" s="1"/>
  <c r="S3586" i="3"/>
  <c r="T3586" i="3" s="1"/>
  <c r="S3587" i="3"/>
  <c r="T3587" i="3" s="1"/>
  <c r="S3588" i="3"/>
  <c r="T3588" i="3" s="1"/>
  <c r="S3589" i="3"/>
  <c r="S3590" i="3"/>
  <c r="T3590" i="3" s="1"/>
  <c r="S3591" i="3"/>
  <c r="T3591" i="3" s="1"/>
  <c r="S3592" i="3"/>
  <c r="T3592" i="3" s="1"/>
  <c r="S3593" i="3"/>
  <c r="T3593" i="3" s="1"/>
  <c r="S3594" i="3"/>
  <c r="S3595" i="3"/>
  <c r="T3595" i="3" s="1"/>
  <c r="S3596" i="3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S3603" i="3"/>
  <c r="T3603" i="3" s="1"/>
  <c r="S3604" i="3"/>
  <c r="T3604" i="3" s="1"/>
  <c r="S3605" i="3"/>
  <c r="T3605" i="3" s="1"/>
  <c r="S3606" i="3"/>
  <c r="S3607" i="3"/>
  <c r="T3607" i="3" s="1"/>
  <c r="S3608" i="3"/>
  <c r="S3609" i="3"/>
  <c r="T3609" i="3" s="1"/>
  <c r="S3610" i="3"/>
  <c r="T3610" i="3" s="1"/>
  <c r="S3611" i="3"/>
  <c r="T3611" i="3" s="1"/>
  <c r="S3612" i="3"/>
  <c r="T3612" i="3" s="1"/>
  <c r="S3613" i="3"/>
  <c r="S3614" i="3"/>
  <c r="T3614" i="3" s="1"/>
  <c r="S3615" i="3"/>
  <c r="T3615" i="3" s="1"/>
  <c r="S3616" i="3"/>
  <c r="T3616" i="3" s="1"/>
  <c r="S3617" i="3"/>
  <c r="S3618" i="3"/>
  <c r="T3618" i="3" s="1"/>
  <c r="S3619" i="3"/>
  <c r="S3620" i="3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T3627" i="3" s="1"/>
  <c r="S3628" i="3"/>
  <c r="T3628" i="3" s="1"/>
  <c r="S3629" i="3"/>
  <c r="T3629" i="3" s="1"/>
  <c r="S3630" i="3"/>
  <c r="S3631" i="3"/>
  <c r="S3632" i="3"/>
  <c r="T3632" i="3" s="1"/>
  <c r="S3633" i="3"/>
  <c r="T3633" i="3" s="1"/>
  <c r="S3634" i="3"/>
  <c r="T3634" i="3" s="1"/>
  <c r="S3635" i="3"/>
  <c r="T3635" i="3" s="1"/>
  <c r="S3636" i="3"/>
  <c r="T3636" i="3" s="1"/>
  <c r="S3637" i="3"/>
  <c r="T3637" i="3" s="1"/>
  <c r="S3638" i="3"/>
  <c r="T3638" i="3" s="1"/>
  <c r="S3639" i="3"/>
  <c r="S3640" i="3"/>
  <c r="T3640" i="3" s="1"/>
  <c r="S3641" i="3"/>
  <c r="S3642" i="3"/>
  <c r="S3643" i="3"/>
  <c r="T3643" i="3" s="1"/>
  <c r="S3644" i="3"/>
  <c r="S3645" i="3"/>
  <c r="S3646" i="3"/>
  <c r="T3646" i="3" s="1"/>
  <c r="S3647" i="3"/>
  <c r="T3647" i="3" s="1"/>
  <c r="S3648" i="3"/>
  <c r="T3648" i="3" s="1"/>
  <c r="S3649" i="3"/>
  <c r="T3649" i="3" s="1"/>
  <c r="S3650" i="3"/>
  <c r="T3650" i="3" s="1"/>
  <c r="S3651" i="3"/>
  <c r="T3651" i="3" s="1"/>
  <c r="S3652" i="3"/>
  <c r="T3652" i="3" s="1"/>
  <c r="S3653" i="3"/>
  <c r="T3653" i="3" s="1"/>
  <c r="S3654" i="3"/>
  <c r="S3655" i="3"/>
  <c r="S3656" i="3"/>
  <c r="T3656" i="3" s="1"/>
  <c r="S3657" i="3"/>
  <c r="T3657" i="3" s="1"/>
  <c r="S3658" i="3"/>
  <c r="T3658" i="3" s="1"/>
  <c r="S3659" i="3"/>
  <c r="T3659" i="3" s="1"/>
  <c r="S3660" i="3"/>
  <c r="T3660" i="3" s="1"/>
  <c r="S3661" i="3"/>
  <c r="S3662" i="3"/>
  <c r="S3663" i="3"/>
  <c r="T3663" i="3" s="1"/>
  <c r="S3664" i="3"/>
  <c r="T3664" i="3" s="1"/>
  <c r="S3665" i="3"/>
  <c r="T3665" i="3" s="1"/>
  <c r="S3666" i="3"/>
  <c r="T3666" i="3" s="1"/>
  <c r="S3667" i="3"/>
  <c r="T3667" i="3" s="1"/>
  <c r="S3668" i="3"/>
  <c r="T3668" i="3" s="1"/>
  <c r="S3669" i="3"/>
  <c r="T3669" i="3" s="1"/>
  <c r="S3670" i="3"/>
  <c r="T3670" i="3" s="1"/>
  <c r="S3671" i="3"/>
  <c r="T3671" i="3" s="1"/>
  <c r="S3672" i="3"/>
  <c r="T3672" i="3" s="1"/>
  <c r="S3673" i="3"/>
  <c r="T3673" i="3" s="1"/>
  <c r="S3674" i="3"/>
  <c r="S3675" i="3"/>
  <c r="S3676" i="3"/>
  <c r="T3676" i="3" s="1"/>
  <c r="S3677" i="3"/>
  <c r="S3678" i="3"/>
  <c r="T3678" i="3" s="1"/>
  <c r="S3679" i="3"/>
  <c r="T3679" i="3" s="1"/>
  <c r="S3680" i="3"/>
  <c r="T3680" i="3" s="1"/>
  <c r="S3681" i="3"/>
  <c r="T3681" i="3" s="1"/>
  <c r="S3682" i="3"/>
  <c r="T3682" i="3" s="1"/>
  <c r="S3683" i="3"/>
  <c r="T3683" i="3" s="1"/>
  <c r="S3684" i="3"/>
  <c r="T3684" i="3" s="1"/>
  <c r="S3685" i="3"/>
  <c r="T3685" i="3" s="1"/>
  <c r="S3686" i="3"/>
  <c r="S3687" i="3"/>
  <c r="S3688" i="3"/>
  <c r="T3688" i="3" s="1"/>
  <c r="S3689" i="3"/>
  <c r="T3689" i="3" s="1"/>
  <c r="S3690" i="3"/>
  <c r="T3690" i="3" s="1"/>
  <c r="S3691" i="3"/>
  <c r="T3691" i="3" s="1"/>
  <c r="S3692" i="3"/>
  <c r="T3692" i="3" s="1"/>
  <c r="S3693" i="3"/>
  <c r="T3693" i="3" s="1"/>
  <c r="S3694" i="3"/>
  <c r="T3694" i="3" s="1"/>
  <c r="S3695" i="3"/>
  <c r="T3695" i="3" s="1"/>
  <c r="S3696" i="3"/>
  <c r="T3696" i="3" s="1"/>
  <c r="S3697" i="3"/>
  <c r="T3697" i="3" s="1"/>
  <c r="S3698" i="3"/>
  <c r="T3698" i="3" s="1"/>
  <c r="S3699" i="3"/>
  <c r="T3699" i="3" s="1"/>
  <c r="S3700" i="3"/>
  <c r="T3700" i="3" s="1"/>
  <c r="S3701" i="3"/>
  <c r="T3701" i="3" s="1"/>
  <c r="S3702" i="3"/>
  <c r="S3703" i="3"/>
  <c r="S3704" i="3"/>
  <c r="T3704" i="3" s="1"/>
  <c r="S3705" i="3"/>
  <c r="S3706" i="3"/>
  <c r="T3706" i="3" s="1"/>
  <c r="S3707" i="3"/>
  <c r="T3707" i="3" s="1"/>
  <c r="S3708" i="3"/>
  <c r="T3708" i="3" s="1"/>
  <c r="S3709" i="3"/>
  <c r="T3709" i="3" s="1"/>
  <c r="S3710" i="3"/>
  <c r="T3710" i="3" s="1"/>
  <c r="S3711" i="3"/>
  <c r="T3711" i="3" s="1"/>
  <c r="S3712" i="3"/>
  <c r="T3712" i="3" s="1"/>
  <c r="S3713" i="3"/>
  <c r="T3713" i="3" s="1"/>
  <c r="S3714" i="3"/>
  <c r="S3715" i="3"/>
  <c r="S3716" i="3"/>
  <c r="T3716" i="3" s="1"/>
  <c r="S3717" i="3"/>
  <c r="T3717" i="3" s="1"/>
  <c r="S3718" i="3"/>
  <c r="T3718" i="3" s="1"/>
  <c r="S3719" i="3"/>
  <c r="T3719" i="3" s="1"/>
  <c r="S3720" i="3"/>
  <c r="T3720" i="3" s="1"/>
  <c r="S3721" i="3"/>
  <c r="T3721" i="3" s="1"/>
  <c r="S3722" i="3"/>
  <c r="T3722" i="3" s="1"/>
  <c r="S3723" i="3"/>
  <c r="T3723" i="3" s="1"/>
  <c r="S3724" i="3"/>
  <c r="T3724" i="3" s="1"/>
  <c r="S3725" i="3"/>
  <c r="T3725" i="3" s="1"/>
  <c r="S3726" i="3"/>
  <c r="S3727" i="3"/>
  <c r="S3728" i="3"/>
  <c r="T3728" i="3" s="1"/>
  <c r="S3729" i="3"/>
  <c r="T3729" i="3" s="1"/>
  <c r="S3730" i="3"/>
  <c r="T3730" i="3" s="1"/>
  <c r="S3731" i="3"/>
  <c r="T3731" i="3" s="1"/>
  <c r="S3732" i="3"/>
  <c r="T3732" i="3" s="1"/>
  <c r="S3733" i="3"/>
  <c r="T3733" i="3" s="1"/>
  <c r="S3734" i="3"/>
  <c r="T3734" i="3" s="1"/>
  <c r="S3735" i="3"/>
  <c r="T3735" i="3" s="1"/>
  <c r="S3736" i="3"/>
  <c r="T3736" i="3" s="1"/>
  <c r="S3737" i="3"/>
  <c r="T3737" i="3" s="1"/>
  <c r="S3738" i="3"/>
  <c r="S3739" i="3"/>
  <c r="T3739" i="3" s="1"/>
  <c r="S3740" i="3"/>
  <c r="T3740" i="3" s="1"/>
  <c r="S3741" i="3"/>
  <c r="T3741" i="3" s="1"/>
  <c r="S3742" i="3"/>
  <c r="T3742" i="3" s="1"/>
  <c r="S3743" i="3"/>
  <c r="T3743" i="3" s="1"/>
  <c r="S3744" i="3"/>
  <c r="T3744" i="3" s="1"/>
  <c r="S3745" i="3"/>
  <c r="T3745" i="3" s="1"/>
  <c r="S3746" i="3"/>
  <c r="S3747" i="3"/>
  <c r="T3747" i="3" s="1"/>
  <c r="S3748" i="3"/>
  <c r="T3748" i="3" s="1"/>
  <c r="S3749" i="3"/>
  <c r="T3749" i="3" s="1"/>
  <c r="S3750" i="3"/>
  <c r="T3750" i="3" s="1"/>
  <c r="S3751" i="3"/>
  <c r="S3752" i="3"/>
  <c r="S3753" i="3"/>
  <c r="T3753" i="3" s="1"/>
  <c r="S3754" i="3"/>
  <c r="T3754" i="3" s="1"/>
  <c r="S3755" i="3"/>
  <c r="T3755" i="3" s="1"/>
  <c r="S3756" i="3"/>
  <c r="T3756" i="3" s="1"/>
  <c r="S3757" i="3"/>
  <c r="S3758" i="3"/>
  <c r="T3758" i="3" s="1"/>
  <c r="S3759" i="3"/>
  <c r="S3760" i="3"/>
  <c r="T3760" i="3" s="1"/>
  <c r="S3761" i="3"/>
  <c r="T3761" i="3" s="1"/>
  <c r="S3762" i="3"/>
  <c r="S3763" i="3"/>
  <c r="S3764" i="3"/>
  <c r="T3764" i="3" s="1"/>
  <c r="S3765" i="3"/>
  <c r="T3765" i="3" s="1"/>
  <c r="S3766" i="3"/>
  <c r="T3766" i="3" s="1"/>
  <c r="T2245" i="3"/>
  <c r="T2247" i="3"/>
  <c r="T2249" i="3"/>
  <c r="T2251" i="3"/>
  <c r="T2252" i="3"/>
  <c r="T2257" i="3"/>
  <c r="T2261" i="3"/>
  <c r="T2262" i="3"/>
  <c r="T2264" i="3"/>
  <c r="T2265" i="3"/>
  <c r="T2271" i="3"/>
  <c r="T2273" i="3"/>
  <c r="T2274" i="3"/>
  <c r="T2276" i="3"/>
  <c r="T2281" i="3"/>
  <c r="T2283" i="3"/>
  <c r="T2286" i="3"/>
  <c r="T2293" i="3"/>
  <c r="T2295" i="3"/>
  <c r="T2298" i="3"/>
  <c r="T2305" i="3"/>
  <c r="T2307" i="3"/>
  <c r="T2310" i="3"/>
  <c r="T2317" i="3"/>
  <c r="T2319" i="3"/>
  <c r="T2322" i="3"/>
  <c r="T2329" i="3"/>
  <c r="T2331" i="3"/>
  <c r="T2334" i="3"/>
  <c r="T2341" i="3"/>
  <c r="T2343" i="3"/>
  <c r="T2346" i="3"/>
  <c r="T2347" i="3"/>
  <c r="T2348" i="3"/>
  <c r="T2353" i="3"/>
  <c r="T2357" i="3"/>
  <c r="T2359" i="3"/>
  <c r="T2360" i="3"/>
  <c r="T2365" i="3"/>
  <c r="T2369" i="3"/>
  <c r="T2371" i="3"/>
  <c r="T2372" i="3"/>
  <c r="T2378" i="3"/>
  <c r="T2379" i="3"/>
  <c r="T2381" i="3"/>
  <c r="T2385" i="3"/>
  <c r="T2387" i="3"/>
  <c r="T2389" i="3"/>
  <c r="T2396" i="3"/>
  <c r="T2401" i="3"/>
  <c r="T2402" i="3"/>
  <c r="T2408" i="3"/>
  <c r="T2413" i="3"/>
  <c r="T2414" i="3"/>
  <c r="T2419" i="3"/>
  <c r="T2425" i="3"/>
  <c r="T2427" i="3"/>
  <c r="T2430" i="3"/>
  <c r="T2431" i="3"/>
  <c r="T2437" i="3"/>
  <c r="T2439" i="3"/>
  <c r="T2441" i="3"/>
  <c r="T2442" i="3"/>
  <c r="T2443" i="3"/>
  <c r="T2449" i="3"/>
  <c r="T2450" i="3"/>
  <c r="T2453" i="3"/>
  <c r="T2455" i="3"/>
  <c r="T2461" i="3"/>
  <c r="T2462" i="3"/>
  <c r="T2465" i="3"/>
  <c r="T2467" i="3"/>
  <c r="T2473" i="3"/>
  <c r="T2474" i="3"/>
  <c r="T2477" i="3"/>
  <c r="T2479" i="3"/>
  <c r="T2485" i="3"/>
  <c r="T2486" i="3"/>
  <c r="T2489" i="3"/>
  <c r="T2491" i="3"/>
  <c r="T2497" i="3"/>
  <c r="T2498" i="3"/>
  <c r="T2501" i="3"/>
  <c r="T2510" i="3"/>
  <c r="T2511" i="3"/>
  <c r="T2513" i="3"/>
  <c r="T2522" i="3"/>
  <c r="T2523" i="3"/>
  <c r="T2525" i="3"/>
  <c r="T2534" i="3"/>
  <c r="T2535" i="3"/>
  <c r="T2537" i="3"/>
  <c r="T2546" i="3"/>
  <c r="T2547" i="3"/>
  <c r="T2549" i="3"/>
  <c r="T2558" i="3"/>
  <c r="T2559" i="3"/>
  <c r="T2561" i="3"/>
  <c r="T2565" i="3"/>
  <c r="T2570" i="3"/>
  <c r="T2571" i="3"/>
  <c r="T2573" i="3"/>
  <c r="T2582" i="3"/>
  <c r="T2583" i="3"/>
  <c r="T2585" i="3"/>
  <c r="T2594" i="3"/>
  <c r="T2595" i="3"/>
  <c r="T2597" i="3"/>
  <c r="T2606" i="3"/>
  <c r="T2607" i="3"/>
  <c r="T2609" i="3"/>
  <c r="T2618" i="3"/>
  <c r="T2619" i="3"/>
  <c r="T2621" i="3"/>
  <c r="T2630" i="3"/>
  <c r="T2631" i="3"/>
  <c r="T2633" i="3"/>
  <c r="T2637" i="3"/>
  <c r="T2642" i="3"/>
  <c r="T2643" i="3"/>
  <c r="T2645" i="3"/>
  <c r="T2647" i="3"/>
  <c r="T2648" i="3"/>
  <c r="T2655" i="3"/>
  <c r="T2657" i="3"/>
  <c r="T2659" i="3"/>
  <c r="T2661" i="3"/>
  <c r="T2665" i="3"/>
  <c r="T2667" i="3"/>
  <c r="T2669" i="3"/>
  <c r="T2672" i="3"/>
  <c r="T2677" i="3"/>
  <c r="T2678" i="3"/>
  <c r="T2679" i="3"/>
  <c r="T2684" i="3"/>
  <c r="T2689" i="3"/>
  <c r="T2690" i="3"/>
  <c r="T2696" i="3"/>
  <c r="T2701" i="3"/>
  <c r="T2702" i="3"/>
  <c r="T2708" i="3"/>
  <c r="T2713" i="3"/>
  <c r="T2715" i="3"/>
  <c r="T2719" i="3"/>
  <c r="T2725" i="3"/>
  <c r="T2727" i="3"/>
  <c r="T2737" i="3"/>
  <c r="T2739" i="3"/>
  <c r="T2741" i="3"/>
  <c r="T2742" i="3"/>
  <c r="T2743" i="3"/>
  <c r="T2751" i="3"/>
  <c r="T2753" i="3"/>
  <c r="T2754" i="3"/>
  <c r="T2756" i="3"/>
  <c r="T2761" i="3"/>
  <c r="T2763" i="3"/>
  <c r="T2766" i="3"/>
  <c r="T2767" i="3"/>
  <c r="T2775" i="3"/>
  <c r="T2777" i="3"/>
  <c r="T2778" i="3"/>
  <c r="T2780" i="3"/>
  <c r="T2787" i="3"/>
  <c r="T2789" i="3"/>
  <c r="T2791" i="3"/>
  <c r="T2792" i="3"/>
  <c r="T2798" i="3"/>
  <c r="T2801" i="3"/>
  <c r="T2803" i="3"/>
  <c r="T2804" i="3"/>
  <c r="T2809" i="3"/>
  <c r="T2811" i="3"/>
  <c r="T2814" i="3"/>
  <c r="T2815" i="3"/>
  <c r="T2817" i="3"/>
  <c r="T2822" i="3"/>
  <c r="T2823" i="3"/>
  <c r="T2828" i="3"/>
  <c r="T2833" i="3"/>
  <c r="T2837" i="3"/>
  <c r="T2839" i="3"/>
  <c r="T2840" i="3"/>
  <c r="T2847" i="3"/>
  <c r="T2851" i="3"/>
  <c r="T2857" i="3"/>
  <c r="T2859" i="3"/>
  <c r="T2862" i="3"/>
  <c r="T2863" i="3"/>
  <c r="T2874" i="3"/>
  <c r="T2875" i="3"/>
  <c r="T2876" i="3"/>
  <c r="T2881" i="3"/>
  <c r="T2883" i="3"/>
  <c r="T2886" i="3"/>
  <c r="T2887" i="3"/>
  <c r="T2889" i="3"/>
  <c r="T2893" i="3"/>
  <c r="T2894" i="3"/>
  <c r="T2897" i="3"/>
  <c r="T2899" i="3"/>
  <c r="T2900" i="3"/>
  <c r="T2901" i="3"/>
  <c r="T2905" i="3"/>
  <c r="T2907" i="3"/>
  <c r="T2910" i="3"/>
  <c r="T2912" i="3"/>
  <c r="T2917" i="3"/>
  <c r="T2918" i="3"/>
  <c r="T2919" i="3"/>
  <c r="T2922" i="3"/>
  <c r="T2929" i="3"/>
  <c r="T2931" i="3"/>
  <c r="T2934" i="3"/>
  <c r="T2942" i="3"/>
  <c r="T2943" i="3"/>
  <c r="T2945" i="3"/>
  <c r="T2954" i="3"/>
  <c r="T2955" i="3"/>
  <c r="T2957" i="3"/>
  <c r="T2960" i="3"/>
  <c r="T2966" i="3"/>
  <c r="T2967" i="3"/>
  <c r="T2969" i="3"/>
  <c r="T2971" i="3"/>
  <c r="T2977" i="3"/>
  <c r="T2979" i="3"/>
  <c r="T2981" i="3"/>
  <c r="T2983" i="3"/>
  <c r="T2984" i="3"/>
  <c r="T2994" i="3"/>
  <c r="T2995" i="3"/>
  <c r="T3006" i="3"/>
  <c r="T3007" i="3"/>
  <c r="T3009" i="3"/>
  <c r="T3014" i="3"/>
  <c r="T3015" i="3"/>
  <c r="T3017" i="3"/>
  <c r="T3018" i="3"/>
  <c r="T3029" i="3"/>
  <c r="T3030" i="3"/>
  <c r="T3032" i="3"/>
  <c r="T3039" i="3"/>
  <c r="T3041" i="3"/>
  <c r="T3042" i="3"/>
  <c r="T3044" i="3"/>
  <c r="T3045" i="3"/>
  <c r="T3050" i="3"/>
  <c r="T3053" i="3"/>
  <c r="T3054" i="3"/>
  <c r="T3056" i="3"/>
  <c r="T3061" i="3"/>
  <c r="T3063" i="3"/>
  <c r="T3067" i="3"/>
  <c r="T3074" i="3"/>
  <c r="T3078" i="3"/>
  <c r="T3080" i="3"/>
  <c r="T3081" i="3"/>
  <c r="T3086" i="3"/>
  <c r="T3090" i="3"/>
  <c r="T3092" i="3"/>
  <c r="T3098" i="3"/>
  <c r="T3102" i="3"/>
  <c r="T3103" i="3"/>
  <c r="T3114" i="3"/>
  <c r="T3115" i="3"/>
  <c r="T3125" i="3"/>
  <c r="T3126" i="3"/>
  <c r="T3128" i="3"/>
  <c r="T3134" i="3"/>
  <c r="T3135" i="3"/>
  <c r="T3137" i="3"/>
  <c r="T3139" i="3"/>
  <c r="T3145" i="3"/>
  <c r="T3146" i="3"/>
  <c r="T3149" i="3"/>
  <c r="T3151" i="3"/>
  <c r="T3157" i="3"/>
  <c r="T3159" i="3"/>
  <c r="T3161" i="3"/>
  <c r="T3162" i="3"/>
  <c r="T3169" i="3"/>
  <c r="T3171" i="3"/>
  <c r="T3174" i="3"/>
  <c r="T3175" i="3"/>
  <c r="T3176" i="3"/>
  <c r="T3181" i="3"/>
  <c r="T3185" i="3"/>
  <c r="T3187" i="3"/>
  <c r="T3188" i="3"/>
  <c r="T3194" i="3"/>
  <c r="T3197" i="3"/>
  <c r="T3199" i="3"/>
  <c r="T3200" i="3"/>
  <c r="T3206" i="3"/>
  <c r="T3209" i="3"/>
  <c r="T3211" i="3"/>
  <c r="T3212" i="3"/>
  <c r="T3218" i="3"/>
  <c r="T3221" i="3"/>
  <c r="T3223" i="3"/>
  <c r="T3224" i="3"/>
  <c r="T3230" i="3"/>
  <c r="T3233" i="3"/>
  <c r="T3235" i="3"/>
  <c r="T3236" i="3"/>
  <c r="T3242" i="3"/>
  <c r="T3245" i="3"/>
  <c r="T3247" i="3"/>
  <c r="T3248" i="3"/>
  <c r="T3254" i="3"/>
  <c r="T3257" i="3"/>
  <c r="T3259" i="3"/>
  <c r="T3260" i="3"/>
  <c r="T3267" i="3"/>
  <c r="T3270" i="3"/>
  <c r="T3272" i="3"/>
  <c r="T3278" i="3"/>
  <c r="T3279" i="3"/>
  <c r="T3281" i="3"/>
  <c r="T3282" i="3"/>
  <c r="T3284" i="3"/>
  <c r="T3290" i="3"/>
  <c r="T3291" i="3"/>
  <c r="T3293" i="3"/>
  <c r="T3294" i="3"/>
  <c r="T3302" i="3"/>
  <c r="T3303" i="3"/>
  <c r="T3305" i="3"/>
  <c r="T3307" i="3"/>
  <c r="T3308" i="3"/>
  <c r="T3313" i="3"/>
  <c r="T3317" i="3"/>
  <c r="T3318" i="3"/>
  <c r="T3319" i="3"/>
  <c r="T3320" i="3"/>
  <c r="T3326" i="3"/>
  <c r="T3327" i="3"/>
  <c r="T3329" i="3"/>
  <c r="T3330" i="3"/>
  <c r="T3331" i="3"/>
  <c r="T3332" i="3"/>
  <c r="T3339" i="3"/>
  <c r="T3341" i="3"/>
  <c r="T3343" i="3"/>
  <c r="T3344" i="3"/>
  <c r="T3351" i="3"/>
  <c r="T3353" i="3"/>
  <c r="T3354" i="3"/>
  <c r="T3356" i="3"/>
  <c r="T3362" i="3"/>
  <c r="T3363" i="3"/>
  <c r="T3365" i="3"/>
  <c r="T3366" i="3"/>
  <c r="T3368" i="3"/>
  <c r="T3374" i="3"/>
  <c r="T3375" i="3"/>
  <c r="T3377" i="3"/>
  <c r="T3378" i="3"/>
  <c r="T3380" i="3"/>
  <c r="T3386" i="3"/>
  <c r="T3387" i="3"/>
  <c r="T3389" i="3"/>
  <c r="T3390" i="3"/>
  <c r="T3392" i="3"/>
  <c r="T3398" i="3"/>
  <c r="T3399" i="3"/>
  <c r="T3401" i="3"/>
  <c r="T3402" i="3"/>
  <c r="T3404" i="3"/>
  <c r="T3410" i="3"/>
  <c r="T3411" i="3"/>
  <c r="T3413" i="3"/>
  <c r="T3414" i="3"/>
  <c r="T3416" i="3"/>
  <c r="T3422" i="3"/>
  <c r="T3423" i="3"/>
  <c r="T3425" i="3"/>
  <c r="T3426" i="3"/>
  <c r="T3428" i="3"/>
  <c r="T3434" i="3"/>
  <c r="T3435" i="3"/>
  <c r="T3437" i="3"/>
  <c r="T3439" i="3"/>
  <c r="T3445" i="3"/>
  <c r="T3447" i="3"/>
  <c r="T3450" i="3"/>
  <c r="T3451" i="3"/>
  <c r="T3458" i="3"/>
  <c r="T3459" i="3"/>
  <c r="T3461" i="3"/>
  <c r="T3462" i="3"/>
  <c r="T3464" i="3"/>
  <c r="T3469" i="3"/>
  <c r="T3471" i="3"/>
  <c r="T3474" i="3"/>
  <c r="T3481" i="3"/>
  <c r="T3482" i="3"/>
  <c r="T3485" i="3"/>
  <c r="T3487" i="3"/>
  <c r="T3493" i="3"/>
  <c r="T3494" i="3"/>
  <c r="T3497" i="3"/>
  <c r="T3499" i="3"/>
  <c r="T3505" i="3"/>
  <c r="T3506" i="3"/>
  <c r="T3509" i="3"/>
  <c r="T3511" i="3"/>
  <c r="T3517" i="3"/>
  <c r="T3518" i="3"/>
  <c r="T3521" i="3"/>
  <c r="T3523" i="3"/>
  <c r="T3529" i="3"/>
  <c r="T3530" i="3"/>
  <c r="T3533" i="3"/>
  <c r="T3535" i="3"/>
  <c r="T3541" i="3"/>
  <c r="T3542" i="3"/>
  <c r="T3545" i="3"/>
  <c r="T3546" i="3"/>
  <c r="T3547" i="3"/>
  <c r="T3553" i="3"/>
  <c r="T3555" i="3"/>
  <c r="T3557" i="3"/>
  <c r="T3566" i="3"/>
  <c r="T3567" i="3"/>
  <c r="T3569" i="3"/>
  <c r="T3577" i="3"/>
  <c r="T3578" i="3"/>
  <c r="T3583" i="3"/>
  <c r="T3589" i="3"/>
  <c r="T3594" i="3"/>
  <c r="T3596" i="3"/>
  <c r="T3602" i="3"/>
  <c r="T3606" i="3"/>
  <c r="T3608" i="3"/>
  <c r="T3613" i="3"/>
  <c r="T3617" i="3"/>
  <c r="T3619" i="3"/>
  <c r="T3620" i="3"/>
  <c r="T3630" i="3"/>
  <c r="T3631" i="3"/>
  <c r="T3639" i="3"/>
  <c r="T3641" i="3"/>
  <c r="T3642" i="3"/>
  <c r="T3644" i="3"/>
  <c r="T3645" i="3"/>
  <c r="T3654" i="3"/>
  <c r="T3655" i="3"/>
  <c r="T3661" i="3"/>
  <c r="T3662" i="3"/>
  <c r="T3674" i="3"/>
  <c r="T3675" i="3"/>
  <c r="T3677" i="3"/>
  <c r="T3686" i="3"/>
  <c r="T3687" i="3"/>
  <c r="T3702" i="3"/>
  <c r="T3703" i="3"/>
  <c r="T3705" i="3"/>
  <c r="T3714" i="3"/>
  <c r="T3715" i="3"/>
  <c r="T3726" i="3"/>
  <c r="T3727" i="3"/>
  <c r="T3738" i="3"/>
  <c r="T3746" i="3"/>
  <c r="T3751" i="3"/>
  <c r="T3752" i="3"/>
  <c r="T3757" i="3"/>
  <c r="T3759" i="3"/>
  <c r="T3762" i="3"/>
  <c r="T3763" i="3"/>
  <c r="U2243" i="3"/>
  <c r="V2243" i="3" s="1"/>
  <c r="U2244" i="3"/>
  <c r="V2244" i="3" s="1"/>
  <c r="U2245" i="3"/>
  <c r="V2245" i="3" s="1"/>
  <c r="U2246" i="3"/>
  <c r="V2246" i="3" s="1"/>
  <c r="U2247" i="3"/>
  <c r="V2247" i="3" s="1"/>
  <c r="U2248" i="3"/>
  <c r="U2249" i="3"/>
  <c r="V2249" i="3" s="1"/>
  <c r="U2250" i="3"/>
  <c r="V2250" i="3" s="1"/>
  <c r="U2251" i="3"/>
  <c r="V2251" i="3" s="1"/>
  <c r="U2252" i="3"/>
  <c r="V2252" i="3" s="1"/>
  <c r="U2253" i="3"/>
  <c r="V2253" i="3" s="1"/>
  <c r="U2254" i="3"/>
  <c r="V2254" i="3" s="1"/>
  <c r="U2255" i="3"/>
  <c r="V2255" i="3" s="1"/>
  <c r="U2256" i="3"/>
  <c r="V2256" i="3" s="1"/>
  <c r="U2257" i="3"/>
  <c r="V2257" i="3" s="1"/>
  <c r="U2258" i="3"/>
  <c r="U2259" i="3"/>
  <c r="U2260" i="3"/>
  <c r="V2260" i="3" s="1"/>
  <c r="U2261" i="3"/>
  <c r="V2261" i="3" s="1"/>
  <c r="U2262" i="3"/>
  <c r="V2262" i="3" s="1"/>
  <c r="U2263" i="3"/>
  <c r="V2263" i="3" s="1"/>
  <c r="U2264" i="3"/>
  <c r="V2264" i="3" s="1"/>
  <c r="U2265" i="3"/>
  <c r="V2265" i="3" s="1"/>
  <c r="U2266" i="3"/>
  <c r="V2266" i="3" s="1"/>
  <c r="U2267" i="3"/>
  <c r="V2267" i="3" s="1"/>
  <c r="U2268" i="3"/>
  <c r="U2269" i="3"/>
  <c r="V2269" i="3" s="1"/>
  <c r="U2270" i="3"/>
  <c r="V2270" i="3" s="1"/>
  <c r="U2271" i="3"/>
  <c r="V2271" i="3" s="1"/>
  <c r="U2272" i="3"/>
  <c r="V2272" i="3" s="1"/>
  <c r="U2273" i="3"/>
  <c r="V2273" i="3" s="1"/>
  <c r="U2274" i="3"/>
  <c r="V2274" i="3" s="1"/>
  <c r="U2275" i="3"/>
  <c r="V2275" i="3" s="1"/>
  <c r="U2276" i="3"/>
  <c r="U2277" i="3"/>
  <c r="V2277" i="3" s="1"/>
  <c r="U2278" i="3"/>
  <c r="V2278" i="3" s="1"/>
  <c r="U2279" i="3"/>
  <c r="U2280" i="3"/>
  <c r="V2280" i="3" s="1"/>
  <c r="U2281" i="3"/>
  <c r="V2281" i="3" s="1"/>
  <c r="U2282" i="3"/>
  <c r="V2282" i="3" s="1"/>
  <c r="U2283" i="3"/>
  <c r="V2283" i="3" s="1"/>
  <c r="U2284" i="3"/>
  <c r="U2285" i="3"/>
  <c r="U2286" i="3"/>
  <c r="V2286" i="3" s="1"/>
  <c r="U2287" i="3"/>
  <c r="U2288" i="3"/>
  <c r="V2288" i="3" s="1"/>
  <c r="U2289" i="3"/>
  <c r="U2290" i="3"/>
  <c r="V2290" i="3" s="1"/>
  <c r="U2291" i="3"/>
  <c r="V2291" i="3" s="1"/>
  <c r="U2292" i="3"/>
  <c r="V2292" i="3" s="1"/>
  <c r="U2293" i="3"/>
  <c r="V2293" i="3" s="1"/>
  <c r="U2294" i="3"/>
  <c r="V2294" i="3" s="1"/>
  <c r="U2295" i="3"/>
  <c r="U2296" i="3"/>
  <c r="V2296" i="3" s="1"/>
  <c r="U2297" i="3"/>
  <c r="V2297" i="3" s="1"/>
  <c r="U2298" i="3"/>
  <c r="V2298" i="3" s="1"/>
  <c r="U2299" i="3"/>
  <c r="V2299" i="3" s="1"/>
  <c r="U2300" i="3"/>
  <c r="V2300" i="3" s="1"/>
  <c r="U2301" i="3"/>
  <c r="V2301" i="3" s="1"/>
  <c r="U2302" i="3"/>
  <c r="V2302" i="3" s="1"/>
  <c r="U2303" i="3"/>
  <c r="V2303" i="3" s="1"/>
  <c r="U2304" i="3"/>
  <c r="V2304" i="3" s="1"/>
  <c r="U2305" i="3"/>
  <c r="V2305" i="3" s="1"/>
  <c r="U2306" i="3"/>
  <c r="V2306" i="3" s="1"/>
  <c r="U2307" i="3"/>
  <c r="V2307" i="3" s="1"/>
  <c r="U2308" i="3"/>
  <c r="V2308" i="3" s="1"/>
  <c r="U2309" i="3"/>
  <c r="V2309" i="3" s="1"/>
  <c r="U2310" i="3"/>
  <c r="V2310" i="3" s="1"/>
  <c r="U2311" i="3"/>
  <c r="V2311" i="3" s="1"/>
  <c r="U2312" i="3"/>
  <c r="V2312" i="3" s="1"/>
  <c r="U2313" i="3"/>
  <c r="V2313" i="3" s="1"/>
  <c r="U2314" i="3"/>
  <c r="V2314" i="3" s="1"/>
  <c r="U2315" i="3"/>
  <c r="V2315" i="3" s="1"/>
  <c r="U2316" i="3"/>
  <c r="V2316" i="3" s="1"/>
  <c r="U2317" i="3"/>
  <c r="V2317" i="3" s="1"/>
  <c r="U2318" i="3"/>
  <c r="V2318" i="3" s="1"/>
  <c r="U2319" i="3"/>
  <c r="V2319" i="3" s="1"/>
  <c r="U2320" i="3"/>
  <c r="V2320" i="3" s="1"/>
  <c r="U2321" i="3"/>
  <c r="V2321" i="3" s="1"/>
  <c r="U2322" i="3"/>
  <c r="V2322" i="3" s="1"/>
  <c r="U2323" i="3"/>
  <c r="V2323" i="3" s="1"/>
  <c r="U2324" i="3"/>
  <c r="V2324" i="3" s="1"/>
  <c r="U2325" i="3"/>
  <c r="V2325" i="3" s="1"/>
  <c r="U2326" i="3"/>
  <c r="V2326" i="3" s="1"/>
  <c r="U2327" i="3"/>
  <c r="V2327" i="3" s="1"/>
  <c r="U2328" i="3"/>
  <c r="V2328" i="3" s="1"/>
  <c r="U2329" i="3"/>
  <c r="V2329" i="3" s="1"/>
  <c r="U2330" i="3"/>
  <c r="V2330" i="3" s="1"/>
  <c r="U2331" i="3"/>
  <c r="V2331" i="3" s="1"/>
  <c r="U2332" i="3"/>
  <c r="V2332" i="3" s="1"/>
  <c r="U2333" i="3"/>
  <c r="V2333" i="3" s="1"/>
  <c r="U2334" i="3"/>
  <c r="V2334" i="3" s="1"/>
  <c r="U2335" i="3"/>
  <c r="V2335" i="3" s="1"/>
  <c r="U2336" i="3"/>
  <c r="V2336" i="3" s="1"/>
  <c r="U2337" i="3"/>
  <c r="V2337" i="3" s="1"/>
  <c r="U2338" i="3"/>
  <c r="V2338" i="3" s="1"/>
  <c r="U2339" i="3"/>
  <c r="V2339" i="3" s="1"/>
  <c r="U2340" i="3"/>
  <c r="V2340" i="3" s="1"/>
  <c r="U2341" i="3"/>
  <c r="V2341" i="3" s="1"/>
  <c r="U2342" i="3"/>
  <c r="V2342" i="3" s="1"/>
  <c r="U2343" i="3"/>
  <c r="V2343" i="3" s="1"/>
  <c r="U2344" i="3"/>
  <c r="V2344" i="3" s="1"/>
  <c r="U2345" i="3"/>
  <c r="V2345" i="3" s="1"/>
  <c r="U2346" i="3"/>
  <c r="V2346" i="3" s="1"/>
  <c r="U2347" i="3"/>
  <c r="V2347" i="3" s="1"/>
  <c r="U2348" i="3"/>
  <c r="V2348" i="3" s="1"/>
  <c r="U2349" i="3"/>
  <c r="V2349" i="3" s="1"/>
  <c r="U2350" i="3"/>
  <c r="V2350" i="3" s="1"/>
  <c r="U2351" i="3"/>
  <c r="V2351" i="3" s="1"/>
  <c r="U2352" i="3"/>
  <c r="V2352" i="3" s="1"/>
  <c r="U2353" i="3"/>
  <c r="V2353" i="3" s="1"/>
  <c r="U2354" i="3"/>
  <c r="V2354" i="3" s="1"/>
  <c r="U2355" i="3"/>
  <c r="V2355" i="3" s="1"/>
  <c r="U2356" i="3"/>
  <c r="V2356" i="3" s="1"/>
  <c r="U2357" i="3"/>
  <c r="V2357" i="3" s="1"/>
  <c r="U2358" i="3"/>
  <c r="V2358" i="3" s="1"/>
  <c r="U2359" i="3"/>
  <c r="V2359" i="3" s="1"/>
  <c r="U2360" i="3"/>
  <c r="V2360" i="3" s="1"/>
  <c r="U2361" i="3"/>
  <c r="V2361" i="3" s="1"/>
  <c r="U2362" i="3"/>
  <c r="V2362" i="3" s="1"/>
  <c r="U2363" i="3"/>
  <c r="V2363" i="3" s="1"/>
  <c r="U2364" i="3"/>
  <c r="V2364" i="3" s="1"/>
  <c r="U2365" i="3"/>
  <c r="V2365" i="3" s="1"/>
  <c r="U2366" i="3"/>
  <c r="V2366" i="3" s="1"/>
  <c r="U2367" i="3"/>
  <c r="V2367" i="3" s="1"/>
  <c r="U2368" i="3"/>
  <c r="V2368" i="3" s="1"/>
  <c r="U2369" i="3"/>
  <c r="V2369" i="3" s="1"/>
  <c r="U2370" i="3"/>
  <c r="V2370" i="3" s="1"/>
  <c r="U2371" i="3"/>
  <c r="V2371" i="3" s="1"/>
  <c r="U2372" i="3"/>
  <c r="V2372" i="3" s="1"/>
  <c r="U2373" i="3"/>
  <c r="V2373" i="3" s="1"/>
  <c r="U2374" i="3"/>
  <c r="V2374" i="3" s="1"/>
  <c r="U2375" i="3"/>
  <c r="U2376" i="3"/>
  <c r="V2376" i="3" s="1"/>
  <c r="U2377" i="3"/>
  <c r="V2377" i="3" s="1"/>
  <c r="U2378" i="3"/>
  <c r="V2378" i="3" s="1"/>
  <c r="U2379" i="3"/>
  <c r="V2379" i="3" s="1"/>
  <c r="U2380" i="3"/>
  <c r="V2380" i="3" s="1"/>
  <c r="U2381" i="3"/>
  <c r="V2381" i="3" s="1"/>
  <c r="U2382" i="3"/>
  <c r="V2382" i="3" s="1"/>
  <c r="U2383" i="3"/>
  <c r="V2383" i="3" s="1"/>
  <c r="U2384" i="3"/>
  <c r="V2384" i="3" s="1"/>
  <c r="U2385" i="3"/>
  <c r="V2385" i="3" s="1"/>
  <c r="U2386" i="3"/>
  <c r="V2386" i="3" s="1"/>
  <c r="U2387" i="3"/>
  <c r="V2387" i="3" s="1"/>
  <c r="U2388" i="3"/>
  <c r="V2388" i="3" s="1"/>
  <c r="U2389" i="3"/>
  <c r="V2389" i="3" s="1"/>
  <c r="U2390" i="3"/>
  <c r="V2390" i="3" s="1"/>
  <c r="U2391" i="3"/>
  <c r="V2391" i="3" s="1"/>
  <c r="U2392" i="3"/>
  <c r="V2392" i="3" s="1"/>
  <c r="U2393" i="3"/>
  <c r="V2393" i="3" s="1"/>
  <c r="U2394" i="3"/>
  <c r="V2394" i="3" s="1"/>
  <c r="U2395" i="3"/>
  <c r="V2395" i="3" s="1"/>
  <c r="U2396" i="3"/>
  <c r="V2396" i="3" s="1"/>
  <c r="U2397" i="3"/>
  <c r="V2397" i="3" s="1"/>
  <c r="U2398" i="3"/>
  <c r="V2398" i="3" s="1"/>
  <c r="U2399" i="3"/>
  <c r="V2399" i="3" s="1"/>
  <c r="U2400" i="3"/>
  <c r="V2400" i="3" s="1"/>
  <c r="U2401" i="3"/>
  <c r="V2401" i="3" s="1"/>
  <c r="U2402" i="3"/>
  <c r="V2402" i="3" s="1"/>
  <c r="U2403" i="3"/>
  <c r="V2403" i="3" s="1"/>
  <c r="U2404" i="3"/>
  <c r="V2404" i="3" s="1"/>
  <c r="U2405" i="3"/>
  <c r="V2405" i="3" s="1"/>
  <c r="U2406" i="3"/>
  <c r="V2406" i="3" s="1"/>
  <c r="U2407" i="3"/>
  <c r="V2407" i="3" s="1"/>
  <c r="U2408" i="3"/>
  <c r="V2408" i="3" s="1"/>
  <c r="U2409" i="3"/>
  <c r="V2409" i="3" s="1"/>
  <c r="U2410" i="3"/>
  <c r="V2410" i="3" s="1"/>
  <c r="U2411" i="3"/>
  <c r="V2411" i="3" s="1"/>
  <c r="U2412" i="3"/>
  <c r="V2412" i="3" s="1"/>
  <c r="U2413" i="3"/>
  <c r="V2413" i="3" s="1"/>
  <c r="U2414" i="3"/>
  <c r="V2414" i="3" s="1"/>
  <c r="U2415" i="3"/>
  <c r="V2415" i="3" s="1"/>
  <c r="U2416" i="3"/>
  <c r="U2417" i="3"/>
  <c r="V2417" i="3" s="1"/>
  <c r="U2418" i="3"/>
  <c r="U2419" i="3"/>
  <c r="V2419" i="3" s="1"/>
  <c r="U2420" i="3"/>
  <c r="U2421" i="3"/>
  <c r="V2421" i="3" s="1"/>
  <c r="U2422" i="3"/>
  <c r="V2422" i="3" s="1"/>
  <c r="U2423" i="3"/>
  <c r="V2423" i="3" s="1"/>
  <c r="U2424" i="3"/>
  <c r="V2424" i="3" s="1"/>
  <c r="U2425" i="3"/>
  <c r="V2425" i="3" s="1"/>
  <c r="U2426" i="3"/>
  <c r="V2426" i="3" s="1"/>
  <c r="U2427" i="3"/>
  <c r="V2427" i="3" s="1"/>
  <c r="U2428" i="3"/>
  <c r="V2428" i="3" s="1"/>
  <c r="U2429" i="3"/>
  <c r="V2429" i="3" s="1"/>
  <c r="U2430" i="3"/>
  <c r="V2430" i="3" s="1"/>
  <c r="U2431" i="3"/>
  <c r="V2431" i="3" s="1"/>
  <c r="U2432" i="3"/>
  <c r="V2432" i="3" s="1"/>
  <c r="U2433" i="3"/>
  <c r="V2433" i="3" s="1"/>
  <c r="U2434" i="3"/>
  <c r="V2434" i="3" s="1"/>
  <c r="U2435" i="3"/>
  <c r="U2436" i="3"/>
  <c r="V2436" i="3" s="1"/>
  <c r="U2437" i="3"/>
  <c r="V2437" i="3" s="1"/>
  <c r="U2438" i="3"/>
  <c r="V2438" i="3" s="1"/>
  <c r="U2439" i="3"/>
  <c r="V2439" i="3" s="1"/>
  <c r="U2440" i="3"/>
  <c r="V2440" i="3" s="1"/>
  <c r="U2441" i="3"/>
  <c r="V2441" i="3" s="1"/>
  <c r="U2442" i="3"/>
  <c r="V2442" i="3" s="1"/>
  <c r="U2443" i="3"/>
  <c r="V2443" i="3" s="1"/>
  <c r="U2444" i="3"/>
  <c r="V2444" i="3" s="1"/>
  <c r="U2445" i="3"/>
  <c r="U2446" i="3"/>
  <c r="V2446" i="3" s="1"/>
  <c r="U2447" i="3"/>
  <c r="V2447" i="3" s="1"/>
  <c r="U2448" i="3"/>
  <c r="V2448" i="3" s="1"/>
  <c r="U2449" i="3"/>
  <c r="V2449" i="3" s="1"/>
  <c r="U2450" i="3"/>
  <c r="V2450" i="3" s="1"/>
  <c r="U2451" i="3"/>
  <c r="V2451" i="3" s="1"/>
  <c r="U2452" i="3"/>
  <c r="V2452" i="3" s="1"/>
  <c r="U2453" i="3"/>
  <c r="V2453" i="3" s="1"/>
  <c r="U2454" i="3"/>
  <c r="U2455" i="3"/>
  <c r="V2455" i="3" s="1"/>
  <c r="U2456" i="3"/>
  <c r="V2456" i="3" s="1"/>
  <c r="U2457" i="3"/>
  <c r="V2457" i="3" s="1"/>
  <c r="U2458" i="3"/>
  <c r="V2458" i="3" s="1"/>
  <c r="U2459" i="3"/>
  <c r="V2459" i="3" s="1"/>
  <c r="U2460" i="3"/>
  <c r="V2460" i="3" s="1"/>
  <c r="U2461" i="3"/>
  <c r="V2461" i="3" s="1"/>
  <c r="U2462" i="3"/>
  <c r="V2462" i="3" s="1"/>
  <c r="U2463" i="3"/>
  <c r="V2463" i="3" s="1"/>
  <c r="U2464" i="3"/>
  <c r="V2464" i="3" s="1"/>
  <c r="U2465" i="3"/>
  <c r="V2465" i="3" s="1"/>
  <c r="U2466" i="3"/>
  <c r="V2466" i="3" s="1"/>
  <c r="U2467" i="3"/>
  <c r="V2467" i="3" s="1"/>
  <c r="U2468" i="3"/>
  <c r="V2468" i="3" s="1"/>
  <c r="U2469" i="3"/>
  <c r="U2470" i="3"/>
  <c r="V2470" i="3" s="1"/>
  <c r="U2471" i="3"/>
  <c r="V2471" i="3" s="1"/>
  <c r="U2472" i="3"/>
  <c r="V2472" i="3" s="1"/>
  <c r="U2473" i="3"/>
  <c r="V2473" i="3" s="1"/>
  <c r="U2474" i="3"/>
  <c r="V2474" i="3" s="1"/>
  <c r="U2475" i="3"/>
  <c r="V2475" i="3" s="1"/>
  <c r="U2476" i="3"/>
  <c r="U2477" i="3"/>
  <c r="V2477" i="3" s="1"/>
  <c r="U2478" i="3"/>
  <c r="V2478" i="3" s="1"/>
  <c r="U2479" i="3"/>
  <c r="V2479" i="3" s="1"/>
  <c r="U2480" i="3"/>
  <c r="V2480" i="3" s="1"/>
  <c r="U2481" i="3"/>
  <c r="V2481" i="3" s="1"/>
  <c r="U2482" i="3"/>
  <c r="V2482" i="3" s="1"/>
  <c r="U2483" i="3"/>
  <c r="V2483" i="3" s="1"/>
  <c r="U2484" i="3"/>
  <c r="V2484" i="3" s="1"/>
  <c r="U2485" i="3"/>
  <c r="V2485" i="3" s="1"/>
  <c r="U2486" i="3"/>
  <c r="V2486" i="3" s="1"/>
  <c r="U2487" i="3"/>
  <c r="V2487" i="3" s="1"/>
  <c r="U2488" i="3"/>
  <c r="V2488" i="3" s="1"/>
  <c r="U2489" i="3"/>
  <c r="V2489" i="3" s="1"/>
  <c r="U2490" i="3"/>
  <c r="V2490" i="3" s="1"/>
  <c r="U2491" i="3"/>
  <c r="V2491" i="3" s="1"/>
  <c r="U2492" i="3"/>
  <c r="V2492" i="3" s="1"/>
  <c r="U2493" i="3"/>
  <c r="U2494" i="3"/>
  <c r="V2494" i="3" s="1"/>
  <c r="U2495" i="3"/>
  <c r="V2495" i="3" s="1"/>
  <c r="U2496" i="3"/>
  <c r="V2496" i="3" s="1"/>
  <c r="U2497" i="3"/>
  <c r="V2497" i="3" s="1"/>
  <c r="U2498" i="3"/>
  <c r="V2498" i="3" s="1"/>
  <c r="U2499" i="3"/>
  <c r="V2499" i="3" s="1"/>
  <c r="U2500" i="3"/>
  <c r="V2500" i="3" s="1"/>
  <c r="U2501" i="3"/>
  <c r="V2501" i="3" s="1"/>
  <c r="U2502" i="3"/>
  <c r="V2502" i="3" s="1"/>
  <c r="U2503" i="3"/>
  <c r="V2503" i="3" s="1"/>
  <c r="U2504" i="3"/>
  <c r="V2504" i="3" s="1"/>
  <c r="U2505" i="3"/>
  <c r="V2505" i="3" s="1"/>
  <c r="U2506" i="3"/>
  <c r="V2506" i="3" s="1"/>
  <c r="U2507" i="3"/>
  <c r="V2507" i="3" s="1"/>
  <c r="U2508" i="3"/>
  <c r="V2508" i="3" s="1"/>
  <c r="U2509" i="3"/>
  <c r="V2509" i="3" s="1"/>
  <c r="U2510" i="3"/>
  <c r="V2510" i="3" s="1"/>
  <c r="U2511" i="3"/>
  <c r="V2511" i="3" s="1"/>
  <c r="U2512" i="3"/>
  <c r="V2512" i="3" s="1"/>
  <c r="U2513" i="3"/>
  <c r="V2513" i="3" s="1"/>
  <c r="U2514" i="3"/>
  <c r="V2514" i="3" s="1"/>
  <c r="U2515" i="3"/>
  <c r="V2515" i="3" s="1"/>
  <c r="U2516" i="3"/>
  <c r="V2516" i="3" s="1"/>
  <c r="U2517" i="3"/>
  <c r="V2517" i="3" s="1"/>
  <c r="U2518" i="3"/>
  <c r="V2518" i="3" s="1"/>
  <c r="U2519" i="3"/>
  <c r="V2519" i="3" s="1"/>
  <c r="U2520" i="3"/>
  <c r="V2520" i="3" s="1"/>
  <c r="U2521" i="3"/>
  <c r="V2521" i="3" s="1"/>
  <c r="U2522" i="3"/>
  <c r="V2522" i="3" s="1"/>
  <c r="U2523" i="3"/>
  <c r="V2523" i="3" s="1"/>
  <c r="U2524" i="3"/>
  <c r="V2524" i="3" s="1"/>
  <c r="U2525" i="3"/>
  <c r="V2525" i="3" s="1"/>
  <c r="U2526" i="3"/>
  <c r="U2527" i="3"/>
  <c r="V2527" i="3" s="1"/>
  <c r="U2528" i="3"/>
  <c r="V2528" i="3" s="1"/>
  <c r="U2529" i="3"/>
  <c r="V2529" i="3" s="1"/>
  <c r="U2530" i="3"/>
  <c r="V2530" i="3" s="1"/>
  <c r="U2531" i="3"/>
  <c r="V2531" i="3" s="1"/>
  <c r="U2532" i="3"/>
  <c r="V2532" i="3" s="1"/>
  <c r="U2533" i="3"/>
  <c r="V2533" i="3" s="1"/>
  <c r="U2534" i="3"/>
  <c r="V2534" i="3" s="1"/>
  <c r="U2535" i="3"/>
  <c r="V2535" i="3" s="1"/>
  <c r="U2536" i="3"/>
  <c r="V2536" i="3" s="1"/>
  <c r="U2537" i="3"/>
  <c r="V2537" i="3" s="1"/>
  <c r="U2538" i="3"/>
  <c r="V2538" i="3" s="1"/>
  <c r="U2539" i="3"/>
  <c r="V2539" i="3" s="1"/>
  <c r="U2540" i="3"/>
  <c r="V2540" i="3" s="1"/>
  <c r="U2541" i="3"/>
  <c r="V2541" i="3" s="1"/>
  <c r="U2542" i="3"/>
  <c r="V2542" i="3" s="1"/>
  <c r="U2543" i="3"/>
  <c r="V2543" i="3" s="1"/>
  <c r="U2544" i="3"/>
  <c r="V2544" i="3" s="1"/>
  <c r="U2545" i="3"/>
  <c r="V2545" i="3" s="1"/>
  <c r="U2546" i="3"/>
  <c r="V2546" i="3" s="1"/>
  <c r="U2547" i="3"/>
  <c r="V2547" i="3" s="1"/>
  <c r="U2548" i="3"/>
  <c r="V2548" i="3" s="1"/>
  <c r="U2549" i="3"/>
  <c r="V2549" i="3" s="1"/>
  <c r="U2550" i="3"/>
  <c r="V2550" i="3" s="1"/>
  <c r="U2551" i="3"/>
  <c r="V2551" i="3" s="1"/>
  <c r="U2552" i="3"/>
  <c r="V2552" i="3" s="1"/>
  <c r="U2553" i="3"/>
  <c r="V2553" i="3" s="1"/>
  <c r="U2554" i="3"/>
  <c r="V2554" i="3" s="1"/>
  <c r="U2555" i="3"/>
  <c r="V2555" i="3" s="1"/>
  <c r="U2556" i="3"/>
  <c r="V2556" i="3" s="1"/>
  <c r="U2557" i="3"/>
  <c r="V2557" i="3" s="1"/>
  <c r="U2558" i="3"/>
  <c r="V2558" i="3" s="1"/>
  <c r="U2559" i="3"/>
  <c r="V2559" i="3" s="1"/>
  <c r="U2560" i="3"/>
  <c r="U2561" i="3"/>
  <c r="V2561" i="3" s="1"/>
  <c r="U2562" i="3"/>
  <c r="V2562" i="3" s="1"/>
  <c r="U2563" i="3"/>
  <c r="V2563" i="3" s="1"/>
  <c r="U2564" i="3"/>
  <c r="V2564" i="3" s="1"/>
  <c r="U2565" i="3"/>
  <c r="V2565" i="3" s="1"/>
  <c r="U2566" i="3"/>
  <c r="V2566" i="3" s="1"/>
  <c r="U2567" i="3"/>
  <c r="V2567" i="3" s="1"/>
  <c r="U2568" i="3"/>
  <c r="V2568" i="3" s="1"/>
  <c r="U2569" i="3"/>
  <c r="V2569" i="3" s="1"/>
  <c r="U2570" i="3"/>
  <c r="V2570" i="3" s="1"/>
  <c r="U2571" i="3"/>
  <c r="V2571" i="3" s="1"/>
  <c r="U2572" i="3"/>
  <c r="V2572" i="3" s="1"/>
  <c r="U2573" i="3"/>
  <c r="V2573" i="3" s="1"/>
  <c r="U2574" i="3"/>
  <c r="V2574" i="3" s="1"/>
  <c r="U2575" i="3"/>
  <c r="V2575" i="3" s="1"/>
  <c r="U2576" i="3"/>
  <c r="V2576" i="3" s="1"/>
  <c r="U2577" i="3"/>
  <c r="V2577" i="3" s="1"/>
  <c r="U2578" i="3"/>
  <c r="V2578" i="3" s="1"/>
  <c r="U2579" i="3"/>
  <c r="V2579" i="3" s="1"/>
  <c r="U2580" i="3"/>
  <c r="V2580" i="3" s="1"/>
  <c r="U2581" i="3"/>
  <c r="V2581" i="3" s="1"/>
  <c r="U2582" i="3"/>
  <c r="V2582" i="3" s="1"/>
  <c r="U2583" i="3"/>
  <c r="V2583" i="3" s="1"/>
  <c r="U2584" i="3"/>
  <c r="V2584" i="3" s="1"/>
  <c r="U2585" i="3"/>
  <c r="V2585" i="3" s="1"/>
  <c r="U2586" i="3"/>
  <c r="V2586" i="3" s="1"/>
  <c r="U2587" i="3"/>
  <c r="V2587" i="3" s="1"/>
  <c r="U2588" i="3"/>
  <c r="V2588" i="3" s="1"/>
  <c r="U2589" i="3"/>
  <c r="V2589" i="3" s="1"/>
  <c r="U2590" i="3"/>
  <c r="V2590" i="3" s="1"/>
  <c r="U2591" i="3"/>
  <c r="V2591" i="3" s="1"/>
  <c r="U2592" i="3"/>
  <c r="V2592" i="3" s="1"/>
  <c r="U2593" i="3"/>
  <c r="V2593" i="3" s="1"/>
  <c r="U2594" i="3"/>
  <c r="V2594" i="3" s="1"/>
  <c r="U2595" i="3"/>
  <c r="V2595" i="3" s="1"/>
  <c r="U2596" i="3"/>
  <c r="V2596" i="3" s="1"/>
  <c r="U2597" i="3"/>
  <c r="V2597" i="3" s="1"/>
  <c r="U2598" i="3"/>
  <c r="V2598" i="3" s="1"/>
  <c r="U2599" i="3"/>
  <c r="V2599" i="3" s="1"/>
  <c r="U2600" i="3"/>
  <c r="V2600" i="3" s="1"/>
  <c r="U2601" i="3"/>
  <c r="V2601" i="3" s="1"/>
  <c r="U2602" i="3"/>
  <c r="V2602" i="3" s="1"/>
  <c r="U2603" i="3"/>
  <c r="V2603" i="3" s="1"/>
  <c r="U2604" i="3"/>
  <c r="V2604" i="3" s="1"/>
  <c r="U2605" i="3"/>
  <c r="V2605" i="3" s="1"/>
  <c r="U2606" i="3"/>
  <c r="V2606" i="3" s="1"/>
  <c r="U2607" i="3"/>
  <c r="V2607" i="3" s="1"/>
  <c r="U2608" i="3"/>
  <c r="V2608" i="3" s="1"/>
  <c r="U2609" i="3"/>
  <c r="V2609" i="3" s="1"/>
  <c r="U2610" i="3"/>
  <c r="V2610" i="3" s="1"/>
  <c r="U2611" i="3"/>
  <c r="V2611" i="3" s="1"/>
  <c r="U2612" i="3"/>
  <c r="V2612" i="3" s="1"/>
  <c r="U2613" i="3"/>
  <c r="V2613" i="3" s="1"/>
  <c r="U2614" i="3"/>
  <c r="V2614" i="3" s="1"/>
  <c r="U2615" i="3"/>
  <c r="U2616" i="3"/>
  <c r="V2616" i="3" s="1"/>
  <c r="U2617" i="3"/>
  <c r="V2617" i="3" s="1"/>
  <c r="U2618" i="3"/>
  <c r="V2618" i="3" s="1"/>
  <c r="U2619" i="3"/>
  <c r="V2619" i="3" s="1"/>
  <c r="U2620" i="3"/>
  <c r="V2620" i="3" s="1"/>
  <c r="U2621" i="3"/>
  <c r="V2621" i="3" s="1"/>
  <c r="U2622" i="3"/>
  <c r="V2622" i="3" s="1"/>
  <c r="U2623" i="3"/>
  <c r="V2623" i="3" s="1"/>
  <c r="U2624" i="3"/>
  <c r="V2624" i="3" s="1"/>
  <c r="U2625" i="3"/>
  <c r="V2625" i="3" s="1"/>
  <c r="U2626" i="3"/>
  <c r="V2626" i="3" s="1"/>
  <c r="U2627" i="3"/>
  <c r="V2627" i="3" s="1"/>
  <c r="U2628" i="3"/>
  <c r="V2628" i="3" s="1"/>
  <c r="U2629" i="3"/>
  <c r="V2629" i="3" s="1"/>
  <c r="U2630" i="3"/>
  <c r="V2630" i="3" s="1"/>
  <c r="U2631" i="3"/>
  <c r="V2631" i="3" s="1"/>
  <c r="U2632" i="3"/>
  <c r="V2632" i="3" s="1"/>
  <c r="U2633" i="3"/>
  <c r="V2633" i="3" s="1"/>
  <c r="U2634" i="3"/>
  <c r="V2634" i="3" s="1"/>
  <c r="U2635" i="3"/>
  <c r="V2635" i="3" s="1"/>
  <c r="U2636" i="3"/>
  <c r="V2636" i="3" s="1"/>
  <c r="U2637" i="3"/>
  <c r="V2637" i="3" s="1"/>
  <c r="U2638" i="3"/>
  <c r="V2638" i="3" s="1"/>
  <c r="U2639" i="3"/>
  <c r="V2639" i="3" s="1"/>
  <c r="U2640" i="3"/>
  <c r="V2640" i="3" s="1"/>
  <c r="U2641" i="3"/>
  <c r="V2641" i="3" s="1"/>
  <c r="U2642" i="3"/>
  <c r="V2642" i="3" s="1"/>
  <c r="U2643" i="3"/>
  <c r="V2643" i="3" s="1"/>
  <c r="U2644" i="3"/>
  <c r="V2644" i="3" s="1"/>
  <c r="U2645" i="3"/>
  <c r="V2645" i="3" s="1"/>
  <c r="U2646" i="3"/>
  <c r="V2646" i="3" s="1"/>
  <c r="U2647" i="3"/>
  <c r="V2647" i="3" s="1"/>
  <c r="U2648" i="3"/>
  <c r="V2648" i="3" s="1"/>
  <c r="U2649" i="3"/>
  <c r="V2649" i="3" s="1"/>
  <c r="U2650" i="3"/>
  <c r="V2650" i="3" s="1"/>
  <c r="U2651" i="3"/>
  <c r="V2651" i="3" s="1"/>
  <c r="U2652" i="3"/>
  <c r="V2652" i="3" s="1"/>
  <c r="U2653" i="3"/>
  <c r="V2653" i="3" s="1"/>
  <c r="U2654" i="3"/>
  <c r="V2654" i="3" s="1"/>
  <c r="U2655" i="3"/>
  <c r="V2655" i="3" s="1"/>
  <c r="U2656" i="3"/>
  <c r="V2656" i="3" s="1"/>
  <c r="U2657" i="3"/>
  <c r="V2657" i="3" s="1"/>
  <c r="U2658" i="3"/>
  <c r="V2658" i="3" s="1"/>
  <c r="U2659" i="3"/>
  <c r="V2659" i="3" s="1"/>
  <c r="U2660" i="3"/>
  <c r="V2660" i="3" s="1"/>
  <c r="U2661" i="3"/>
  <c r="V2661" i="3" s="1"/>
  <c r="U2662" i="3"/>
  <c r="V2662" i="3" s="1"/>
  <c r="U2663" i="3"/>
  <c r="U2664" i="3"/>
  <c r="V2664" i="3" s="1"/>
  <c r="U2665" i="3"/>
  <c r="V2665" i="3" s="1"/>
  <c r="U2666" i="3"/>
  <c r="V2666" i="3" s="1"/>
  <c r="U2667" i="3"/>
  <c r="V2667" i="3" s="1"/>
  <c r="U2668" i="3"/>
  <c r="V2668" i="3" s="1"/>
  <c r="U2669" i="3"/>
  <c r="V2669" i="3" s="1"/>
  <c r="U2670" i="3"/>
  <c r="V2670" i="3" s="1"/>
  <c r="U2671" i="3"/>
  <c r="V2671" i="3" s="1"/>
  <c r="U2672" i="3"/>
  <c r="V2672" i="3" s="1"/>
  <c r="U2673" i="3"/>
  <c r="V2673" i="3" s="1"/>
  <c r="U2674" i="3"/>
  <c r="V2674" i="3" s="1"/>
  <c r="U2675" i="3"/>
  <c r="V2675" i="3" s="1"/>
  <c r="U2676" i="3"/>
  <c r="V2676" i="3" s="1"/>
  <c r="U2677" i="3"/>
  <c r="V2677" i="3" s="1"/>
  <c r="U2678" i="3"/>
  <c r="V2678" i="3" s="1"/>
  <c r="U2679" i="3"/>
  <c r="V2679" i="3" s="1"/>
  <c r="U2680" i="3"/>
  <c r="V2680" i="3" s="1"/>
  <c r="U2681" i="3"/>
  <c r="V2681" i="3" s="1"/>
  <c r="U2682" i="3"/>
  <c r="V2682" i="3" s="1"/>
  <c r="U2683" i="3"/>
  <c r="V2683" i="3" s="1"/>
  <c r="U2684" i="3"/>
  <c r="V2684" i="3" s="1"/>
  <c r="U2685" i="3"/>
  <c r="V2685" i="3" s="1"/>
  <c r="U2686" i="3"/>
  <c r="V2686" i="3" s="1"/>
  <c r="U2687" i="3"/>
  <c r="V2687" i="3" s="1"/>
  <c r="U2688" i="3"/>
  <c r="V2688" i="3" s="1"/>
  <c r="U2689" i="3"/>
  <c r="V2689" i="3" s="1"/>
  <c r="U2690" i="3"/>
  <c r="V2690" i="3" s="1"/>
  <c r="U2691" i="3"/>
  <c r="V2691" i="3" s="1"/>
  <c r="U2692" i="3"/>
  <c r="V2692" i="3" s="1"/>
  <c r="U2693" i="3"/>
  <c r="V2693" i="3" s="1"/>
  <c r="U2694" i="3"/>
  <c r="V2694" i="3" s="1"/>
  <c r="U2695" i="3"/>
  <c r="V2695" i="3" s="1"/>
  <c r="U2696" i="3"/>
  <c r="V2696" i="3" s="1"/>
  <c r="U2697" i="3"/>
  <c r="V2697" i="3" s="1"/>
  <c r="U2698" i="3"/>
  <c r="V2698" i="3" s="1"/>
  <c r="U2699" i="3"/>
  <c r="V2699" i="3" s="1"/>
  <c r="U2700" i="3"/>
  <c r="V2700" i="3" s="1"/>
  <c r="U2701" i="3"/>
  <c r="V2701" i="3" s="1"/>
  <c r="U2702" i="3"/>
  <c r="V2702" i="3" s="1"/>
  <c r="U2703" i="3"/>
  <c r="V2703" i="3" s="1"/>
  <c r="U2704" i="3"/>
  <c r="V2704" i="3" s="1"/>
  <c r="U2705" i="3"/>
  <c r="V2705" i="3" s="1"/>
  <c r="U2706" i="3"/>
  <c r="V2706" i="3" s="1"/>
  <c r="U2707" i="3"/>
  <c r="V2707" i="3" s="1"/>
  <c r="U2708" i="3"/>
  <c r="V2708" i="3" s="1"/>
  <c r="U2709" i="3"/>
  <c r="V2709" i="3" s="1"/>
  <c r="U2710" i="3"/>
  <c r="V2710" i="3" s="1"/>
  <c r="U2711" i="3"/>
  <c r="V2711" i="3" s="1"/>
  <c r="U2712" i="3"/>
  <c r="V2712" i="3" s="1"/>
  <c r="U2713" i="3"/>
  <c r="V2713" i="3" s="1"/>
  <c r="U2714" i="3"/>
  <c r="V2714" i="3" s="1"/>
  <c r="U2715" i="3"/>
  <c r="V2715" i="3" s="1"/>
  <c r="U2716" i="3"/>
  <c r="U2717" i="3"/>
  <c r="V2717" i="3" s="1"/>
  <c r="U2718" i="3"/>
  <c r="V2718" i="3" s="1"/>
  <c r="U2719" i="3"/>
  <c r="V2719" i="3" s="1"/>
  <c r="U2720" i="3"/>
  <c r="V2720" i="3" s="1"/>
  <c r="U2721" i="3"/>
  <c r="V2721" i="3" s="1"/>
  <c r="U2722" i="3"/>
  <c r="V2722" i="3" s="1"/>
  <c r="U2723" i="3"/>
  <c r="V2723" i="3" s="1"/>
  <c r="U2724" i="3"/>
  <c r="V2724" i="3" s="1"/>
  <c r="U2725" i="3"/>
  <c r="V2725" i="3" s="1"/>
  <c r="U2726" i="3"/>
  <c r="V2726" i="3" s="1"/>
  <c r="U2727" i="3"/>
  <c r="V2727" i="3" s="1"/>
  <c r="U2728" i="3"/>
  <c r="V2728" i="3" s="1"/>
  <c r="U2729" i="3"/>
  <c r="V2729" i="3" s="1"/>
  <c r="U2730" i="3"/>
  <c r="V2730" i="3" s="1"/>
  <c r="U2731" i="3"/>
  <c r="V2731" i="3" s="1"/>
  <c r="U2732" i="3"/>
  <c r="V2732" i="3" s="1"/>
  <c r="U2733" i="3"/>
  <c r="U2734" i="3"/>
  <c r="U2735" i="3"/>
  <c r="U2736" i="3"/>
  <c r="U2737" i="3"/>
  <c r="V2737" i="3" s="1"/>
  <c r="U2738" i="3"/>
  <c r="V2738" i="3" s="1"/>
  <c r="U2739" i="3"/>
  <c r="V2739" i="3" s="1"/>
  <c r="U2740" i="3"/>
  <c r="V2740" i="3" s="1"/>
  <c r="U2741" i="3"/>
  <c r="V2741" i="3" s="1"/>
  <c r="U2742" i="3"/>
  <c r="V2742" i="3" s="1"/>
  <c r="U2743" i="3"/>
  <c r="V2743" i="3" s="1"/>
  <c r="U2744" i="3"/>
  <c r="V2744" i="3" s="1"/>
  <c r="U2745" i="3"/>
  <c r="V2745" i="3" s="1"/>
  <c r="U2746" i="3"/>
  <c r="V2746" i="3" s="1"/>
  <c r="U2747" i="3"/>
  <c r="V2747" i="3" s="1"/>
  <c r="U2748" i="3"/>
  <c r="U2749" i="3"/>
  <c r="V2749" i="3" s="1"/>
  <c r="U2750" i="3"/>
  <c r="V2750" i="3" s="1"/>
  <c r="U2751" i="3"/>
  <c r="V2751" i="3" s="1"/>
  <c r="U2752" i="3"/>
  <c r="V2752" i="3" s="1"/>
  <c r="U2753" i="3"/>
  <c r="V2753" i="3" s="1"/>
  <c r="U2754" i="3"/>
  <c r="V2754" i="3" s="1"/>
  <c r="U2755" i="3"/>
  <c r="V2755" i="3" s="1"/>
  <c r="U2756" i="3"/>
  <c r="V2756" i="3" s="1"/>
  <c r="U2757" i="3"/>
  <c r="V2757" i="3" s="1"/>
  <c r="U2758" i="3"/>
  <c r="V2758" i="3" s="1"/>
  <c r="U2759" i="3"/>
  <c r="V2759" i="3" s="1"/>
  <c r="U2760" i="3"/>
  <c r="V2760" i="3" s="1"/>
  <c r="U2761" i="3"/>
  <c r="V2761" i="3" s="1"/>
  <c r="U2762" i="3"/>
  <c r="V2762" i="3" s="1"/>
  <c r="U2763" i="3"/>
  <c r="V2763" i="3" s="1"/>
  <c r="U2764" i="3"/>
  <c r="V2764" i="3" s="1"/>
  <c r="U2765" i="3"/>
  <c r="V2765" i="3" s="1"/>
  <c r="U2766" i="3"/>
  <c r="V2766" i="3" s="1"/>
  <c r="U2767" i="3"/>
  <c r="V2767" i="3" s="1"/>
  <c r="U2768" i="3"/>
  <c r="U2769" i="3"/>
  <c r="V2769" i="3" s="1"/>
  <c r="U2770" i="3"/>
  <c r="V2770" i="3" s="1"/>
  <c r="U2771" i="3"/>
  <c r="V2771" i="3" s="1"/>
  <c r="U2772" i="3"/>
  <c r="V2772" i="3" s="1"/>
  <c r="U2773" i="3"/>
  <c r="V2773" i="3" s="1"/>
  <c r="U2774" i="3"/>
  <c r="V2774" i="3" s="1"/>
  <c r="U2775" i="3"/>
  <c r="V2775" i="3" s="1"/>
  <c r="U2776" i="3"/>
  <c r="V2776" i="3" s="1"/>
  <c r="U2777" i="3"/>
  <c r="V2777" i="3" s="1"/>
  <c r="U2778" i="3"/>
  <c r="V2778" i="3" s="1"/>
  <c r="U2779" i="3"/>
  <c r="V2779" i="3" s="1"/>
  <c r="U2780" i="3"/>
  <c r="V2780" i="3" s="1"/>
  <c r="U2781" i="3"/>
  <c r="V2781" i="3" s="1"/>
  <c r="U2782" i="3"/>
  <c r="U2783" i="3"/>
  <c r="V2783" i="3" s="1"/>
  <c r="U2784" i="3"/>
  <c r="V2784" i="3" s="1"/>
  <c r="U2785" i="3"/>
  <c r="U2786" i="3"/>
  <c r="V2786" i="3" s="1"/>
  <c r="U2787" i="3"/>
  <c r="V2787" i="3" s="1"/>
  <c r="U2788" i="3"/>
  <c r="V2788" i="3" s="1"/>
  <c r="U2789" i="3"/>
  <c r="V2789" i="3" s="1"/>
  <c r="U2790" i="3"/>
  <c r="V2790" i="3" s="1"/>
  <c r="U2791" i="3"/>
  <c r="V2791" i="3" s="1"/>
  <c r="U2792" i="3"/>
  <c r="V2792" i="3" s="1"/>
  <c r="U2793" i="3"/>
  <c r="V2793" i="3" s="1"/>
  <c r="U2794" i="3"/>
  <c r="V2794" i="3" s="1"/>
  <c r="U2795" i="3"/>
  <c r="U2796" i="3"/>
  <c r="V2796" i="3" s="1"/>
  <c r="U2797" i="3"/>
  <c r="V2797" i="3" s="1"/>
  <c r="U2798" i="3"/>
  <c r="V2798" i="3" s="1"/>
  <c r="U2799" i="3"/>
  <c r="V2799" i="3" s="1"/>
  <c r="U2800" i="3"/>
  <c r="V2800" i="3" s="1"/>
  <c r="U2801" i="3"/>
  <c r="V2801" i="3" s="1"/>
  <c r="U2802" i="3"/>
  <c r="V2802" i="3" s="1"/>
  <c r="U2803" i="3"/>
  <c r="V2803" i="3" s="1"/>
  <c r="U2804" i="3"/>
  <c r="V2804" i="3" s="1"/>
  <c r="U2805" i="3"/>
  <c r="V2805" i="3" s="1"/>
  <c r="U2806" i="3"/>
  <c r="V2806" i="3" s="1"/>
  <c r="U2807" i="3"/>
  <c r="U2808" i="3"/>
  <c r="V2808" i="3" s="1"/>
  <c r="U2809" i="3"/>
  <c r="V2809" i="3" s="1"/>
  <c r="U2810" i="3"/>
  <c r="V2810" i="3" s="1"/>
  <c r="U2811" i="3"/>
  <c r="V2811" i="3" s="1"/>
  <c r="U2812" i="3"/>
  <c r="V2812" i="3" s="1"/>
  <c r="U2813" i="3"/>
  <c r="V2813" i="3" s="1"/>
  <c r="U2814" i="3"/>
  <c r="V2814" i="3" s="1"/>
  <c r="U2815" i="3"/>
  <c r="V2815" i="3" s="1"/>
  <c r="U2816" i="3"/>
  <c r="V2816" i="3" s="1"/>
  <c r="U2817" i="3"/>
  <c r="V2817" i="3" s="1"/>
  <c r="U2818" i="3"/>
  <c r="V2818" i="3" s="1"/>
  <c r="U2819" i="3"/>
  <c r="U2820" i="3"/>
  <c r="V2820" i="3" s="1"/>
  <c r="U2821" i="3"/>
  <c r="V2821" i="3" s="1"/>
  <c r="U2822" i="3"/>
  <c r="V2822" i="3" s="1"/>
  <c r="U2823" i="3"/>
  <c r="V2823" i="3" s="1"/>
  <c r="U2824" i="3"/>
  <c r="V2824" i="3" s="1"/>
  <c r="U2825" i="3"/>
  <c r="V2825" i="3" s="1"/>
  <c r="U2826" i="3"/>
  <c r="V2826" i="3" s="1"/>
  <c r="U2827" i="3"/>
  <c r="V2827" i="3" s="1"/>
  <c r="U2828" i="3"/>
  <c r="V2828" i="3" s="1"/>
  <c r="U2829" i="3"/>
  <c r="V2829" i="3" s="1"/>
  <c r="U2830" i="3"/>
  <c r="V2830" i="3" s="1"/>
  <c r="U2831" i="3"/>
  <c r="V2831" i="3" s="1"/>
  <c r="U2832" i="3"/>
  <c r="V2832" i="3" s="1"/>
  <c r="U2833" i="3"/>
  <c r="V2833" i="3" s="1"/>
  <c r="U2834" i="3"/>
  <c r="V2834" i="3" s="1"/>
  <c r="U2835" i="3"/>
  <c r="V2835" i="3" s="1"/>
  <c r="U2836" i="3"/>
  <c r="V2836" i="3" s="1"/>
  <c r="U2837" i="3"/>
  <c r="V2837" i="3" s="1"/>
  <c r="U2838" i="3"/>
  <c r="V2838" i="3" s="1"/>
  <c r="U2839" i="3"/>
  <c r="V2839" i="3" s="1"/>
  <c r="U2840" i="3"/>
  <c r="V2840" i="3" s="1"/>
  <c r="U2841" i="3"/>
  <c r="V2841" i="3" s="1"/>
  <c r="U2842" i="3"/>
  <c r="U2843" i="3"/>
  <c r="V2843" i="3" s="1"/>
  <c r="U2844" i="3"/>
  <c r="V2844" i="3" s="1"/>
  <c r="U2845" i="3"/>
  <c r="V2845" i="3" s="1"/>
  <c r="U2846" i="3"/>
  <c r="V2846" i="3" s="1"/>
  <c r="U2847" i="3"/>
  <c r="V2847" i="3" s="1"/>
  <c r="U2848" i="3"/>
  <c r="U2849" i="3"/>
  <c r="V2849" i="3" s="1"/>
  <c r="U2850" i="3"/>
  <c r="V2850" i="3" s="1"/>
  <c r="U2851" i="3"/>
  <c r="V2851" i="3" s="1"/>
  <c r="U2852" i="3"/>
  <c r="V2852" i="3" s="1"/>
  <c r="U2853" i="3"/>
  <c r="V2853" i="3" s="1"/>
  <c r="U2854" i="3"/>
  <c r="V2854" i="3" s="1"/>
  <c r="U2855" i="3"/>
  <c r="V2855" i="3" s="1"/>
  <c r="U2856" i="3"/>
  <c r="U2857" i="3"/>
  <c r="V2857" i="3" s="1"/>
  <c r="U2858" i="3"/>
  <c r="V2858" i="3" s="1"/>
  <c r="U2859" i="3"/>
  <c r="V2859" i="3" s="1"/>
  <c r="U2860" i="3"/>
  <c r="V2860" i="3" s="1"/>
  <c r="U2861" i="3"/>
  <c r="V2861" i="3" s="1"/>
  <c r="U2862" i="3"/>
  <c r="V2862" i="3" s="1"/>
  <c r="U2863" i="3"/>
  <c r="V2863" i="3" s="1"/>
  <c r="U2864" i="3"/>
  <c r="V2864" i="3" s="1"/>
  <c r="U2865" i="3"/>
  <c r="V2865" i="3" s="1"/>
  <c r="U2866" i="3"/>
  <c r="V2866" i="3" s="1"/>
  <c r="U2867" i="3"/>
  <c r="V2867" i="3" s="1"/>
  <c r="U2868" i="3"/>
  <c r="V2868" i="3" s="1"/>
  <c r="U2869" i="3"/>
  <c r="U2870" i="3"/>
  <c r="V2870" i="3" s="1"/>
  <c r="U2871" i="3"/>
  <c r="V2871" i="3" s="1"/>
  <c r="U2872" i="3"/>
  <c r="V2872" i="3" s="1"/>
  <c r="U2873" i="3"/>
  <c r="V2873" i="3" s="1"/>
  <c r="U2874" i="3"/>
  <c r="V2874" i="3" s="1"/>
  <c r="U2875" i="3"/>
  <c r="V2875" i="3" s="1"/>
  <c r="U2876" i="3"/>
  <c r="V2876" i="3" s="1"/>
  <c r="U2877" i="3"/>
  <c r="V2877" i="3" s="1"/>
  <c r="U2878" i="3"/>
  <c r="V2878" i="3" s="1"/>
  <c r="U2879" i="3"/>
  <c r="U2880" i="3"/>
  <c r="V2880" i="3" s="1"/>
  <c r="U2881" i="3"/>
  <c r="V2881" i="3" s="1"/>
  <c r="U2882" i="3"/>
  <c r="V2882" i="3" s="1"/>
  <c r="U2883" i="3"/>
  <c r="V2883" i="3" s="1"/>
  <c r="U2884" i="3"/>
  <c r="V2884" i="3" s="1"/>
  <c r="U2885" i="3"/>
  <c r="V2885" i="3" s="1"/>
  <c r="U2886" i="3"/>
  <c r="V2886" i="3" s="1"/>
  <c r="U2887" i="3"/>
  <c r="V2887" i="3" s="1"/>
  <c r="U2888" i="3"/>
  <c r="V2888" i="3" s="1"/>
  <c r="U2889" i="3"/>
  <c r="V2889" i="3" s="1"/>
  <c r="U2890" i="3"/>
  <c r="V2890" i="3" s="1"/>
  <c r="U2891" i="3"/>
  <c r="V2891" i="3" s="1"/>
  <c r="U2892" i="3"/>
  <c r="V2892" i="3" s="1"/>
  <c r="U2893" i="3"/>
  <c r="V2893" i="3" s="1"/>
  <c r="U2894" i="3"/>
  <c r="V2894" i="3" s="1"/>
  <c r="U2895" i="3"/>
  <c r="V2895" i="3" s="1"/>
  <c r="U2896" i="3"/>
  <c r="V2896" i="3" s="1"/>
  <c r="U2897" i="3"/>
  <c r="V2897" i="3" s="1"/>
  <c r="U2898" i="3"/>
  <c r="V2898" i="3" s="1"/>
  <c r="U2899" i="3"/>
  <c r="V2899" i="3" s="1"/>
  <c r="U2900" i="3"/>
  <c r="V2900" i="3" s="1"/>
  <c r="U2901" i="3"/>
  <c r="V2901" i="3" s="1"/>
  <c r="U2902" i="3"/>
  <c r="V2902" i="3" s="1"/>
  <c r="U2903" i="3"/>
  <c r="V2903" i="3" s="1"/>
  <c r="U2904" i="3"/>
  <c r="V2904" i="3" s="1"/>
  <c r="U2905" i="3"/>
  <c r="V2905" i="3" s="1"/>
  <c r="U2906" i="3"/>
  <c r="V2906" i="3" s="1"/>
  <c r="U2907" i="3"/>
  <c r="V2907" i="3" s="1"/>
  <c r="U2908" i="3"/>
  <c r="V2908" i="3" s="1"/>
  <c r="U2909" i="3"/>
  <c r="V2909" i="3" s="1"/>
  <c r="U2910" i="3"/>
  <c r="V2910" i="3" s="1"/>
  <c r="U2911" i="3"/>
  <c r="V2911" i="3" s="1"/>
  <c r="U2912" i="3"/>
  <c r="V2912" i="3" s="1"/>
  <c r="U2913" i="3"/>
  <c r="V2913" i="3" s="1"/>
  <c r="U2914" i="3"/>
  <c r="V2914" i="3" s="1"/>
  <c r="U2915" i="3"/>
  <c r="V2915" i="3" s="1"/>
  <c r="U2916" i="3"/>
  <c r="V2916" i="3" s="1"/>
  <c r="U2917" i="3"/>
  <c r="V2917" i="3" s="1"/>
  <c r="U2918" i="3"/>
  <c r="V2918" i="3" s="1"/>
  <c r="U2919" i="3"/>
  <c r="V2919" i="3" s="1"/>
  <c r="U2920" i="3"/>
  <c r="V2920" i="3" s="1"/>
  <c r="U2921" i="3"/>
  <c r="V2921" i="3" s="1"/>
  <c r="U2922" i="3"/>
  <c r="V2922" i="3" s="1"/>
  <c r="U2923" i="3"/>
  <c r="V2923" i="3" s="1"/>
  <c r="U2924" i="3"/>
  <c r="V2924" i="3" s="1"/>
  <c r="U2925" i="3"/>
  <c r="V2925" i="3" s="1"/>
  <c r="U2926" i="3"/>
  <c r="V2926" i="3" s="1"/>
  <c r="U2927" i="3"/>
  <c r="V2927" i="3" s="1"/>
  <c r="U2928" i="3"/>
  <c r="V2928" i="3" s="1"/>
  <c r="U2929" i="3"/>
  <c r="V2929" i="3" s="1"/>
  <c r="U2930" i="3"/>
  <c r="V2930" i="3" s="1"/>
  <c r="U2931" i="3"/>
  <c r="V2931" i="3" s="1"/>
  <c r="U2932" i="3"/>
  <c r="V2932" i="3" s="1"/>
  <c r="U2933" i="3"/>
  <c r="V2933" i="3" s="1"/>
  <c r="U2934" i="3"/>
  <c r="V2934" i="3" s="1"/>
  <c r="U2935" i="3"/>
  <c r="V2935" i="3" s="1"/>
  <c r="U2936" i="3"/>
  <c r="V2936" i="3" s="1"/>
  <c r="U2937" i="3"/>
  <c r="V2937" i="3" s="1"/>
  <c r="U2938" i="3"/>
  <c r="V2938" i="3" s="1"/>
  <c r="U2939" i="3"/>
  <c r="V2939" i="3" s="1"/>
  <c r="U2940" i="3"/>
  <c r="V2940" i="3" s="1"/>
  <c r="U2941" i="3"/>
  <c r="V2941" i="3" s="1"/>
  <c r="U2942" i="3"/>
  <c r="V2942" i="3" s="1"/>
  <c r="U2943" i="3"/>
  <c r="V2943" i="3" s="1"/>
  <c r="U2944" i="3"/>
  <c r="V2944" i="3" s="1"/>
  <c r="U2945" i="3"/>
  <c r="V2945" i="3" s="1"/>
  <c r="U2946" i="3"/>
  <c r="V2946" i="3" s="1"/>
  <c r="U2947" i="3"/>
  <c r="V2947" i="3" s="1"/>
  <c r="U2948" i="3"/>
  <c r="V2948" i="3" s="1"/>
  <c r="U2949" i="3"/>
  <c r="V2949" i="3" s="1"/>
  <c r="U2950" i="3"/>
  <c r="V2950" i="3" s="1"/>
  <c r="U2951" i="3"/>
  <c r="V2951" i="3" s="1"/>
  <c r="U2952" i="3"/>
  <c r="V2952" i="3" s="1"/>
  <c r="U2953" i="3"/>
  <c r="V2953" i="3" s="1"/>
  <c r="U2954" i="3"/>
  <c r="V2954" i="3" s="1"/>
  <c r="U2955" i="3"/>
  <c r="V2955" i="3" s="1"/>
  <c r="U2956" i="3"/>
  <c r="V2956" i="3" s="1"/>
  <c r="U2957" i="3"/>
  <c r="V2957" i="3" s="1"/>
  <c r="U2958" i="3"/>
  <c r="V2958" i="3" s="1"/>
  <c r="U2959" i="3"/>
  <c r="V2959" i="3" s="1"/>
  <c r="U2960" i="3"/>
  <c r="V2960" i="3" s="1"/>
  <c r="U2961" i="3"/>
  <c r="V2961" i="3" s="1"/>
  <c r="U2962" i="3"/>
  <c r="V2962" i="3" s="1"/>
  <c r="U2963" i="3"/>
  <c r="V2963" i="3" s="1"/>
  <c r="U2964" i="3"/>
  <c r="V2964" i="3" s="1"/>
  <c r="U2965" i="3"/>
  <c r="V2965" i="3" s="1"/>
  <c r="U2966" i="3"/>
  <c r="V2966" i="3" s="1"/>
  <c r="U2967" i="3"/>
  <c r="V2967" i="3" s="1"/>
  <c r="U2968" i="3"/>
  <c r="V2968" i="3" s="1"/>
  <c r="U2969" i="3"/>
  <c r="V2969" i="3" s="1"/>
  <c r="U2970" i="3"/>
  <c r="V2970" i="3" s="1"/>
  <c r="U2971" i="3"/>
  <c r="V2971" i="3" s="1"/>
  <c r="U2972" i="3"/>
  <c r="V2972" i="3" s="1"/>
  <c r="U2973" i="3"/>
  <c r="V2973" i="3" s="1"/>
  <c r="U2974" i="3"/>
  <c r="V2974" i="3" s="1"/>
  <c r="U2975" i="3"/>
  <c r="V2975" i="3" s="1"/>
  <c r="U2976" i="3"/>
  <c r="V2976" i="3" s="1"/>
  <c r="U2977" i="3"/>
  <c r="V2977" i="3" s="1"/>
  <c r="U2978" i="3"/>
  <c r="V2978" i="3" s="1"/>
  <c r="U2979" i="3"/>
  <c r="V2979" i="3" s="1"/>
  <c r="U2980" i="3"/>
  <c r="V2980" i="3" s="1"/>
  <c r="U2981" i="3"/>
  <c r="V2981" i="3" s="1"/>
  <c r="U2982" i="3"/>
  <c r="V2982" i="3" s="1"/>
  <c r="U2983" i="3"/>
  <c r="V2983" i="3" s="1"/>
  <c r="U2984" i="3"/>
  <c r="V2984" i="3" s="1"/>
  <c r="U2985" i="3"/>
  <c r="V2985" i="3" s="1"/>
  <c r="U2986" i="3"/>
  <c r="V298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992" i="3"/>
  <c r="V2992" i="3" s="1"/>
  <c r="U2993" i="3"/>
  <c r="V2993" i="3" s="1"/>
  <c r="U2994" i="3"/>
  <c r="V2994" i="3" s="1"/>
  <c r="U2995" i="3"/>
  <c r="V2995" i="3" s="1"/>
  <c r="U2996" i="3"/>
  <c r="V2996" i="3" s="1"/>
  <c r="U2997" i="3"/>
  <c r="V2997" i="3" s="1"/>
  <c r="U2998" i="3"/>
  <c r="V2998" i="3" s="1"/>
  <c r="U2999" i="3"/>
  <c r="V2999" i="3" s="1"/>
  <c r="U3000" i="3"/>
  <c r="V3000" i="3" s="1"/>
  <c r="U3001" i="3"/>
  <c r="V3001" i="3" s="1"/>
  <c r="U3002" i="3"/>
  <c r="V3002" i="3" s="1"/>
  <c r="U3003" i="3"/>
  <c r="V3003" i="3" s="1"/>
  <c r="U3004" i="3"/>
  <c r="V3004" i="3" s="1"/>
  <c r="U3005" i="3"/>
  <c r="V3005" i="3" s="1"/>
  <c r="U3006" i="3"/>
  <c r="V3006" i="3" s="1"/>
  <c r="U3007" i="3"/>
  <c r="V3007" i="3" s="1"/>
  <c r="U3008" i="3"/>
  <c r="V3008" i="3" s="1"/>
  <c r="U3009" i="3"/>
  <c r="V3009" i="3" s="1"/>
  <c r="U3010" i="3"/>
  <c r="V3010" i="3" s="1"/>
  <c r="U3011" i="3"/>
  <c r="V3011" i="3" s="1"/>
  <c r="U3012" i="3"/>
  <c r="V3012" i="3" s="1"/>
  <c r="U3013" i="3"/>
  <c r="V3013" i="3" s="1"/>
  <c r="U3014" i="3"/>
  <c r="V3014" i="3" s="1"/>
  <c r="U3015" i="3"/>
  <c r="V3015" i="3" s="1"/>
  <c r="U3016" i="3"/>
  <c r="V3016" i="3" s="1"/>
  <c r="U3017" i="3"/>
  <c r="V3017" i="3" s="1"/>
  <c r="U3018" i="3"/>
  <c r="V3018" i="3" s="1"/>
  <c r="U3019" i="3"/>
  <c r="V3019" i="3" s="1"/>
  <c r="U3020" i="3"/>
  <c r="V3020" i="3" s="1"/>
  <c r="U3021" i="3"/>
  <c r="V3021" i="3" s="1"/>
  <c r="U3022" i="3"/>
  <c r="V3022" i="3" s="1"/>
  <c r="U3023" i="3"/>
  <c r="V3023" i="3" s="1"/>
  <c r="U3024" i="3"/>
  <c r="V3024" i="3" s="1"/>
  <c r="U3025" i="3"/>
  <c r="V3025" i="3" s="1"/>
  <c r="U3026" i="3"/>
  <c r="V3026" i="3" s="1"/>
  <c r="U3027" i="3"/>
  <c r="V3027" i="3" s="1"/>
  <c r="U3028" i="3"/>
  <c r="V3028" i="3" s="1"/>
  <c r="U3029" i="3"/>
  <c r="V3029" i="3" s="1"/>
  <c r="U3030" i="3"/>
  <c r="V3030" i="3" s="1"/>
  <c r="U3031" i="3"/>
  <c r="V3031" i="3" s="1"/>
  <c r="U3032" i="3"/>
  <c r="V3032" i="3" s="1"/>
  <c r="U3033" i="3"/>
  <c r="V3033" i="3" s="1"/>
  <c r="U3034" i="3"/>
  <c r="V3034" i="3" s="1"/>
  <c r="U3035" i="3"/>
  <c r="V3035" i="3" s="1"/>
  <c r="U3036" i="3"/>
  <c r="V3036" i="3" s="1"/>
  <c r="U3037" i="3"/>
  <c r="V3037" i="3" s="1"/>
  <c r="U3038" i="3"/>
  <c r="V3038" i="3" s="1"/>
  <c r="U3039" i="3"/>
  <c r="V3039" i="3" s="1"/>
  <c r="U3040" i="3"/>
  <c r="V3040" i="3" s="1"/>
  <c r="U3041" i="3"/>
  <c r="V3041" i="3" s="1"/>
  <c r="U3042" i="3"/>
  <c r="V3042" i="3" s="1"/>
  <c r="U3043" i="3"/>
  <c r="V3043" i="3" s="1"/>
  <c r="U3044" i="3"/>
  <c r="V3044" i="3" s="1"/>
  <c r="U3045" i="3"/>
  <c r="V3045" i="3" s="1"/>
  <c r="U3046" i="3"/>
  <c r="V3046" i="3" s="1"/>
  <c r="U3047" i="3"/>
  <c r="V3047" i="3" s="1"/>
  <c r="U3048" i="3"/>
  <c r="V3048" i="3" s="1"/>
  <c r="U3049" i="3"/>
  <c r="U3050" i="3"/>
  <c r="V3050" i="3" s="1"/>
  <c r="U3051" i="3"/>
  <c r="V3051" i="3" s="1"/>
  <c r="U3052" i="3"/>
  <c r="V3052" i="3" s="1"/>
  <c r="U3053" i="3"/>
  <c r="V3053" i="3" s="1"/>
  <c r="U3054" i="3"/>
  <c r="V3054" i="3" s="1"/>
  <c r="U3055" i="3"/>
  <c r="V3055" i="3" s="1"/>
  <c r="U3056" i="3"/>
  <c r="V3056" i="3" s="1"/>
  <c r="U3057" i="3"/>
  <c r="V3057" i="3" s="1"/>
  <c r="U3058" i="3"/>
  <c r="V3058" i="3" s="1"/>
  <c r="U3059" i="3"/>
  <c r="V3059" i="3" s="1"/>
  <c r="U3060" i="3"/>
  <c r="V3060" i="3" s="1"/>
  <c r="U3061" i="3"/>
  <c r="V3061" i="3" s="1"/>
  <c r="U3062" i="3"/>
  <c r="V3062" i="3" s="1"/>
  <c r="U3063" i="3"/>
  <c r="V3063" i="3" s="1"/>
  <c r="U3064" i="3"/>
  <c r="U3065" i="3"/>
  <c r="V3065" i="3" s="1"/>
  <c r="U3066" i="3"/>
  <c r="V3066" i="3" s="1"/>
  <c r="U3067" i="3"/>
  <c r="V3067" i="3" s="1"/>
  <c r="U3068" i="3"/>
  <c r="V3068" i="3" s="1"/>
  <c r="U3069" i="3"/>
  <c r="V3069" i="3" s="1"/>
  <c r="U3070" i="3"/>
  <c r="V3070" i="3" s="1"/>
  <c r="U3071" i="3"/>
  <c r="V3071" i="3" s="1"/>
  <c r="U3072" i="3"/>
  <c r="V3072" i="3" s="1"/>
  <c r="U3073" i="3"/>
  <c r="V3073" i="3" s="1"/>
  <c r="U3074" i="3"/>
  <c r="V3074" i="3" s="1"/>
  <c r="U3075" i="3"/>
  <c r="V3075" i="3" s="1"/>
  <c r="U3076" i="3"/>
  <c r="V3076" i="3" s="1"/>
  <c r="U3077" i="3"/>
  <c r="V3077" i="3" s="1"/>
  <c r="U3078" i="3"/>
  <c r="V3078" i="3" s="1"/>
  <c r="U3079" i="3"/>
  <c r="V3079" i="3" s="1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3090" i="3"/>
  <c r="V3090" i="3" s="1"/>
  <c r="U3091" i="3"/>
  <c r="V3091" i="3" s="1"/>
  <c r="U3092" i="3"/>
  <c r="V3092" i="3" s="1"/>
  <c r="U3093" i="3"/>
  <c r="V3093" i="3" s="1"/>
  <c r="U3094" i="3"/>
  <c r="V3094" i="3" s="1"/>
  <c r="U3095" i="3"/>
  <c r="V3095" i="3" s="1"/>
  <c r="U3096" i="3"/>
  <c r="V3096" i="3" s="1"/>
  <c r="U3097" i="3"/>
  <c r="V3097" i="3" s="1"/>
  <c r="U3098" i="3"/>
  <c r="V3098" i="3" s="1"/>
  <c r="U3099" i="3"/>
  <c r="V3099" i="3" s="1"/>
  <c r="U3100" i="3"/>
  <c r="V3100" i="3" s="1"/>
  <c r="U3101" i="3"/>
  <c r="V3101" i="3" s="1"/>
  <c r="U3102" i="3"/>
  <c r="V3102" i="3" s="1"/>
  <c r="U3103" i="3"/>
  <c r="V3103" i="3" s="1"/>
  <c r="U3104" i="3"/>
  <c r="V3104" i="3" s="1"/>
  <c r="U3105" i="3"/>
  <c r="V3105" i="3" s="1"/>
  <c r="U3106" i="3"/>
  <c r="V3106" i="3" s="1"/>
  <c r="U3107" i="3"/>
  <c r="V3107" i="3" s="1"/>
  <c r="U3108" i="3"/>
  <c r="V3108" i="3" s="1"/>
  <c r="U3109" i="3"/>
  <c r="V3109" i="3" s="1"/>
  <c r="U3110" i="3"/>
  <c r="V3110" i="3" s="1"/>
  <c r="U3111" i="3"/>
  <c r="V3111" i="3" s="1"/>
  <c r="U3112" i="3"/>
  <c r="V3112" i="3" s="1"/>
  <c r="U3113" i="3"/>
  <c r="V3113" i="3" s="1"/>
  <c r="U3114" i="3"/>
  <c r="V3114" i="3" s="1"/>
  <c r="U3115" i="3"/>
  <c r="V3115" i="3" s="1"/>
  <c r="U3116" i="3"/>
  <c r="V3116" i="3" s="1"/>
  <c r="U3117" i="3"/>
  <c r="V3117" i="3" s="1"/>
  <c r="U3118" i="3"/>
  <c r="V3118" i="3" s="1"/>
  <c r="U3119" i="3"/>
  <c r="V3119" i="3" s="1"/>
  <c r="U3120" i="3"/>
  <c r="V3120" i="3" s="1"/>
  <c r="U3121" i="3"/>
  <c r="V3121" i="3" s="1"/>
  <c r="U3122" i="3"/>
  <c r="V3122" i="3" s="1"/>
  <c r="U3123" i="3"/>
  <c r="V3123" i="3" s="1"/>
  <c r="U3124" i="3"/>
  <c r="V3124" i="3" s="1"/>
  <c r="U3125" i="3"/>
  <c r="V3125" i="3" s="1"/>
  <c r="U3126" i="3"/>
  <c r="V3126" i="3" s="1"/>
  <c r="U3127" i="3"/>
  <c r="V3127" i="3" s="1"/>
  <c r="U3128" i="3"/>
  <c r="V3128" i="3" s="1"/>
  <c r="U3129" i="3"/>
  <c r="V3129" i="3" s="1"/>
  <c r="U3130" i="3"/>
  <c r="V3130" i="3" s="1"/>
  <c r="U3131" i="3"/>
  <c r="V3131" i="3" s="1"/>
  <c r="U3132" i="3"/>
  <c r="V3132" i="3" s="1"/>
  <c r="U3133" i="3"/>
  <c r="V3133" i="3" s="1"/>
  <c r="U3134" i="3"/>
  <c r="V3134" i="3" s="1"/>
  <c r="U3135" i="3"/>
  <c r="V3135" i="3" s="1"/>
  <c r="U3136" i="3"/>
  <c r="V3136" i="3" s="1"/>
  <c r="U3137" i="3"/>
  <c r="V3137" i="3" s="1"/>
  <c r="U3138" i="3"/>
  <c r="V3138" i="3" s="1"/>
  <c r="U3139" i="3"/>
  <c r="V3139" i="3" s="1"/>
  <c r="U3140" i="3"/>
  <c r="V3140" i="3" s="1"/>
  <c r="U3141" i="3"/>
  <c r="V3141" i="3" s="1"/>
  <c r="U3142" i="3"/>
  <c r="V3142" i="3" s="1"/>
  <c r="U3143" i="3"/>
  <c r="V3143" i="3" s="1"/>
  <c r="U3144" i="3"/>
  <c r="V3144" i="3" s="1"/>
  <c r="U3145" i="3"/>
  <c r="U3146" i="3"/>
  <c r="V3146" i="3" s="1"/>
  <c r="U3147" i="3"/>
  <c r="U3148" i="3"/>
  <c r="U3149" i="3"/>
  <c r="U3150" i="3"/>
  <c r="U3151" i="3"/>
  <c r="U3152" i="3"/>
  <c r="U3153" i="3"/>
  <c r="U3154" i="3"/>
  <c r="V3154" i="3" s="1"/>
  <c r="U3155" i="3"/>
  <c r="U3156" i="3"/>
  <c r="V3156" i="3" s="1"/>
  <c r="U3157" i="3"/>
  <c r="V3157" i="3" s="1"/>
  <c r="U3158" i="3"/>
  <c r="V3158" i="3" s="1"/>
  <c r="U3159" i="3"/>
  <c r="V3159" i="3" s="1"/>
  <c r="U3160" i="3"/>
  <c r="U3161" i="3"/>
  <c r="V3161" i="3" s="1"/>
  <c r="U3162" i="3"/>
  <c r="V3162" i="3" s="1"/>
  <c r="U3163" i="3"/>
  <c r="U3164" i="3"/>
  <c r="U3165" i="3"/>
  <c r="U3166" i="3"/>
  <c r="V3166" i="3" s="1"/>
  <c r="U3167" i="3"/>
  <c r="V3167" i="3" s="1"/>
  <c r="U3168" i="3"/>
  <c r="V3168" i="3" s="1"/>
  <c r="U3169" i="3"/>
  <c r="V3169" i="3" s="1"/>
  <c r="U3170" i="3"/>
  <c r="V3170" i="3" s="1"/>
  <c r="U3171" i="3"/>
  <c r="V3171" i="3" s="1"/>
  <c r="U3172" i="3"/>
  <c r="V3172" i="3" s="1"/>
  <c r="U3173" i="3"/>
  <c r="V3173" i="3" s="1"/>
  <c r="U3174" i="3"/>
  <c r="V3174" i="3" s="1"/>
  <c r="U3175" i="3"/>
  <c r="V3175" i="3" s="1"/>
  <c r="U3176" i="3"/>
  <c r="V3176" i="3" s="1"/>
  <c r="U3177" i="3"/>
  <c r="V3177" i="3" s="1"/>
  <c r="U3178" i="3"/>
  <c r="V3178" i="3" s="1"/>
  <c r="U3179" i="3"/>
  <c r="V3179" i="3" s="1"/>
  <c r="U3180" i="3"/>
  <c r="V3180" i="3" s="1"/>
  <c r="U3181" i="3"/>
  <c r="V3181" i="3" s="1"/>
  <c r="U3182" i="3"/>
  <c r="V3182" i="3" s="1"/>
  <c r="U3183" i="3"/>
  <c r="U3184" i="3"/>
  <c r="V3184" i="3" s="1"/>
  <c r="U3185" i="3"/>
  <c r="V3185" i="3" s="1"/>
  <c r="U3186" i="3"/>
  <c r="V3186" i="3" s="1"/>
  <c r="U3187" i="3"/>
  <c r="V3187" i="3" s="1"/>
  <c r="U3188" i="3"/>
  <c r="V3188" i="3" s="1"/>
  <c r="U3189" i="3"/>
  <c r="V3189" i="3" s="1"/>
  <c r="U3190" i="3"/>
  <c r="V3190" i="3" s="1"/>
  <c r="U3191" i="3"/>
  <c r="V3191" i="3" s="1"/>
  <c r="U3192" i="3"/>
  <c r="V3192" i="3" s="1"/>
  <c r="U3193" i="3"/>
  <c r="V3193" i="3" s="1"/>
  <c r="U3194" i="3"/>
  <c r="V3194" i="3" s="1"/>
  <c r="U3195" i="3"/>
  <c r="V3195" i="3" s="1"/>
  <c r="U3196" i="3"/>
  <c r="V3196" i="3" s="1"/>
  <c r="U3197" i="3"/>
  <c r="V3197" i="3" s="1"/>
  <c r="U3198" i="3"/>
  <c r="V3198" i="3" s="1"/>
  <c r="U3199" i="3"/>
  <c r="V3199" i="3" s="1"/>
  <c r="U3200" i="3"/>
  <c r="V3200" i="3" s="1"/>
  <c r="U3201" i="3"/>
  <c r="V3201" i="3" s="1"/>
  <c r="U3202" i="3"/>
  <c r="V3202" i="3" s="1"/>
  <c r="U3203" i="3"/>
  <c r="V3203" i="3" s="1"/>
  <c r="U3204" i="3"/>
  <c r="V3204" i="3" s="1"/>
  <c r="U3205" i="3"/>
  <c r="V3205" i="3" s="1"/>
  <c r="U3206" i="3"/>
  <c r="V3206" i="3" s="1"/>
  <c r="U3207" i="3"/>
  <c r="V3207" i="3" s="1"/>
  <c r="U3208" i="3"/>
  <c r="V3208" i="3" s="1"/>
  <c r="U3209" i="3"/>
  <c r="V3209" i="3" s="1"/>
  <c r="U3210" i="3"/>
  <c r="V3210" i="3" s="1"/>
  <c r="U3211" i="3"/>
  <c r="V3211" i="3" s="1"/>
  <c r="U3212" i="3"/>
  <c r="V3212" i="3" s="1"/>
  <c r="U3213" i="3"/>
  <c r="V3213" i="3" s="1"/>
  <c r="U3214" i="3"/>
  <c r="V3214" i="3" s="1"/>
  <c r="U3215" i="3"/>
  <c r="U3216" i="3"/>
  <c r="V3216" i="3" s="1"/>
  <c r="U3217" i="3"/>
  <c r="V3217" i="3" s="1"/>
  <c r="U3218" i="3"/>
  <c r="V3218" i="3" s="1"/>
  <c r="U3219" i="3"/>
  <c r="V3219" i="3" s="1"/>
  <c r="U3220" i="3"/>
  <c r="V3220" i="3" s="1"/>
  <c r="U3221" i="3"/>
  <c r="V3221" i="3" s="1"/>
  <c r="U3222" i="3"/>
  <c r="V3222" i="3" s="1"/>
  <c r="U3223" i="3"/>
  <c r="V3223" i="3" s="1"/>
  <c r="U3224" i="3"/>
  <c r="V3224" i="3" s="1"/>
  <c r="U3225" i="3"/>
  <c r="V3225" i="3" s="1"/>
  <c r="U3226" i="3"/>
  <c r="V3226" i="3" s="1"/>
  <c r="U3227" i="3"/>
  <c r="U3228" i="3"/>
  <c r="V3228" i="3" s="1"/>
  <c r="U3229" i="3"/>
  <c r="V3229" i="3" s="1"/>
  <c r="U3230" i="3"/>
  <c r="V3230" i="3" s="1"/>
  <c r="U3231" i="3"/>
  <c r="V3231" i="3" s="1"/>
  <c r="U3232" i="3"/>
  <c r="V3232" i="3" s="1"/>
  <c r="U3233" i="3"/>
  <c r="V3233" i="3" s="1"/>
  <c r="U3234" i="3"/>
  <c r="V3234" i="3" s="1"/>
  <c r="U3235" i="3"/>
  <c r="V3235" i="3" s="1"/>
  <c r="U3236" i="3"/>
  <c r="V3236" i="3" s="1"/>
  <c r="U3237" i="3"/>
  <c r="V3237" i="3" s="1"/>
  <c r="U3238" i="3"/>
  <c r="V3238" i="3" s="1"/>
  <c r="U3239" i="3"/>
  <c r="V3239" i="3" s="1"/>
  <c r="U3240" i="3"/>
  <c r="V3240" i="3" s="1"/>
  <c r="U3241" i="3"/>
  <c r="V3241" i="3" s="1"/>
  <c r="U3242" i="3"/>
  <c r="V3242" i="3" s="1"/>
  <c r="U3243" i="3"/>
  <c r="V3243" i="3" s="1"/>
  <c r="U3244" i="3"/>
  <c r="V3244" i="3" s="1"/>
  <c r="U3245" i="3"/>
  <c r="V3245" i="3" s="1"/>
  <c r="U3246" i="3"/>
  <c r="V3246" i="3" s="1"/>
  <c r="U3247" i="3"/>
  <c r="V3247" i="3" s="1"/>
  <c r="U3248" i="3"/>
  <c r="V3248" i="3" s="1"/>
  <c r="U3249" i="3"/>
  <c r="V3249" i="3" s="1"/>
  <c r="U3250" i="3"/>
  <c r="V3250" i="3" s="1"/>
  <c r="U3251" i="3"/>
  <c r="V3251" i="3" s="1"/>
  <c r="U3252" i="3"/>
  <c r="V3252" i="3" s="1"/>
  <c r="U3253" i="3"/>
  <c r="V3253" i="3" s="1"/>
  <c r="U3254" i="3"/>
  <c r="V3254" i="3" s="1"/>
  <c r="U3255" i="3"/>
  <c r="V3255" i="3" s="1"/>
  <c r="U3256" i="3"/>
  <c r="V3256" i="3" s="1"/>
  <c r="U3257" i="3"/>
  <c r="V3257" i="3" s="1"/>
  <c r="U3258" i="3"/>
  <c r="V3258" i="3" s="1"/>
  <c r="U3259" i="3"/>
  <c r="V3259" i="3" s="1"/>
  <c r="U3260" i="3"/>
  <c r="V3260" i="3" s="1"/>
  <c r="U3261" i="3"/>
  <c r="V3261" i="3" s="1"/>
  <c r="U3262" i="3"/>
  <c r="V3262" i="3" s="1"/>
  <c r="U3263" i="3"/>
  <c r="U3264" i="3"/>
  <c r="U3265" i="3"/>
  <c r="V3265" i="3" s="1"/>
  <c r="U3266" i="3"/>
  <c r="V3266" i="3" s="1"/>
  <c r="U3267" i="3"/>
  <c r="V3267" i="3" s="1"/>
  <c r="U3268" i="3"/>
  <c r="V3268" i="3" s="1"/>
  <c r="U3269" i="3"/>
  <c r="V3269" i="3" s="1"/>
  <c r="U3270" i="3"/>
  <c r="V3270" i="3" s="1"/>
  <c r="U3271" i="3"/>
  <c r="V3271" i="3" s="1"/>
  <c r="U3272" i="3"/>
  <c r="V3272" i="3" s="1"/>
  <c r="U3273" i="3"/>
  <c r="V3273" i="3" s="1"/>
  <c r="U3274" i="3"/>
  <c r="V3274" i="3" s="1"/>
  <c r="U3275" i="3"/>
  <c r="V3275" i="3" s="1"/>
  <c r="U3276" i="3"/>
  <c r="V3276" i="3" s="1"/>
  <c r="U3277" i="3"/>
  <c r="V3277" i="3" s="1"/>
  <c r="U3278" i="3"/>
  <c r="V3278" i="3" s="1"/>
  <c r="U3279" i="3"/>
  <c r="V3279" i="3" s="1"/>
  <c r="U3280" i="3"/>
  <c r="V3280" i="3" s="1"/>
  <c r="U3281" i="3"/>
  <c r="V3281" i="3" s="1"/>
  <c r="U3282" i="3"/>
  <c r="V3282" i="3" s="1"/>
  <c r="U3283" i="3"/>
  <c r="V3283" i="3" s="1"/>
  <c r="U3284" i="3"/>
  <c r="V3284" i="3" s="1"/>
  <c r="U3285" i="3"/>
  <c r="V3285" i="3" s="1"/>
  <c r="U3286" i="3"/>
  <c r="V3286" i="3" s="1"/>
  <c r="U3287" i="3"/>
  <c r="V3287" i="3" s="1"/>
  <c r="U3288" i="3"/>
  <c r="V3288" i="3" s="1"/>
  <c r="U3289" i="3"/>
  <c r="V3289" i="3" s="1"/>
  <c r="U3290" i="3"/>
  <c r="V3290" i="3" s="1"/>
  <c r="U3291" i="3"/>
  <c r="V3291" i="3" s="1"/>
  <c r="U3292" i="3"/>
  <c r="V3292" i="3" s="1"/>
  <c r="U3293" i="3"/>
  <c r="V3293" i="3" s="1"/>
  <c r="U3294" i="3"/>
  <c r="V3294" i="3" s="1"/>
  <c r="U3295" i="3"/>
  <c r="V3295" i="3" s="1"/>
  <c r="U3296" i="3"/>
  <c r="V3296" i="3" s="1"/>
  <c r="U3297" i="3"/>
  <c r="V3297" i="3" s="1"/>
  <c r="U3298" i="3"/>
  <c r="V3298" i="3" s="1"/>
  <c r="U3299" i="3"/>
  <c r="V3299" i="3" s="1"/>
  <c r="U3300" i="3"/>
  <c r="V3300" i="3" s="1"/>
  <c r="U3301" i="3"/>
  <c r="V3301" i="3" s="1"/>
  <c r="U3302" i="3"/>
  <c r="V3302" i="3" s="1"/>
  <c r="U3303" i="3"/>
  <c r="U3304" i="3"/>
  <c r="U3305" i="3"/>
  <c r="U3306" i="3"/>
  <c r="U3307" i="3"/>
  <c r="V3307" i="3" s="1"/>
  <c r="U3308" i="3"/>
  <c r="V3308" i="3" s="1"/>
  <c r="U3309" i="3"/>
  <c r="V3309" i="3" s="1"/>
  <c r="U3310" i="3"/>
  <c r="V3310" i="3" s="1"/>
  <c r="U3311" i="3"/>
  <c r="V3311" i="3" s="1"/>
  <c r="U3312" i="3"/>
  <c r="V3312" i="3" s="1"/>
  <c r="U3313" i="3"/>
  <c r="V3313" i="3" s="1"/>
  <c r="U3314" i="3"/>
  <c r="V3314" i="3" s="1"/>
  <c r="U3315" i="3"/>
  <c r="V3315" i="3" s="1"/>
  <c r="U3316" i="3"/>
  <c r="V3316" i="3" s="1"/>
  <c r="U3317" i="3"/>
  <c r="V3317" i="3" s="1"/>
  <c r="U3318" i="3"/>
  <c r="V3318" i="3" s="1"/>
  <c r="U3319" i="3"/>
  <c r="V3319" i="3" s="1"/>
  <c r="U3320" i="3"/>
  <c r="V3320" i="3" s="1"/>
  <c r="U3321" i="3"/>
  <c r="V3321" i="3" s="1"/>
  <c r="U3322" i="3"/>
  <c r="V3322" i="3" s="1"/>
  <c r="U3323" i="3"/>
  <c r="V3323" i="3" s="1"/>
  <c r="U3324" i="3"/>
  <c r="V3324" i="3" s="1"/>
  <c r="U3325" i="3"/>
  <c r="V3325" i="3" s="1"/>
  <c r="U3326" i="3"/>
  <c r="V3326" i="3" s="1"/>
  <c r="U3327" i="3"/>
  <c r="V3327" i="3" s="1"/>
  <c r="U3328" i="3"/>
  <c r="V3328" i="3" s="1"/>
  <c r="U3329" i="3"/>
  <c r="U3330" i="3"/>
  <c r="V3330" i="3" s="1"/>
  <c r="U3331" i="3"/>
  <c r="V3331" i="3" s="1"/>
  <c r="U3332" i="3"/>
  <c r="V3332" i="3" s="1"/>
  <c r="U3333" i="3"/>
  <c r="V3333" i="3" s="1"/>
  <c r="U3334" i="3"/>
  <c r="V3334" i="3" s="1"/>
  <c r="U3335" i="3"/>
  <c r="V3335" i="3" s="1"/>
  <c r="U3336" i="3"/>
  <c r="V3336" i="3" s="1"/>
  <c r="U3337" i="3"/>
  <c r="V3337" i="3" s="1"/>
  <c r="U3338" i="3"/>
  <c r="V3338" i="3" s="1"/>
  <c r="U3339" i="3"/>
  <c r="V3339" i="3" s="1"/>
  <c r="U3340" i="3"/>
  <c r="V3340" i="3" s="1"/>
  <c r="U3341" i="3"/>
  <c r="V3341" i="3" s="1"/>
  <c r="U3342" i="3"/>
  <c r="V3342" i="3" s="1"/>
  <c r="U3343" i="3"/>
  <c r="V3343" i="3" s="1"/>
  <c r="U3344" i="3"/>
  <c r="V3344" i="3" s="1"/>
  <c r="U3345" i="3"/>
  <c r="V3345" i="3" s="1"/>
  <c r="U3346" i="3"/>
  <c r="V3346" i="3" s="1"/>
  <c r="U3347" i="3"/>
  <c r="V3347" i="3" s="1"/>
  <c r="U3348" i="3"/>
  <c r="V3348" i="3" s="1"/>
  <c r="U3349" i="3"/>
  <c r="V3349" i="3" s="1"/>
  <c r="U3350" i="3"/>
  <c r="V3350" i="3" s="1"/>
  <c r="U3351" i="3"/>
  <c r="V3351" i="3" s="1"/>
  <c r="U3352" i="3"/>
  <c r="V3352" i="3" s="1"/>
  <c r="U3353" i="3"/>
  <c r="V3353" i="3" s="1"/>
  <c r="U3354" i="3"/>
  <c r="V3354" i="3" s="1"/>
  <c r="U3355" i="3"/>
  <c r="V3355" i="3" s="1"/>
  <c r="U3356" i="3"/>
  <c r="V3356" i="3" s="1"/>
  <c r="U3357" i="3"/>
  <c r="V3357" i="3" s="1"/>
  <c r="U3358" i="3"/>
  <c r="V3358" i="3" s="1"/>
  <c r="U3359" i="3"/>
  <c r="V3359" i="3" s="1"/>
  <c r="U3360" i="3"/>
  <c r="V3360" i="3" s="1"/>
  <c r="U3361" i="3"/>
  <c r="V3361" i="3" s="1"/>
  <c r="U3362" i="3"/>
  <c r="V3362" i="3" s="1"/>
  <c r="U3363" i="3"/>
  <c r="V3363" i="3" s="1"/>
  <c r="U3364" i="3"/>
  <c r="V3364" i="3" s="1"/>
  <c r="U3365" i="3"/>
  <c r="V3365" i="3" s="1"/>
  <c r="U3366" i="3"/>
  <c r="V3366" i="3" s="1"/>
  <c r="U3367" i="3"/>
  <c r="V3367" i="3" s="1"/>
  <c r="U3368" i="3"/>
  <c r="V3368" i="3" s="1"/>
  <c r="U3369" i="3"/>
  <c r="V3369" i="3" s="1"/>
  <c r="U3370" i="3"/>
  <c r="V3370" i="3" s="1"/>
  <c r="U3371" i="3"/>
  <c r="V3371" i="3" s="1"/>
  <c r="U3372" i="3"/>
  <c r="V3372" i="3" s="1"/>
  <c r="U3373" i="3"/>
  <c r="V3373" i="3" s="1"/>
  <c r="U3374" i="3"/>
  <c r="V3374" i="3" s="1"/>
  <c r="U3375" i="3"/>
  <c r="V3375" i="3" s="1"/>
  <c r="U3376" i="3"/>
  <c r="V3376" i="3" s="1"/>
  <c r="U3377" i="3"/>
  <c r="V3377" i="3" s="1"/>
  <c r="U3378" i="3"/>
  <c r="V3378" i="3" s="1"/>
  <c r="U3379" i="3"/>
  <c r="V3379" i="3" s="1"/>
  <c r="U3380" i="3"/>
  <c r="V3380" i="3" s="1"/>
  <c r="U3381" i="3"/>
  <c r="V3381" i="3" s="1"/>
  <c r="U3382" i="3"/>
  <c r="V3382" i="3" s="1"/>
  <c r="U3383" i="3"/>
  <c r="V3383" i="3" s="1"/>
  <c r="U3384" i="3"/>
  <c r="V3384" i="3" s="1"/>
  <c r="U3385" i="3"/>
  <c r="V3385" i="3" s="1"/>
  <c r="U3386" i="3"/>
  <c r="V3386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3393" i="3"/>
  <c r="U3394" i="3"/>
  <c r="V3394" i="3" s="1"/>
  <c r="U3395" i="3"/>
  <c r="V3395" i="3" s="1"/>
  <c r="U3396" i="3"/>
  <c r="V3396" i="3" s="1"/>
  <c r="U3397" i="3"/>
  <c r="V3397" i="3" s="1"/>
  <c r="U3398" i="3"/>
  <c r="V3398" i="3" s="1"/>
  <c r="U3399" i="3"/>
  <c r="V3399" i="3" s="1"/>
  <c r="U3400" i="3"/>
  <c r="V3400" i="3" s="1"/>
  <c r="U3401" i="3"/>
  <c r="V3401" i="3" s="1"/>
  <c r="U3402" i="3"/>
  <c r="V3402" i="3" s="1"/>
  <c r="U3403" i="3"/>
  <c r="V3403" i="3" s="1"/>
  <c r="U3404" i="3"/>
  <c r="V3404" i="3" s="1"/>
  <c r="U3405" i="3"/>
  <c r="V3405" i="3" s="1"/>
  <c r="U3406" i="3"/>
  <c r="V3406" i="3" s="1"/>
  <c r="U3407" i="3"/>
  <c r="V3407" i="3" s="1"/>
  <c r="U3408" i="3"/>
  <c r="V3408" i="3" s="1"/>
  <c r="U3409" i="3"/>
  <c r="U3410" i="3"/>
  <c r="V3410" i="3" s="1"/>
  <c r="U3411" i="3"/>
  <c r="V3411" i="3" s="1"/>
  <c r="U3412" i="3"/>
  <c r="V3412" i="3" s="1"/>
  <c r="U3413" i="3"/>
  <c r="V3413" i="3" s="1"/>
  <c r="U3414" i="3"/>
  <c r="V3414" i="3" s="1"/>
  <c r="U3415" i="3"/>
  <c r="V3415" i="3" s="1"/>
  <c r="U3416" i="3"/>
  <c r="V3416" i="3" s="1"/>
  <c r="U3417" i="3"/>
  <c r="V3417" i="3" s="1"/>
  <c r="U3418" i="3"/>
  <c r="V3418" i="3" s="1"/>
  <c r="U3419" i="3"/>
  <c r="V3419" i="3" s="1"/>
  <c r="U3420" i="3"/>
  <c r="V3420" i="3" s="1"/>
  <c r="U3421" i="3"/>
  <c r="V3421" i="3" s="1"/>
  <c r="U3422" i="3"/>
  <c r="V3422" i="3" s="1"/>
  <c r="U3423" i="3"/>
  <c r="U3424" i="3"/>
  <c r="V3424" i="3" s="1"/>
  <c r="U3425" i="3"/>
  <c r="V3425" i="3" s="1"/>
  <c r="U3426" i="3"/>
  <c r="V3426" i="3" s="1"/>
  <c r="U3427" i="3"/>
  <c r="V3427" i="3" s="1"/>
  <c r="U3428" i="3"/>
  <c r="V3428" i="3" s="1"/>
  <c r="U3429" i="3"/>
  <c r="V3429" i="3" s="1"/>
  <c r="U3430" i="3"/>
  <c r="V3430" i="3" s="1"/>
  <c r="U3431" i="3"/>
  <c r="V3431" i="3" s="1"/>
  <c r="U3432" i="3"/>
  <c r="V3432" i="3" s="1"/>
  <c r="U3433" i="3"/>
  <c r="V3433" i="3" s="1"/>
  <c r="U3434" i="3"/>
  <c r="V3434" i="3" s="1"/>
  <c r="U3435" i="3"/>
  <c r="V3435" i="3" s="1"/>
  <c r="U3436" i="3"/>
  <c r="V3436" i="3" s="1"/>
  <c r="U3437" i="3"/>
  <c r="V3437" i="3" s="1"/>
  <c r="U3438" i="3"/>
  <c r="V3438" i="3" s="1"/>
  <c r="U3439" i="3"/>
  <c r="V3439" i="3" s="1"/>
  <c r="U3440" i="3"/>
  <c r="V3440" i="3" s="1"/>
  <c r="U3441" i="3"/>
  <c r="V3441" i="3" s="1"/>
  <c r="U3442" i="3"/>
  <c r="V3442" i="3" s="1"/>
  <c r="U3443" i="3"/>
  <c r="V3443" i="3" s="1"/>
  <c r="U3444" i="3"/>
  <c r="V3444" i="3" s="1"/>
  <c r="U3445" i="3"/>
  <c r="V3445" i="3" s="1"/>
  <c r="U3446" i="3"/>
  <c r="V3446" i="3" s="1"/>
  <c r="U3447" i="3"/>
  <c r="V3447" i="3" s="1"/>
  <c r="U3448" i="3"/>
  <c r="V3448" i="3" s="1"/>
  <c r="U3449" i="3"/>
  <c r="V3449" i="3" s="1"/>
  <c r="U3450" i="3"/>
  <c r="V3450" i="3" s="1"/>
  <c r="U3451" i="3"/>
  <c r="V3451" i="3" s="1"/>
  <c r="U3452" i="3"/>
  <c r="V3452" i="3" s="1"/>
  <c r="U3453" i="3"/>
  <c r="V3453" i="3" s="1"/>
  <c r="U3454" i="3"/>
  <c r="V3454" i="3" s="1"/>
  <c r="U3455" i="3"/>
  <c r="V3455" i="3" s="1"/>
  <c r="U3456" i="3"/>
  <c r="V3456" i="3" s="1"/>
  <c r="U3457" i="3"/>
  <c r="V3457" i="3" s="1"/>
  <c r="U3458" i="3"/>
  <c r="V3458" i="3" s="1"/>
  <c r="U3459" i="3"/>
  <c r="V3459" i="3" s="1"/>
  <c r="U3460" i="3"/>
  <c r="V3460" i="3" s="1"/>
  <c r="U3461" i="3"/>
  <c r="V3461" i="3" s="1"/>
  <c r="U3462" i="3"/>
  <c r="V3462" i="3" s="1"/>
  <c r="U3463" i="3"/>
  <c r="V3463" i="3" s="1"/>
  <c r="U3464" i="3"/>
  <c r="V3464" i="3" s="1"/>
  <c r="U3465" i="3"/>
  <c r="V3465" i="3" s="1"/>
  <c r="U3466" i="3"/>
  <c r="V3466" i="3" s="1"/>
  <c r="U3467" i="3"/>
  <c r="V3467" i="3" s="1"/>
  <c r="U3468" i="3"/>
  <c r="V3468" i="3" s="1"/>
  <c r="U3469" i="3"/>
  <c r="V3469" i="3" s="1"/>
  <c r="U3470" i="3"/>
  <c r="V3470" i="3" s="1"/>
  <c r="U3471" i="3"/>
  <c r="V3471" i="3" s="1"/>
  <c r="U3472" i="3"/>
  <c r="V3472" i="3" s="1"/>
  <c r="U3473" i="3"/>
  <c r="V3473" i="3" s="1"/>
  <c r="U3474" i="3"/>
  <c r="V3474" i="3" s="1"/>
  <c r="U3475" i="3"/>
  <c r="V3475" i="3" s="1"/>
  <c r="U3476" i="3"/>
  <c r="V3476" i="3" s="1"/>
  <c r="U3477" i="3"/>
  <c r="V3477" i="3" s="1"/>
  <c r="U3478" i="3"/>
  <c r="V3478" i="3" s="1"/>
  <c r="U3479" i="3"/>
  <c r="V3479" i="3" s="1"/>
  <c r="U3480" i="3"/>
  <c r="V3480" i="3" s="1"/>
  <c r="U3481" i="3"/>
  <c r="U3482" i="3"/>
  <c r="V3482" i="3" s="1"/>
  <c r="U3483" i="3"/>
  <c r="V3483" i="3" s="1"/>
  <c r="U3484" i="3"/>
  <c r="V3484" i="3" s="1"/>
  <c r="U3485" i="3"/>
  <c r="V3485" i="3" s="1"/>
  <c r="U3486" i="3"/>
  <c r="V3486" i="3" s="1"/>
  <c r="U3487" i="3"/>
  <c r="V3487" i="3" s="1"/>
  <c r="U3488" i="3"/>
  <c r="V3488" i="3" s="1"/>
  <c r="U3489" i="3"/>
  <c r="V3489" i="3" s="1"/>
  <c r="U3490" i="3"/>
  <c r="V3490" i="3" s="1"/>
  <c r="U3491" i="3"/>
  <c r="V3491" i="3" s="1"/>
  <c r="U3492" i="3"/>
  <c r="V3492" i="3" s="1"/>
  <c r="U3493" i="3"/>
  <c r="V3493" i="3" s="1"/>
  <c r="U3494" i="3"/>
  <c r="V3494" i="3" s="1"/>
  <c r="U3495" i="3"/>
  <c r="V3495" i="3" s="1"/>
  <c r="U3496" i="3"/>
  <c r="V3496" i="3" s="1"/>
  <c r="U3497" i="3"/>
  <c r="V3497" i="3" s="1"/>
  <c r="U3498" i="3"/>
  <c r="V3498" i="3" s="1"/>
  <c r="U3499" i="3"/>
  <c r="V3499" i="3" s="1"/>
  <c r="U3500" i="3"/>
  <c r="V3500" i="3" s="1"/>
  <c r="U3501" i="3"/>
  <c r="V3501" i="3" s="1"/>
  <c r="U3502" i="3"/>
  <c r="V3502" i="3" s="1"/>
  <c r="U3503" i="3"/>
  <c r="V3503" i="3" s="1"/>
  <c r="U3504" i="3"/>
  <c r="V3504" i="3" s="1"/>
  <c r="U3505" i="3"/>
  <c r="V3505" i="3" s="1"/>
  <c r="U3506" i="3"/>
  <c r="V3506" i="3" s="1"/>
  <c r="U3507" i="3"/>
  <c r="V3507" i="3" s="1"/>
  <c r="U3508" i="3"/>
  <c r="V3508" i="3" s="1"/>
  <c r="U3509" i="3"/>
  <c r="V3509" i="3" s="1"/>
  <c r="U3510" i="3"/>
  <c r="V3510" i="3" s="1"/>
  <c r="U3511" i="3"/>
  <c r="V3511" i="3" s="1"/>
  <c r="U3512" i="3"/>
  <c r="V3512" i="3" s="1"/>
  <c r="U3513" i="3"/>
  <c r="V3513" i="3" s="1"/>
  <c r="U3514" i="3"/>
  <c r="V3514" i="3" s="1"/>
  <c r="U3515" i="3"/>
  <c r="V3515" i="3" s="1"/>
  <c r="U3516" i="3"/>
  <c r="V3516" i="3" s="1"/>
  <c r="U3517" i="3"/>
  <c r="V3517" i="3" s="1"/>
  <c r="U3518" i="3"/>
  <c r="V3518" i="3" s="1"/>
  <c r="U3519" i="3"/>
  <c r="V3519" i="3" s="1"/>
  <c r="U3520" i="3"/>
  <c r="V3520" i="3" s="1"/>
  <c r="U3521" i="3"/>
  <c r="V3521" i="3" s="1"/>
  <c r="U3522" i="3"/>
  <c r="V3522" i="3" s="1"/>
  <c r="U3523" i="3"/>
  <c r="V3523" i="3" s="1"/>
  <c r="U3524" i="3"/>
  <c r="V3524" i="3" s="1"/>
  <c r="U3525" i="3"/>
  <c r="V3525" i="3" s="1"/>
  <c r="U3526" i="3"/>
  <c r="V3526" i="3" s="1"/>
  <c r="U3527" i="3"/>
  <c r="V3527" i="3" s="1"/>
  <c r="U3528" i="3"/>
  <c r="V3528" i="3" s="1"/>
  <c r="U3529" i="3"/>
  <c r="V3529" i="3" s="1"/>
  <c r="U3530" i="3"/>
  <c r="V3530" i="3" s="1"/>
  <c r="U3531" i="3"/>
  <c r="V3531" i="3" s="1"/>
  <c r="U3532" i="3"/>
  <c r="V3532" i="3" s="1"/>
  <c r="U3533" i="3"/>
  <c r="V3533" i="3" s="1"/>
  <c r="U3534" i="3"/>
  <c r="V3534" i="3" s="1"/>
  <c r="U3535" i="3"/>
  <c r="V3535" i="3" s="1"/>
  <c r="U3536" i="3"/>
  <c r="V3536" i="3" s="1"/>
  <c r="U3537" i="3"/>
  <c r="V3537" i="3" s="1"/>
  <c r="U3538" i="3"/>
  <c r="V3538" i="3" s="1"/>
  <c r="U3539" i="3"/>
  <c r="V3539" i="3" s="1"/>
  <c r="U3540" i="3"/>
  <c r="V3540" i="3" s="1"/>
  <c r="U3541" i="3"/>
  <c r="V3541" i="3" s="1"/>
  <c r="U3542" i="3"/>
  <c r="V3542" i="3" s="1"/>
  <c r="U3543" i="3"/>
  <c r="V3543" i="3" s="1"/>
  <c r="U3544" i="3"/>
  <c r="U3545" i="3"/>
  <c r="V3545" i="3" s="1"/>
  <c r="U3546" i="3"/>
  <c r="V3546" i="3" s="1"/>
  <c r="U3547" i="3"/>
  <c r="V3547" i="3" s="1"/>
  <c r="U3548" i="3"/>
  <c r="V3548" i="3" s="1"/>
  <c r="U3549" i="3"/>
  <c r="U3550" i="3"/>
  <c r="V3550" i="3" s="1"/>
  <c r="U3551" i="3"/>
  <c r="V3551" i="3" s="1"/>
  <c r="U3552" i="3"/>
  <c r="V3552" i="3" s="1"/>
  <c r="U3553" i="3"/>
  <c r="V3553" i="3" s="1"/>
  <c r="U3554" i="3"/>
  <c r="V3554" i="3" s="1"/>
  <c r="U3555" i="3"/>
  <c r="V3555" i="3" s="1"/>
  <c r="U3556" i="3"/>
  <c r="V3556" i="3" s="1"/>
  <c r="U3557" i="3"/>
  <c r="V3557" i="3" s="1"/>
  <c r="U3558" i="3"/>
  <c r="V3558" i="3" s="1"/>
  <c r="U3559" i="3"/>
  <c r="V3559" i="3" s="1"/>
  <c r="U3560" i="3"/>
  <c r="V3560" i="3" s="1"/>
  <c r="U3561" i="3"/>
  <c r="V3561" i="3" s="1"/>
  <c r="U3562" i="3"/>
  <c r="V3562" i="3" s="1"/>
  <c r="U3563" i="3"/>
  <c r="V3563" i="3" s="1"/>
  <c r="U3564" i="3"/>
  <c r="V3564" i="3" s="1"/>
  <c r="U3565" i="3"/>
  <c r="V3565" i="3" s="1"/>
  <c r="U3566" i="3"/>
  <c r="V3566" i="3" s="1"/>
  <c r="U3567" i="3"/>
  <c r="V3567" i="3" s="1"/>
  <c r="U3568" i="3"/>
  <c r="V3568" i="3" s="1"/>
  <c r="U3569" i="3"/>
  <c r="V3569" i="3" s="1"/>
  <c r="U3570" i="3"/>
  <c r="V3570" i="3" s="1"/>
  <c r="U3571" i="3"/>
  <c r="V3571" i="3" s="1"/>
  <c r="U3572" i="3"/>
  <c r="V3572" i="3" s="1"/>
  <c r="U3573" i="3"/>
  <c r="V3573" i="3" s="1"/>
  <c r="U3574" i="3"/>
  <c r="V3574" i="3" s="1"/>
  <c r="U3575" i="3"/>
  <c r="V3575" i="3" s="1"/>
  <c r="U3576" i="3"/>
  <c r="V3576" i="3" s="1"/>
  <c r="U3577" i="3"/>
  <c r="V3577" i="3" s="1"/>
  <c r="U3578" i="3"/>
  <c r="V3578" i="3" s="1"/>
  <c r="U3579" i="3"/>
  <c r="V3579" i="3" s="1"/>
  <c r="U3580" i="3"/>
  <c r="V3580" i="3" s="1"/>
  <c r="U3581" i="3"/>
  <c r="V3581" i="3" s="1"/>
  <c r="U3582" i="3"/>
  <c r="V3582" i="3" s="1"/>
  <c r="U3583" i="3"/>
  <c r="V3583" i="3" s="1"/>
  <c r="U3584" i="3"/>
  <c r="V3584" i="3" s="1"/>
  <c r="U3585" i="3"/>
  <c r="V3585" i="3" s="1"/>
  <c r="U3586" i="3"/>
  <c r="V3586" i="3" s="1"/>
  <c r="U3587" i="3"/>
  <c r="V3587" i="3" s="1"/>
  <c r="U3588" i="3"/>
  <c r="V3588" i="3" s="1"/>
  <c r="U3589" i="3"/>
  <c r="V3589" i="3" s="1"/>
  <c r="U3590" i="3"/>
  <c r="V3590" i="3" s="1"/>
  <c r="U3591" i="3"/>
  <c r="V3591" i="3" s="1"/>
  <c r="U3592" i="3"/>
  <c r="V3592" i="3" s="1"/>
  <c r="U3593" i="3"/>
  <c r="V3593" i="3" s="1"/>
  <c r="U3594" i="3"/>
  <c r="V3594" i="3" s="1"/>
  <c r="U3595" i="3"/>
  <c r="V3595" i="3" s="1"/>
  <c r="U3596" i="3"/>
  <c r="V3596" i="3" s="1"/>
  <c r="U3597" i="3"/>
  <c r="V3597" i="3" s="1"/>
  <c r="U3598" i="3"/>
  <c r="V3598" i="3" s="1"/>
  <c r="U3599" i="3"/>
  <c r="V3599" i="3" s="1"/>
  <c r="U3600" i="3"/>
  <c r="V3600" i="3" s="1"/>
  <c r="U3601" i="3"/>
  <c r="V3601" i="3" s="1"/>
  <c r="U3602" i="3"/>
  <c r="V3602" i="3" s="1"/>
  <c r="U3603" i="3"/>
  <c r="V3603" i="3" s="1"/>
  <c r="U3604" i="3"/>
  <c r="V3604" i="3" s="1"/>
  <c r="U3605" i="3"/>
  <c r="V3605" i="3" s="1"/>
  <c r="U3606" i="3"/>
  <c r="V3606" i="3" s="1"/>
  <c r="U3607" i="3"/>
  <c r="V3607" i="3" s="1"/>
  <c r="U3608" i="3"/>
  <c r="V3608" i="3" s="1"/>
  <c r="U3609" i="3"/>
  <c r="V3609" i="3" s="1"/>
  <c r="U3610" i="3"/>
  <c r="V3610" i="3" s="1"/>
  <c r="U3611" i="3"/>
  <c r="V3611" i="3" s="1"/>
  <c r="U3612" i="3"/>
  <c r="V3612" i="3" s="1"/>
  <c r="U3613" i="3"/>
  <c r="V3613" i="3" s="1"/>
  <c r="U3614" i="3"/>
  <c r="V3614" i="3" s="1"/>
  <c r="U3615" i="3"/>
  <c r="V3615" i="3" s="1"/>
  <c r="U3616" i="3"/>
  <c r="V3616" i="3" s="1"/>
  <c r="U3617" i="3"/>
  <c r="V3617" i="3" s="1"/>
  <c r="U3618" i="3"/>
  <c r="V3618" i="3" s="1"/>
  <c r="U3619" i="3"/>
  <c r="V3619" i="3" s="1"/>
  <c r="U3620" i="3"/>
  <c r="V3620" i="3" s="1"/>
  <c r="U3621" i="3"/>
  <c r="V3621" i="3" s="1"/>
  <c r="U3622" i="3"/>
  <c r="V3622" i="3" s="1"/>
  <c r="U3623" i="3"/>
  <c r="U3624" i="3"/>
  <c r="V3624" i="3" s="1"/>
  <c r="U3625" i="3"/>
  <c r="V3625" i="3" s="1"/>
  <c r="U3626" i="3"/>
  <c r="V3626" i="3" s="1"/>
  <c r="U3627" i="3"/>
  <c r="V3627" i="3" s="1"/>
  <c r="U3628" i="3"/>
  <c r="V3628" i="3" s="1"/>
  <c r="U3629" i="3"/>
  <c r="V3629" i="3" s="1"/>
  <c r="U3630" i="3"/>
  <c r="V3630" i="3" s="1"/>
  <c r="U3631" i="3"/>
  <c r="V3631" i="3" s="1"/>
  <c r="U3632" i="3"/>
  <c r="V3632" i="3" s="1"/>
  <c r="U3633" i="3"/>
  <c r="V3633" i="3" s="1"/>
  <c r="U3634" i="3"/>
  <c r="V3634" i="3" s="1"/>
  <c r="U3635" i="3"/>
  <c r="V3635" i="3" s="1"/>
  <c r="U3636" i="3"/>
  <c r="V3636" i="3" s="1"/>
  <c r="U3637" i="3"/>
  <c r="V3637" i="3" s="1"/>
  <c r="U3638" i="3"/>
  <c r="V3638" i="3" s="1"/>
  <c r="U3639" i="3"/>
  <c r="V3639" i="3" s="1"/>
  <c r="U3640" i="3"/>
  <c r="V3640" i="3" s="1"/>
  <c r="U3641" i="3"/>
  <c r="V3641" i="3" s="1"/>
  <c r="U3642" i="3"/>
  <c r="V3642" i="3" s="1"/>
  <c r="U3643" i="3"/>
  <c r="V3643" i="3" s="1"/>
  <c r="U3644" i="3"/>
  <c r="V3644" i="3" s="1"/>
  <c r="U3645" i="3"/>
  <c r="V3645" i="3" s="1"/>
  <c r="U3646" i="3"/>
  <c r="V3646" i="3" s="1"/>
  <c r="U3647" i="3"/>
  <c r="V3647" i="3" s="1"/>
  <c r="U3648" i="3"/>
  <c r="V3648" i="3" s="1"/>
  <c r="U3649" i="3"/>
  <c r="V3649" i="3" s="1"/>
  <c r="U3650" i="3"/>
  <c r="V3650" i="3" s="1"/>
  <c r="U3651" i="3"/>
  <c r="V3651" i="3" s="1"/>
  <c r="U3652" i="3"/>
  <c r="V3652" i="3" s="1"/>
  <c r="U3653" i="3"/>
  <c r="V3653" i="3" s="1"/>
  <c r="U3654" i="3"/>
  <c r="V3654" i="3" s="1"/>
  <c r="U3655" i="3"/>
  <c r="V3655" i="3" s="1"/>
  <c r="U3656" i="3"/>
  <c r="V3656" i="3" s="1"/>
  <c r="U3657" i="3"/>
  <c r="V3657" i="3" s="1"/>
  <c r="U3658" i="3"/>
  <c r="V3658" i="3" s="1"/>
  <c r="U3659" i="3"/>
  <c r="V3659" i="3" s="1"/>
  <c r="U3660" i="3"/>
  <c r="V3660" i="3" s="1"/>
  <c r="U3661" i="3"/>
  <c r="V3661" i="3" s="1"/>
  <c r="U3662" i="3"/>
  <c r="V3662" i="3" s="1"/>
  <c r="U3663" i="3"/>
  <c r="V3663" i="3" s="1"/>
  <c r="U3664" i="3"/>
  <c r="V3664" i="3" s="1"/>
  <c r="U3665" i="3"/>
  <c r="V3665" i="3" s="1"/>
  <c r="U3666" i="3"/>
  <c r="V3666" i="3" s="1"/>
  <c r="U3667" i="3"/>
  <c r="V3667" i="3" s="1"/>
  <c r="U3668" i="3"/>
  <c r="V3668" i="3" s="1"/>
  <c r="U3669" i="3"/>
  <c r="V3669" i="3" s="1"/>
  <c r="U3670" i="3"/>
  <c r="V3670" i="3" s="1"/>
  <c r="U3671" i="3"/>
  <c r="V3671" i="3" s="1"/>
  <c r="U3672" i="3"/>
  <c r="V3672" i="3" s="1"/>
  <c r="U3673" i="3"/>
  <c r="V3673" i="3" s="1"/>
  <c r="U3674" i="3"/>
  <c r="V3674" i="3" s="1"/>
  <c r="U3675" i="3"/>
  <c r="V3675" i="3" s="1"/>
  <c r="U3676" i="3"/>
  <c r="V3676" i="3" s="1"/>
  <c r="U3677" i="3"/>
  <c r="V3677" i="3" s="1"/>
  <c r="U3678" i="3"/>
  <c r="V3678" i="3" s="1"/>
  <c r="U3679" i="3"/>
  <c r="V3679" i="3" s="1"/>
  <c r="U3680" i="3"/>
  <c r="V3680" i="3" s="1"/>
  <c r="U3681" i="3"/>
  <c r="V3681" i="3" s="1"/>
  <c r="U3682" i="3"/>
  <c r="V3682" i="3" s="1"/>
  <c r="U3683" i="3"/>
  <c r="V3683" i="3" s="1"/>
  <c r="U3684" i="3"/>
  <c r="V3684" i="3" s="1"/>
  <c r="U3685" i="3"/>
  <c r="V3685" i="3" s="1"/>
  <c r="U3686" i="3"/>
  <c r="V3686" i="3" s="1"/>
  <c r="U3687" i="3"/>
  <c r="V3687" i="3" s="1"/>
  <c r="U3688" i="3"/>
  <c r="V3688" i="3" s="1"/>
  <c r="U3689" i="3"/>
  <c r="V3689" i="3" s="1"/>
  <c r="U3690" i="3"/>
  <c r="V3690" i="3" s="1"/>
  <c r="U3691" i="3"/>
  <c r="V3691" i="3" s="1"/>
  <c r="U3692" i="3"/>
  <c r="V3692" i="3" s="1"/>
  <c r="U3693" i="3"/>
  <c r="V3693" i="3" s="1"/>
  <c r="U3694" i="3"/>
  <c r="V3694" i="3" s="1"/>
  <c r="U3695" i="3"/>
  <c r="V3695" i="3" s="1"/>
  <c r="U3696" i="3"/>
  <c r="V3696" i="3" s="1"/>
  <c r="U3697" i="3"/>
  <c r="V3697" i="3" s="1"/>
  <c r="U3698" i="3"/>
  <c r="V3698" i="3" s="1"/>
  <c r="U3699" i="3"/>
  <c r="V3699" i="3" s="1"/>
  <c r="U3700" i="3"/>
  <c r="V3700" i="3" s="1"/>
  <c r="U3701" i="3"/>
  <c r="V3701" i="3" s="1"/>
  <c r="U3702" i="3"/>
  <c r="V3702" i="3" s="1"/>
  <c r="U3703" i="3"/>
  <c r="V3703" i="3" s="1"/>
  <c r="U3704" i="3"/>
  <c r="V3704" i="3" s="1"/>
  <c r="U3705" i="3"/>
  <c r="V3705" i="3" s="1"/>
  <c r="U3706" i="3"/>
  <c r="V3706" i="3" s="1"/>
  <c r="U3707" i="3"/>
  <c r="V3707" i="3" s="1"/>
  <c r="U3708" i="3"/>
  <c r="V3708" i="3" s="1"/>
  <c r="U3709" i="3"/>
  <c r="V3709" i="3" s="1"/>
  <c r="U3710" i="3"/>
  <c r="V3710" i="3" s="1"/>
  <c r="U3711" i="3"/>
  <c r="V3711" i="3" s="1"/>
  <c r="U3712" i="3"/>
  <c r="V3712" i="3" s="1"/>
  <c r="U3713" i="3"/>
  <c r="V3713" i="3" s="1"/>
  <c r="U3714" i="3"/>
  <c r="U3715" i="3"/>
  <c r="V3715" i="3" s="1"/>
  <c r="U3716" i="3"/>
  <c r="V3716" i="3" s="1"/>
  <c r="U3717" i="3"/>
  <c r="V3717" i="3" s="1"/>
  <c r="U3718" i="3"/>
  <c r="V3718" i="3" s="1"/>
  <c r="U3719" i="3"/>
  <c r="V3719" i="3" s="1"/>
  <c r="U3720" i="3"/>
  <c r="V3720" i="3" s="1"/>
  <c r="U3721" i="3"/>
  <c r="V3721" i="3" s="1"/>
  <c r="U3722" i="3"/>
  <c r="V3722" i="3" s="1"/>
  <c r="U3723" i="3"/>
  <c r="V3723" i="3" s="1"/>
  <c r="U3724" i="3"/>
  <c r="V3724" i="3" s="1"/>
  <c r="U3725" i="3"/>
  <c r="V3725" i="3" s="1"/>
  <c r="U3726" i="3"/>
  <c r="V3726" i="3" s="1"/>
  <c r="U3727" i="3"/>
  <c r="V3727" i="3" s="1"/>
  <c r="U3728" i="3"/>
  <c r="V3728" i="3" s="1"/>
  <c r="U3729" i="3"/>
  <c r="V3729" i="3" s="1"/>
  <c r="U3730" i="3"/>
  <c r="V3730" i="3" s="1"/>
  <c r="U3731" i="3"/>
  <c r="V3731" i="3" s="1"/>
  <c r="U3732" i="3"/>
  <c r="V3732" i="3" s="1"/>
  <c r="U3733" i="3"/>
  <c r="V3733" i="3" s="1"/>
  <c r="U3734" i="3"/>
  <c r="V3734" i="3" s="1"/>
  <c r="U3735" i="3"/>
  <c r="V3735" i="3" s="1"/>
  <c r="U3736" i="3"/>
  <c r="V3736" i="3" s="1"/>
  <c r="U3737" i="3"/>
  <c r="V3737" i="3" s="1"/>
  <c r="U3738" i="3"/>
  <c r="V3738" i="3" s="1"/>
  <c r="U3739" i="3"/>
  <c r="V3739" i="3" s="1"/>
  <c r="U3740" i="3"/>
  <c r="V3740" i="3" s="1"/>
  <c r="U3741" i="3"/>
  <c r="V3741" i="3" s="1"/>
  <c r="U3742" i="3"/>
  <c r="V3742" i="3" s="1"/>
  <c r="U3743" i="3"/>
  <c r="V3743" i="3" s="1"/>
  <c r="U3744" i="3"/>
  <c r="V3744" i="3" s="1"/>
  <c r="U3745" i="3"/>
  <c r="V3745" i="3" s="1"/>
  <c r="U3746" i="3"/>
  <c r="V3746" i="3" s="1"/>
  <c r="U3747" i="3"/>
  <c r="V3747" i="3" s="1"/>
  <c r="U3748" i="3"/>
  <c r="V3748" i="3" s="1"/>
  <c r="U3749" i="3"/>
  <c r="V3749" i="3" s="1"/>
  <c r="U3750" i="3"/>
  <c r="V3750" i="3" s="1"/>
  <c r="U3751" i="3"/>
  <c r="V3751" i="3" s="1"/>
  <c r="U3752" i="3"/>
  <c r="V3752" i="3" s="1"/>
  <c r="U3753" i="3"/>
  <c r="V3753" i="3" s="1"/>
  <c r="U3754" i="3"/>
  <c r="V3754" i="3" s="1"/>
  <c r="U3755" i="3"/>
  <c r="V3755" i="3" s="1"/>
  <c r="U3756" i="3"/>
  <c r="V3756" i="3" s="1"/>
  <c r="U3757" i="3"/>
  <c r="V3757" i="3" s="1"/>
  <c r="U3758" i="3"/>
  <c r="V3758" i="3" s="1"/>
  <c r="U3759" i="3"/>
  <c r="V3759" i="3" s="1"/>
  <c r="U3760" i="3"/>
  <c r="V3760" i="3" s="1"/>
  <c r="U3761" i="3"/>
  <c r="V3761" i="3" s="1"/>
  <c r="U3762" i="3"/>
  <c r="V3762" i="3" s="1"/>
  <c r="U3763" i="3"/>
  <c r="V3763" i="3" s="1"/>
  <c r="U3764" i="3"/>
  <c r="V3764" i="3" s="1"/>
  <c r="U3765" i="3"/>
  <c r="V3765" i="3" s="1"/>
  <c r="U3766" i="3"/>
  <c r="V3766" i="3" s="1"/>
  <c r="V2248" i="3"/>
  <c r="V2268" i="3"/>
  <c r="V2284" i="3"/>
  <c r="V2289" i="3"/>
  <c r="V2295" i="3"/>
  <c r="V2375" i="3"/>
  <c r="V2416" i="3"/>
  <c r="V2435" i="3"/>
  <c r="V2445" i="3"/>
  <c r="V2469" i="3"/>
  <c r="V2476" i="3"/>
  <c r="V2493" i="3"/>
  <c r="V2560" i="3"/>
  <c r="V2615" i="3"/>
  <c r="V2663" i="3"/>
  <c r="V2716" i="3"/>
  <c r="V2748" i="3"/>
  <c r="V2785" i="3"/>
  <c r="V2795" i="3"/>
  <c r="V2807" i="3"/>
  <c r="V2819" i="3"/>
  <c r="V2848" i="3"/>
  <c r="V2856" i="3"/>
  <c r="V2869" i="3"/>
  <c r="V2879" i="3"/>
  <c r="V3049" i="3"/>
  <c r="V3064" i="3"/>
  <c r="V3153" i="3"/>
  <c r="V3155" i="3"/>
  <c r="V3215" i="3"/>
  <c r="V3227" i="3"/>
  <c r="V3263" i="3"/>
  <c r="V3264" i="3"/>
  <c r="V3393" i="3"/>
  <c r="V3409" i="3"/>
  <c r="V3544" i="3"/>
  <c r="V3623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7" i="3"/>
  <c r="W2278" i="3"/>
  <c r="W2280" i="3"/>
  <c r="W2281" i="3"/>
  <c r="W2282" i="3"/>
  <c r="W2283" i="3"/>
  <c r="W2284" i="3"/>
  <c r="W2286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9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6" i="3"/>
  <c r="W3153" i="3"/>
  <c r="W3154" i="3"/>
  <c r="W3155" i="3"/>
  <c r="W3156" i="3"/>
  <c r="W3157" i="3"/>
  <c r="W3158" i="3"/>
  <c r="W3159" i="3"/>
  <c r="W3161" i="3"/>
  <c r="W3162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7" i="3"/>
  <c r="X2278" i="3"/>
  <c r="X2280" i="3"/>
  <c r="X2281" i="3"/>
  <c r="X2282" i="3"/>
  <c r="X2283" i="3"/>
  <c r="X2284" i="3"/>
  <c r="X2286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9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51" i="3"/>
  <c r="X3052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4" i="3"/>
  <c r="X3146" i="3"/>
  <c r="X3153" i="3"/>
  <c r="X3154" i="3"/>
  <c r="X3155" i="3"/>
  <c r="X3156" i="3"/>
  <c r="X3157" i="3"/>
  <c r="X3158" i="3"/>
  <c r="X3159" i="3"/>
  <c r="X3161" i="3"/>
  <c r="X3162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2" i="3"/>
  <c r="X3184" i="3"/>
  <c r="X3185" i="3"/>
  <c r="X3186" i="3"/>
  <c r="X3187" i="3"/>
  <c r="X3188" i="3"/>
  <c r="X3189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3238" i="3"/>
  <c r="X3239" i="3"/>
  <c r="X3240" i="3"/>
  <c r="X3241" i="3"/>
  <c r="X3242" i="3"/>
  <c r="X3243" i="3"/>
  <c r="X3244" i="3"/>
  <c r="X3245" i="3"/>
  <c r="X3246" i="3"/>
  <c r="X3247" i="3"/>
  <c r="X3248" i="3"/>
  <c r="X3249" i="3"/>
  <c r="X3250" i="3"/>
  <c r="X3251" i="3"/>
  <c r="X3252" i="3"/>
  <c r="X3253" i="3"/>
  <c r="X3254" i="3"/>
  <c r="X3255" i="3"/>
  <c r="X3256" i="3"/>
  <c r="X3257" i="3"/>
  <c r="X3258" i="3"/>
  <c r="X3259" i="3"/>
  <c r="X3260" i="3"/>
  <c r="X3261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0" i="3"/>
  <c r="X3301" i="3"/>
  <c r="X3302" i="3"/>
  <c r="X3307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343" i="3"/>
  <c r="X3344" i="3"/>
  <c r="X3345" i="3"/>
  <c r="X3346" i="3"/>
  <c r="X3347" i="3"/>
  <c r="X3348" i="3"/>
  <c r="X3349" i="3"/>
  <c r="X3350" i="3"/>
  <c r="X3351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4" i="3"/>
  <c r="X3365" i="3"/>
  <c r="X3366" i="3"/>
  <c r="X3367" i="3"/>
  <c r="X3368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4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2" i="3"/>
  <c r="X3453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472" i="3"/>
  <c r="X3473" i="3"/>
  <c r="X3474" i="3"/>
  <c r="X3475" i="3"/>
  <c r="X3476" i="3"/>
  <c r="X3477" i="3"/>
  <c r="X3478" i="3"/>
  <c r="X3479" i="3"/>
  <c r="X3480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3494" i="3"/>
  <c r="X3495" i="3"/>
  <c r="X3496" i="3"/>
  <c r="X3497" i="3"/>
  <c r="X3498" i="3"/>
  <c r="X3499" i="3"/>
  <c r="X3500" i="3"/>
  <c r="X3501" i="3"/>
  <c r="X3502" i="3"/>
  <c r="X3503" i="3"/>
  <c r="X3504" i="3"/>
  <c r="X3505" i="3"/>
  <c r="X3506" i="3"/>
  <c r="X3507" i="3"/>
  <c r="X3508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50" i="3"/>
  <c r="X3551" i="3"/>
  <c r="X3552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570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3656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3670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3685" i="3"/>
  <c r="X3686" i="3"/>
  <c r="X3687" i="3"/>
  <c r="X3688" i="3"/>
  <c r="X3689" i="3"/>
  <c r="X3690" i="3"/>
  <c r="X3691" i="3"/>
  <c r="X3692" i="3"/>
  <c r="X3693" i="3"/>
  <c r="X3694" i="3"/>
  <c r="X3695" i="3"/>
  <c r="X3696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0" i="3"/>
  <c r="X3741" i="3"/>
  <c r="X3742" i="3"/>
  <c r="X3743" i="3"/>
  <c r="X3744" i="3"/>
  <c r="X3745" i="3"/>
  <c r="X3746" i="3"/>
  <c r="X3747" i="3"/>
  <c r="X3748" i="3"/>
  <c r="X3749" i="3"/>
  <c r="X3750" i="3"/>
  <c r="X3751" i="3"/>
  <c r="X3752" i="3"/>
  <c r="X3753" i="3"/>
  <c r="X3754" i="3"/>
  <c r="X3755" i="3"/>
  <c r="X3756" i="3"/>
  <c r="X3757" i="3"/>
  <c r="X3758" i="3"/>
  <c r="X3759" i="3"/>
  <c r="X3760" i="3"/>
  <c r="X3761" i="3"/>
  <c r="X3762" i="3"/>
  <c r="X3763" i="3"/>
  <c r="X3764" i="3"/>
  <c r="X3765" i="3"/>
  <c r="X3766" i="3"/>
  <c r="M3" i="19" l="1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Q2138" i="3" l="1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S2138" i="3"/>
  <c r="T2138" i="3" s="1"/>
  <c r="S2139" i="3"/>
  <c r="T2139" i="3" s="1"/>
  <c r="S2140" i="3"/>
  <c r="T2140" i="3" s="1"/>
  <c r="S2141" i="3"/>
  <c r="T2141" i="3" s="1"/>
  <c r="S2142" i="3"/>
  <c r="T2142" i="3" s="1"/>
  <c r="S2143" i="3"/>
  <c r="T2143" i="3" s="1"/>
  <c r="S2144" i="3"/>
  <c r="T2144" i="3" s="1"/>
  <c r="S2145" i="3"/>
  <c r="T2145" i="3" s="1"/>
  <c r="S2146" i="3"/>
  <c r="T2146" i="3" s="1"/>
  <c r="S2147" i="3"/>
  <c r="T2147" i="3" s="1"/>
  <c r="S2148" i="3"/>
  <c r="T2148" i="3" s="1"/>
  <c r="S2149" i="3"/>
  <c r="T2149" i="3" s="1"/>
  <c r="S2150" i="3"/>
  <c r="T2150" i="3" s="1"/>
  <c r="S2151" i="3"/>
  <c r="T2151" i="3" s="1"/>
  <c r="S2152" i="3"/>
  <c r="T2152" i="3" s="1"/>
  <c r="S2153" i="3"/>
  <c r="T2153" i="3" s="1"/>
  <c r="S2154" i="3"/>
  <c r="T2154" i="3" s="1"/>
  <c r="S2155" i="3"/>
  <c r="T2155" i="3" s="1"/>
  <c r="S2156" i="3"/>
  <c r="T2156" i="3" s="1"/>
  <c r="S2157" i="3"/>
  <c r="T2157" i="3" s="1"/>
  <c r="S2158" i="3"/>
  <c r="T2158" i="3" s="1"/>
  <c r="S2159" i="3"/>
  <c r="T2159" i="3" s="1"/>
  <c r="S2160" i="3"/>
  <c r="T2160" i="3" s="1"/>
  <c r="S2161" i="3"/>
  <c r="T2161" i="3" s="1"/>
  <c r="S2162" i="3"/>
  <c r="T2162" i="3" s="1"/>
  <c r="S2163" i="3"/>
  <c r="T2163" i="3" s="1"/>
  <c r="S2164" i="3"/>
  <c r="T2164" i="3" s="1"/>
  <c r="S2165" i="3"/>
  <c r="T2165" i="3" s="1"/>
  <c r="S2166" i="3"/>
  <c r="T2166" i="3" s="1"/>
  <c r="S2167" i="3"/>
  <c r="T2167" i="3" s="1"/>
  <c r="S2168" i="3"/>
  <c r="T2168" i="3" s="1"/>
  <c r="S2169" i="3"/>
  <c r="T2169" i="3" s="1"/>
  <c r="S2170" i="3"/>
  <c r="T2170" i="3" s="1"/>
  <c r="S2171" i="3"/>
  <c r="T2171" i="3" s="1"/>
  <c r="S2172" i="3"/>
  <c r="T2172" i="3" s="1"/>
  <c r="S2173" i="3"/>
  <c r="T2173" i="3" s="1"/>
  <c r="S2174" i="3"/>
  <c r="T2174" i="3" s="1"/>
  <c r="S2175" i="3"/>
  <c r="T2175" i="3" s="1"/>
  <c r="S2176" i="3"/>
  <c r="T2176" i="3" s="1"/>
  <c r="S2177" i="3"/>
  <c r="T2177" i="3" s="1"/>
  <c r="S2178" i="3"/>
  <c r="T2178" i="3" s="1"/>
  <c r="S2179" i="3"/>
  <c r="T2179" i="3" s="1"/>
  <c r="S2180" i="3"/>
  <c r="T2180" i="3" s="1"/>
  <c r="S2181" i="3"/>
  <c r="T2181" i="3" s="1"/>
  <c r="S2182" i="3"/>
  <c r="T2182" i="3" s="1"/>
  <c r="S2183" i="3"/>
  <c r="T2183" i="3" s="1"/>
  <c r="S2184" i="3"/>
  <c r="T2184" i="3" s="1"/>
  <c r="S2185" i="3"/>
  <c r="T2185" i="3" s="1"/>
  <c r="S2186" i="3"/>
  <c r="T2186" i="3" s="1"/>
  <c r="S2187" i="3"/>
  <c r="T2187" i="3" s="1"/>
  <c r="S2188" i="3"/>
  <c r="T2188" i="3" s="1"/>
  <c r="S2189" i="3"/>
  <c r="T2189" i="3" s="1"/>
  <c r="S2190" i="3"/>
  <c r="T2190" i="3" s="1"/>
  <c r="S2191" i="3"/>
  <c r="T2191" i="3" s="1"/>
  <c r="S2192" i="3"/>
  <c r="T2192" i="3" s="1"/>
  <c r="S2193" i="3"/>
  <c r="T2193" i="3" s="1"/>
  <c r="S2194" i="3"/>
  <c r="T2194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T2204" i="3" s="1"/>
  <c r="S2205" i="3"/>
  <c r="T2205" i="3" s="1"/>
  <c r="S2206" i="3"/>
  <c r="T2206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T2215" i="3" s="1"/>
  <c r="S2216" i="3"/>
  <c r="T2216" i="3" s="1"/>
  <c r="S2217" i="3"/>
  <c r="T2217" i="3" s="1"/>
  <c r="S2218" i="3"/>
  <c r="T2218" i="3" s="1"/>
  <c r="S2219" i="3"/>
  <c r="T2219" i="3" s="1"/>
  <c r="S2220" i="3"/>
  <c r="T2220" i="3" s="1"/>
  <c r="S2221" i="3"/>
  <c r="T2221" i="3" s="1"/>
  <c r="S2222" i="3"/>
  <c r="T2222" i="3" s="1"/>
  <c r="S2223" i="3"/>
  <c r="T2223" i="3" s="1"/>
  <c r="S2224" i="3"/>
  <c r="T2224" i="3" s="1"/>
  <c r="S2225" i="3"/>
  <c r="T2225" i="3" s="1"/>
  <c r="S2226" i="3"/>
  <c r="T2226" i="3" s="1"/>
  <c r="S2227" i="3"/>
  <c r="T2227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2234" i="3"/>
  <c r="T2234" i="3" s="1"/>
  <c r="S2235" i="3"/>
  <c r="T2235" i="3" s="1"/>
  <c r="S2236" i="3"/>
  <c r="T2236" i="3" s="1"/>
  <c r="S2237" i="3"/>
  <c r="T2237" i="3" s="1"/>
  <c r="S2238" i="3"/>
  <c r="T2238" i="3" s="1"/>
  <c r="S2239" i="3"/>
  <c r="T2239" i="3" s="1"/>
  <c r="S2240" i="3"/>
  <c r="T2240" i="3" s="1"/>
  <c r="S2241" i="3"/>
  <c r="T2241" i="3" s="1"/>
  <c r="S2242" i="3"/>
  <c r="T2242" i="3" s="1"/>
  <c r="U2138" i="3"/>
  <c r="V2138" i="3" s="1"/>
  <c r="U2139" i="3"/>
  <c r="V2139" i="3" s="1"/>
  <c r="U2140" i="3"/>
  <c r="V2140" i="3" s="1"/>
  <c r="U2141" i="3"/>
  <c r="V2141" i="3" s="1"/>
  <c r="U2142" i="3"/>
  <c r="V2142" i="3" s="1"/>
  <c r="U2143" i="3"/>
  <c r="V2143" i="3" s="1"/>
  <c r="U2144" i="3"/>
  <c r="V2144" i="3" s="1"/>
  <c r="U2145" i="3"/>
  <c r="V2145" i="3" s="1"/>
  <c r="U2146" i="3"/>
  <c r="V2146" i="3" s="1"/>
  <c r="U2147" i="3"/>
  <c r="V2147" i="3" s="1"/>
  <c r="U2148" i="3"/>
  <c r="V2148" i="3" s="1"/>
  <c r="U2149" i="3"/>
  <c r="V2149" i="3" s="1"/>
  <c r="U2150" i="3"/>
  <c r="V2150" i="3" s="1"/>
  <c r="U2151" i="3"/>
  <c r="V2151" i="3" s="1"/>
  <c r="U2152" i="3"/>
  <c r="V2152" i="3" s="1"/>
  <c r="U2153" i="3"/>
  <c r="V2153" i="3" s="1"/>
  <c r="U2154" i="3"/>
  <c r="V2154" i="3" s="1"/>
  <c r="U2155" i="3"/>
  <c r="V2155" i="3" s="1"/>
  <c r="U2156" i="3"/>
  <c r="V2156" i="3" s="1"/>
  <c r="U2157" i="3"/>
  <c r="V2157" i="3" s="1"/>
  <c r="U2158" i="3"/>
  <c r="V2158" i="3" s="1"/>
  <c r="U2159" i="3"/>
  <c r="V2159" i="3" s="1"/>
  <c r="U2160" i="3"/>
  <c r="V2160" i="3" s="1"/>
  <c r="U2161" i="3"/>
  <c r="V2161" i="3" s="1"/>
  <c r="U2162" i="3"/>
  <c r="V2162" i="3" s="1"/>
  <c r="U2163" i="3"/>
  <c r="V2163" i="3" s="1"/>
  <c r="U2164" i="3"/>
  <c r="V2164" i="3" s="1"/>
  <c r="V2165" i="3"/>
  <c r="V2166" i="3"/>
  <c r="U2167" i="3"/>
  <c r="V2167" i="3" s="1"/>
  <c r="U2168" i="3"/>
  <c r="V2168" i="3" s="1"/>
  <c r="U2169" i="3"/>
  <c r="V2169" i="3" s="1"/>
  <c r="U2170" i="3"/>
  <c r="V2170" i="3" s="1"/>
  <c r="U2171" i="3"/>
  <c r="V2171" i="3" s="1"/>
  <c r="U2172" i="3"/>
  <c r="V2172" i="3" s="1"/>
  <c r="U2173" i="3"/>
  <c r="V2173" i="3" s="1"/>
  <c r="U2174" i="3"/>
  <c r="V2174" i="3" s="1"/>
  <c r="U2175" i="3"/>
  <c r="V2175" i="3" s="1"/>
  <c r="U2176" i="3"/>
  <c r="V2176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3" i="3"/>
  <c r="V2183" i="3" s="1"/>
  <c r="U2184" i="3"/>
  <c r="V2184" i="3" s="1"/>
  <c r="U2185" i="3"/>
  <c r="V2185" i="3" s="1"/>
  <c r="U2186" i="3"/>
  <c r="V2186" i="3" s="1"/>
  <c r="U2187" i="3"/>
  <c r="V2187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4" i="3"/>
  <c r="V2194" i="3" s="1"/>
  <c r="U2195" i="3"/>
  <c r="V2195" i="3" s="1"/>
  <c r="U2196" i="3"/>
  <c r="V2196" i="3" s="1"/>
  <c r="U2197" i="3"/>
  <c r="V2197" i="3" s="1"/>
  <c r="U2198" i="3"/>
  <c r="V2198" i="3" s="1"/>
  <c r="U2199" i="3"/>
  <c r="V2199" i="3" s="1"/>
  <c r="U2200" i="3"/>
  <c r="V2200" i="3" s="1"/>
  <c r="U2201" i="3"/>
  <c r="V2201" i="3" s="1"/>
  <c r="U2202" i="3"/>
  <c r="V2202" i="3" s="1"/>
  <c r="U2203" i="3"/>
  <c r="V2203" i="3" s="1"/>
  <c r="U2204" i="3"/>
  <c r="V2204" i="3" s="1"/>
  <c r="U2205" i="3"/>
  <c r="V2205" i="3" s="1"/>
  <c r="U2206" i="3"/>
  <c r="V2206" i="3" s="1"/>
  <c r="U2207" i="3"/>
  <c r="V2207" i="3" s="1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V2213" i="3" s="1"/>
  <c r="U2214" i="3"/>
  <c r="V2214" i="3" s="1"/>
  <c r="U2215" i="3"/>
  <c r="V2215" i="3" s="1"/>
  <c r="U2216" i="3"/>
  <c r="V2216" i="3" s="1"/>
  <c r="U2217" i="3"/>
  <c r="V2217" i="3" s="1"/>
  <c r="U2218" i="3"/>
  <c r="V2218" i="3" s="1"/>
  <c r="U2219" i="3"/>
  <c r="V2219" i="3" s="1"/>
  <c r="U2220" i="3"/>
  <c r="V2220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6" i="3"/>
  <c r="V2226" i="3" s="1"/>
  <c r="U2227" i="3"/>
  <c r="V2227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U2234" i="3"/>
  <c r="V2234" i="3" s="1"/>
  <c r="U2235" i="3"/>
  <c r="V2235" i="3" s="1"/>
  <c r="U2236" i="3"/>
  <c r="V2236" i="3" s="1"/>
  <c r="U2237" i="3"/>
  <c r="V2237" i="3" s="1"/>
  <c r="U2238" i="3"/>
  <c r="V2238" i="3" s="1"/>
  <c r="U2239" i="3"/>
  <c r="V2239" i="3" s="1"/>
  <c r="U2240" i="3"/>
  <c r="V2240" i="3" s="1"/>
  <c r="U2241" i="3"/>
  <c r="V2241" i="3" s="1"/>
  <c r="U2242" i="3"/>
  <c r="V2242" i="3" s="1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M2" i="19" l="1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C30" i="16"/>
  <c r="D30" i="16"/>
  <c r="E30" i="16"/>
  <c r="F30" i="16"/>
  <c r="G30" i="16"/>
  <c r="H30" i="16"/>
  <c r="I30" i="16"/>
  <c r="J30" i="16"/>
  <c r="K30" i="16"/>
  <c r="L30" i="16"/>
  <c r="M17" i="20"/>
  <c r="M18" i="20"/>
  <c r="M19" i="20"/>
  <c r="M20" i="20"/>
  <c r="M21" i="20"/>
  <c r="M22" i="20"/>
  <c r="M23" i="20"/>
  <c r="M24" i="20"/>
  <c r="M2" i="20"/>
  <c r="C25" i="20"/>
  <c r="D25" i="20"/>
  <c r="E25" i="20"/>
  <c r="F25" i="20"/>
  <c r="G25" i="20"/>
  <c r="H25" i="20"/>
  <c r="I25" i="20"/>
  <c r="J25" i="20"/>
  <c r="K25" i="20"/>
  <c r="L25" i="20"/>
  <c r="M25" i="20" l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4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20" i="3"/>
  <c r="Q121" i="3"/>
  <c r="Q122" i="3"/>
  <c r="Q123" i="3"/>
  <c r="Q124" i="3"/>
  <c r="Q125" i="3"/>
  <c r="Q126" i="3"/>
  <c r="Q127" i="3"/>
  <c r="Q128" i="3"/>
  <c r="Q130" i="3"/>
  <c r="Q131" i="3"/>
  <c r="Q132" i="3"/>
  <c r="Q133" i="3"/>
  <c r="Q135" i="3"/>
  <c r="Q136" i="3"/>
  <c r="Q137" i="3"/>
  <c r="Q138" i="3"/>
  <c r="Q139" i="3"/>
  <c r="Q140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3" i="3"/>
  <c r="Q384" i="3"/>
  <c r="Q386" i="3"/>
  <c r="Q387" i="3"/>
  <c r="Q388" i="3"/>
  <c r="Q389" i="3"/>
  <c r="Q390" i="3"/>
  <c r="Q392" i="3"/>
  <c r="Q393" i="3"/>
  <c r="Q394" i="3"/>
  <c r="Q395" i="3"/>
  <c r="Q396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2" i="3"/>
  <c r="Q483" i="3"/>
  <c r="Q484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7" i="3"/>
  <c r="Q988" i="3"/>
  <c r="Q989" i="3"/>
  <c r="Q990" i="3"/>
  <c r="Q991" i="3"/>
  <c r="Q992" i="3"/>
  <c r="Q993" i="3"/>
  <c r="Q994" i="3"/>
  <c r="Q995" i="3"/>
  <c r="Q996" i="3"/>
  <c r="Q997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70" i="3"/>
  <c r="Q1972" i="3"/>
  <c r="Q1973" i="3"/>
  <c r="Q1974" i="3"/>
  <c r="Q1977" i="3"/>
  <c r="Q1978" i="3"/>
  <c r="Q1980" i="3"/>
  <c r="Q1981" i="3"/>
  <c r="Q1982" i="3"/>
  <c r="Q1983" i="3"/>
  <c r="Q1985" i="3"/>
  <c r="Q1986" i="3"/>
  <c r="Q1987" i="3"/>
  <c r="Q1989" i="3"/>
  <c r="Q1990" i="3"/>
  <c r="Q1991" i="3"/>
  <c r="Q1992" i="3"/>
  <c r="Q1993" i="3"/>
  <c r="Q1994" i="3"/>
  <c r="Q1996" i="3"/>
  <c r="Q1997" i="3"/>
  <c r="Q1998" i="3"/>
  <c r="Q1999" i="3"/>
  <c r="Q2000" i="3"/>
  <c r="Q2001" i="3"/>
  <c r="Q2003" i="3"/>
  <c r="Q2004" i="3"/>
  <c r="Q2005" i="3"/>
  <c r="Q2006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8" i="3"/>
  <c r="Q2039" i="3"/>
  <c r="Q2040" i="3"/>
  <c r="Q2041" i="3"/>
  <c r="Q2042" i="3"/>
  <c r="Q2043" i="3"/>
  <c r="Q2044" i="3"/>
  <c r="Q2045" i="3"/>
  <c r="Q2047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S3" i="3"/>
  <c r="T3" i="3" s="1"/>
  <c r="S4" i="3"/>
  <c r="T4" i="3" s="1"/>
  <c r="S5" i="3"/>
  <c r="T5" i="3" s="1"/>
  <c r="S6" i="3"/>
  <c r="T6" i="3" s="1"/>
  <c r="S7" i="3"/>
  <c r="T7" i="3" s="1"/>
  <c r="S8" i="3"/>
  <c r="T8" i="3" s="1"/>
  <c r="S9" i="3"/>
  <c r="T9" i="3" s="1"/>
  <c r="S10" i="3"/>
  <c r="T10" i="3" s="1"/>
  <c r="S11" i="3"/>
  <c r="T11" i="3" s="1"/>
  <c r="S12" i="3"/>
  <c r="T12" i="3" s="1"/>
  <c r="S13" i="3"/>
  <c r="T13" i="3" s="1"/>
  <c r="S14" i="3"/>
  <c r="T14" i="3" s="1"/>
  <c r="S15" i="3"/>
  <c r="T15" i="3" s="1"/>
  <c r="S16" i="3"/>
  <c r="T16" i="3" s="1"/>
  <c r="S17" i="3"/>
  <c r="T17" i="3" s="1"/>
  <c r="S18" i="3"/>
  <c r="T18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6" i="3"/>
  <c r="T26" i="3" s="1"/>
  <c r="S27" i="3"/>
  <c r="T27" i="3" s="1"/>
  <c r="S28" i="3"/>
  <c r="T28" i="3" s="1"/>
  <c r="S29" i="3"/>
  <c r="T29" i="3" s="1"/>
  <c r="S30" i="3"/>
  <c r="T30" i="3" s="1"/>
  <c r="S31" i="3"/>
  <c r="T31" i="3" s="1"/>
  <c r="S32" i="3"/>
  <c r="T32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41" i="3"/>
  <c r="T41" i="3" s="1"/>
  <c r="S42" i="3"/>
  <c r="T42" i="3" s="1"/>
  <c r="S43" i="3"/>
  <c r="T43" i="3" s="1"/>
  <c r="S44" i="3"/>
  <c r="T44" i="3" s="1"/>
  <c r="S45" i="3"/>
  <c r="T45" i="3" s="1"/>
  <c r="S46" i="3"/>
  <c r="T46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9" i="3"/>
  <c r="T59" i="3" s="1"/>
  <c r="S60" i="3"/>
  <c r="T60" i="3" s="1"/>
  <c r="S61" i="3"/>
  <c r="T61" i="3" s="1"/>
  <c r="S62" i="3"/>
  <c r="T62" i="3" s="1"/>
  <c r="S63" i="3"/>
  <c r="T63" i="3" s="1"/>
  <c r="S64" i="3"/>
  <c r="T64" i="3" s="1"/>
  <c r="S65" i="3"/>
  <c r="T65" i="3" s="1"/>
  <c r="S66" i="3"/>
  <c r="T66" i="3" s="1"/>
  <c r="S67" i="3"/>
  <c r="T67" i="3" s="1"/>
  <c r="S68" i="3"/>
  <c r="T68" i="3" s="1"/>
  <c r="S69" i="3"/>
  <c r="T69" i="3" s="1"/>
  <c r="S70" i="3"/>
  <c r="T70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89" i="3"/>
  <c r="T89" i="3" s="1"/>
  <c r="S90" i="3"/>
  <c r="T90" i="3" s="1"/>
  <c r="S91" i="3"/>
  <c r="T91" i="3" s="1"/>
  <c r="S92" i="3"/>
  <c r="T92" i="3" s="1"/>
  <c r="S93" i="3"/>
  <c r="T93" i="3" s="1"/>
  <c r="S94" i="3"/>
  <c r="T94" i="3" s="1"/>
  <c r="S95" i="3"/>
  <c r="T95" i="3" s="1"/>
  <c r="S96" i="3"/>
  <c r="T96" i="3" s="1"/>
  <c r="S97" i="3"/>
  <c r="T97" i="3" s="1"/>
  <c r="S98" i="3"/>
  <c r="T98" i="3" s="1"/>
  <c r="S99" i="3"/>
  <c r="T99" i="3" s="1"/>
  <c r="S100" i="3"/>
  <c r="T100" i="3" s="1"/>
  <c r="S101" i="3"/>
  <c r="T101" i="3" s="1"/>
  <c r="S102" i="3"/>
  <c r="T102" i="3" s="1"/>
  <c r="S103" i="3"/>
  <c r="T103" i="3" s="1"/>
  <c r="S104" i="3"/>
  <c r="T104" i="3" s="1"/>
  <c r="S141" i="3"/>
  <c r="T141" i="3" s="1"/>
  <c r="S106" i="3"/>
  <c r="T106" i="3" s="1"/>
  <c r="S107" i="3"/>
  <c r="T107" i="3" s="1"/>
  <c r="S108" i="3"/>
  <c r="T108" i="3" s="1"/>
  <c r="S109" i="3"/>
  <c r="T109" i="3" s="1"/>
  <c r="S110" i="3"/>
  <c r="T110" i="3" s="1"/>
  <c r="S111" i="3"/>
  <c r="T111" i="3" s="1"/>
  <c r="S112" i="3"/>
  <c r="T112" i="3" s="1"/>
  <c r="S113" i="3"/>
  <c r="T113" i="3" s="1"/>
  <c r="S114" i="3"/>
  <c r="T114" i="3" s="1"/>
  <c r="S115" i="3"/>
  <c r="T115" i="3" s="1"/>
  <c r="S116" i="3"/>
  <c r="T116" i="3" s="1"/>
  <c r="S117" i="3"/>
  <c r="T117" i="3" s="1"/>
  <c r="S118" i="3"/>
  <c r="T118" i="3" s="1"/>
  <c r="S1984" i="3"/>
  <c r="T1984" i="3" s="1"/>
  <c r="S120" i="3"/>
  <c r="T120" i="3" s="1"/>
  <c r="S121" i="3"/>
  <c r="T121" i="3" s="1"/>
  <c r="S122" i="3"/>
  <c r="T122" i="3" s="1"/>
  <c r="S123" i="3"/>
  <c r="T123" i="3" s="1"/>
  <c r="S124" i="3"/>
  <c r="T124" i="3" s="1"/>
  <c r="S125" i="3"/>
  <c r="T125" i="3" s="1"/>
  <c r="S126" i="3"/>
  <c r="T126" i="3" s="1"/>
  <c r="S127" i="3"/>
  <c r="T127" i="3" s="1"/>
  <c r="S128" i="3"/>
  <c r="T128" i="3" s="1"/>
  <c r="S119" i="3"/>
  <c r="T119" i="3" s="1"/>
  <c r="S130" i="3"/>
  <c r="T130" i="3" s="1"/>
  <c r="S131" i="3"/>
  <c r="T131" i="3" s="1"/>
  <c r="S132" i="3"/>
  <c r="T132" i="3" s="1"/>
  <c r="S133" i="3"/>
  <c r="T133" i="3" s="1"/>
  <c r="S105" i="3"/>
  <c r="T105" i="3" s="1"/>
  <c r="S135" i="3"/>
  <c r="T135" i="3" s="1"/>
  <c r="S136" i="3"/>
  <c r="T136" i="3" s="1"/>
  <c r="S137" i="3"/>
  <c r="T137" i="3" s="1"/>
  <c r="S138" i="3"/>
  <c r="T138" i="3" s="1"/>
  <c r="S139" i="3"/>
  <c r="T139" i="3" s="1"/>
  <c r="S140" i="3"/>
  <c r="T140" i="3" s="1"/>
  <c r="S160" i="3"/>
  <c r="T160" i="3" s="1"/>
  <c r="S142" i="3"/>
  <c r="T142" i="3" s="1"/>
  <c r="S143" i="3"/>
  <c r="T143" i="3" s="1"/>
  <c r="S144" i="3"/>
  <c r="T144" i="3" s="1"/>
  <c r="S145" i="3"/>
  <c r="T145" i="3" s="1"/>
  <c r="S146" i="3"/>
  <c r="T146" i="3" s="1"/>
  <c r="S147" i="3"/>
  <c r="T147" i="3" s="1"/>
  <c r="S148" i="3"/>
  <c r="T148" i="3" s="1"/>
  <c r="S149" i="3"/>
  <c r="T149" i="3" s="1"/>
  <c r="S150" i="3"/>
  <c r="T150" i="3" s="1"/>
  <c r="S151" i="3"/>
  <c r="T151" i="3" s="1"/>
  <c r="S152" i="3"/>
  <c r="T152" i="3" s="1"/>
  <c r="S153" i="3"/>
  <c r="T153" i="3" s="1"/>
  <c r="S154" i="3"/>
  <c r="T154" i="3" s="1"/>
  <c r="S155" i="3"/>
  <c r="T155" i="3" s="1"/>
  <c r="S156" i="3"/>
  <c r="T156" i="3" s="1"/>
  <c r="S157" i="3"/>
  <c r="T157" i="3" s="1"/>
  <c r="S158" i="3"/>
  <c r="T158" i="3" s="1"/>
  <c r="S159" i="3"/>
  <c r="T159" i="3" s="1"/>
  <c r="S359" i="3"/>
  <c r="T359" i="3" s="1"/>
  <c r="S161" i="3"/>
  <c r="T161" i="3" s="1"/>
  <c r="S162" i="3"/>
  <c r="T162" i="3" s="1"/>
  <c r="S163" i="3"/>
  <c r="T163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3" i="3"/>
  <c r="T183" i="3" s="1"/>
  <c r="S184" i="3"/>
  <c r="T184" i="3" s="1"/>
  <c r="S185" i="3"/>
  <c r="T185" i="3" s="1"/>
  <c r="S186" i="3"/>
  <c r="T186" i="3" s="1"/>
  <c r="S187" i="3"/>
  <c r="T187" i="3" s="1"/>
  <c r="S188" i="3"/>
  <c r="T188" i="3" s="1"/>
  <c r="S189" i="3"/>
  <c r="T189" i="3" s="1"/>
  <c r="S190" i="3"/>
  <c r="T190" i="3" s="1"/>
  <c r="S191" i="3"/>
  <c r="T191" i="3" s="1"/>
  <c r="S192" i="3"/>
  <c r="T192" i="3" s="1"/>
  <c r="S193" i="3"/>
  <c r="T193" i="3" s="1"/>
  <c r="S194" i="3"/>
  <c r="T194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T201" i="3" s="1"/>
  <c r="S202" i="3"/>
  <c r="T202" i="3" s="1"/>
  <c r="S203" i="3"/>
  <c r="T203" i="3" s="1"/>
  <c r="S204" i="3"/>
  <c r="T204" i="3" s="1"/>
  <c r="S205" i="3"/>
  <c r="T205" i="3" s="1"/>
  <c r="S206" i="3"/>
  <c r="T206" i="3" s="1"/>
  <c r="S207" i="3"/>
  <c r="T207" i="3" s="1"/>
  <c r="S208" i="3"/>
  <c r="T208" i="3" s="1"/>
  <c r="S209" i="3"/>
  <c r="T209" i="3" s="1"/>
  <c r="S210" i="3"/>
  <c r="T210" i="3" s="1"/>
  <c r="S211" i="3"/>
  <c r="T211" i="3" s="1"/>
  <c r="S212" i="3"/>
  <c r="T212" i="3" s="1"/>
  <c r="S213" i="3"/>
  <c r="T213" i="3" s="1"/>
  <c r="S214" i="3"/>
  <c r="T214" i="3" s="1"/>
  <c r="S215" i="3"/>
  <c r="T215" i="3" s="1"/>
  <c r="S216" i="3"/>
  <c r="S217" i="3"/>
  <c r="T217" i="3" s="1"/>
  <c r="S218" i="3"/>
  <c r="T218" i="3" s="1"/>
  <c r="S219" i="3"/>
  <c r="T219" i="3" s="1"/>
  <c r="S220" i="3"/>
  <c r="T220" i="3" s="1"/>
  <c r="S221" i="3"/>
  <c r="T221" i="3" s="1"/>
  <c r="S222" i="3"/>
  <c r="T222" i="3" s="1"/>
  <c r="S223" i="3"/>
  <c r="T223" i="3" s="1"/>
  <c r="S224" i="3"/>
  <c r="T224" i="3" s="1"/>
  <c r="S225" i="3"/>
  <c r="T225" i="3" s="1"/>
  <c r="S226" i="3"/>
  <c r="T226" i="3" s="1"/>
  <c r="S227" i="3"/>
  <c r="T227" i="3" s="1"/>
  <c r="S228" i="3"/>
  <c r="S229" i="3"/>
  <c r="T229" i="3" s="1"/>
  <c r="S230" i="3"/>
  <c r="T230" i="3" s="1"/>
  <c r="S231" i="3"/>
  <c r="T231" i="3" s="1"/>
  <c r="S232" i="3"/>
  <c r="T232" i="3" s="1"/>
  <c r="S233" i="3"/>
  <c r="T233" i="3" s="1"/>
  <c r="S234" i="3"/>
  <c r="T234" i="3" s="1"/>
  <c r="S235" i="3"/>
  <c r="T235" i="3" s="1"/>
  <c r="S236" i="3"/>
  <c r="T236" i="3" s="1"/>
  <c r="S237" i="3"/>
  <c r="T237" i="3" s="1"/>
  <c r="S238" i="3"/>
  <c r="T238" i="3" s="1"/>
  <c r="S239" i="3"/>
  <c r="T239" i="3" s="1"/>
  <c r="S240" i="3"/>
  <c r="T240" i="3" s="1"/>
  <c r="S241" i="3"/>
  <c r="T241" i="3" s="1"/>
  <c r="S242" i="3"/>
  <c r="T242" i="3" s="1"/>
  <c r="S243" i="3"/>
  <c r="T243" i="3" s="1"/>
  <c r="S1988" i="3"/>
  <c r="T1988" i="3" s="1"/>
  <c r="S245" i="3"/>
  <c r="T245" i="3" s="1"/>
  <c r="S246" i="3"/>
  <c r="T246" i="3" s="1"/>
  <c r="S247" i="3"/>
  <c r="T247" i="3" s="1"/>
  <c r="S248" i="3"/>
  <c r="T248" i="3" s="1"/>
  <c r="S249" i="3"/>
  <c r="T249" i="3" s="1"/>
  <c r="S250" i="3"/>
  <c r="T250" i="3" s="1"/>
  <c r="S251" i="3"/>
  <c r="T251" i="3" s="1"/>
  <c r="S252" i="3"/>
  <c r="S253" i="3"/>
  <c r="T253" i="3" s="1"/>
  <c r="S254" i="3"/>
  <c r="T254" i="3" s="1"/>
  <c r="S255" i="3"/>
  <c r="T255" i="3" s="1"/>
  <c r="S256" i="3"/>
  <c r="T256" i="3" s="1"/>
  <c r="S257" i="3"/>
  <c r="T257" i="3" s="1"/>
  <c r="S258" i="3"/>
  <c r="T258" i="3" s="1"/>
  <c r="S259" i="3"/>
  <c r="T259" i="3" s="1"/>
  <c r="S260" i="3"/>
  <c r="T260" i="3" s="1"/>
  <c r="S261" i="3"/>
  <c r="T261" i="3" s="1"/>
  <c r="S262" i="3"/>
  <c r="T262" i="3" s="1"/>
  <c r="S263" i="3"/>
  <c r="T263" i="3" s="1"/>
  <c r="S264" i="3"/>
  <c r="S265" i="3"/>
  <c r="T265" i="3" s="1"/>
  <c r="S266" i="3"/>
  <c r="T266" i="3" s="1"/>
  <c r="S267" i="3"/>
  <c r="T267" i="3" s="1"/>
  <c r="S268" i="3"/>
  <c r="T268" i="3" s="1"/>
  <c r="S269" i="3"/>
  <c r="T269" i="3" s="1"/>
  <c r="S270" i="3"/>
  <c r="T270" i="3" s="1"/>
  <c r="S271" i="3"/>
  <c r="T271" i="3" s="1"/>
  <c r="S272" i="3"/>
  <c r="T272" i="3" s="1"/>
  <c r="S273" i="3"/>
  <c r="T273" i="3" s="1"/>
  <c r="S274" i="3"/>
  <c r="T274" i="3" s="1"/>
  <c r="S275" i="3"/>
  <c r="T275" i="3" s="1"/>
  <c r="S276" i="3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284" i="3"/>
  <c r="T284" i="3" s="1"/>
  <c r="S285" i="3"/>
  <c r="T285" i="3" s="1"/>
  <c r="S286" i="3"/>
  <c r="T286" i="3" s="1"/>
  <c r="S287" i="3"/>
  <c r="T287" i="3" s="1"/>
  <c r="S288" i="3"/>
  <c r="S289" i="3"/>
  <c r="T289" i="3" s="1"/>
  <c r="S290" i="3"/>
  <c r="T290" i="3" s="1"/>
  <c r="S291" i="3"/>
  <c r="T291" i="3" s="1"/>
  <c r="S292" i="3"/>
  <c r="T292" i="3" s="1"/>
  <c r="S293" i="3"/>
  <c r="T293" i="3" s="1"/>
  <c r="S294" i="3"/>
  <c r="T294" i="3" s="1"/>
  <c r="S295" i="3"/>
  <c r="T295" i="3" s="1"/>
  <c r="S296" i="3"/>
  <c r="T296" i="3" s="1"/>
  <c r="S297" i="3"/>
  <c r="T297" i="3" s="1"/>
  <c r="S298" i="3"/>
  <c r="T298" i="3" s="1"/>
  <c r="S299" i="3"/>
  <c r="T299" i="3" s="1"/>
  <c r="S300" i="3"/>
  <c r="S301" i="3"/>
  <c r="T301" i="3" s="1"/>
  <c r="S302" i="3"/>
  <c r="T302" i="3" s="1"/>
  <c r="S303" i="3"/>
  <c r="T303" i="3" s="1"/>
  <c r="S304" i="3"/>
  <c r="T304" i="3" s="1"/>
  <c r="S305" i="3"/>
  <c r="T305" i="3" s="1"/>
  <c r="S306" i="3"/>
  <c r="T306" i="3" s="1"/>
  <c r="S307" i="3"/>
  <c r="T307" i="3" s="1"/>
  <c r="S308" i="3"/>
  <c r="T308" i="3" s="1"/>
  <c r="S309" i="3"/>
  <c r="T309" i="3" s="1"/>
  <c r="S310" i="3"/>
  <c r="T310" i="3" s="1"/>
  <c r="S311" i="3"/>
  <c r="T311" i="3" s="1"/>
  <c r="S312" i="3"/>
  <c r="T312" i="3" s="1"/>
  <c r="S313" i="3"/>
  <c r="T313" i="3" s="1"/>
  <c r="S314" i="3"/>
  <c r="T314" i="3" s="1"/>
  <c r="S315" i="3"/>
  <c r="T315" i="3" s="1"/>
  <c r="S316" i="3"/>
  <c r="T316" i="3" s="1"/>
  <c r="S317" i="3"/>
  <c r="T317" i="3" s="1"/>
  <c r="S318" i="3"/>
  <c r="T318" i="3" s="1"/>
  <c r="S319" i="3"/>
  <c r="T319" i="3" s="1"/>
  <c r="S320" i="3"/>
  <c r="T320" i="3" s="1"/>
  <c r="S321" i="3"/>
  <c r="T321" i="3" s="1"/>
  <c r="S322" i="3"/>
  <c r="T322" i="3" s="1"/>
  <c r="S323" i="3"/>
  <c r="T323" i="3" s="1"/>
  <c r="S324" i="3"/>
  <c r="T324" i="3" s="1"/>
  <c r="S325" i="3"/>
  <c r="T325" i="3" s="1"/>
  <c r="S326" i="3"/>
  <c r="T326" i="3" s="1"/>
  <c r="S327" i="3"/>
  <c r="T327" i="3" s="1"/>
  <c r="S328" i="3"/>
  <c r="T328" i="3" s="1"/>
  <c r="S329" i="3"/>
  <c r="T329" i="3" s="1"/>
  <c r="S330" i="3"/>
  <c r="T330" i="3" s="1"/>
  <c r="S331" i="3"/>
  <c r="T331" i="3" s="1"/>
  <c r="S332" i="3"/>
  <c r="T332" i="3" s="1"/>
  <c r="S333" i="3"/>
  <c r="T333" i="3" s="1"/>
  <c r="S334" i="3"/>
  <c r="T334" i="3" s="1"/>
  <c r="S335" i="3"/>
  <c r="T335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134" i="3"/>
  <c r="T134" i="3" s="1"/>
  <c r="S360" i="3"/>
  <c r="T360" i="3" s="1"/>
  <c r="S361" i="3"/>
  <c r="T361" i="3" s="1"/>
  <c r="S362" i="3"/>
  <c r="T362" i="3" s="1"/>
  <c r="S363" i="3"/>
  <c r="T363" i="3" s="1"/>
  <c r="S364" i="3"/>
  <c r="T364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374" i="3"/>
  <c r="T374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915" i="3"/>
  <c r="T915" i="3" s="1"/>
  <c r="S392" i="3"/>
  <c r="T392" i="3" s="1"/>
  <c r="S393" i="3"/>
  <c r="T393" i="3" s="1"/>
  <c r="S394" i="3"/>
  <c r="T394" i="3" s="1"/>
  <c r="S395" i="3"/>
  <c r="T395" i="3" s="1"/>
  <c r="S396" i="3"/>
  <c r="T396" i="3" s="1"/>
  <c r="S397" i="3"/>
  <c r="T397" i="3" s="1"/>
  <c r="S398" i="3"/>
  <c r="T398" i="3" s="1"/>
  <c r="S399" i="3"/>
  <c r="T399" i="3" s="1"/>
  <c r="S400" i="3"/>
  <c r="T400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2" i="3"/>
  <c r="T412" i="3" s="1"/>
  <c r="S413" i="3"/>
  <c r="T413" i="3" s="1"/>
  <c r="S414" i="3"/>
  <c r="T414" i="3" s="1"/>
  <c r="S415" i="3"/>
  <c r="T415" i="3" s="1"/>
  <c r="S416" i="3"/>
  <c r="T416" i="3" s="1"/>
  <c r="S417" i="3"/>
  <c r="T417" i="3" s="1"/>
  <c r="S418" i="3"/>
  <c r="T418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T424" i="3" s="1"/>
  <c r="S425" i="3"/>
  <c r="T425" i="3" s="1"/>
  <c r="S426" i="3"/>
  <c r="T426" i="3" s="1"/>
  <c r="S427" i="3"/>
  <c r="T427" i="3" s="1"/>
  <c r="S428" i="3"/>
  <c r="T428" i="3" s="1"/>
  <c r="S429" i="3"/>
  <c r="T429" i="3" s="1"/>
  <c r="S430" i="3"/>
  <c r="T430" i="3" s="1"/>
  <c r="S431" i="3"/>
  <c r="T431" i="3" s="1"/>
  <c r="S432" i="3"/>
  <c r="T432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T440" i="3" s="1"/>
  <c r="S441" i="3"/>
  <c r="T441" i="3" s="1"/>
  <c r="S442" i="3"/>
  <c r="T442" i="3" s="1"/>
  <c r="S443" i="3"/>
  <c r="T443" i="3" s="1"/>
  <c r="S444" i="3"/>
  <c r="T444" i="3" s="1"/>
  <c r="S445" i="3"/>
  <c r="T445" i="3" s="1"/>
  <c r="S446" i="3"/>
  <c r="T446" i="3" s="1"/>
  <c r="S447" i="3"/>
  <c r="T447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6" i="3"/>
  <c r="T456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3" i="3"/>
  <c r="T463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6" i="3"/>
  <c r="T476" i="3" s="1"/>
  <c r="S477" i="3"/>
  <c r="T477" i="3" s="1"/>
  <c r="S478" i="3"/>
  <c r="T478" i="3" s="1"/>
  <c r="S479" i="3"/>
  <c r="T479" i="3" s="1"/>
  <c r="S480" i="3"/>
  <c r="T480" i="3" s="1"/>
  <c r="S391" i="3"/>
  <c r="T391" i="3" s="1"/>
  <c r="S482" i="3"/>
  <c r="T482" i="3" s="1"/>
  <c r="S483" i="3"/>
  <c r="T483" i="3" s="1"/>
  <c r="S484" i="3"/>
  <c r="T484" i="3" s="1"/>
  <c r="S485" i="3"/>
  <c r="T485" i="3" s="1"/>
  <c r="S486" i="3"/>
  <c r="T486" i="3" s="1"/>
  <c r="S487" i="3"/>
  <c r="T487" i="3" s="1"/>
  <c r="S488" i="3"/>
  <c r="T488" i="3" s="1"/>
  <c r="S489" i="3"/>
  <c r="T489" i="3" s="1"/>
  <c r="S490" i="3"/>
  <c r="T490" i="3" s="1"/>
  <c r="S491" i="3"/>
  <c r="T491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4" i="3"/>
  <c r="T504" i="3" s="1"/>
  <c r="S505" i="3"/>
  <c r="T505" i="3" s="1"/>
  <c r="S506" i="3"/>
  <c r="T506" i="3" s="1"/>
  <c r="S507" i="3"/>
  <c r="T507" i="3" s="1"/>
  <c r="S508" i="3"/>
  <c r="T508" i="3" s="1"/>
  <c r="S509" i="3"/>
  <c r="T509" i="3" s="1"/>
  <c r="S510" i="3"/>
  <c r="T510" i="3" s="1"/>
  <c r="S511" i="3"/>
  <c r="T511" i="3" s="1"/>
  <c r="S512" i="3"/>
  <c r="T512" i="3" s="1"/>
  <c r="S513" i="3"/>
  <c r="T513" i="3" s="1"/>
  <c r="S514" i="3"/>
  <c r="T514" i="3" s="1"/>
  <c r="S515" i="3"/>
  <c r="T515" i="3" s="1"/>
  <c r="S516" i="3"/>
  <c r="T516" i="3" s="1"/>
  <c r="S517" i="3"/>
  <c r="T517" i="3" s="1"/>
  <c r="S518" i="3"/>
  <c r="T518" i="3" s="1"/>
  <c r="S519" i="3"/>
  <c r="T519" i="3" s="1"/>
  <c r="S520" i="3"/>
  <c r="T520" i="3" s="1"/>
  <c r="S521" i="3"/>
  <c r="T521" i="3" s="1"/>
  <c r="S522" i="3"/>
  <c r="T522" i="3" s="1"/>
  <c r="S523" i="3"/>
  <c r="T523" i="3" s="1"/>
  <c r="S524" i="3"/>
  <c r="T524" i="3" s="1"/>
  <c r="S525" i="3"/>
  <c r="T525" i="3" s="1"/>
  <c r="S526" i="3"/>
  <c r="T526" i="3" s="1"/>
  <c r="S527" i="3"/>
  <c r="T527" i="3" s="1"/>
  <c r="S528" i="3"/>
  <c r="T528" i="3" s="1"/>
  <c r="S529" i="3"/>
  <c r="T529" i="3" s="1"/>
  <c r="S530" i="3"/>
  <c r="T530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37" i="3"/>
  <c r="T537" i="3" s="1"/>
  <c r="S538" i="3"/>
  <c r="T538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547" i="3"/>
  <c r="T547" i="3" s="1"/>
  <c r="S548" i="3"/>
  <c r="T548" i="3" s="1"/>
  <c r="S549" i="3"/>
  <c r="T549" i="3" s="1"/>
  <c r="S550" i="3"/>
  <c r="T550" i="3" s="1"/>
  <c r="S551" i="3"/>
  <c r="T551" i="3" s="1"/>
  <c r="S552" i="3"/>
  <c r="S553" i="3"/>
  <c r="T553" i="3" s="1"/>
  <c r="S554" i="3"/>
  <c r="T554" i="3" s="1"/>
  <c r="S555" i="3"/>
  <c r="T555" i="3" s="1"/>
  <c r="S556" i="3"/>
  <c r="T556" i="3" s="1"/>
  <c r="S557" i="3"/>
  <c r="T557" i="3" s="1"/>
  <c r="S558" i="3"/>
  <c r="T558" i="3" s="1"/>
  <c r="S559" i="3"/>
  <c r="T559" i="3" s="1"/>
  <c r="S560" i="3"/>
  <c r="T560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6" i="3"/>
  <c r="T576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615" i="3"/>
  <c r="T615" i="3" s="1"/>
  <c r="S616" i="3"/>
  <c r="T616" i="3" s="1"/>
  <c r="S617" i="3"/>
  <c r="T617" i="3" s="1"/>
  <c r="S618" i="3"/>
  <c r="T618" i="3" s="1"/>
  <c r="S619" i="3"/>
  <c r="T619" i="3" s="1"/>
  <c r="S620" i="3"/>
  <c r="T620" i="3" s="1"/>
  <c r="S621" i="3"/>
  <c r="T621" i="3" s="1"/>
  <c r="S622" i="3"/>
  <c r="T622" i="3" s="1"/>
  <c r="S623" i="3"/>
  <c r="T623" i="3" s="1"/>
  <c r="S624" i="3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T632" i="3" s="1"/>
  <c r="S633" i="3"/>
  <c r="T633" i="3" s="1"/>
  <c r="S634" i="3"/>
  <c r="T634" i="3" s="1"/>
  <c r="S635" i="3"/>
  <c r="T635" i="3" s="1"/>
  <c r="S636" i="3"/>
  <c r="S637" i="3"/>
  <c r="T637" i="3" s="1"/>
  <c r="S638" i="3"/>
  <c r="T638" i="3" s="1"/>
  <c r="S639" i="3"/>
  <c r="T639" i="3" s="1"/>
  <c r="S640" i="3"/>
  <c r="T640" i="3" s="1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S649" i="3"/>
  <c r="T649" i="3" s="1"/>
  <c r="S650" i="3"/>
  <c r="T650" i="3" s="1"/>
  <c r="S651" i="3"/>
  <c r="T651" i="3" s="1"/>
  <c r="S652" i="3"/>
  <c r="T652" i="3" s="1"/>
  <c r="S653" i="3"/>
  <c r="T653" i="3" s="1"/>
  <c r="S654" i="3"/>
  <c r="T654" i="3" s="1"/>
  <c r="S655" i="3"/>
  <c r="T655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673" i="3"/>
  <c r="T673" i="3" s="1"/>
  <c r="S674" i="3"/>
  <c r="T674" i="3" s="1"/>
  <c r="S675" i="3"/>
  <c r="T675" i="3" s="1"/>
  <c r="S676" i="3"/>
  <c r="T676" i="3" s="1"/>
  <c r="S677" i="3"/>
  <c r="T677" i="3" s="1"/>
  <c r="S678" i="3"/>
  <c r="T678" i="3" s="1"/>
  <c r="S679" i="3"/>
  <c r="T679" i="3" s="1"/>
  <c r="S680" i="3"/>
  <c r="T680" i="3" s="1"/>
  <c r="S681" i="3"/>
  <c r="T681" i="3" s="1"/>
  <c r="S682" i="3"/>
  <c r="T682" i="3" s="1"/>
  <c r="S683" i="3"/>
  <c r="T683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5" i="3"/>
  <c r="T695" i="3" s="1"/>
  <c r="S696" i="3"/>
  <c r="T696" i="3" s="1"/>
  <c r="S697" i="3"/>
  <c r="T697" i="3" s="1"/>
  <c r="S698" i="3"/>
  <c r="T698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7" i="3"/>
  <c r="T707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5" i="3"/>
  <c r="T715" i="3" s="1"/>
  <c r="S716" i="3"/>
  <c r="T716" i="3" s="1"/>
  <c r="S717" i="3"/>
  <c r="T717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731" i="3"/>
  <c r="T731" i="3" s="1"/>
  <c r="S732" i="3"/>
  <c r="T732" i="3" s="1"/>
  <c r="S129" i="3"/>
  <c r="T129" i="3" s="1"/>
  <c r="S244" i="3"/>
  <c r="T244" i="3" s="1"/>
  <c r="S735" i="3"/>
  <c r="T735" i="3" s="1"/>
  <c r="S736" i="3"/>
  <c r="T736" i="3" s="1"/>
  <c r="S737" i="3"/>
  <c r="T737" i="3" s="1"/>
  <c r="S738" i="3"/>
  <c r="T738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5" i="3"/>
  <c r="T745" i="3" s="1"/>
  <c r="S746" i="3"/>
  <c r="T746" i="3" s="1"/>
  <c r="S747" i="3"/>
  <c r="T747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5" i="3"/>
  <c r="T755" i="3" s="1"/>
  <c r="S756" i="3"/>
  <c r="T756" i="3" s="1"/>
  <c r="S757" i="3"/>
  <c r="S758" i="3"/>
  <c r="T758" i="3" s="1"/>
  <c r="S759" i="3"/>
  <c r="T759" i="3" s="1"/>
  <c r="S760" i="3"/>
  <c r="T760" i="3" s="1"/>
  <c r="S761" i="3"/>
  <c r="T761" i="3" s="1"/>
  <c r="S762" i="3"/>
  <c r="T762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3" i="3"/>
  <c r="T783" i="3" s="1"/>
  <c r="S784" i="3"/>
  <c r="T784" i="3" s="1"/>
  <c r="S785" i="3"/>
  <c r="T785" i="3" s="1"/>
  <c r="S786" i="3"/>
  <c r="T786" i="3" s="1"/>
  <c r="S787" i="3"/>
  <c r="T787" i="3" s="1"/>
  <c r="S788" i="3"/>
  <c r="T788" i="3" s="1"/>
  <c r="S789" i="3"/>
  <c r="T789" i="3" s="1"/>
  <c r="S790" i="3"/>
  <c r="T790" i="3" s="1"/>
  <c r="S791" i="3"/>
  <c r="T791" i="3" s="1"/>
  <c r="S792" i="3"/>
  <c r="T792" i="3" s="1"/>
  <c r="S793" i="3"/>
  <c r="T793" i="3" s="1"/>
  <c r="S794" i="3"/>
  <c r="T794" i="3" s="1"/>
  <c r="S795" i="3"/>
  <c r="T795" i="3" s="1"/>
  <c r="S796" i="3"/>
  <c r="T796" i="3" s="1"/>
  <c r="S797" i="3"/>
  <c r="T797" i="3" s="1"/>
  <c r="S798" i="3"/>
  <c r="T798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S805" i="3"/>
  <c r="T805" i="3" s="1"/>
  <c r="S806" i="3"/>
  <c r="T806" i="3" s="1"/>
  <c r="S807" i="3"/>
  <c r="T807" i="3" s="1"/>
  <c r="S808" i="3"/>
  <c r="T808" i="3" s="1"/>
  <c r="S809" i="3"/>
  <c r="T809" i="3" s="1"/>
  <c r="S810" i="3"/>
  <c r="T810" i="3" s="1"/>
  <c r="S811" i="3"/>
  <c r="T811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0" i="3"/>
  <c r="T820" i="3" s="1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T833" i="3" s="1"/>
  <c r="S834" i="3"/>
  <c r="T834" i="3" s="1"/>
  <c r="S835" i="3"/>
  <c r="T835" i="3" s="1"/>
  <c r="S836" i="3"/>
  <c r="T836" i="3" s="1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843" i="3"/>
  <c r="T843" i="3" s="1"/>
  <c r="S844" i="3"/>
  <c r="T844" i="3" s="1"/>
  <c r="S845" i="3"/>
  <c r="T845" i="3" s="1"/>
  <c r="S846" i="3"/>
  <c r="T846" i="3" s="1"/>
  <c r="S847" i="3"/>
  <c r="T847" i="3" s="1"/>
  <c r="S848" i="3"/>
  <c r="T848" i="3" s="1"/>
  <c r="S849" i="3"/>
  <c r="T849" i="3" s="1"/>
  <c r="S850" i="3"/>
  <c r="T850" i="3" s="1"/>
  <c r="S851" i="3"/>
  <c r="T851" i="3" s="1"/>
  <c r="S852" i="3"/>
  <c r="S853" i="3"/>
  <c r="T853" i="3" s="1"/>
  <c r="S854" i="3"/>
  <c r="T854" i="3" s="1"/>
  <c r="S855" i="3"/>
  <c r="T855" i="3" s="1"/>
  <c r="S856" i="3"/>
  <c r="T856" i="3" s="1"/>
  <c r="S857" i="3"/>
  <c r="T857" i="3" s="1"/>
  <c r="S858" i="3"/>
  <c r="T858" i="3" s="1"/>
  <c r="S859" i="3"/>
  <c r="T859" i="3" s="1"/>
  <c r="S860" i="3"/>
  <c r="T860" i="3" s="1"/>
  <c r="S861" i="3"/>
  <c r="T861" i="3" s="1"/>
  <c r="S862" i="3"/>
  <c r="T862" i="3" s="1"/>
  <c r="S863" i="3"/>
  <c r="T863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871" i="3"/>
  <c r="T871" i="3" s="1"/>
  <c r="S872" i="3"/>
  <c r="T872" i="3" s="1"/>
  <c r="S873" i="3"/>
  <c r="T873" i="3" s="1"/>
  <c r="S874" i="3"/>
  <c r="T874" i="3" s="1"/>
  <c r="S875" i="3"/>
  <c r="T875" i="3" s="1"/>
  <c r="S876" i="3"/>
  <c r="S877" i="3"/>
  <c r="T877" i="3" s="1"/>
  <c r="S878" i="3"/>
  <c r="T878" i="3" s="1"/>
  <c r="S879" i="3"/>
  <c r="T879" i="3" s="1"/>
  <c r="S880" i="3"/>
  <c r="T880" i="3" s="1"/>
  <c r="S881" i="3"/>
  <c r="T881" i="3" s="1"/>
  <c r="S882" i="3"/>
  <c r="T882" i="3" s="1"/>
  <c r="S883" i="3"/>
  <c r="T883" i="3" s="1"/>
  <c r="S884" i="3"/>
  <c r="T884" i="3" s="1"/>
  <c r="S885" i="3"/>
  <c r="T885" i="3" s="1"/>
  <c r="S886" i="3"/>
  <c r="T886" i="3" s="1"/>
  <c r="S887" i="3"/>
  <c r="T887" i="3" s="1"/>
  <c r="S888" i="3"/>
  <c r="S889" i="3"/>
  <c r="T889" i="3" s="1"/>
  <c r="S890" i="3"/>
  <c r="T890" i="3" s="1"/>
  <c r="S891" i="3"/>
  <c r="T891" i="3" s="1"/>
  <c r="S892" i="3"/>
  <c r="T892" i="3" s="1"/>
  <c r="S893" i="3"/>
  <c r="T893" i="3" s="1"/>
  <c r="S894" i="3"/>
  <c r="T894" i="3" s="1"/>
  <c r="S895" i="3"/>
  <c r="T895" i="3" s="1"/>
  <c r="S896" i="3"/>
  <c r="T896" i="3" s="1"/>
  <c r="S897" i="3"/>
  <c r="T897" i="3" s="1"/>
  <c r="S898" i="3"/>
  <c r="T898" i="3" s="1"/>
  <c r="S899" i="3"/>
  <c r="T899" i="3" s="1"/>
  <c r="S900" i="3"/>
  <c r="T900" i="3" s="1"/>
  <c r="S901" i="3"/>
  <c r="T901" i="3" s="1"/>
  <c r="S902" i="3"/>
  <c r="T902" i="3" s="1"/>
  <c r="S903" i="3"/>
  <c r="T903" i="3" s="1"/>
  <c r="S904" i="3"/>
  <c r="T904" i="3" s="1"/>
  <c r="S905" i="3"/>
  <c r="T905" i="3" s="1"/>
  <c r="S906" i="3"/>
  <c r="T906" i="3" s="1"/>
  <c r="S907" i="3"/>
  <c r="T907" i="3" s="1"/>
  <c r="S908" i="3"/>
  <c r="T908" i="3" s="1"/>
  <c r="S909" i="3"/>
  <c r="T909" i="3" s="1"/>
  <c r="S910" i="3"/>
  <c r="T910" i="3" s="1"/>
  <c r="S911" i="3"/>
  <c r="T911" i="3" s="1"/>
  <c r="S912" i="3"/>
  <c r="T912" i="3" s="1"/>
  <c r="S913" i="3"/>
  <c r="T913" i="3" s="1"/>
  <c r="S914" i="3"/>
  <c r="T914" i="3" s="1"/>
  <c r="S1968" i="3"/>
  <c r="T1968" i="3" s="1"/>
  <c r="S916" i="3"/>
  <c r="T916" i="3" s="1"/>
  <c r="S917" i="3"/>
  <c r="T917" i="3" s="1"/>
  <c r="S918" i="3"/>
  <c r="T918" i="3" s="1"/>
  <c r="S919" i="3"/>
  <c r="T919" i="3" s="1"/>
  <c r="S920" i="3"/>
  <c r="T920" i="3" s="1"/>
  <c r="S921" i="3"/>
  <c r="T921" i="3" s="1"/>
  <c r="S922" i="3"/>
  <c r="T922" i="3" s="1"/>
  <c r="S923" i="3"/>
  <c r="T923" i="3" s="1"/>
  <c r="S924" i="3"/>
  <c r="T924" i="3" s="1"/>
  <c r="S925" i="3"/>
  <c r="T925" i="3" s="1"/>
  <c r="S926" i="3"/>
  <c r="T926" i="3" s="1"/>
  <c r="S927" i="3"/>
  <c r="T927" i="3" s="1"/>
  <c r="S928" i="3"/>
  <c r="T928" i="3" s="1"/>
  <c r="S929" i="3"/>
  <c r="T929" i="3" s="1"/>
  <c r="S930" i="3"/>
  <c r="T930" i="3" s="1"/>
  <c r="S931" i="3"/>
  <c r="T931" i="3" s="1"/>
  <c r="S932" i="3"/>
  <c r="T932" i="3" s="1"/>
  <c r="S933" i="3"/>
  <c r="T933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940" i="3"/>
  <c r="T940" i="3" s="1"/>
  <c r="S941" i="3"/>
  <c r="T941" i="3" s="1"/>
  <c r="S942" i="3"/>
  <c r="T942" i="3" s="1"/>
  <c r="S943" i="3"/>
  <c r="T943" i="3" s="1"/>
  <c r="S944" i="3"/>
  <c r="T944" i="3" s="1"/>
  <c r="S945" i="3"/>
  <c r="T945" i="3" s="1"/>
  <c r="S946" i="3"/>
  <c r="T946" i="3" s="1"/>
  <c r="S947" i="3"/>
  <c r="T947" i="3" s="1"/>
  <c r="S948" i="3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T956" i="3" s="1"/>
  <c r="S957" i="3"/>
  <c r="T957" i="3" s="1"/>
  <c r="S958" i="3"/>
  <c r="T958" i="3" s="1"/>
  <c r="S959" i="3"/>
  <c r="T959" i="3" s="1"/>
  <c r="S960" i="3"/>
  <c r="S961" i="3"/>
  <c r="T961" i="3" s="1"/>
  <c r="S962" i="3"/>
  <c r="T962" i="3" s="1"/>
  <c r="S963" i="3"/>
  <c r="T963" i="3" s="1"/>
  <c r="S964" i="3"/>
  <c r="T964" i="3" s="1"/>
  <c r="S965" i="3"/>
  <c r="T965" i="3" s="1"/>
  <c r="S966" i="3"/>
  <c r="T966" i="3" s="1"/>
  <c r="S967" i="3"/>
  <c r="T967" i="3" s="1"/>
  <c r="S968" i="3"/>
  <c r="T968" i="3" s="1"/>
  <c r="S969" i="3"/>
  <c r="T969" i="3" s="1"/>
  <c r="S970" i="3"/>
  <c r="T970" i="3" s="1"/>
  <c r="S971" i="3"/>
  <c r="T971" i="3" s="1"/>
  <c r="S972" i="3"/>
  <c r="S973" i="3"/>
  <c r="T973" i="3" s="1"/>
  <c r="S974" i="3"/>
  <c r="T974" i="3" s="1"/>
  <c r="S975" i="3"/>
  <c r="T975" i="3" s="1"/>
  <c r="S976" i="3"/>
  <c r="T976" i="3" s="1"/>
  <c r="S977" i="3"/>
  <c r="T977" i="3" s="1"/>
  <c r="S978" i="3"/>
  <c r="T978" i="3" s="1"/>
  <c r="S979" i="3"/>
  <c r="T979" i="3" s="1"/>
  <c r="S980" i="3"/>
  <c r="T980" i="3" s="1"/>
  <c r="S981" i="3"/>
  <c r="T981" i="3" s="1"/>
  <c r="S982" i="3"/>
  <c r="T982" i="3" s="1"/>
  <c r="S983" i="3"/>
  <c r="T983" i="3" s="1"/>
  <c r="S984" i="3"/>
  <c r="T984" i="3" s="1"/>
  <c r="S985" i="3"/>
  <c r="T985" i="3" s="1"/>
  <c r="S986" i="3"/>
  <c r="T986" i="3" s="1"/>
  <c r="S987" i="3"/>
  <c r="T987" i="3" s="1"/>
  <c r="S988" i="3"/>
  <c r="T988" i="3" s="1"/>
  <c r="S989" i="3"/>
  <c r="T989" i="3" s="1"/>
  <c r="S990" i="3"/>
  <c r="T990" i="3" s="1"/>
  <c r="S991" i="3"/>
  <c r="T991" i="3" s="1"/>
  <c r="S992" i="3"/>
  <c r="T992" i="3" s="1"/>
  <c r="S993" i="3"/>
  <c r="T993" i="3" s="1"/>
  <c r="S994" i="3"/>
  <c r="T994" i="3" s="1"/>
  <c r="S995" i="3"/>
  <c r="T995" i="3" s="1"/>
  <c r="S996" i="3"/>
  <c r="S997" i="3"/>
  <c r="T997" i="3" s="1"/>
  <c r="S998" i="3"/>
  <c r="T998" i="3" s="1"/>
  <c r="S999" i="3"/>
  <c r="T999" i="3" s="1"/>
  <c r="S1000" i="3"/>
  <c r="T1000" i="3" s="1"/>
  <c r="S1001" i="3"/>
  <c r="T1001" i="3" s="1"/>
  <c r="S1002" i="3"/>
  <c r="T1002" i="3" s="1"/>
  <c r="S1003" i="3"/>
  <c r="T1003" i="3" s="1"/>
  <c r="S1004" i="3"/>
  <c r="T1004" i="3" s="1"/>
  <c r="S1005" i="3"/>
  <c r="T1005" i="3" s="1"/>
  <c r="S1006" i="3"/>
  <c r="T1006" i="3" s="1"/>
  <c r="S1007" i="3"/>
  <c r="T1007" i="3" s="1"/>
  <c r="S1008" i="3"/>
  <c r="S1009" i="3"/>
  <c r="T1009" i="3" s="1"/>
  <c r="S1010" i="3"/>
  <c r="T1010" i="3" s="1"/>
  <c r="S1011" i="3"/>
  <c r="T1011" i="3" s="1"/>
  <c r="S1012" i="3"/>
  <c r="T1012" i="3" s="1"/>
  <c r="S1013" i="3"/>
  <c r="T1013" i="3" s="1"/>
  <c r="S1014" i="3"/>
  <c r="T1014" i="3" s="1"/>
  <c r="S1015" i="3"/>
  <c r="T1015" i="3" s="1"/>
  <c r="S1016" i="3"/>
  <c r="T1016" i="3" s="1"/>
  <c r="S1017" i="3"/>
  <c r="T1017" i="3" s="1"/>
  <c r="S1018" i="3"/>
  <c r="T1018" i="3" s="1"/>
  <c r="S1019" i="3"/>
  <c r="T1019" i="3" s="1"/>
  <c r="S1020" i="3"/>
  <c r="S1021" i="3"/>
  <c r="T1021" i="3" s="1"/>
  <c r="S1022" i="3"/>
  <c r="T1022" i="3" s="1"/>
  <c r="S1023" i="3"/>
  <c r="T1023" i="3" s="1"/>
  <c r="S1024" i="3"/>
  <c r="T1024" i="3" s="1"/>
  <c r="S1025" i="3"/>
  <c r="T1025" i="3" s="1"/>
  <c r="S1026" i="3"/>
  <c r="T1026" i="3" s="1"/>
  <c r="S1027" i="3"/>
  <c r="T1027" i="3" s="1"/>
  <c r="S1028" i="3"/>
  <c r="T1028" i="3" s="1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T1036" i="3" s="1"/>
  <c r="S1037" i="3"/>
  <c r="T1037" i="3" s="1"/>
  <c r="S1038" i="3"/>
  <c r="T1038" i="3" s="1"/>
  <c r="S1039" i="3"/>
  <c r="T1039" i="3" s="1"/>
  <c r="S1040" i="3"/>
  <c r="T1040" i="3" s="1"/>
  <c r="S1041" i="3"/>
  <c r="T1041" i="3" s="1"/>
  <c r="S1042" i="3"/>
  <c r="T1042" i="3" s="1"/>
  <c r="S1043" i="3"/>
  <c r="T1043" i="3" s="1"/>
  <c r="S1044" i="3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T1052" i="3" s="1"/>
  <c r="S1053" i="3"/>
  <c r="T1053" i="3" s="1"/>
  <c r="S1054" i="3"/>
  <c r="T1054" i="3" s="1"/>
  <c r="S1055" i="3"/>
  <c r="T1055" i="3" s="1"/>
  <c r="S1056" i="3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S1069" i="3"/>
  <c r="T1069" i="3" s="1"/>
  <c r="S1070" i="3"/>
  <c r="T1070" i="3" s="1"/>
  <c r="S1071" i="3"/>
  <c r="T1071" i="3" s="1"/>
  <c r="S1072" i="3"/>
  <c r="T1072" i="3" s="1"/>
  <c r="S1073" i="3"/>
  <c r="T1073" i="3" s="1"/>
  <c r="S1074" i="3"/>
  <c r="T1074" i="3" s="1"/>
  <c r="S1075" i="3"/>
  <c r="T1075" i="3" s="1"/>
  <c r="S1076" i="3"/>
  <c r="T1076" i="3" s="1"/>
  <c r="S1077" i="3"/>
  <c r="T1077" i="3" s="1"/>
  <c r="S1078" i="3"/>
  <c r="T1078" i="3" s="1"/>
  <c r="S1079" i="3"/>
  <c r="T1079" i="3" s="1"/>
  <c r="S1080" i="3"/>
  <c r="T1080" i="3" s="1"/>
  <c r="S1081" i="3"/>
  <c r="T1081" i="3" s="1"/>
  <c r="S1082" i="3"/>
  <c r="T1082" i="3" s="1"/>
  <c r="S1083" i="3"/>
  <c r="T1083" i="3" s="1"/>
  <c r="S1084" i="3"/>
  <c r="T1084" i="3" s="1"/>
  <c r="S1085" i="3"/>
  <c r="T1085" i="3" s="1"/>
  <c r="S1086" i="3"/>
  <c r="T1086" i="3" s="1"/>
  <c r="S1087" i="3"/>
  <c r="T1087" i="3" s="1"/>
  <c r="S1088" i="3"/>
  <c r="T1088" i="3" s="1"/>
  <c r="S1089" i="3"/>
  <c r="T1089" i="3" s="1"/>
  <c r="S1090" i="3"/>
  <c r="T1090" i="3" s="1"/>
  <c r="S1091" i="3"/>
  <c r="T1091" i="3" s="1"/>
  <c r="S1092" i="3"/>
  <c r="T1092" i="3" s="1"/>
  <c r="S1093" i="3"/>
  <c r="T1093" i="3" s="1"/>
  <c r="S1094" i="3"/>
  <c r="T1094" i="3" s="1"/>
  <c r="S1095" i="3"/>
  <c r="T1095" i="3" s="1"/>
  <c r="S1096" i="3"/>
  <c r="T1096" i="3" s="1"/>
  <c r="S1097" i="3"/>
  <c r="T1097" i="3" s="1"/>
  <c r="S1098" i="3"/>
  <c r="T1098" i="3" s="1"/>
  <c r="S1099" i="3"/>
  <c r="T1099" i="3" s="1"/>
  <c r="S1100" i="3"/>
  <c r="T1100" i="3" s="1"/>
  <c r="S1101" i="3"/>
  <c r="T1101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8" i="3"/>
  <c r="T1108" i="3" s="1"/>
  <c r="S1109" i="3"/>
  <c r="T1109" i="3" s="1"/>
  <c r="S1110" i="3"/>
  <c r="T1110" i="3" s="1"/>
  <c r="S1111" i="3"/>
  <c r="T1111" i="3" s="1"/>
  <c r="S1112" i="3"/>
  <c r="T1112" i="3" s="1"/>
  <c r="S1113" i="3"/>
  <c r="T1113" i="3" s="1"/>
  <c r="S1114" i="3"/>
  <c r="T1114" i="3" s="1"/>
  <c r="S1115" i="3"/>
  <c r="T1115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1126" i="3"/>
  <c r="T1126" i="3" s="1"/>
  <c r="S1127" i="3"/>
  <c r="T1127" i="3" s="1"/>
  <c r="S1128" i="3"/>
  <c r="T1128" i="3" s="1"/>
  <c r="S1129" i="3"/>
  <c r="T1129" i="3" s="1"/>
  <c r="S1130" i="3"/>
  <c r="T1130" i="3" s="1"/>
  <c r="S1131" i="3"/>
  <c r="T1131" i="3" s="1"/>
  <c r="S1132" i="3"/>
  <c r="T1132" i="3" s="1"/>
  <c r="S1133" i="3"/>
  <c r="T1133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1141" i="3"/>
  <c r="T1141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0" i="3"/>
  <c r="T1160" i="3" s="1"/>
  <c r="S1161" i="3"/>
  <c r="T1161" i="3" s="1"/>
  <c r="S1162" i="3"/>
  <c r="T1162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S1170" i="3"/>
  <c r="T1170" i="3" s="1"/>
  <c r="S1171" i="3"/>
  <c r="T1171" i="3" s="1"/>
  <c r="S1172" i="3"/>
  <c r="T1172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1206" i="3"/>
  <c r="T1206" i="3" s="1"/>
  <c r="S1207" i="3"/>
  <c r="T1207" i="3" s="1"/>
  <c r="S1208" i="3"/>
  <c r="T1208" i="3" s="1"/>
  <c r="S1209" i="3"/>
  <c r="T1209" i="3" s="1"/>
  <c r="S1210" i="3"/>
  <c r="T1210" i="3" s="1"/>
  <c r="S1211" i="3"/>
  <c r="T1211" i="3" s="1"/>
  <c r="S1212" i="3"/>
  <c r="T1212" i="3" s="1"/>
  <c r="S1213" i="3"/>
  <c r="T1213" i="3" s="1"/>
  <c r="S1214" i="3"/>
  <c r="T1214" i="3" s="1"/>
  <c r="S1215" i="3"/>
  <c r="T1215" i="3" s="1"/>
  <c r="S1216" i="3"/>
  <c r="T1216" i="3" s="1"/>
  <c r="S1217" i="3"/>
  <c r="T1217" i="3" s="1"/>
  <c r="S1218" i="3"/>
  <c r="T1218" i="3" s="1"/>
  <c r="S1219" i="3"/>
  <c r="T1219" i="3" s="1"/>
  <c r="S1220" i="3"/>
  <c r="T1220" i="3" s="1"/>
  <c r="S1221" i="3"/>
  <c r="T1221" i="3" s="1"/>
  <c r="S1222" i="3"/>
  <c r="T1222" i="3" s="1"/>
  <c r="S1223" i="3"/>
  <c r="T1223" i="3" s="1"/>
  <c r="S1224" i="3"/>
  <c r="T1224" i="3" s="1"/>
  <c r="S1225" i="3"/>
  <c r="T122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1231" i="3"/>
  <c r="T1231" i="3" s="1"/>
  <c r="S1232" i="3"/>
  <c r="T1232" i="3" s="1"/>
  <c r="S1233" i="3"/>
  <c r="T1233" i="3" s="1"/>
  <c r="S1234" i="3"/>
  <c r="T123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1242" i="3"/>
  <c r="T1242" i="3" s="1"/>
  <c r="S1243" i="3"/>
  <c r="T1243" i="3" s="1"/>
  <c r="S1244" i="3"/>
  <c r="T1244" i="3" s="1"/>
  <c r="S1245" i="3"/>
  <c r="T1245" i="3" s="1"/>
  <c r="S1246" i="3"/>
  <c r="T1246" i="3" s="1"/>
  <c r="S1247" i="3"/>
  <c r="T1247" i="3" s="1"/>
  <c r="S1248" i="3"/>
  <c r="T1248" i="3" s="1"/>
  <c r="S1249" i="3"/>
  <c r="T1249" i="3" s="1"/>
  <c r="S1250" i="3"/>
  <c r="T1250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1257" i="3"/>
  <c r="T1257" i="3" s="1"/>
  <c r="S1258" i="3"/>
  <c r="T1258" i="3" s="1"/>
  <c r="S1259" i="3"/>
  <c r="T1259" i="3" s="1"/>
  <c r="S1260" i="3"/>
  <c r="T1260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1271" i="3"/>
  <c r="T1271" i="3" s="1"/>
  <c r="S1272" i="3"/>
  <c r="T1272" i="3" s="1"/>
  <c r="S1273" i="3"/>
  <c r="T1273" i="3" s="1"/>
  <c r="S1274" i="3"/>
  <c r="T1274" i="3" s="1"/>
  <c r="S1275" i="3"/>
  <c r="T1275" i="3" s="1"/>
  <c r="S1276" i="3"/>
  <c r="T1276" i="3" s="1"/>
  <c r="S1277" i="3"/>
  <c r="T1277" i="3" s="1"/>
  <c r="S1278" i="3"/>
  <c r="T1278" i="3" s="1"/>
  <c r="S1279" i="3"/>
  <c r="T1279" i="3" s="1"/>
  <c r="S1280" i="3"/>
  <c r="T1280" i="3" s="1"/>
  <c r="S1281" i="3"/>
  <c r="T1281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303" i="3"/>
  <c r="T1303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1310" i="3"/>
  <c r="T1310" i="3" s="1"/>
  <c r="S1311" i="3"/>
  <c r="T1311" i="3" s="1"/>
  <c r="S1312" i="3"/>
  <c r="T1312" i="3" s="1"/>
  <c r="S1313" i="3"/>
  <c r="T1313" i="3" s="1"/>
  <c r="S1314" i="3"/>
  <c r="T1314" i="3" s="1"/>
  <c r="S1315" i="3"/>
  <c r="T1315" i="3" s="1"/>
  <c r="S1316" i="3"/>
  <c r="T1316" i="3" s="1"/>
  <c r="S1317" i="3"/>
  <c r="T1317" i="3" s="1"/>
  <c r="S1318" i="3"/>
  <c r="T1318" i="3" s="1"/>
  <c r="S1319" i="3"/>
  <c r="T1319" i="3" s="1"/>
  <c r="S1320" i="3"/>
  <c r="T1320" i="3" s="1"/>
  <c r="S1321" i="3"/>
  <c r="T1321" i="3" s="1"/>
  <c r="S1322" i="3"/>
  <c r="T1322" i="3" s="1"/>
  <c r="S1323" i="3"/>
  <c r="T1323" i="3" s="1"/>
  <c r="S1324" i="3"/>
  <c r="T1324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T1340" i="3" s="1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T1346" i="3" s="1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T1364" i="3" s="1"/>
  <c r="S1365" i="3"/>
  <c r="T1365" i="3" s="1"/>
  <c r="S1366" i="3"/>
  <c r="T1366" i="3" s="1"/>
  <c r="S1367" i="3"/>
  <c r="T1367" i="3" s="1"/>
  <c r="S1368" i="3"/>
  <c r="T1368" i="3" s="1"/>
  <c r="S1369" i="3"/>
  <c r="T1369" i="3" s="1"/>
  <c r="S1370" i="3"/>
  <c r="T1370" i="3" s="1"/>
  <c r="S1371" i="3"/>
  <c r="T1371" i="3" s="1"/>
  <c r="S1372" i="3"/>
  <c r="T1372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1398" i="3"/>
  <c r="T1398" i="3" s="1"/>
  <c r="S1399" i="3"/>
  <c r="T1399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8" i="3"/>
  <c r="T1418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8" i="3"/>
  <c r="T1428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1447" i="3"/>
  <c r="T1447" i="3" s="1"/>
  <c r="S1448" i="3"/>
  <c r="T1448" i="3" s="1"/>
  <c r="S1449" i="3"/>
  <c r="T1449" i="3" s="1"/>
  <c r="S1450" i="3"/>
  <c r="T1450" i="3" s="1"/>
  <c r="S1451" i="3"/>
  <c r="T1451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T1460" i="3" s="1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1472" i="3"/>
  <c r="T1472" i="3" s="1"/>
  <c r="S1473" i="3"/>
  <c r="T1473" i="3" s="1"/>
  <c r="S1474" i="3"/>
  <c r="T1474" i="3" s="1"/>
  <c r="S1475" i="3"/>
  <c r="T1475" i="3" s="1"/>
  <c r="S1476" i="3"/>
  <c r="T1476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T1496" i="3" s="1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1503" i="3"/>
  <c r="T1503" i="3" s="1"/>
  <c r="S1504" i="3"/>
  <c r="T1504" i="3" s="1"/>
  <c r="S1505" i="3"/>
  <c r="T1505" i="3" s="1"/>
  <c r="S1506" i="3"/>
  <c r="T1506" i="3" s="1"/>
  <c r="S1507" i="3"/>
  <c r="T1507" i="3" s="1"/>
  <c r="S1508" i="3"/>
  <c r="T1508" i="3" s="1"/>
  <c r="S1509" i="3"/>
  <c r="T1509" i="3" s="1"/>
  <c r="S1510" i="3"/>
  <c r="T1510" i="3" s="1"/>
  <c r="S1511" i="3"/>
  <c r="T1511" i="3" s="1"/>
  <c r="S1512" i="3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1526" i="3"/>
  <c r="T1526" i="3" s="1"/>
  <c r="S1527" i="3"/>
  <c r="T1527" i="3" s="1"/>
  <c r="S1528" i="3"/>
  <c r="T1528" i="3" s="1"/>
  <c r="S1529" i="3"/>
  <c r="T1529" i="3" s="1"/>
  <c r="S1530" i="3"/>
  <c r="T1530" i="3" s="1"/>
  <c r="S1531" i="3"/>
  <c r="T1531" i="3" s="1"/>
  <c r="S1532" i="3"/>
  <c r="T1532" i="3" s="1"/>
  <c r="S1533" i="3"/>
  <c r="T1533" i="3" s="1"/>
  <c r="S1534" i="3"/>
  <c r="T1534" i="3" s="1"/>
  <c r="S1535" i="3"/>
  <c r="T1535" i="3" s="1"/>
  <c r="S1536" i="3"/>
  <c r="S1537" i="3"/>
  <c r="T1537" i="3" s="1"/>
  <c r="S1538" i="3"/>
  <c r="T1538" i="3" s="1"/>
  <c r="S1539" i="3"/>
  <c r="T1539" i="3" s="1"/>
  <c r="S1540" i="3"/>
  <c r="T1540" i="3" s="1"/>
  <c r="S1541" i="3"/>
  <c r="T1541" i="3" s="1"/>
  <c r="S1542" i="3"/>
  <c r="T154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0" i="3"/>
  <c r="T1550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1557" i="3"/>
  <c r="T1557" i="3" s="1"/>
  <c r="S1558" i="3"/>
  <c r="T1558" i="3" s="1"/>
  <c r="S1559" i="3"/>
  <c r="T1559" i="3" s="1"/>
  <c r="S1560" i="3"/>
  <c r="S1561" i="3"/>
  <c r="T1561" i="3" s="1"/>
  <c r="S1562" i="3"/>
  <c r="T1562" i="3" s="1"/>
  <c r="S1563" i="3"/>
  <c r="T1563" i="3" s="1"/>
  <c r="S1564" i="3"/>
  <c r="T1564" i="3" s="1"/>
  <c r="S1565" i="3"/>
  <c r="T1565" i="3" s="1"/>
  <c r="S1566" i="3"/>
  <c r="T1566" i="3" s="1"/>
  <c r="S1567" i="3"/>
  <c r="T1567" i="3" s="1"/>
  <c r="S1568" i="3"/>
  <c r="T1568" i="3" s="1"/>
  <c r="S1569" i="3"/>
  <c r="T1569" i="3" s="1"/>
  <c r="S1570" i="3"/>
  <c r="T1570" i="3" s="1"/>
  <c r="S1571" i="3"/>
  <c r="T1571" i="3" s="1"/>
  <c r="S1572" i="3"/>
  <c r="T1572" i="3" s="1"/>
  <c r="S1573" i="3"/>
  <c r="T1573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1611" i="3"/>
  <c r="T1611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1628" i="3"/>
  <c r="T1628" i="3" s="1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5" i="3"/>
  <c r="T1635" i="3" s="1"/>
  <c r="S1636" i="3"/>
  <c r="T1636" i="3" s="1"/>
  <c r="S1637" i="3"/>
  <c r="T1637" i="3" s="1"/>
  <c r="S1638" i="3"/>
  <c r="T1638" i="3" s="1"/>
  <c r="S1639" i="3"/>
  <c r="T1639" i="3" s="1"/>
  <c r="S1640" i="3"/>
  <c r="T1640" i="3" s="1"/>
  <c r="S1641" i="3"/>
  <c r="T1641" i="3" s="1"/>
  <c r="S1642" i="3"/>
  <c r="T1642" i="3" s="1"/>
  <c r="S1643" i="3"/>
  <c r="T1643" i="3" s="1"/>
  <c r="S1644" i="3"/>
  <c r="S1645" i="3"/>
  <c r="T1645" i="3" s="1"/>
  <c r="S1646" i="3"/>
  <c r="T1646" i="3" s="1"/>
  <c r="S1647" i="3"/>
  <c r="T1647" i="3" s="1"/>
  <c r="S1648" i="3"/>
  <c r="T1648" i="3" s="1"/>
  <c r="S1649" i="3"/>
  <c r="T1649" i="3" s="1"/>
  <c r="S1650" i="3"/>
  <c r="T1650" i="3" s="1"/>
  <c r="S1651" i="3"/>
  <c r="T1651" i="3" s="1"/>
  <c r="S1652" i="3"/>
  <c r="T1652" i="3" s="1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T1660" i="3" s="1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S1669" i="3"/>
  <c r="T1669" i="3" s="1"/>
  <c r="S1670" i="3"/>
  <c r="T1670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T1700" i="3" s="1"/>
  <c r="S1701" i="3"/>
  <c r="T1701" i="3" s="1"/>
  <c r="S1702" i="3"/>
  <c r="T1702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T1712" i="3" s="1"/>
  <c r="S1713" i="3"/>
  <c r="T1713" i="3" s="1"/>
  <c r="S1714" i="3"/>
  <c r="T1714" i="3" s="1"/>
  <c r="S1715" i="3"/>
  <c r="T1715" i="3" s="1"/>
  <c r="S1716" i="3"/>
  <c r="S1717" i="3"/>
  <c r="T1717" i="3" s="1"/>
  <c r="S1718" i="3"/>
  <c r="T1718" i="3" s="1"/>
  <c r="S1719" i="3"/>
  <c r="T1719" i="3" s="1"/>
  <c r="S1720" i="3"/>
  <c r="T1720" i="3" s="1"/>
  <c r="S1721" i="3"/>
  <c r="T1721" i="3" s="1"/>
  <c r="S1722" i="3"/>
  <c r="T1722" i="3" s="1"/>
  <c r="S1723" i="3"/>
  <c r="T1723" i="3" s="1"/>
  <c r="S1724" i="3"/>
  <c r="T1724" i="3" s="1"/>
  <c r="S1725" i="3"/>
  <c r="T1725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T1760" i="3" s="1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S1777" i="3"/>
  <c r="T1777" i="3" s="1"/>
  <c r="S1778" i="3"/>
  <c r="T1778" i="3" s="1"/>
  <c r="S1779" i="3"/>
  <c r="T1779" i="3" s="1"/>
  <c r="S1780" i="3"/>
  <c r="T1780" i="3" s="1"/>
  <c r="S1781" i="3"/>
  <c r="T1781" i="3" s="1"/>
  <c r="S1782" i="3"/>
  <c r="T1782" i="3" s="1"/>
  <c r="S1783" i="3"/>
  <c r="T1783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799" i="3"/>
  <c r="T1799" i="3" s="1"/>
  <c r="S1800" i="3"/>
  <c r="T1800" i="3" s="1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T1808" i="3" s="1"/>
  <c r="S1809" i="3"/>
  <c r="T1809" i="3" s="1"/>
  <c r="S1810" i="3"/>
  <c r="T1810" i="3" s="1"/>
  <c r="S1811" i="3"/>
  <c r="T1811" i="3" s="1"/>
  <c r="S1812" i="3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1" i="3"/>
  <c r="T1831" i="3" s="1"/>
  <c r="S1832" i="3"/>
  <c r="T1832" i="3" s="1"/>
  <c r="S1833" i="3"/>
  <c r="T1833" i="3" s="1"/>
  <c r="S1834" i="3"/>
  <c r="T1834" i="3" s="1"/>
  <c r="S1835" i="3"/>
  <c r="T1835" i="3" s="1"/>
  <c r="S1836" i="3"/>
  <c r="T1836" i="3" s="1"/>
  <c r="S1837" i="3"/>
  <c r="T1837" i="3" s="1"/>
  <c r="S1838" i="3"/>
  <c r="T1838" i="3" s="1"/>
  <c r="S1839" i="3"/>
  <c r="T1839" i="3" s="1"/>
  <c r="S1840" i="3"/>
  <c r="T1840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1856" i="3"/>
  <c r="T1856" i="3" s="1"/>
  <c r="S1857" i="3"/>
  <c r="T1857" i="3" s="1"/>
  <c r="S1858" i="3"/>
  <c r="T1858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S1877" i="3"/>
  <c r="T1877" i="3" s="1"/>
  <c r="S1878" i="3"/>
  <c r="T1878" i="3" s="1"/>
  <c r="S1879" i="3"/>
  <c r="T1879" i="3" s="1"/>
  <c r="S1880" i="3"/>
  <c r="T1880" i="3" s="1"/>
  <c r="S1881" i="3"/>
  <c r="T1881" i="3" s="1"/>
  <c r="S1882" i="3"/>
  <c r="T1882" i="3" s="1"/>
  <c r="S1883" i="3"/>
  <c r="T1883" i="3" s="1"/>
  <c r="S1884" i="3"/>
  <c r="T1884" i="3" s="1"/>
  <c r="S1885" i="3"/>
  <c r="T1885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T1916" i="3" s="1"/>
  <c r="S1917" i="3"/>
  <c r="T1917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1956" i="3"/>
  <c r="T1956" i="3" s="1"/>
  <c r="S1957" i="3"/>
  <c r="T1957" i="3" s="1"/>
  <c r="S1958" i="3"/>
  <c r="T1958" i="3" s="1"/>
  <c r="S1959" i="3"/>
  <c r="T1959" i="3" s="1"/>
  <c r="S1960" i="3"/>
  <c r="T1960" i="3" s="1"/>
  <c r="S1961" i="3"/>
  <c r="T1961" i="3" s="1"/>
  <c r="S1962" i="3"/>
  <c r="T1962" i="3" s="1"/>
  <c r="S1963" i="3"/>
  <c r="T1963" i="3" s="1"/>
  <c r="S1964" i="3"/>
  <c r="T1964" i="3" s="1"/>
  <c r="S1965" i="3"/>
  <c r="T1965" i="3" s="1"/>
  <c r="S1966" i="3"/>
  <c r="T1966" i="3" s="1"/>
  <c r="S1967" i="3"/>
  <c r="T1967" i="3" s="1"/>
  <c r="S2002" i="3"/>
  <c r="T2002" i="3" s="1"/>
  <c r="S1969" i="3"/>
  <c r="T1969" i="3" s="1"/>
  <c r="S1970" i="3"/>
  <c r="T1970" i="3" s="1"/>
  <c r="S1971" i="3"/>
  <c r="T1971" i="3" s="1"/>
  <c r="S1972" i="3"/>
  <c r="T1972" i="3" s="1"/>
  <c r="S1973" i="3"/>
  <c r="T1973" i="3" s="1"/>
  <c r="S1974" i="3"/>
  <c r="T1974" i="3" s="1"/>
  <c r="S1975" i="3"/>
  <c r="T1975" i="3" s="1"/>
  <c r="S733" i="3"/>
  <c r="T733" i="3" s="1"/>
  <c r="S1977" i="3"/>
  <c r="T1977" i="3" s="1"/>
  <c r="S1978" i="3"/>
  <c r="T1978" i="3" s="1"/>
  <c r="S1995" i="3"/>
  <c r="T1995" i="3" s="1"/>
  <c r="S1980" i="3"/>
  <c r="T1980" i="3" s="1"/>
  <c r="S1981" i="3"/>
  <c r="T1981" i="3" s="1"/>
  <c r="S1982" i="3"/>
  <c r="T1982" i="3" s="1"/>
  <c r="S1983" i="3"/>
  <c r="T1983" i="3" s="1"/>
  <c r="S734" i="3"/>
  <c r="T734" i="3" s="1"/>
  <c r="S1985" i="3"/>
  <c r="T1985" i="3" s="1"/>
  <c r="S1986" i="3"/>
  <c r="T1986" i="3" s="1"/>
  <c r="S1987" i="3"/>
  <c r="T1987" i="3" s="1"/>
  <c r="S2007" i="3"/>
  <c r="T2007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76" i="3"/>
  <c r="T1976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481" i="3"/>
  <c r="T481" i="3" s="1"/>
  <c r="S2003" i="3"/>
  <c r="T2003" i="3" s="1"/>
  <c r="S2004" i="3"/>
  <c r="T2004" i="3" s="1"/>
  <c r="S2005" i="3"/>
  <c r="T2005" i="3" s="1"/>
  <c r="S2006" i="3"/>
  <c r="T2006" i="3" s="1"/>
  <c r="S1979" i="3"/>
  <c r="T1979" i="3" s="1"/>
  <c r="S2008" i="3"/>
  <c r="T2008" i="3" s="1"/>
  <c r="S2009" i="3"/>
  <c r="T2009" i="3" s="1"/>
  <c r="S2010" i="3"/>
  <c r="T2010" i="3" s="1"/>
  <c r="S2011" i="3"/>
  <c r="T2011" i="3" s="1"/>
  <c r="S2012" i="3"/>
  <c r="T2012" i="3" s="1"/>
  <c r="S2013" i="3"/>
  <c r="T2013" i="3" s="1"/>
  <c r="S2014" i="3"/>
  <c r="T2014" i="3" s="1"/>
  <c r="S2015" i="3"/>
  <c r="T2015" i="3" s="1"/>
  <c r="S2016" i="3"/>
  <c r="T2016" i="3" s="1"/>
  <c r="S2017" i="3"/>
  <c r="T2017" i="3" s="1"/>
  <c r="S2018" i="3"/>
  <c r="T2018" i="3" s="1"/>
  <c r="S2019" i="3"/>
  <c r="T2019" i="3" s="1"/>
  <c r="S2020" i="3"/>
  <c r="T2020" i="3" s="1"/>
  <c r="S2021" i="3"/>
  <c r="T2021" i="3" s="1"/>
  <c r="S2022" i="3"/>
  <c r="T2022" i="3" s="1"/>
  <c r="S2023" i="3"/>
  <c r="T2023" i="3" s="1"/>
  <c r="S2024" i="3"/>
  <c r="T2024" i="3" s="1"/>
  <c r="S2025" i="3"/>
  <c r="T2025" i="3" s="1"/>
  <c r="S2026" i="3"/>
  <c r="T2026" i="3" s="1"/>
  <c r="S2027" i="3"/>
  <c r="T2027" i="3" s="1"/>
  <c r="S2028" i="3"/>
  <c r="T2028" i="3" s="1"/>
  <c r="S2029" i="3"/>
  <c r="T2029" i="3" s="1"/>
  <c r="S2030" i="3"/>
  <c r="T2030" i="3" s="1"/>
  <c r="S2031" i="3"/>
  <c r="T2031" i="3" s="1"/>
  <c r="S2032" i="3"/>
  <c r="T2032" i="3" s="1"/>
  <c r="S2033" i="3"/>
  <c r="T2033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2039" i="3"/>
  <c r="T2039" i="3" s="1"/>
  <c r="S2040" i="3"/>
  <c r="T2040" i="3" s="1"/>
  <c r="S2041" i="3"/>
  <c r="T2041" i="3" s="1"/>
  <c r="S2042" i="3"/>
  <c r="T2042" i="3" s="1"/>
  <c r="S2043" i="3"/>
  <c r="T2043" i="3" s="1"/>
  <c r="S2044" i="3"/>
  <c r="T2044" i="3" s="1"/>
  <c r="S2045" i="3"/>
  <c r="T2045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2070" i="3"/>
  <c r="T2070" i="3" s="1"/>
  <c r="S2071" i="3"/>
  <c r="T2071" i="3" s="1"/>
  <c r="S2072" i="3"/>
  <c r="T2072" i="3" s="1"/>
  <c r="S2073" i="3"/>
  <c r="T2073" i="3" s="1"/>
  <c r="S2074" i="3"/>
  <c r="T2074" i="3" s="1"/>
  <c r="S2075" i="3"/>
  <c r="T2075" i="3" s="1"/>
  <c r="S2076" i="3"/>
  <c r="T2076" i="3" s="1"/>
  <c r="S2077" i="3"/>
  <c r="T2077" i="3" s="1"/>
  <c r="S2078" i="3"/>
  <c r="T2078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7" i="3"/>
  <c r="T2087" i="3" s="1"/>
  <c r="S2088" i="3"/>
  <c r="T2088" i="3" s="1"/>
  <c r="S2089" i="3"/>
  <c r="T2089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2095" i="3"/>
  <c r="T2095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2111" i="3"/>
  <c r="T2111" i="3" s="1"/>
  <c r="S2112" i="3"/>
  <c r="T2112" i="3" s="1"/>
  <c r="S2113" i="3"/>
  <c r="T2113" i="3" s="1"/>
  <c r="S2114" i="3"/>
  <c r="T2114" i="3" s="1"/>
  <c r="S2115" i="3"/>
  <c r="T2115" i="3" s="1"/>
  <c r="S2116" i="3"/>
  <c r="T2116" i="3" s="1"/>
  <c r="S2117" i="3"/>
  <c r="T2117" i="3" s="1"/>
  <c r="S2118" i="3"/>
  <c r="T2118" i="3" s="1"/>
  <c r="S2119" i="3"/>
  <c r="T2119" i="3" s="1"/>
  <c r="S2120" i="3"/>
  <c r="T2120" i="3" s="1"/>
  <c r="S2121" i="3"/>
  <c r="T2121" i="3" s="1"/>
  <c r="S2122" i="3"/>
  <c r="T2122" i="3" s="1"/>
  <c r="S2123" i="3"/>
  <c r="T2123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3" i="3"/>
  <c r="T2133" i="3" s="1"/>
  <c r="S2134" i="3"/>
  <c r="T2134" i="3" s="1"/>
  <c r="S2135" i="3"/>
  <c r="T2135" i="3" s="1"/>
  <c r="S2136" i="3"/>
  <c r="T2136" i="3" s="1"/>
  <c r="S2137" i="3"/>
  <c r="T2137" i="3" s="1"/>
  <c r="T216" i="3"/>
  <c r="T228" i="3"/>
  <c r="T252" i="3"/>
  <c r="T264" i="3"/>
  <c r="T276" i="3"/>
  <c r="T288" i="3"/>
  <c r="T300" i="3"/>
  <c r="T552" i="3"/>
  <c r="T624" i="3"/>
  <c r="T636" i="3"/>
  <c r="T648" i="3"/>
  <c r="T757" i="3"/>
  <c r="T804" i="3"/>
  <c r="T852" i="3"/>
  <c r="T876" i="3"/>
  <c r="T888" i="3"/>
  <c r="T948" i="3"/>
  <c r="T960" i="3"/>
  <c r="T972" i="3"/>
  <c r="T996" i="3"/>
  <c r="T1008" i="3"/>
  <c r="T1020" i="3"/>
  <c r="T1044" i="3"/>
  <c r="T1056" i="3"/>
  <c r="T1068" i="3"/>
  <c r="T1169" i="3"/>
  <c r="T1332" i="3"/>
  <c r="T1512" i="3"/>
  <c r="T1536" i="3"/>
  <c r="T1560" i="3"/>
  <c r="T1644" i="3"/>
  <c r="T1668" i="3"/>
  <c r="T1692" i="3"/>
  <c r="T1716" i="3"/>
  <c r="T1776" i="3"/>
  <c r="T1812" i="3"/>
  <c r="T1848" i="3"/>
  <c r="U3" i="3"/>
  <c r="V3" i="3" s="1"/>
  <c r="U4" i="3"/>
  <c r="V4" i="3" s="1"/>
  <c r="U5" i="3"/>
  <c r="V5" i="3" s="1"/>
  <c r="U6" i="3"/>
  <c r="V6" i="3" s="1"/>
  <c r="U7" i="3"/>
  <c r="V7" i="3" s="1"/>
  <c r="U8" i="3"/>
  <c r="V8" i="3" s="1"/>
  <c r="U9" i="3"/>
  <c r="V9" i="3" s="1"/>
  <c r="U10" i="3"/>
  <c r="V10" i="3" s="1"/>
  <c r="U11" i="3"/>
  <c r="V11" i="3" s="1"/>
  <c r="U12" i="3"/>
  <c r="V12" i="3" s="1"/>
  <c r="U13" i="3"/>
  <c r="V13" i="3" s="1"/>
  <c r="U14" i="3"/>
  <c r="V14" i="3" s="1"/>
  <c r="U15" i="3"/>
  <c r="V15" i="3" s="1"/>
  <c r="U16" i="3"/>
  <c r="V16" i="3" s="1"/>
  <c r="U17" i="3"/>
  <c r="V17" i="3" s="1"/>
  <c r="V18" i="3"/>
  <c r="U19" i="3"/>
  <c r="V19" i="3" s="1"/>
  <c r="U20" i="3"/>
  <c r="V20" i="3" s="1"/>
  <c r="U21" i="3"/>
  <c r="V21" i="3" s="1"/>
  <c r="U22" i="3"/>
  <c r="V22" i="3" s="1"/>
  <c r="U23" i="3"/>
  <c r="V23" i="3" s="1"/>
  <c r="U24" i="3"/>
  <c r="V24" i="3" s="1"/>
  <c r="U25" i="3"/>
  <c r="V25" i="3" s="1"/>
  <c r="U26" i="3"/>
  <c r="V26" i="3" s="1"/>
  <c r="U27" i="3"/>
  <c r="V27" i="3" s="1"/>
  <c r="U28" i="3"/>
  <c r="V28" i="3" s="1"/>
  <c r="U29" i="3"/>
  <c r="V29" i="3" s="1"/>
  <c r="U30" i="3"/>
  <c r="V30" i="3" s="1"/>
  <c r="U31" i="3"/>
  <c r="V31" i="3" s="1"/>
  <c r="U32" i="3"/>
  <c r="V32" i="3" s="1"/>
  <c r="U33" i="3"/>
  <c r="V33" i="3" s="1"/>
  <c r="U34" i="3"/>
  <c r="V34" i="3" s="1"/>
  <c r="U35" i="3"/>
  <c r="V35" i="3" s="1"/>
  <c r="U36" i="3"/>
  <c r="V36" i="3" s="1"/>
  <c r="U37" i="3"/>
  <c r="V37" i="3" s="1"/>
  <c r="U38" i="3"/>
  <c r="V38" i="3" s="1"/>
  <c r="U39" i="3"/>
  <c r="V39" i="3" s="1"/>
  <c r="U40" i="3"/>
  <c r="V40" i="3" s="1"/>
  <c r="U41" i="3"/>
  <c r="V41" i="3" s="1"/>
  <c r="U42" i="3"/>
  <c r="V42" i="3" s="1"/>
  <c r="U43" i="3"/>
  <c r="V43" i="3" s="1"/>
  <c r="U44" i="3"/>
  <c r="V44" i="3" s="1"/>
  <c r="U45" i="3"/>
  <c r="V45" i="3" s="1"/>
  <c r="U46" i="3"/>
  <c r="V46" i="3" s="1"/>
  <c r="U47" i="3"/>
  <c r="V47" i="3" s="1"/>
  <c r="U48" i="3"/>
  <c r="V48" i="3" s="1"/>
  <c r="U49" i="3"/>
  <c r="V49" i="3" s="1"/>
  <c r="U50" i="3"/>
  <c r="V50" i="3" s="1"/>
  <c r="U51" i="3"/>
  <c r="V51" i="3" s="1"/>
  <c r="U52" i="3"/>
  <c r="V52" i="3" s="1"/>
  <c r="U53" i="3"/>
  <c r="V53" i="3" s="1"/>
  <c r="U54" i="3"/>
  <c r="V54" i="3" s="1"/>
  <c r="U55" i="3"/>
  <c r="V55" i="3" s="1"/>
  <c r="U56" i="3"/>
  <c r="V56" i="3" s="1"/>
  <c r="U57" i="3"/>
  <c r="V57" i="3" s="1"/>
  <c r="U58" i="3"/>
  <c r="V58" i="3" s="1"/>
  <c r="U59" i="3"/>
  <c r="V59" i="3" s="1"/>
  <c r="U60" i="3"/>
  <c r="V60" i="3" s="1"/>
  <c r="U61" i="3"/>
  <c r="V61" i="3" s="1"/>
  <c r="U62" i="3"/>
  <c r="V62" i="3" s="1"/>
  <c r="U63" i="3"/>
  <c r="V63" i="3" s="1"/>
  <c r="U64" i="3"/>
  <c r="V64" i="3" s="1"/>
  <c r="U65" i="3"/>
  <c r="V65" i="3" s="1"/>
  <c r="U66" i="3"/>
  <c r="V66" i="3" s="1"/>
  <c r="U67" i="3"/>
  <c r="V67" i="3" s="1"/>
  <c r="U68" i="3"/>
  <c r="V68" i="3" s="1"/>
  <c r="U69" i="3"/>
  <c r="V69" i="3" s="1"/>
  <c r="U70" i="3"/>
  <c r="V70" i="3" s="1"/>
  <c r="U71" i="3"/>
  <c r="V71" i="3" s="1"/>
  <c r="U72" i="3"/>
  <c r="V72" i="3" s="1"/>
  <c r="U73" i="3"/>
  <c r="V73" i="3" s="1"/>
  <c r="U74" i="3"/>
  <c r="V74" i="3" s="1"/>
  <c r="U75" i="3"/>
  <c r="V75" i="3" s="1"/>
  <c r="U76" i="3"/>
  <c r="V76" i="3" s="1"/>
  <c r="U77" i="3"/>
  <c r="V77" i="3" s="1"/>
  <c r="U78" i="3"/>
  <c r="V78" i="3" s="1"/>
  <c r="U79" i="3"/>
  <c r="V79" i="3" s="1"/>
  <c r="U80" i="3"/>
  <c r="V80" i="3" s="1"/>
  <c r="U81" i="3"/>
  <c r="V81" i="3" s="1"/>
  <c r="U82" i="3"/>
  <c r="V82" i="3" s="1"/>
  <c r="U83" i="3"/>
  <c r="V83" i="3" s="1"/>
  <c r="U84" i="3"/>
  <c r="V84" i="3" s="1"/>
  <c r="U85" i="3"/>
  <c r="V85" i="3" s="1"/>
  <c r="U86" i="3"/>
  <c r="V86" i="3" s="1"/>
  <c r="U87" i="3"/>
  <c r="V87" i="3" s="1"/>
  <c r="U88" i="3"/>
  <c r="V88" i="3" s="1"/>
  <c r="U89" i="3"/>
  <c r="V89" i="3" s="1"/>
  <c r="U90" i="3"/>
  <c r="V90" i="3" s="1"/>
  <c r="U91" i="3"/>
  <c r="V91" i="3" s="1"/>
  <c r="U92" i="3"/>
  <c r="V92" i="3" s="1"/>
  <c r="U93" i="3"/>
  <c r="V93" i="3" s="1"/>
  <c r="U94" i="3"/>
  <c r="V94" i="3" s="1"/>
  <c r="U95" i="3"/>
  <c r="V95" i="3" s="1"/>
  <c r="U96" i="3"/>
  <c r="V96" i="3" s="1"/>
  <c r="U97" i="3"/>
  <c r="V97" i="3" s="1"/>
  <c r="U98" i="3"/>
  <c r="V98" i="3" s="1"/>
  <c r="U99" i="3"/>
  <c r="V99" i="3" s="1"/>
  <c r="U100" i="3"/>
  <c r="V100" i="3" s="1"/>
  <c r="U101" i="3"/>
  <c r="V101" i="3" s="1"/>
  <c r="U102" i="3"/>
  <c r="V102" i="3" s="1"/>
  <c r="V103" i="3"/>
  <c r="U104" i="3"/>
  <c r="V104" i="3" s="1"/>
  <c r="V141" i="3"/>
  <c r="U106" i="3"/>
  <c r="V106" i="3" s="1"/>
  <c r="U107" i="3"/>
  <c r="V107" i="3" s="1"/>
  <c r="U108" i="3"/>
  <c r="V108" i="3" s="1"/>
  <c r="U109" i="3"/>
  <c r="V109" i="3" s="1"/>
  <c r="U110" i="3"/>
  <c r="V110" i="3" s="1"/>
  <c r="U111" i="3"/>
  <c r="V111" i="3" s="1"/>
  <c r="U112" i="3"/>
  <c r="V112" i="3" s="1"/>
  <c r="U113" i="3"/>
  <c r="V113" i="3" s="1"/>
  <c r="U114" i="3"/>
  <c r="V114" i="3" s="1"/>
  <c r="U115" i="3"/>
  <c r="V115" i="3" s="1"/>
  <c r="U116" i="3"/>
  <c r="V116" i="3" s="1"/>
  <c r="U117" i="3"/>
  <c r="V117" i="3" s="1"/>
  <c r="U118" i="3"/>
  <c r="V118" i="3" s="1"/>
  <c r="V1984" i="3"/>
  <c r="U120" i="3"/>
  <c r="V120" i="3" s="1"/>
  <c r="U121" i="3"/>
  <c r="V121" i="3" s="1"/>
  <c r="U122" i="3"/>
  <c r="V122" i="3" s="1"/>
  <c r="U123" i="3"/>
  <c r="V123" i="3" s="1"/>
  <c r="U124" i="3"/>
  <c r="V124" i="3" s="1"/>
  <c r="U125" i="3"/>
  <c r="V125" i="3" s="1"/>
  <c r="U126" i="3"/>
  <c r="V126" i="3" s="1"/>
  <c r="U127" i="3"/>
  <c r="V127" i="3" s="1"/>
  <c r="U128" i="3"/>
  <c r="V128" i="3" s="1"/>
  <c r="V119" i="3"/>
  <c r="U130" i="3"/>
  <c r="V130" i="3" s="1"/>
  <c r="U131" i="3"/>
  <c r="V131" i="3" s="1"/>
  <c r="U132" i="3"/>
  <c r="V132" i="3" s="1"/>
  <c r="U133" i="3"/>
  <c r="V133" i="3" s="1"/>
  <c r="V105" i="3"/>
  <c r="U135" i="3"/>
  <c r="V135" i="3" s="1"/>
  <c r="U136" i="3"/>
  <c r="V136" i="3" s="1"/>
  <c r="U137" i="3"/>
  <c r="V137" i="3" s="1"/>
  <c r="U138" i="3"/>
  <c r="V138" i="3" s="1"/>
  <c r="U139" i="3"/>
  <c r="V139" i="3" s="1"/>
  <c r="U140" i="3"/>
  <c r="V140" i="3" s="1"/>
  <c r="V160" i="3"/>
  <c r="U142" i="3"/>
  <c r="V142" i="3" s="1"/>
  <c r="U143" i="3"/>
  <c r="V143" i="3" s="1"/>
  <c r="U144" i="3"/>
  <c r="V144" i="3" s="1"/>
  <c r="U145" i="3"/>
  <c r="V145" i="3" s="1"/>
  <c r="U146" i="3"/>
  <c r="V146" i="3" s="1"/>
  <c r="U147" i="3"/>
  <c r="V147" i="3" s="1"/>
  <c r="U148" i="3"/>
  <c r="V148" i="3" s="1"/>
  <c r="U149" i="3"/>
  <c r="V149" i="3" s="1"/>
  <c r="U150" i="3"/>
  <c r="V150" i="3" s="1"/>
  <c r="U151" i="3"/>
  <c r="V151" i="3" s="1"/>
  <c r="U152" i="3"/>
  <c r="V152" i="3" s="1"/>
  <c r="U153" i="3"/>
  <c r="V153" i="3" s="1"/>
  <c r="U154" i="3"/>
  <c r="V154" i="3" s="1"/>
  <c r="U155" i="3"/>
  <c r="V155" i="3" s="1"/>
  <c r="U156" i="3"/>
  <c r="U157" i="3"/>
  <c r="V157" i="3" s="1"/>
  <c r="U158" i="3"/>
  <c r="V158" i="3" s="1"/>
  <c r="V159" i="3"/>
  <c r="V359" i="3"/>
  <c r="U161" i="3"/>
  <c r="V161" i="3" s="1"/>
  <c r="U162" i="3"/>
  <c r="V162" i="3" s="1"/>
  <c r="U163" i="3"/>
  <c r="V163" i="3" s="1"/>
  <c r="U164" i="3"/>
  <c r="V164" i="3" s="1"/>
  <c r="U165" i="3"/>
  <c r="V165" i="3" s="1"/>
  <c r="U166" i="3"/>
  <c r="V166" i="3" s="1"/>
  <c r="U167" i="3"/>
  <c r="V167" i="3" s="1"/>
  <c r="U168" i="3"/>
  <c r="V168" i="3" s="1"/>
  <c r="U169" i="3"/>
  <c r="V169" i="3" s="1"/>
  <c r="U170" i="3"/>
  <c r="V170" i="3" s="1"/>
  <c r="U171" i="3"/>
  <c r="V171" i="3" s="1"/>
  <c r="U172" i="3"/>
  <c r="V172" i="3" s="1"/>
  <c r="U173" i="3"/>
  <c r="V173" i="3" s="1"/>
  <c r="U174" i="3"/>
  <c r="V174" i="3" s="1"/>
  <c r="U175" i="3"/>
  <c r="V175" i="3" s="1"/>
  <c r="U176" i="3"/>
  <c r="V176" i="3" s="1"/>
  <c r="U177" i="3"/>
  <c r="V177" i="3" s="1"/>
  <c r="U178" i="3"/>
  <c r="V178" i="3" s="1"/>
  <c r="U179" i="3"/>
  <c r="V179" i="3" s="1"/>
  <c r="U180" i="3"/>
  <c r="V180" i="3" s="1"/>
  <c r="U181" i="3"/>
  <c r="V181" i="3" s="1"/>
  <c r="U182" i="3"/>
  <c r="V182" i="3" s="1"/>
  <c r="U183" i="3"/>
  <c r="V183" i="3" s="1"/>
  <c r="U184" i="3"/>
  <c r="V184" i="3" s="1"/>
  <c r="U185" i="3"/>
  <c r="V185" i="3" s="1"/>
  <c r="U186" i="3"/>
  <c r="V186" i="3" s="1"/>
  <c r="U187" i="3"/>
  <c r="V187" i="3" s="1"/>
  <c r="U188" i="3"/>
  <c r="V188" i="3" s="1"/>
  <c r="U189" i="3"/>
  <c r="V189" i="3" s="1"/>
  <c r="U190" i="3"/>
  <c r="V190" i="3" s="1"/>
  <c r="U191" i="3"/>
  <c r="V191" i="3" s="1"/>
  <c r="U192" i="3"/>
  <c r="V192" i="3" s="1"/>
  <c r="U193" i="3"/>
  <c r="V193" i="3" s="1"/>
  <c r="U194" i="3"/>
  <c r="V194" i="3" s="1"/>
  <c r="U195" i="3"/>
  <c r="V195" i="3" s="1"/>
  <c r="U196" i="3"/>
  <c r="V196" i="3" s="1"/>
  <c r="U197" i="3"/>
  <c r="V197" i="3" s="1"/>
  <c r="U198" i="3"/>
  <c r="V198" i="3" s="1"/>
  <c r="U199" i="3"/>
  <c r="V199" i="3" s="1"/>
  <c r="U200" i="3"/>
  <c r="V200" i="3" s="1"/>
  <c r="U201" i="3"/>
  <c r="V201" i="3" s="1"/>
  <c r="U202" i="3"/>
  <c r="V202" i="3" s="1"/>
  <c r="U203" i="3"/>
  <c r="V203" i="3" s="1"/>
  <c r="U204" i="3"/>
  <c r="V204" i="3" s="1"/>
  <c r="U205" i="3"/>
  <c r="V205" i="3" s="1"/>
  <c r="U206" i="3"/>
  <c r="V206" i="3" s="1"/>
  <c r="U207" i="3"/>
  <c r="V207" i="3" s="1"/>
  <c r="U208" i="3"/>
  <c r="V208" i="3" s="1"/>
  <c r="U209" i="3"/>
  <c r="V209" i="3" s="1"/>
  <c r="U210" i="3"/>
  <c r="V210" i="3" s="1"/>
  <c r="U211" i="3"/>
  <c r="V211" i="3" s="1"/>
  <c r="U212" i="3"/>
  <c r="V212" i="3" s="1"/>
  <c r="U213" i="3"/>
  <c r="V213" i="3" s="1"/>
  <c r="U214" i="3"/>
  <c r="V214" i="3" s="1"/>
  <c r="U215" i="3"/>
  <c r="V215" i="3" s="1"/>
  <c r="U216" i="3"/>
  <c r="V216" i="3" s="1"/>
  <c r="U217" i="3"/>
  <c r="V217" i="3" s="1"/>
  <c r="U218" i="3"/>
  <c r="V218" i="3" s="1"/>
  <c r="U219" i="3"/>
  <c r="V219" i="3" s="1"/>
  <c r="U220" i="3"/>
  <c r="V220" i="3" s="1"/>
  <c r="U221" i="3"/>
  <c r="V221" i="3" s="1"/>
  <c r="U222" i="3"/>
  <c r="V222" i="3" s="1"/>
  <c r="U223" i="3"/>
  <c r="V223" i="3" s="1"/>
  <c r="U224" i="3"/>
  <c r="V224" i="3" s="1"/>
  <c r="U225" i="3"/>
  <c r="V225" i="3" s="1"/>
  <c r="U226" i="3"/>
  <c r="V226" i="3" s="1"/>
  <c r="U227" i="3"/>
  <c r="V227" i="3" s="1"/>
  <c r="U228" i="3"/>
  <c r="V228" i="3" s="1"/>
  <c r="U229" i="3"/>
  <c r="V229" i="3" s="1"/>
  <c r="U230" i="3"/>
  <c r="V230" i="3" s="1"/>
  <c r="U231" i="3"/>
  <c r="V231" i="3" s="1"/>
  <c r="U232" i="3"/>
  <c r="V232" i="3" s="1"/>
  <c r="U233" i="3"/>
  <c r="V233" i="3" s="1"/>
  <c r="U234" i="3"/>
  <c r="V234" i="3" s="1"/>
  <c r="U235" i="3"/>
  <c r="V235" i="3" s="1"/>
  <c r="U236" i="3"/>
  <c r="V236" i="3" s="1"/>
  <c r="U237" i="3"/>
  <c r="V237" i="3" s="1"/>
  <c r="U238" i="3"/>
  <c r="V238" i="3" s="1"/>
  <c r="U239" i="3"/>
  <c r="V239" i="3" s="1"/>
  <c r="U240" i="3"/>
  <c r="V240" i="3" s="1"/>
  <c r="U241" i="3"/>
  <c r="V241" i="3" s="1"/>
  <c r="U242" i="3"/>
  <c r="V242" i="3" s="1"/>
  <c r="U243" i="3"/>
  <c r="V243" i="3" s="1"/>
  <c r="U245" i="3"/>
  <c r="V245" i="3" s="1"/>
  <c r="U246" i="3"/>
  <c r="V246" i="3" s="1"/>
  <c r="U247" i="3"/>
  <c r="V247" i="3" s="1"/>
  <c r="U248" i="3"/>
  <c r="V248" i="3" s="1"/>
  <c r="U249" i="3"/>
  <c r="V249" i="3" s="1"/>
  <c r="U250" i="3"/>
  <c r="V250" i="3" s="1"/>
  <c r="U251" i="3"/>
  <c r="V251" i="3" s="1"/>
  <c r="U252" i="3"/>
  <c r="V252" i="3" s="1"/>
  <c r="U253" i="3"/>
  <c r="V253" i="3" s="1"/>
  <c r="U254" i="3"/>
  <c r="V254" i="3" s="1"/>
  <c r="U255" i="3"/>
  <c r="V255" i="3" s="1"/>
  <c r="U256" i="3"/>
  <c r="V256" i="3" s="1"/>
  <c r="U257" i="3"/>
  <c r="V257" i="3" s="1"/>
  <c r="U258" i="3"/>
  <c r="V258" i="3" s="1"/>
  <c r="U259" i="3"/>
  <c r="V259" i="3" s="1"/>
  <c r="U260" i="3"/>
  <c r="V260" i="3" s="1"/>
  <c r="U261" i="3"/>
  <c r="V261" i="3" s="1"/>
  <c r="U262" i="3"/>
  <c r="V262" i="3" s="1"/>
  <c r="U263" i="3"/>
  <c r="V263" i="3" s="1"/>
  <c r="U264" i="3"/>
  <c r="V264" i="3" s="1"/>
  <c r="U265" i="3"/>
  <c r="V265" i="3" s="1"/>
  <c r="U266" i="3"/>
  <c r="V266" i="3" s="1"/>
  <c r="U267" i="3"/>
  <c r="V267" i="3" s="1"/>
  <c r="U268" i="3"/>
  <c r="V268" i="3" s="1"/>
  <c r="U269" i="3"/>
  <c r="V269" i="3" s="1"/>
  <c r="U270" i="3"/>
  <c r="V270" i="3" s="1"/>
  <c r="U271" i="3"/>
  <c r="V271" i="3" s="1"/>
  <c r="U272" i="3"/>
  <c r="V272" i="3" s="1"/>
  <c r="U273" i="3"/>
  <c r="V273" i="3" s="1"/>
  <c r="U274" i="3"/>
  <c r="V274" i="3" s="1"/>
  <c r="U275" i="3"/>
  <c r="V275" i="3" s="1"/>
  <c r="U276" i="3"/>
  <c r="V276" i="3" s="1"/>
  <c r="U277" i="3"/>
  <c r="V277" i="3" s="1"/>
  <c r="U278" i="3"/>
  <c r="V278" i="3" s="1"/>
  <c r="U279" i="3"/>
  <c r="V279" i="3" s="1"/>
  <c r="U280" i="3"/>
  <c r="V280" i="3" s="1"/>
  <c r="U281" i="3"/>
  <c r="V281" i="3" s="1"/>
  <c r="U282" i="3"/>
  <c r="V282" i="3" s="1"/>
  <c r="U283" i="3"/>
  <c r="V283" i="3" s="1"/>
  <c r="U284" i="3"/>
  <c r="V284" i="3" s="1"/>
  <c r="U285" i="3"/>
  <c r="V285" i="3" s="1"/>
  <c r="U286" i="3"/>
  <c r="V286" i="3" s="1"/>
  <c r="U287" i="3"/>
  <c r="V287" i="3" s="1"/>
  <c r="U288" i="3"/>
  <c r="V288" i="3" s="1"/>
  <c r="U289" i="3"/>
  <c r="V289" i="3" s="1"/>
  <c r="U290" i="3"/>
  <c r="V290" i="3" s="1"/>
  <c r="U291" i="3"/>
  <c r="V291" i="3" s="1"/>
  <c r="U292" i="3"/>
  <c r="V292" i="3" s="1"/>
  <c r="U293" i="3"/>
  <c r="V293" i="3" s="1"/>
  <c r="U294" i="3"/>
  <c r="V294" i="3" s="1"/>
  <c r="U295" i="3"/>
  <c r="V295" i="3" s="1"/>
  <c r="U296" i="3"/>
  <c r="V296" i="3" s="1"/>
  <c r="U297" i="3"/>
  <c r="V297" i="3" s="1"/>
  <c r="U298" i="3"/>
  <c r="V298" i="3" s="1"/>
  <c r="U299" i="3"/>
  <c r="V299" i="3" s="1"/>
  <c r="U300" i="3"/>
  <c r="V300" i="3" s="1"/>
  <c r="U301" i="3"/>
  <c r="V301" i="3" s="1"/>
  <c r="U302" i="3"/>
  <c r="V302" i="3" s="1"/>
  <c r="U303" i="3"/>
  <c r="V303" i="3" s="1"/>
  <c r="U304" i="3"/>
  <c r="V304" i="3" s="1"/>
  <c r="U305" i="3"/>
  <c r="V305" i="3" s="1"/>
  <c r="U306" i="3"/>
  <c r="V306" i="3" s="1"/>
  <c r="U307" i="3"/>
  <c r="V307" i="3" s="1"/>
  <c r="U308" i="3"/>
  <c r="V308" i="3" s="1"/>
  <c r="U309" i="3"/>
  <c r="V309" i="3" s="1"/>
  <c r="U310" i="3"/>
  <c r="V310" i="3" s="1"/>
  <c r="U311" i="3"/>
  <c r="V311" i="3" s="1"/>
  <c r="U312" i="3"/>
  <c r="V312" i="3" s="1"/>
  <c r="U313" i="3"/>
  <c r="V313" i="3" s="1"/>
  <c r="U314" i="3"/>
  <c r="V314" i="3" s="1"/>
  <c r="V315" i="3"/>
  <c r="U316" i="3"/>
  <c r="V316" i="3" s="1"/>
  <c r="U317" i="3"/>
  <c r="V317" i="3" s="1"/>
  <c r="U318" i="3"/>
  <c r="V318" i="3" s="1"/>
  <c r="U319" i="3"/>
  <c r="V319" i="3" s="1"/>
  <c r="U320" i="3"/>
  <c r="V320" i="3" s="1"/>
  <c r="U321" i="3"/>
  <c r="V321" i="3" s="1"/>
  <c r="U322" i="3"/>
  <c r="V322" i="3" s="1"/>
  <c r="U323" i="3"/>
  <c r="V323" i="3" s="1"/>
  <c r="U324" i="3"/>
  <c r="V324" i="3" s="1"/>
  <c r="U325" i="3"/>
  <c r="V325" i="3" s="1"/>
  <c r="U326" i="3"/>
  <c r="V326" i="3" s="1"/>
  <c r="U327" i="3"/>
  <c r="V327" i="3" s="1"/>
  <c r="U328" i="3"/>
  <c r="U329" i="3"/>
  <c r="V329" i="3" s="1"/>
  <c r="U330" i="3"/>
  <c r="V330" i="3" s="1"/>
  <c r="U331" i="3"/>
  <c r="V331" i="3" s="1"/>
  <c r="U332" i="3"/>
  <c r="V332" i="3" s="1"/>
  <c r="U333" i="3"/>
  <c r="V333" i="3" s="1"/>
  <c r="U334" i="3"/>
  <c r="V334" i="3" s="1"/>
  <c r="V335" i="3"/>
  <c r="U336" i="3"/>
  <c r="V336" i="3" s="1"/>
  <c r="U337" i="3"/>
  <c r="V337" i="3" s="1"/>
  <c r="U338" i="3"/>
  <c r="V338" i="3" s="1"/>
  <c r="U339" i="3"/>
  <c r="V339" i="3" s="1"/>
  <c r="U340" i="3"/>
  <c r="V340" i="3" s="1"/>
  <c r="U341" i="3"/>
  <c r="V341" i="3" s="1"/>
  <c r="U342" i="3"/>
  <c r="V342" i="3" s="1"/>
  <c r="U343" i="3"/>
  <c r="V343" i="3" s="1"/>
  <c r="U344" i="3"/>
  <c r="V344" i="3" s="1"/>
  <c r="U345" i="3"/>
  <c r="V345" i="3" s="1"/>
  <c r="U346" i="3"/>
  <c r="V346" i="3" s="1"/>
  <c r="U347" i="3"/>
  <c r="V347" i="3" s="1"/>
  <c r="U348" i="3"/>
  <c r="V348" i="3" s="1"/>
  <c r="U349" i="3"/>
  <c r="V349" i="3" s="1"/>
  <c r="U350" i="3"/>
  <c r="V350" i="3" s="1"/>
  <c r="U351" i="3"/>
  <c r="V351" i="3" s="1"/>
  <c r="U352" i="3"/>
  <c r="V352" i="3" s="1"/>
  <c r="U353" i="3"/>
  <c r="V353" i="3" s="1"/>
  <c r="U354" i="3"/>
  <c r="V354" i="3" s="1"/>
  <c r="U355" i="3"/>
  <c r="V355" i="3" s="1"/>
  <c r="U356" i="3"/>
  <c r="V356" i="3" s="1"/>
  <c r="U357" i="3"/>
  <c r="V357" i="3" s="1"/>
  <c r="U358" i="3"/>
  <c r="V358" i="3" s="1"/>
  <c r="V134" i="3"/>
  <c r="U360" i="3"/>
  <c r="V360" i="3" s="1"/>
  <c r="U361" i="3"/>
  <c r="V361" i="3" s="1"/>
  <c r="U362" i="3"/>
  <c r="V362" i="3" s="1"/>
  <c r="U363" i="3"/>
  <c r="V363" i="3" s="1"/>
  <c r="U364" i="3"/>
  <c r="V364" i="3" s="1"/>
  <c r="U365" i="3"/>
  <c r="V365" i="3" s="1"/>
  <c r="U366" i="3"/>
  <c r="V366" i="3" s="1"/>
  <c r="U367" i="3"/>
  <c r="V367" i="3" s="1"/>
  <c r="U368" i="3"/>
  <c r="V368" i="3" s="1"/>
  <c r="U369" i="3"/>
  <c r="V369" i="3" s="1"/>
  <c r="U370" i="3"/>
  <c r="V370" i="3" s="1"/>
  <c r="U371" i="3"/>
  <c r="V371" i="3" s="1"/>
  <c r="U372" i="3"/>
  <c r="V372" i="3" s="1"/>
  <c r="U373" i="3"/>
  <c r="V373" i="3" s="1"/>
  <c r="U374" i="3"/>
  <c r="V374" i="3" s="1"/>
  <c r="U375" i="3"/>
  <c r="V375" i="3" s="1"/>
  <c r="U376" i="3"/>
  <c r="V376" i="3" s="1"/>
  <c r="U377" i="3"/>
  <c r="V377" i="3" s="1"/>
  <c r="U378" i="3"/>
  <c r="V378" i="3" s="1"/>
  <c r="U379" i="3"/>
  <c r="V379" i="3" s="1"/>
  <c r="U380" i="3"/>
  <c r="V380" i="3" s="1"/>
  <c r="U381" i="3"/>
  <c r="V381" i="3" s="1"/>
  <c r="V382" i="3"/>
  <c r="U383" i="3"/>
  <c r="V383" i="3" s="1"/>
  <c r="U384" i="3"/>
  <c r="V384" i="3" s="1"/>
  <c r="V385" i="3"/>
  <c r="U386" i="3"/>
  <c r="V386" i="3" s="1"/>
  <c r="U387" i="3"/>
  <c r="V387" i="3" s="1"/>
  <c r="U388" i="3"/>
  <c r="V388" i="3" s="1"/>
  <c r="U389" i="3"/>
  <c r="V389" i="3" s="1"/>
  <c r="U390" i="3"/>
  <c r="V390" i="3" s="1"/>
  <c r="V915" i="3"/>
  <c r="U392" i="3"/>
  <c r="V392" i="3" s="1"/>
  <c r="U393" i="3"/>
  <c r="V393" i="3" s="1"/>
  <c r="U394" i="3"/>
  <c r="V394" i="3" s="1"/>
  <c r="U395" i="3"/>
  <c r="V395" i="3" s="1"/>
  <c r="U396" i="3"/>
  <c r="V396" i="3" s="1"/>
  <c r="V397" i="3"/>
  <c r="U398" i="3"/>
  <c r="V398" i="3" s="1"/>
  <c r="U399" i="3"/>
  <c r="V399" i="3" s="1"/>
  <c r="U400" i="3"/>
  <c r="V400" i="3" s="1"/>
  <c r="U401" i="3"/>
  <c r="V401" i="3" s="1"/>
  <c r="U402" i="3"/>
  <c r="V402" i="3" s="1"/>
  <c r="U403" i="3"/>
  <c r="V403" i="3" s="1"/>
  <c r="U404" i="3"/>
  <c r="V404" i="3" s="1"/>
  <c r="U405" i="3"/>
  <c r="V405" i="3" s="1"/>
  <c r="U406" i="3"/>
  <c r="V406" i="3" s="1"/>
  <c r="U407" i="3"/>
  <c r="V407" i="3" s="1"/>
  <c r="U408" i="3"/>
  <c r="V408" i="3" s="1"/>
  <c r="U409" i="3"/>
  <c r="V409" i="3" s="1"/>
  <c r="U410" i="3"/>
  <c r="V410" i="3" s="1"/>
  <c r="U411" i="3"/>
  <c r="V411" i="3" s="1"/>
  <c r="U412" i="3"/>
  <c r="V412" i="3" s="1"/>
  <c r="V413" i="3"/>
  <c r="U414" i="3"/>
  <c r="V414" i="3" s="1"/>
  <c r="U415" i="3"/>
  <c r="V415" i="3" s="1"/>
  <c r="U416" i="3"/>
  <c r="V416" i="3" s="1"/>
  <c r="U417" i="3"/>
  <c r="V417" i="3" s="1"/>
  <c r="U418" i="3"/>
  <c r="V418" i="3" s="1"/>
  <c r="U419" i="3"/>
  <c r="V419" i="3" s="1"/>
  <c r="U420" i="3"/>
  <c r="V420" i="3" s="1"/>
  <c r="U421" i="3"/>
  <c r="V421" i="3" s="1"/>
  <c r="U422" i="3"/>
  <c r="V422" i="3" s="1"/>
  <c r="U423" i="3"/>
  <c r="V423" i="3" s="1"/>
  <c r="U424" i="3"/>
  <c r="V424" i="3" s="1"/>
  <c r="U425" i="3"/>
  <c r="V425" i="3" s="1"/>
  <c r="U426" i="3"/>
  <c r="V426" i="3" s="1"/>
  <c r="U427" i="3"/>
  <c r="V427" i="3" s="1"/>
  <c r="U428" i="3"/>
  <c r="V428" i="3" s="1"/>
  <c r="U429" i="3"/>
  <c r="V429" i="3" s="1"/>
  <c r="U430" i="3"/>
  <c r="V430" i="3" s="1"/>
  <c r="U431" i="3"/>
  <c r="V431" i="3" s="1"/>
  <c r="U432" i="3"/>
  <c r="V432" i="3" s="1"/>
  <c r="U433" i="3"/>
  <c r="V433" i="3" s="1"/>
  <c r="U434" i="3"/>
  <c r="V434" i="3" s="1"/>
  <c r="U435" i="3"/>
  <c r="V435" i="3" s="1"/>
  <c r="U436" i="3"/>
  <c r="V436" i="3" s="1"/>
  <c r="U437" i="3"/>
  <c r="V437" i="3" s="1"/>
  <c r="U438" i="3"/>
  <c r="V438" i="3" s="1"/>
  <c r="U439" i="3"/>
  <c r="V439" i="3" s="1"/>
  <c r="U440" i="3"/>
  <c r="V440" i="3" s="1"/>
  <c r="U441" i="3"/>
  <c r="V441" i="3" s="1"/>
  <c r="U442" i="3"/>
  <c r="V442" i="3" s="1"/>
  <c r="U443" i="3"/>
  <c r="V443" i="3" s="1"/>
  <c r="U444" i="3"/>
  <c r="V444" i="3" s="1"/>
  <c r="U445" i="3"/>
  <c r="V445" i="3" s="1"/>
  <c r="U446" i="3"/>
  <c r="V446" i="3" s="1"/>
  <c r="U447" i="3"/>
  <c r="V447" i="3" s="1"/>
  <c r="U448" i="3"/>
  <c r="V448" i="3" s="1"/>
  <c r="U449" i="3"/>
  <c r="V449" i="3" s="1"/>
  <c r="U450" i="3"/>
  <c r="V450" i="3" s="1"/>
  <c r="U451" i="3"/>
  <c r="V451" i="3" s="1"/>
  <c r="U452" i="3"/>
  <c r="V452" i="3" s="1"/>
  <c r="U453" i="3"/>
  <c r="V453" i="3" s="1"/>
  <c r="U454" i="3"/>
  <c r="V454" i="3" s="1"/>
  <c r="U455" i="3"/>
  <c r="V455" i="3" s="1"/>
  <c r="U456" i="3"/>
  <c r="V456" i="3" s="1"/>
  <c r="U457" i="3"/>
  <c r="V457" i="3" s="1"/>
  <c r="U458" i="3"/>
  <c r="V458" i="3" s="1"/>
  <c r="U459" i="3"/>
  <c r="V459" i="3" s="1"/>
  <c r="U460" i="3"/>
  <c r="V460" i="3" s="1"/>
  <c r="U461" i="3"/>
  <c r="V461" i="3" s="1"/>
  <c r="U462" i="3"/>
  <c r="V462" i="3" s="1"/>
  <c r="U463" i="3"/>
  <c r="V463" i="3" s="1"/>
  <c r="U464" i="3"/>
  <c r="V464" i="3" s="1"/>
  <c r="U465" i="3"/>
  <c r="V465" i="3" s="1"/>
  <c r="U466" i="3"/>
  <c r="V466" i="3" s="1"/>
  <c r="U467" i="3"/>
  <c r="V467" i="3" s="1"/>
  <c r="U468" i="3"/>
  <c r="V468" i="3" s="1"/>
  <c r="U469" i="3"/>
  <c r="V469" i="3" s="1"/>
  <c r="U470" i="3"/>
  <c r="V470" i="3" s="1"/>
  <c r="U471" i="3"/>
  <c r="V471" i="3" s="1"/>
  <c r="U472" i="3"/>
  <c r="V472" i="3" s="1"/>
  <c r="U473" i="3"/>
  <c r="V473" i="3" s="1"/>
  <c r="U474" i="3"/>
  <c r="V474" i="3" s="1"/>
  <c r="U475" i="3"/>
  <c r="V475" i="3" s="1"/>
  <c r="U476" i="3"/>
  <c r="V476" i="3" s="1"/>
  <c r="U477" i="3"/>
  <c r="V477" i="3" s="1"/>
  <c r="U478" i="3"/>
  <c r="V478" i="3" s="1"/>
  <c r="U479" i="3"/>
  <c r="V479" i="3" s="1"/>
  <c r="U480" i="3"/>
  <c r="V480" i="3" s="1"/>
  <c r="V391" i="3"/>
  <c r="U482" i="3"/>
  <c r="V482" i="3" s="1"/>
  <c r="U483" i="3"/>
  <c r="V483" i="3" s="1"/>
  <c r="U484" i="3"/>
  <c r="V484" i="3" s="1"/>
  <c r="V485" i="3"/>
  <c r="U486" i="3"/>
  <c r="V486" i="3" s="1"/>
  <c r="U487" i="3"/>
  <c r="V487" i="3" s="1"/>
  <c r="U488" i="3"/>
  <c r="V488" i="3" s="1"/>
  <c r="U489" i="3"/>
  <c r="V489" i="3" s="1"/>
  <c r="U490" i="3"/>
  <c r="V490" i="3" s="1"/>
  <c r="U491" i="3"/>
  <c r="V491" i="3" s="1"/>
  <c r="U492" i="3"/>
  <c r="V492" i="3" s="1"/>
  <c r="U493" i="3"/>
  <c r="V493" i="3" s="1"/>
  <c r="U494" i="3"/>
  <c r="V494" i="3" s="1"/>
  <c r="U495" i="3"/>
  <c r="V495" i="3" s="1"/>
  <c r="U496" i="3"/>
  <c r="V496" i="3" s="1"/>
  <c r="U497" i="3"/>
  <c r="V497" i="3" s="1"/>
  <c r="U498" i="3"/>
  <c r="V498" i="3" s="1"/>
  <c r="U499" i="3"/>
  <c r="V499" i="3" s="1"/>
  <c r="U500" i="3"/>
  <c r="V500" i="3" s="1"/>
  <c r="U501" i="3"/>
  <c r="V501" i="3" s="1"/>
  <c r="U502" i="3"/>
  <c r="V502" i="3" s="1"/>
  <c r="U503" i="3"/>
  <c r="V503" i="3" s="1"/>
  <c r="U504" i="3"/>
  <c r="V504" i="3" s="1"/>
  <c r="U505" i="3"/>
  <c r="V505" i="3" s="1"/>
  <c r="U506" i="3"/>
  <c r="V506" i="3" s="1"/>
  <c r="U507" i="3"/>
  <c r="V507" i="3" s="1"/>
  <c r="U508" i="3"/>
  <c r="V508" i="3" s="1"/>
  <c r="U509" i="3"/>
  <c r="V509" i="3" s="1"/>
  <c r="U510" i="3"/>
  <c r="V510" i="3" s="1"/>
  <c r="U511" i="3"/>
  <c r="V511" i="3" s="1"/>
  <c r="U512" i="3"/>
  <c r="V512" i="3" s="1"/>
  <c r="U513" i="3"/>
  <c r="V513" i="3" s="1"/>
  <c r="U514" i="3"/>
  <c r="V514" i="3" s="1"/>
  <c r="U515" i="3"/>
  <c r="V515" i="3" s="1"/>
  <c r="U516" i="3"/>
  <c r="V516" i="3" s="1"/>
  <c r="U517" i="3"/>
  <c r="V517" i="3" s="1"/>
  <c r="U518" i="3"/>
  <c r="V518" i="3" s="1"/>
  <c r="U519" i="3"/>
  <c r="V519" i="3" s="1"/>
  <c r="U520" i="3"/>
  <c r="U521" i="3"/>
  <c r="V521" i="3" s="1"/>
  <c r="U522" i="3"/>
  <c r="V522" i="3" s="1"/>
  <c r="U523" i="3"/>
  <c r="V523" i="3" s="1"/>
  <c r="U524" i="3"/>
  <c r="V524" i="3" s="1"/>
  <c r="U525" i="3"/>
  <c r="V525" i="3" s="1"/>
  <c r="U526" i="3"/>
  <c r="V526" i="3" s="1"/>
  <c r="U527" i="3"/>
  <c r="V527" i="3" s="1"/>
  <c r="U528" i="3"/>
  <c r="V528" i="3" s="1"/>
  <c r="U529" i="3"/>
  <c r="V529" i="3" s="1"/>
  <c r="U530" i="3"/>
  <c r="V530" i="3" s="1"/>
  <c r="U531" i="3"/>
  <c r="V531" i="3" s="1"/>
  <c r="U532" i="3"/>
  <c r="V532" i="3" s="1"/>
  <c r="U533" i="3"/>
  <c r="V533" i="3" s="1"/>
  <c r="U534" i="3"/>
  <c r="V534" i="3" s="1"/>
  <c r="U535" i="3"/>
  <c r="V535" i="3" s="1"/>
  <c r="U536" i="3"/>
  <c r="V536" i="3" s="1"/>
  <c r="U537" i="3"/>
  <c r="V537" i="3" s="1"/>
  <c r="U538" i="3"/>
  <c r="V538" i="3" s="1"/>
  <c r="U539" i="3"/>
  <c r="V539" i="3" s="1"/>
  <c r="U540" i="3"/>
  <c r="V540" i="3" s="1"/>
  <c r="U541" i="3"/>
  <c r="V541" i="3" s="1"/>
  <c r="U542" i="3"/>
  <c r="V542" i="3" s="1"/>
  <c r="U543" i="3"/>
  <c r="V543" i="3" s="1"/>
  <c r="U544" i="3"/>
  <c r="V544" i="3" s="1"/>
  <c r="U545" i="3"/>
  <c r="V545" i="3" s="1"/>
  <c r="U546" i="3"/>
  <c r="V546" i="3" s="1"/>
  <c r="U547" i="3"/>
  <c r="V547" i="3" s="1"/>
  <c r="U548" i="3"/>
  <c r="V548" i="3" s="1"/>
  <c r="U549" i="3"/>
  <c r="V549" i="3" s="1"/>
  <c r="U550" i="3"/>
  <c r="V550" i="3" s="1"/>
  <c r="U551" i="3"/>
  <c r="V551" i="3" s="1"/>
  <c r="U552" i="3"/>
  <c r="V552" i="3" s="1"/>
  <c r="U553" i="3"/>
  <c r="V553" i="3" s="1"/>
  <c r="U554" i="3"/>
  <c r="V554" i="3" s="1"/>
  <c r="U555" i="3"/>
  <c r="V555" i="3" s="1"/>
  <c r="U556" i="3"/>
  <c r="V556" i="3" s="1"/>
  <c r="U557" i="3"/>
  <c r="V557" i="3" s="1"/>
  <c r="U558" i="3"/>
  <c r="V558" i="3" s="1"/>
  <c r="U559" i="3"/>
  <c r="V559" i="3" s="1"/>
  <c r="U560" i="3"/>
  <c r="V560" i="3" s="1"/>
  <c r="U561" i="3"/>
  <c r="V561" i="3" s="1"/>
  <c r="U562" i="3"/>
  <c r="V562" i="3" s="1"/>
  <c r="U563" i="3"/>
  <c r="V563" i="3" s="1"/>
  <c r="U564" i="3"/>
  <c r="V564" i="3" s="1"/>
  <c r="U565" i="3"/>
  <c r="V565" i="3" s="1"/>
  <c r="U566" i="3"/>
  <c r="V566" i="3" s="1"/>
  <c r="U567" i="3"/>
  <c r="V567" i="3" s="1"/>
  <c r="U568" i="3"/>
  <c r="V568" i="3" s="1"/>
  <c r="U569" i="3"/>
  <c r="V569" i="3" s="1"/>
  <c r="U570" i="3"/>
  <c r="V570" i="3" s="1"/>
  <c r="U571" i="3"/>
  <c r="V571" i="3" s="1"/>
  <c r="U572" i="3"/>
  <c r="V572" i="3" s="1"/>
  <c r="U573" i="3"/>
  <c r="V573" i="3" s="1"/>
  <c r="U574" i="3"/>
  <c r="V574" i="3" s="1"/>
  <c r="U575" i="3"/>
  <c r="V575" i="3" s="1"/>
  <c r="U576" i="3"/>
  <c r="V576" i="3" s="1"/>
  <c r="U577" i="3"/>
  <c r="V577" i="3" s="1"/>
  <c r="U578" i="3"/>
  <c r="V578" i="3" s="1"/>
  <c r="U579" i="3"/>
  <c r="V579" i="3" s="1"/>
  <c r="U580" i="3"/>
  <c r="V580" i="3" s="1"/>
  <c r="U581" i="3"/>
  <c r="V581" i="3" s="1"/>
  <c r="U582" i="3"/>
  <c r="V582" i="3" s="1"/>
  <c r="U583" i="3"/>
  <c r="V583" i="3" s="1"/>
  <c r="U584" i="3"/>
  <c r="V584" i="3" s="1"/>
  <c r="U585" i="3"/>
  <c r="V585" i="3" s="1"/>
  <c r="U586" i="3"/>
  <c r="V586" i="3" s="1"/>
  <c r="U587" i="3"/>
  <c r="V587" i="3" s="1"/>
  <c r="U588" i="3"/>
  <c r="V588" i="3" s="1"/>
  <c r="U589" i="3"/>
  <c r="V589" i="3" s="1"/>
  <c r="U590" i="3"/>
  <c r="V590" i="3" s="1"/>
  <c r="U591" i="3"/>
  <c r="V591" i="3" s="1"/>
  <c r="U592" i="3"/>
  <c r="V592" i="3" s="1"/>
  <c r="U593" i="3"/>
  <c r="V593" i="3" s="1"/>
  <c r="U594" i="3"/>
  <c r="V594" i="3" s="1"/>
  <c r="U595" i="3"/>
  <c r="V595" i="3" s="1"/>
  <c r="U596" i="3"/>
  <c r="V596" i="3" s="1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609" i="3"/>
  <c r="V609" i="3" s="1"/>
  <c r="U610" i="3"/>
  <c r="V610" i="3" s="1"/>
  <c r="U611" i="3"/>
  <c r="V611" i="3" s="1"/>
  <c r="U612" i="3"/>
  <c r="V612" i="3" s="1"/>
  <c r="U613" i="3"/>
  <c r="V613" i="3" s="1"/>
  <c r="U614" i="3"/>
  <c r="V614" i="3" s="1"/>
  <c r="U615" i="3"/>
  <c r="V615" i="3" s="1"/>
  <c r="U616" i="3"/>
  <c r="V616" i="3" s="1"/>
  <c r="U617" i="3"/>
  <c r="V617" i="3" s="1"/>
  <c r="U618" i="3"/>
  <c r="V618" i="3" s="1"/>
  <c r="U619" i="3"/>
  <c r="V619" i="3" s="1"/>
  <c r="U620" i="3"/>
  <c r="V620" i="3" s="1"/>
  <c r="U621" i="3"/>
  <c r="V621" i="3" s="1"/>
  <c r="U622" i="3"/>
  <c r="V622" i="3" s="1"/>
  <c r="U623" i="3"/>
  <c r="V623" i="3" s="1"/>
  <c r="U624" i="3"/>
  <c r="V624" i="3" s="1"/>
  <c r="U625" i="3"/>
  <c r="V625" i="3" s="1"/>
  <c r="U626" i="3"/>
  <c r="V626" i="3" s="1"/>
  <c r="U627" i="3"/>
  <c r="V627" i="3" s="1"/>
  <c r="U628" i="3"/>
  <c r="V628" i="3" s="1"/>
  <c r="U629" i="3"/>
  <c r="V629" i="3" s="1"/>
  <c r="U630" i="3"/>
  <c r="V630" i="3" s="1"/>
  <c r="U631" i="3"/>
  <c r="V631" i="3" s="1"/>
  <c r="U632" i="3"/>
  <c r="V632" i="3" s="1"/>
  <c r="U633" i="3"/>
  <c r="V633" i="3" s="1"/>
  <c r="U634" i="3"/>
  <c r="V634" i="3" s="1"/>
  <c r="U635" i="3"/>
  <c r="V635" i="3" s="1"/>
  <c r="U636" i="3"/>
  <c r="V636" i="3" s="1"/>
  <c r="U637" i="3"/>
  <c r="V637" i="3" s="1"/>
  <c r="U638" i="3"/>
  <c r="V638" i="3" s="1"/>
  <c r="U639" i="3"/>
  <c r="V639" i="3" s="1"/>
  <c r="U640" i="3"/>
  <c r="V640" i="3" s="1"/>
  <c r="U641" i="3"/>
  <c r="V641" i="3" s="1"/>
  <c r="U642" i="3"/>
  <c r="V642" i="3" s="1"/>
  <c r="U643" i="3"/>
  <c r="V643" i="3" s="1"/>
  <c r="U644" i="3"/>
  <c r="V644" i="3" s="1"/>
  <c r="U645" i="3"/>
  <c r="V645" i="3" s="1"/>
  <c r="U646" i="3"/>
  <c r="V646" i="3" s="1"/>
  <c r="U647" i="3"/>
  <c r="V647" i="3" s="1"/>
  <c r="U648" i="3"/>
  <c r="V648" i="3" s="1"/>
  <c r="U649" i="3"/>
  <c r="V649" i="3" s="1"/>
  <c r="U650" i="3"/>
  <c r="V650" i="3" s="1"/>
  <c r="U651" i="3"/>
  <c r="V651" i="3" s="1"/>
  <c r="U652" i="3"/>
  <c r="V652" i="3" s="1"/>
  <c r="U653" i="3"/>
  <c r="V653" i="3" s="1"/>
  <c r="U654" i="3"/>
  <c r="V654" i="3" s="1"/>
  <c r="U655" i="3"/>
  <c r="V655" i="3" s="1"/>
  <c r="U656" i="3"/>
  <c r="V656" i="3" s="1"/>
  <c r="U657" i="3"/>
  <c r="V657" i="3" s="1"/>
  <c r="U658" i="3"/>
  <c r="V658" i="3" s="1"/>
  <c r="U659" i="3"/>
  <c r="V659" i="3" s="1"/>
  <c r="U660" i="3"/>
  <c r="V660" i="3" s="1"/>
  <c r="U661" i="3"/>
  <c r="V661" i="3" s="1"/>
  <c r="U662" i="3"/>
  <c r="V662" i="3" s="1"/>
  <c r="U663" i="3"/>
  <c r="V663" i="3" s="1"/>
  <c r="U664" i="3"/>
  <c r="V664" i="3" s="1"/>
  <c r="U665" i="3"/>
  <c r="V665" i="3" s="1"/>
  <c r="U666" i="3"/>
  <c r="V666" i="3" s="1"/>
  <c r="U667" i="3"/>
  <c r="V667" i="3" s="1"/>
  <c r="U668" i="3"/>
  <c r="V668" i="3" s="1"/>
  <c r="U669" i="3"/>
  <c r="V669" i="3" s="1"/>
  <c r="U670" i="3"/>
  <c r="V670" i="3" s="1"/>
  <c r="U671" i="3"/>
  <c r="V671" i="3" s="1"/>
  <c r="U672" i="3"/>
  <c r="V672" i="3" s="1"/>
  <c r="U673" i="3"/>
  <c r="V673" i="3" s="1"/>
  <c r="U674" i="3"/>
  <c r="V674" i="3" s="1"/>
  <c r="U675" i="3"/>
  <c r="V675" i="3" s="1"/>
  <c r="U676" i="3"/>
  <c r="V676" i="3" s="1"/>
  <c r="U677" i="3"/>
  <c r="V677" i="3" s="1"/>
  <c r="U678" i="3"/>
  <c r="V678" i="3" s="1"/>
  <c r="U679" i="3"/>
  <c r="V679" i="3" s="1"/>
  <c r="U680" i="3"/>
  <c r="V680" i="3" s="1"/>
  <c r="U681" i="3"/>
  <c r="V681" i="3" s="1"/>
  <c r="U682" i="3"/>
  <c r="V682" i="3" s="1"/>
  <c r="U683" i="3"/>
  <c r="V683" i="3" s="1"/>
  <c r="U684" i="3"/>
  <c r="V684" i="3" s="1"/>
  <c r="U685" i="3"/>
  <c r="V685" i="3" s="1"/>
  <c r="U686" i="3"/>
  <c r="V686" i="3" s="1"/>
  <c r="U687" i="3"/>
  <c r="V687" i="3" s="1"/>
  <c r="U688" i="3"/>
  <c r="V688" i="3" s="1"/>
  <c r="U689" i="3"/>
  <c r="V689" i="3" s="1"/>
  <c r="U690" i="3"/>
  <c r="V690" i="3" s="1"/>
  <c r="U691" i="3"/>
  <c r="V691" i="3" s="1"/>
  <c r="U692" i="3"/>
  <c r="V692" i="3" s="1"/>
  <c r="U693" i="3"/>
  <c r="V693" i="3" s="1"/>
  <c r="U694" i="3"/>
  <c r="V694" i="3" s="1"/>
  <c r="U695" i="3"/>
  <c r="V695" i="3" s="1"/>
  <c r="U696" i="3"/>
  <c r="V696" i="3" s="1"/>
  <c r="U697" i="3"/>
  <c r="V697" i="3" s="1"/>
  <c r="U698" i="3"/>
  <c r="V698" i="3" s="1"/>
  <c r="U699" i="3"/>
  <c r="V699" i="3" s="1"/>
  <c r="U700" i="3"/>
  <c r="V700" i="3" s="1"/>
  <c r="U701" i="3"/>
  <c r="V701" i="3" s="1"/>
  <c r="U702" i="3"/>
  <c r="V702" i="3" s="1"/>
  <c r="U703" i="3"/>
  <c r="V703" i="3" s="1"/>
  <c r="U704" i="3"/>
  <c r="V704" i="3" s="1"/>
  <c r="U705" i="3"/>
  <c r="V705" i="3" s="1"/>
  <c r="U706" i="3"/>
  <c r="V706" i="3" s="1"/>
  <c r="U707" i="3"/>
  <c r="V707" i="3" s="1"/>
  <c r="U708" i="3"/>
  <c r="V708" i="3" s="1"/>
  <c r="U709" i="3"/>
  <c r="V709" i="3" s="1"/>
  <c r="U710" i="3"/>
  <c r="V710" i="3" s="1"/>
  <c r="U711" i="3"/>
  <c r="V711" i="3" s="1"/>
  <c r="U712" i="3"/>
  <c r="V712" i="3" s="1"/>
  <c r="U713" i="3"/>
  <c r="V713" i="3" s="1"/>
  <c r="U714" i="3"/>
  <c r="V714" i="3" s="1"/>
  <c r="U715" i="3"/>
  <c r="V715" i="3" s="1"/>
  <c r="U716" i="3"/>
  <c r="V716" i="3" s="1"/>
  <c r="U717" i="3"/>
  <c r="V717" i="3" s="1"/>
  <c r="U718" i="3"/>
  <c r="V718" i="3" s="1"/>
  <c r="U719" i="3"/>
  <c r="V719" i="3" s="1"/>
  <c r="U720" i="3"/>
  <c r="V720" i="3" s="1"/>
  <c r="U721" i="3"/>
  <c r="V721" i="3" s="1"/>
  <c r="U722" i="3"/>
  <c r="V722" i="3" s="1"/>
  <c r="U723" i="3"/>
  <c r="V723" i="3" s="1"/>
  <c r="U724" i="3"/>
  <c r="V724" i="3" s="1"/>
  <c r="U725" i="3"/>
  <c r="V725" i="3" s="1"/>
  <c r="U726" i="3"/>
  <c r="V726" i="3" s="1"/>
  <c r="U727" i="3"/>
  <c r="V727" i="3" s="1"/>
  <c r="U728" i="3"/>
  <c r="V728" i="3" s="1"/>
  <c r="U729" i="3"/>
  <c r="V729" i="3" s="1"/>
  <c r="U730" i="3"/>
  <c r="V730" i="3" s="1"/>
  <c r="U731" i="3"/>
  <c r="V731" i="3" s="1"/>
  <c r="U732" i="3"/>
  <c r="V732" i="3" s="1"/>
  <c r="V129" i="3"/>
  <c r="V244" i="3"/>
  <c r="U735" i="3"/>
  <c r="V735" i="3" s="1"/>
  <c r="U736" i="3"/>
  <c r="V736" i="3" s="1"/>
  <c r="U737" i="3"/>
  <c r="V737" i="3" s="1"/>
  <c r="U738" i="3"/>
  <c r="V738" i="3" s="1"/>
  <c r="U739" i="3"/>
  <c r="V739" i="3" s="1"/>
  <c r="U740" i="3"/>
  <c r="V740" i="3" s="1"/>
  <c r="U741" i="3"/>
  <c r="V741" i="3" s="1"/>
  <c r="U742" i="3"/>
  <c r="V742" i="3" s="1"/>
  <c r="U743" i="3"/>
  <c r="V743" i="3" s="1"/>
  <c r="U744" i="3"/>
  <c r="V744" i="3" s="1"/>
  <c r="U745" i="3"/>
  <c r="V745" i="3" s="1"/>
  <c r="U746" i="3"/>
  <c r="V746" i="3" s="1"/>
  <c r="U747" i="3"/>
  <c r="V747" i="3" s="1"/>
  <c r="U748" i="3"/>
  <c r="V748" i="3" s="1"/>
  <c r="U749" i="3"/>
  <c r="V749" i="3" s="1"/>
  <c r="U750" i="3"/>
  <c r="V750" i="3" s="1"/>
  <c r="U751" i="3"/>
  <c r="V751" i="3" s="1"/>
  <c r="U752" i="3"/>
  <c r="V752" i="3" s="1"/>
  <c r="U753" i="3"/>
  <c r="V753" i="3" s="1"/>
  <c r="U754" i="3"/>
  <c r="V754" i="3" s="1"/>
  <c r="U755" i="3"/>
  <c r="V755" i="3" s="1"/>
  <c r="U756" i="3"/>
  <c r="V756" i="3" s="1"/>
  <c r="U757" i="3"/>
  <c r="V757" i="3" s="1"/>
  <c r="U758" i="3"/>
  <c r="V758" i="3" s="1"/>
  <c r="U759" i="3"/>
  <c r="V759" i="3" s="1"/>
  <c r="U760" i="3"/>
  <c r="V760" i="3" s="1"/>
  <c r="U761" i="3"/>
  <c r="V761" i="3" s="1"/>
  <c r="U762" i="3"/>
  <c r="V762" i="3" s="1"/>
  <c r="U763" i="3"/>
  <c r="V763" i="3" s="1"/>
  <c r="U764" i="3"/>
  <c r="V764" i="3" s="1"/>
  <c r="U765" i="3"/>
  <c r="V765" i="3" s="1"/>
  <c r="U766" i="3"/>
  <c r="V766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773" i="3"/>
  <c r="V773" i="3" s="1"/>
  <c r="U774" i="3"/>
  <c r="V774" i="3" s="1"/>
  <c r="U775" i="3"/>
  <c r="V775" i="3" s="1"/>
  <c r="U776" i="3"/>
  <c r="V776" i="3" s="1"/>
  <c r="U777" i="3"/>
  <c r="V777" i="3" s="1"/>
  <c r="U778" i="3"/>
  <c r="V778" i="3" s="1"/>
  <c r="U779" i="3"/>
  <c r="V779" i="3" s="1"/>
  <c r="U780" i="3"/>
  <c r="V780" i="3" s="1"/>
  <c r="U781" i="3"/>
  <c r="V781" i="3" s="1"/>
  <c r="U782" i="3"/>
  <c r="V782" i="3" s="1"/>
  <c r="U783" i="3"/>
  <c r="V783" i="3" s="1"/>
  <c r="U784" i="3"/>
  <c r="V784" i="3" s="1"/>
  <c r="U785" i="3"/>
  <c r="V785" i="3" s="1"/>
  <c r="U786" i="3"/>
  <c r="V786" i="3" s="1"/>
  <c r="U787" i="3"/>
  <c r="V787" i="3" s="1"/>
  <c r="U788" i="3"/>
  <c r="V788" i="3" s="1"/>
  <c r="U789" i="3"/>
  <c r="V789" i="3" s="1"/>
  <c r="U790" i="3"/>
  <c r="V790" i="3" s="1"/>
  <c r="U791" i="3"/>
  <c r="V791" i="3" s="1"/>
  <c r="U792" i="3"/>
  <c r="V792" i="3" s="1"/>
  <c r="U793" i="3"/>
  <c r="V793" i="3" s="1"/>
  <c r="U794" i="3"/>
  <c r="V794" i="3" s="1"/>
  <c r="U795" i="3"/>
  <c r="V795" i="3" s="1"/>
  <c r="U796" i="3"/>
  <c r="V796" i="3" s="1"/>
  <c r="U797" i="3"/>
  <c r="V797" i="3" s="1"/>
  <c r="U798" i="3"/>
  <c r="V798" i="3" s="1"/>
  <c r="U799" i="3"/>
  <c r="V799" i="3" s="1"/>
  <c r="U800" i="3"/>
  <c r="V800" i="3" s="1"/>
  <c r="U801" i="3"/>
  <c r="V801" i="3" s="1"/>
  <c r="U802" i="3"/>
  <c r="V802" i="3" s="1"/>
  <c r="U803" i="3"/>
  <c r="V803" i="3" s="1"/>
  <c r="U804" i="3"/>
  <c r="V804" i="3" s="1"/>
  <c r="U805" i="3"/>
  <c r="V805" i="3" s="1"/>
  <c r="U806" i="3"/>
  <c r="V806" i="3" s="1"/>
  <c r="U807" i="3"/>
  <c r="V807" i="3" s="1"/>
  <c r="U808" i="3"/>
  <c r="V808" i="3" s="1"/>
  <c r="U809" i="3"/>
  <c r="V809" i="3" s="1"/>
  <c r="U810" i="3"/>
  <c r="V810" i="3" s="1"/>
  <c r="U811" i="3"/>
  <c r="V811" i="3" s="1"/>
  <c r="U812" i="3"/>
  <c r="V812" i="3" s="1"/>
  <c r="U813" i="3"/>
  <c r="V813" i="3" s="1"/>
  <c r="U814" i="3"/>
  <c r="V814" i="3" s="1"/>
  <c r="U815" i="3"/>
  <c r="V815" i="3" s="1"/>
  <c r="U816" i="3"/>
  <c r="V816" i="3" s="1"/>
  <c r="U817" i="3"/>
  <c r="V817" i="3" s="1"/>
  <c r="U818" i="3"/>
  <c r="V818" i="3" s="1"/>
  <c r="U819" i="3"/>
  <c r="V819" i="3" s="1"/>
  <c r="U820" i="3"/>
  <c r="V820" i="3" s="1"/>
  <c r="U821" i="3"/>
  <c r="V821" i="3" s="1"/>
  <c r="U822" i="3"/>
  <c r="V822" i="3" s="1"/>
  <c r="U823" i="3"/>
  <c r="V823" i="3" s="1"/>
  <c r="U824" i="3"/>
  <c r="V824" i="3" s="1"/>
  <c r="U825" i="3"/>
  <c r="V825" i="3" s="1"/>
  <c r="U826" i="3"/>
  <c r="V826" i="3" s="1"/>
  <c r="U827" i="3"/>
  <c r="V827" i="3" s="1"/>
  <c r="U828" i="3"/>
  <c r="V828" i="3" s="1"/>
  <c r="U829" i="3"/>
  <c r="V829" i="3" s="1"/>
  <c r="U830" i="3"/>
  <c r="V830" i="3" s="1"/>
  <c r="U831" i="3"/>
  <c r="V831" i="3" s="1"/>
  <c r="U832" i="3"/>
  <c r="V832" i="3" s="1"/>
  <c r="U833" i="3"/>
  <c r="V833" i="3" s="1"/>
  <c r="U834" i="3"/>
  <c r="V834" i="3" s="1"/>
  <c r="U835" i="3"/>
  <c r="V835" i="3" s="1"/>
  <c r="U836" i="3"/>
  <c r="V836" i="3" s="1"/>
  <c r="U837" i="3"/>
  <c r="V837" i="3" s="1"/>
  <c r="U838" i="3"/>
  <c r="V838" i="3" s="1"/>
  <c r="U839" i="3"/>
  <c r="V839" i="3" s="1"/>
  <c r="U840" i="3"/>
  <c r="V840" i="3" s="1"/>
  <c r="U841" i="3"/>
  <c r="V841" i="3" s="1"/>
  <c r="U842" i="3"/>
  <c r="V842" i="3" s="1"/>
  <c r="U843" i="3"/>
  <c r="V843" i="3" s="1"/>
  <c r="U844" i="3"/>
  <c r="V844" i="3" s="1"/>
  <c r="U845" i="3"/>
  <c r="V845" i="3" s="1"/>
  <c r="U846" i="3"/>
  <c r="V846" i="3" s="1"/>
  <c r="U847" i="3"/>
  <c r="V847" i="3" s="1"/>
  <c r="U848" i="3"/>
  <c r="V848" i="3" s="1"/>
  <c r="U849" i="3"/>
  <c r="V849" i="3" s="1"/>
  <c r="U850" i="3"/>
  <c r="V850" i="3" s="1"/>
  <c r="U851" i="3"/>
  <c r="V851" i="3" s="1"/>
  <c r="U852" i="3"/>
  <c r="V852" i="3" s="1"/>
  <c r="U853" i="3"/>
  <c r="V853" i="3" s="1"/>
  <c r="U854" i="3"/>
  <c r="V854" i="3" s="1"/>
  <c r="U855" i="3"/>
  <c r="V855" i="3" s="1"/>
  <c r="U856" i="3"/>
  <c r="V856" i="3" s="1"/>
  <c r="U857" i="3"/>
  <c r="V857" i="3" s="1"/>
  <c r="V858" i="3"/>
  <c r="V859" i="3"/>
  <c r="U860" i="3"/>
  <c r="V860" i="3" s="1"/>
  <c r="U861" i="3"/>
  <c r="V861" i="3" s="1"/>
  <c r="U862" i="3"/>
  <c r="V862" i="3" s="1"/>
  <c r="U863" i="3"/>
  <c r="V863" i="3" s="1"/>
  <c r="U864" i="3"/>
  <c r="V864" i="3" s="1"/>
  <c r="U865" i="3"/>
  <c r="V865" i="3" s="1"/>
  <c r="U866" i="3"/>
  <c r="V866" i="3" s="1"/>
  <c r="U867" i="3"/>
  <c r="V867" i="3" s="1"/>
  <c r="U868" i="3"/>
  <c r="V868" i="3" s="1"/>
  <c r="U869" i="3"/>
  <c r="V869" i="3" s="1"/>
  <c r="U870" i="3"/>
  <c r="V870" i="3" s="1"/>
  <c r="U871" i="3"/>
  <c r="V871" i="3" s="1"/>
  <c r="U872" i="3"/>
  <c r="V872" i="3" s="1"/>
  <c r="U873" i="3"/>
  <c r="V873" i="3" s="1"/>
  <c r="U874" i="3"/>
  <c r="V874" i="3" s="1"/>
  <c r="U875" i="3"/>
  <c r="V875" i="3" s="1"/>
  <c r="U876" i="3"/>
  <c r="V876" i="3" s="1"/>
  <c r="U877" i="3"/>
  <c r="V877" i="3" s="1"/>
  <c r="U878" i="3"/>
  <c r="V878" i="3" s="1"/>
  <c r="U879" i="3"/>
  <c r="V879" i="3" s="1"/>
  <c r="U880" i="3"/>
  <c r="V880" i="3" s="1"/>
  <c r="U881" i="3"/>
  <c r="V881" i="3" s="1"/>
  <c r="U882" i="3"/>
  <c r="V882" i="3" s="1"/>
  <c r="U883" i="3"/>
  <c r="V883" i="3" s="1"/>
  <c r="U884" i="3"/>
  <c r="V884" i="3" s="1"/>
  <c r="U885" i="3"/>
  <c r="V885" i="3" s="1"/>
  <c r="U886" i="3"/>
  <c r="V886" i="3" s="1"/>
  <c r="U887" i="3"/>
  <c r="V887" i="3" s="1"/>
  <c r="U888" i="3"/>
  <c r="V888" i="3" s="1"/>
  <c r="U889" i="3"/>
  <c r="V889" i="3" s="1"/>
  <c r="U890" i="3"/>
  <c r="V890" i="3" s="1"/>
  <c r="U891" i="3"/>
  <c r="V891" i="3" s="1"/>
  <c r="U892" i="3"/>
  <c r="V892" i="3" s="1"/>
  <c r="U893" i="3"/>
  <c r="V893" i="3" s="1"/>
  <c r="U894" i="3"/>
  <c r="V894" i="3" s="1"/>
  <c r="U895" i="3"/>
  <c r="V895" i="3" s="1"/>
  <c r="U896" i="3"/>
  <c r="V896" i="3" s="1"/>
  <c r="U897" i="3"/>
  <c r="V897" i="3" s="1"/>
  <c r="U898" i="3"/>
  <c r="V898" i="3" s="1"/>
  <c r="U899" i="3"/>
  <c r="V899" i="3" s="1"/>
  <c r="U900" i="3"/>
  <c r="V900" i="3" s="1"/>
  <c r="U901" i="3"/>
  <c r="V901" i="3" s="1"/>
  <c r="U902" i="3"/>
  <c r="V902" i="3" s="1"/>
  <c r="U903" i="3"/>
  <c r="V903" i="3" s="1"/>
  <c r="U904" i="3"/>
  <c r="V904" i="3" s="1"/>
  <c r="U905" i="3"/>
  <c r="V905" i="3" s="1"/>
  <c r="U906" i="3"/>
  <c r="V906" i="3" s="1"/>
  <c r="U907" i="3"/>
  <c r="V907" i="3" s="1"/>
  <c r="U908" i="3"/>
  <c r="V908" i="3" s="1"/>
  <c r="U909" i="3"/>
  <c r="V909" i="3" s="1"/>
  <c r="U910" i="3"/>
  <c r="V910" i="3" s="1"/>
  <c r="U911" i="3"/>
  <c r="V911" i="3" s="1"/>
  <c r="U912" i="3"/>
  <c r="V912" i="3" s="1"/>
  <c r="U913" i="3"/>
  <c r="V913" i="3" s="1"/>
  <c r="U914" i="3"/>
  <c r="V914" i="3" s="1"/>
  <c r="V1968" i="3"/>
  <c r="U916" i="3"/>
  <c r="V916" i="3" s="1"/>
  <c r="U917" i="3"/>
  <c r="V917" i="3" s="1"/>
  <c r="U918" i="3"/>
  <c r="V918" i="3" s="1"/>
  <c r="U919" i="3"/>
  <c r="V919" i="3" s="1"/>
  <c r="U920" i="3"/>
  <c r="V920" i="3" s="1"/>
  <c r="U921" i="3"/>
  <c r="V921" i="3" s="1"/>
  <c r="U922" i="3"/>
  <c r="V922" i="3" s="1"/>
  <c r="U923" i="3"/>
  <c r="V923" i="3" s="1"/>
  <c r="U924" i="3"/>
  <c r="V924" i="3" s="1"/>
  <c r="U925" i="3"/>
  <c r="V925" i="3" s="1"/>
  <c r="U926" i="3"/>
  <c r="V926" i="3" s="1"/>
  <c r="U927" i="3"/>
  <c r="V927" i="3" s="1"/>
  <c r="U928" i="3"/>
  <c r="V928" i="3" s="1"/>
  <c r="U929" i="3"/>
  <c r="V929" i="3" s="1"/>
  <c r="U930" i="3"/>
  <c r="V930" i="3" s="1"/>
  <c r="U931" i="3"/>
  <c r="V931" i="3" s="1"/>
  <c r="U932" i="3"/>
  <c r="V932" i="3" s="1"/>
  <c r="U933" i="3"/>
  <c r="V933" i="3" s="1"/>
  <c r="U934" i="3"/>
  <c r="V934" i="3" s="1"/>
  <c r="U935" i="3"/>
  <c r="V935" i="3" s="1"/>
  <c r="U936" i="3"/>
  <c r="V936" i="3" s="1"/>
  <c r="U937" i="3"/>
  <c r="V937" i="3" s="1"/>
  <c r="U938" i="3"/>
  <c r="V938" i="3" s="1"/>
  <c r="U939" i="3"/>
  <c r="V939" i="3" s="1"/>
  <c r="U940" i="3"/>
  <c r="V940" i="3" s="1"/>
  <c r="U941" i="3"/>
  <c r="V941" i="3" s="1"/>
  <c r="U942" i="3"/>
  <c r="V942" i="3" s="1"/>
  <c r="U943" i="3"/>
  <c r="V943" i="3" s="1"/>
  <c r="U944" i="3"/>
  <c r="V944" i="3" s="1"/>
  <c r="U945" i="3"/>
  <c r="V945" i="3" s="1"/>
  <c r="U946" i="3"/>
  <c r="V946" i="3" s="1"/>
  <c r="U947" i="3"/>
  <c r="V947" i="3" s="1"/>
  <c r="U948" i="3"/>
  <c r="V948" i="3" s="1"/>
  <c r="U949" i="3"/>
  <c r="V949" i="3" s="1"/>
  <c r="U950" i="3"/>
  <c r="V950" i="3" s="1"/>
  <c r="U951" i="3"/>
  <c r="V951" i="3" s="1"/>
  <c r="U952" i="3"/>
  <c r="V952" i="3" s="1"/>
  <c r="U953" i="3"/>
  <c r="V953" i="3" s="1"/>
  <c r="U954" i="3"/>
  <c r="V954" i="3" s="1"/>
  <c r="U955" i="3"/>
  <c r="V955" i="3" s="1"/>
  <c r="U956" i="3"/>
  <c r="V956" i="3" s="1"/>
  <c r="U957" i="3"/>
  <c r="V957" i="3" s="1"/>
  <c r="U958" i="3"/>
  <c r="V958" i="3" s="1"/>
  <c r="U959" i="3"/>
  <c r="V959" i="3" s="1"/>
  <c r="U960" i="3"/>
  <c r="V960" i="3" s="1"/>
  <c r="U961" i="3"/>
  <c r="V961" i="3" s="1"/>
  <c r="U962" i="3"/>
  <c r="V962" i="3" s="1"/>
  <c r="U963" i="3"/>
  <c r="V963" i="3" s="1"/>
  <c r="U964" i="3"/>
  <c r="V964" i="3" s="1"/>
  <c r="U965" i="3"/>
  <c r="V965" i="3" s="1"/>
  <c r="U966" i="3"/>
  <c r="V966" i="3" s="1"/>
  <c r="U967" i="3"/>
  <c r="V967" i="3" s="1"/>
  <c r="U968" i="3"/>
  <c r="V968" i="3" s="1"/>
  <c r="U969" i="3"/>
  <c r="V969" i="3" s="1"/>
  <c r="U970" i="3"/>
  <c r="V970" i="3" s="1"/>
  <c r="U971" i="3"/>
  <c r="V971" i="3" s="1"/>
  <c r="U972" i="3"/>
  <c r="V972" i="3" s="1"/>
  <c r="U973" i="3"/>
  <c r="V973" i="3" s="1"/>
  <c r="U974" i="3"/>
  <c r="V974" i="3" s="1"/>
  <c r="U975" i="3"/>
  <c r="V975" i="3" s="1"/>
  <c r="U976" i="3"/>
  <c r="V976" i="3" s="1"/>
  <c r="U977" i="3"/>
  <c r="V977" i="3" s="1"/>
  <c r="U978" i="3"/>
  <c r="V978" i="3" s="1"/>
  <c r="U979" i="3"/>
  <c r="V979" i="3" s="1"/>
  <c r="U980" i="3"/>
  <c r="V980" i="3" s="1"/>
  <c r="U981" i="3"/>
  <c r="V981" i="3" s="1"/>
  <c r="U982" i="3"/>
  <c r="V982" i="3" s="1"/>
  <c r="U983" i="3"/>
  <c r="V983" i="3" s="1"/>
  <c r="U984" i="3"/>
  <c r="V984" i="3" s="1"/>
  <c r="U985" i="3"/>
  <c r="V985" i="3" s="1"/>
  <c r="V986" i="3"/>
  <c r="U987" i="3"/>
  <c r="V987" i="3" s="1"/>
  <c r="U988" i="3"/>
  <c r="V988" i="3" s="1"/>
  <c r="U989" i="3"/>
  <c r="V989" i="3" s="1"/>
  <c r="U990" i="3"/>
  <c r="V990" i="3" s="1"/>
  <c r="U991" i="3"/>
  <c r="V991" i="3" s="1"/>
  <c r="U992" i="3"/>
  <c r="V992" i="3" s="1"/>
  <c r="U993" i="3"/>
  <c r="V993" i="3" s="1"/>
  <c r="U994" i="3"/>
  <c r="V994" i="3" s="1"/>
  <c r="U995" i="3"/>
  <c r="V995" i="3" s="1"/>
  <c r="U996" i="3"/>
  <c r="V996" i="3" s="1"/>
  <c r="U997" i="3"/>
  <c r="V997" i="3" s="1"/>
  <c r="V998" i="3"/>
  <c r="U999" i="3"/>
  <c r="V999" i="3" s="1"/>
  <c r="U1000" i="3"/>
  <c r="V1000" i="3" s="1"/>
  <c r="U1001" i="3"/>
  <c r="V1001" i="3" s="1"/>
  <c r="U1002" i="3"/>
  <c r="V1002" i="3" s="1"/>
  <c r="U1003" i="3"/>
  <c r="V1003" i="3" s="1"/>
  <c r="U1004" i="3"/>
  <c r="V1004" i="3" s="1"/>
  <c r="U1005" i="3"/>
  <c r="V1005" i="3" s="1"/>
  <c r="U1006" i="3"/>
  <c r="V1006" i="3" s="1"/>
  <c r="U1007" i="3"/>
  <c r="V1007" i="3" s="1"/>
  <c r="U1008" i="3"/>
  <c r="V1008" i="3" s="1"/>
  <c r="U1009" i="3"/>
  <c r="V1009" i="3" s="1"/>
  <c r="U1010" i="3"/>
  <c r="V1010" i="3" s="1"/>
  <c r="U1011" i="3"/>
  <c r="V1011" i="3" s="1"/>
  <c r="U1012" i="3"/>
  <c r="V1012" i="3" s="1"/>
  <c r="U1013" i="3"/>
  <c r="V1013" i="3" s="1"/>
  <c r="U1014" i="3"/>
  <c r="V1014" i="3" s="1"/>
  <c r="U1015" i="3"/>
  <c r="V1015" i="3" s="1"/>
  <c r="U1016" i="3"/>
  <c r="V1016" i="3" s="1"/>
  <c r="U1017" i="3"/>
  <c r="V1017" i="3" s="1"/>
  <c r="U1018" i="3"/>
  <c r="V1018" i="3" s="1"/>
  <c r="U1019" i="3"/>
  <c r="V1019" i="3" s="1"/>
  <c r="U1020" i="3"/>
  <c r="V1020" i="3" s="1"/>
  <c r="U1021" i="3"/>
  <c r="V1021" i="3" s="1"/>
  <c r="U1022" i="3"/>
  <c r="V1022" i="3" s="1"/>
  <c r="U1023" i="3"/>
  <c r="V1023" i="3" s="1"/>
  <c r="U1024" i="3"/>
  <c r="V1024" i="3" s="1"/>
  <c r="U1025" i="3"/>
  <c r="V1025" i="3" s="1"/>
  <c r="U1026" i="3"/>
  <c r="V1026" i="3" s="1"/>
  <c r="U1027" i="3"/>
  <c r="V1027" i="3" s="1"/>
  <c r="U1028" i="3"/>
  <c r="V1028" i="3" s="1"/>
  <c r="U1029" i="3"/>
  <c r="V1029" i="3" s="1"/>
  <c r="U1030" i="3"/>
  <c r="V1030" i="3" s="1"/>
  <c r="U1031" i="3"/>
  <c r="V1031" i="3" s="1"/>
  <c r="U1032" i="3"/>
  <c r="V1032" i="3" s="1"/>
  <c r="U1033" i="3"/>
  <c r="V1033" i="3" s="1"/>
  <c r="U1034" i="3"/>
  <c r="V1034" i="3" s="1"/>
  <c r="U1035" i="3"/>
  <c r="V1035" i="3" s="1"/>
  <c r="U1036" i="3"/>
  <c r="V1036" i="3" s="1"/>
  <c r="U1037" i="3"/>
  <c r="V1037" i="3" s="1"/>
  <c r="U1038" i="3"/>
  <c r="V1038" i="3" s="1"/>
  <c r="U1039" i="3"/>
  <c r="V1039" i="3" s="1"/>
  <c r="U1040" i="3"/>
  <c r="V1040" i="3" s="1"/>
  <c r="U1041" i="3"/>
  <c r="V1041" i="3" s="1"/>
  <c r="U1042" i="3"/>
  <c r="V1042" i="3" s="1"/>
  <c r="U1043" i="3"/>
  <c r="V1043" i="3" s="1"/>
  <c r="U1044" i="3"/>
  <c r="V1044" i="3" s="1"/>
  <c r="U1045" i="3"/>
  <c r="V1045" i="3" s="1"/>
  <c r="U1046" i="3"/>
  <c r="V1046" i="3" s="1"/>
  <c r="U1047" i="3"/>
  <c r="V1047" i="3" s="1"/>
  <c r="U1048" i="3"/>
  <c r="V1048" i="3" s="1"/>
  <c r="U1049" i="3"/>
  <c r="V1049" i="3" s="1"/>
  <c r="U1050" i="3"/>
  <c r="V1050" i="3" s="1"/>
  <c r="U1051" i="3"/>
  <c r="V1051" i="3" s="1"/>
  <c r="U1052" i="3"/>
  <c r="V1052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063" i="3"/>
  <c r="V1063" i="3" s="1"/>
  <c r="U1064" i="3"/>
  <c r="V1064" i="3" s="1"/>
  <c r="U1065" i="3"/>
  <c r="V1065" i="3" s="1"/>
  <c r="U1066" i="3"/>
  <c r="V1066" i="3" s="1"/>
  <c r="U1067" i="3"/>
  <c r="V1067" i="3" s="1"/>
  <c r="U1068" i="3"/>
  <c r="V1068" i="3" s="1"/>
  <c r="U1069" i="3"/>
  <c r="V1069" i="3" s="1"/>
  <c r="U1070" i="3"/>
  <c r="V1070" i="3" s="1"/>
  <c r="U1071" i="3"/>
  <c r="V1071" i="3" s="1"/>
  <c r="U1072" i="3"/>
  <c r="V1072" i="3" s="1"/>
  <c r="U1073" i="3"/>
  <c r="V1073" i="3" s="1"/>
  <c r="U1074" i="3"/>
  <c r="V1074" i="3" s="1"/>
  <c r="U1075" i="3"/>
  <c r="V1075" i="3" s="1"/>
  <c r="U1076" i="3"/>
  <c r="V1076" i="3" s="1"/>
  <c r="U1077" i="3"/>
  <c r="V1077" i="3" s="1"/>
  <c r="U1078" i="3"/>
  <c r="V1078" i="3" s="1"/>
  <c r="U1079" i="3"/>
  <c r="V1079" i="3" s="1"/>
  <c r="U1080" i="3"/>
  <c r="V1080" i="3" s="1"/>
  <c r="U1081" i="3"/>
  <c r="V1081" i="3" s="1"/>
  <c r="U1082" i="3"/>
  <c r="V1082" i="3" s="1"/>
  <c r="U1083" i="3"/>
  <c r="V1083" i="3" s="1"/>
  <c r="U1084" i="3"/>
  <c r="V1084" i="3" s="1"/>
  <c r="U1085" i="3"/>
  <c r="V1085" i="3" s="1"/>
  <c r="U1086" i="3"/>
  <c r="V1086" i="3" s="1"/>
  <c r="U1087" i="3"/>
  <c r="V1087" i="3" s="1"/>
  <c r="U1088" i="3"/>
  <c r="V1088" i="3" s="1"/>
  <c r="U1089" i="3"/>
  <c r="V1089" i="3" s="1"/>
  <c r="U1090" i="3"/>
  <c r="V1090" i="3" s="1"/>
  <c r="U1091" i="3"/>
  <c r="V1091" i="3" s="1"/>
  <c r="U1092" i="3"/>
  <c r="V1092" i="3" s="1"/>
  <c r="U1093" i="3"/>
  <c r="V1093" i="3" s="1"/>
  <c r="U1094" i="3"/>
  <c r="V1094" i="3" s="1"/>
  <c r="U1095" i="3"/>
  <c r="V1095" i="3" s="1"/>
  <c r="U1096" i="3"/>
  <c r="V1096" i="3" s="1"/>
  <c r="U1097" i="3"/>
  <c r="V1097" i="3" s="1"/>
  <c r="U1098" i="3"/>
  <c r="V1098" i="3" s="1"/>
  <c r="U1099" i="3"/>
  <c r="V1099" i="3" s="1"/>
  <c r="U1100" i="3"/>
  <c r="V1100" i="3" s="1"/>
  <c r="U1101" i="3"/>
  <c r="V1101" i="3" s="1"/>
  <c r="U1102" i="3"/>
  <c r="V1102" i="3" s="1"/>
  <c r="U1103" i="3"/>
  <c r="V1103" i="3" s="1"/>
  <c r="U1104" i="3"/>
  <c r="V1104" i="3" s="1"/>
  <c r="U1105" i="3"/>
  <c r="V1105" i="3" s="1"/>
  <c r="U1106" i="3"/>
  <c r="V1106" i="3" s="1"/>
  <c r="U1107" i="3"/>
  <c r="V1107" i="3" s="1"/>
  <c r="U1108" i="3"/>
  <c r="V1108" i="3" s="1"/>
  <c r="U1109" i="3"/>
  <c r="V1109" i="3" s="1"/>
  <c r="U1110" i="3"/>
  <c r="V1110" i="3" s="1"/>
  <c r="U1111" i="3"/>
  <c r="V1111" i="3" s="1"/>
  <c r="U1112" i="3"/>
  <c r="V1112" i="3" s="1"/>
  <c r="U1113" i="3"/>
  <c r="V1113" i="3" s="1"/>
  <c r="U1114" i="3"/>
  <c r="V1114" i="3" s="1"/>
  <c r="U1115" i="3"/>
  <c r="V1115" i="3" s="1"/>
  <c r="U1116" i="3"/>
  <c r="V1116" i="3" s="1"/>
  <c r="U1117" i="3"/>
  <c r="V1117" i="3" s="1"/>
  <c r="U1118" i="3"/>
  <c r="V1118" i="3" s="1"/>
  <c r="U1119" i="3"/>
  <c r="V1119" i="3" s="1"/>
  <c r="U1120" i="3"/>
  <c r="V1120" i="3" s="1"/>
  <c r="U1121" i="3"/>
  <c r="V1121" i="3" s="1"/>
  <c r="U1122" i="3"/>
  <c r="V1122" i="3" s="1"/>
  <c r="U1123" i="3"/>
  <c r="V1123" i="3" s="1"/>
  <c r="U1124" i="3"/>
  <c r="V1124" i="3" s="1"/>
  <c r="U1125" i="3"/>
  <c r="V1125" i="3" s="1"/>
  <c r="U1126" i="3"/>
  <c r="V1126" i="3" s="1"/>
  <c r="U1127" i="3"/>
  <c r="V1127" i="3" s="1"/>
  <c r="U1128" i="3"/>
  <c r="V1128" i="3" s="1"/>
  <c r="U1129" i="3"/>
  <c r="V1129" i="3" s="1"/>
  <c r="U1130" i="3"/>
  <c r="V1130" i="3" s="1"/>
  <c r="U1131" i="3"/>
  <c r="V1131" i="3" s="1"/>
  <c r="U1132" i="3"/>
  <c r="V1132" i="3" s="1"/>
  <c r="U1133" i="3"/>
  <c r="V1133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1144" i="3"/>
  <c r="V1144" i="3" s="1"/>
  <c r="U1145" i="3"/>
  <c r="V1145" i="3" s="1"/>
  <c r="U1146" i="3"/>
  <c r="V1146" i="3" s="1"/>
  <c r="U1147" i="3"/>
  <c r="V1147" i="3" s="1"/>
  <c r="U1148" i="3"/>
  <c r="V1148" i="3" s="1"/>
  <c r="U1149" i="3"/>
  <c r="V1149" i="3" s="1"/>
  <c r="U1150" i="3"/>
  <c r="V1150" i="3" s="1"/>
  <c r="U1151" i="3"/>
  <c r="V1151" i="3" s="1"/>
  <c r="U1152" i="3"/>
  <c r="V1152" i="3" s="1"/>
  <c r="U1153" i="3"/>
  <c r="V1153" i="3" s="1"/>
  <c r="U1154" i="3"/>
  <c r="V1154" i="3" s="1"/>
  <c r="U1155" i="3"/>
  <c r="V1155" i="3" s="1"/>
  <c r="U1156" i="3"/>
  <c r="V1156" i="3" s="1"/>
  <c r="U1157" i="3"/>
  <c r="V1157" i="3" s="1"/>
  <c r="U1158" i="3"/>
  <c r="V1158" i="3" s="1"/>
  <c r="U1159" i="3"/>
  <c r="V1159" i="3" s="1"/>
  <c r="U1160" i="3"/>
  <c r="V1160" i="3" s="1"/>
  <c r="U1161" i="3"/>
  <c r="V1161" i="3" s="1"/>
  <c r="U1162" i="3"/>
  <c r="V1162" i="3" s="1"/>
  <c r="U1163" i="3"/>
  <c r="V1163" i="3" s="1"/>
  <c r="U1164" i="3"/>
  <c r="V1164" i="3" s="1"/>
  <c r="U1165" i="3"/>
  <c r="V1165" i="3" s="1"/>
  <c r="U1166" i="3"/>
  <c r="V1166" i="3" s="1"/>
  <c r="U1167" i="3"/>
  <c r="V1167" i="3" s="1"/>
  <c r="U1168" i="3"/>
  <c r="V1168" i="3" s="1"/>
  <c r="U1169" i="3"/>
  <c r="V1169" i="3" s="1"/>
  <c r="U1170" i="3"/>
  <c r="V1170" i="3" s="1"/>
  <c r="U1171" i="3"/>
  <c r="V1171" i="3" s="1"/>
  <c r="U1172" i="3"/>
  <c r="V1172" i="3" s="1"/>
  <c r="U1173" i="3"/>
  <c r="V1173" i="3" s="1"/>
  <c r="U1174" i="3"/>
  <c r="V1174" i="3" s="1"/>
  <c r="U1175" i="3"/>
  <c r="V1175" i="3" s="1"/>
  <c r="U1176" i="3"/>
  <c r="V1176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V1183" i="3" s="1"/>
  <c r="U1184" i="3"/>
  <c r="V1184" i="3" s="1"/>
  <c r="U1185" i="3"/>
  <c r="V1185" i="3" s="1"/>
  <c r="U1186" i="3"/>
  <c r="V1186" i="3" s="1"/>
  <c r="U1187" i="3"/>
  <c r="V1187" i="3" s="1"/>
  <c r="U1188" i="3"/>
  <c r="V1188" i="3" s="1"/>
  <c r="U1189" i="3"/>
  <c r="V1189" i="3" s="1"/>
  <c r="U1190" i="3"/>
  <c r="V1190" i="3" s="1"/>
  <c r="U1191" i="3"/>
  <c r="V1191" i="3" s="1"/>
  <c r="U1192" i="3"/>
  <c r="V1192" i="3" s="1"/>
  <c r="U1193" i="3"/>
  <c r="V1193" i="3" s="1"/>
  <c r="U1194" i="3"/>
  <c r="V1194" i="3" s="1"/>
  <c r="U1195" i="3"/>
  <c r="V1195" i="3" s="1"/>
  <c r="U1196" i="3"/>
  <c r="V1196" i="3" s="1"/>
  <c r="U1197" i="3"/>
  <c r="V1197" i="3" s="1"/>
  <c r="U1198" i="3"/>
  <c r="V1198" i="3" s="1"/>
  <c r="U1199" i="3"/>
  <c r="V1199" i="3" s="1"/>
  <c r="U1200" i="3"/>
  <c r="V1200" i="3" s="1"/>
  <c r="U1201" i="3"/>
  <c r="V1201" i="3" s="1"/>
  <c r="U1202" i="3"/>
  <c r="V1202" i="3" s="1"/>
  <c r="U1203" i="3"/>
  <c r="V1203" i="3" s="1"/>
  <c r="U1204" i="3"/>
  <c r="V1204" i="3" s="1"/>
  <c r="U1205" i="3"/>
  <c r="V1205" i="3" s="1"/>
  <c r="U1206" i="3"/>
  <c r="V1206" i="3" s="1"/>
  <c r="U1207" i="3"/>
  <c r="V1207" i="3" s="1"/>
  <c r="U1208" i="3"/>
  <c r="V1208" i="3" s="1"/>
  <c r="U1209" i="3"/>
  <c r="V1209" i="3" s="1"/>
  <c r="U1210" i="3"/>
  <c r="V1210" i="3" s="1"/>
  <c r="U1211" i="3"/>
  <c r="V1211" i="3" s="1"/>
  <c r="U1212" i="3"/>
  <c r="V1212" i="3" s="1"/>
  <c r="U1213" i="3"/>
  <c r="V1213" i="3" s="1"/>
  <c r="U1214" i="3"/>
  <c r="V1214" i="3" s="1"/>
  <c r="U1215" i="3"/>
  <c r="V1215" i="3" s="1"/>
  <c r="U1216" i="3"/>
  <c r="V1216" i="3" s="1"/>
  <c r="U1217" i="3"/>
  <c r="V1217" i="3" s="1"/>
  <c r="U1218" i="3"/>
  <c r="V1218" i="3" s="1"/>
  <c r="U1219" i="3"/>
  <c r="V1219" i="3" s="1"/>
  <c r="U1220" i="3"/>
  <c r="V1220" i="3" s="1"/>
  <c r="U1221" i="3"/>
  <c r="V1221" i="3" s="1"/>
  <c r="U1222" i="3"/>
  <c r="V1222" i="3" s="1"/>
  <c r="U1223" i="3"/>
  <c r="V1223" i="3" s="1"/>
  <c r="U1224" i="3"/>
  <c r="V1224" i="3" s="1"/>
  <c r="U1225" i="3"/>
  <c r="V1225" i="3" s="1"/>
  <c r="U1226" i="3"/>
  <c r="V1226" i="3" s="1"/>
  <c r="U1227" i="3"/>
  <c r="V1227" i="3" s="1"/>
  <c r="U1228" i="3"/>
  <c r="V1228" i="3" s="1"/>
  <c r="U1229" i="3"/>
  <c r="V1229" i="3" s="1"/>
  <c r="U1230" i="3"/>
  <c r="V1230" i="3" s="1"/>
  <c r="U1231" i="3"/>
  <c r="V1231" i="3" s="1"/>
  <c r="U1232" i="3"/>
  <c r="V1232" i="3" s="1"/>
  <c r="U1233" i="3"/>
  <c r="V1233" i="3" s="1"/>
  <c r="U1234" i="3"/>
  <c r="V1234" i="3" s="1"/>
  <c r="U1235" i="3"/>
  <c r="V1235" i="3" s="1"/>
  <c r="U1236" i="3"/>
  <c r="V1236" i="3" s="1"/>
  <c r="U1237" i="3"/>
  <c r="V1237" i="3" s="1"/>
  <c r="U1238" i="3"/>
  <c r="V1238" i="3" s="1"/>
  <c r="U1239" i="3"/>
  <c r="V1239" i="3" s="1"/>
  <c r="U1240" i="3"/>
  <c r="V1240" i="3" s="1"/>
  <c r="U1241" i="3"/>
  <c r="V1241" i="3" s="1"/>
  <c r="U1242" i="3"/>
  <c r="V1242" i="3" s="1"/>
  <c r="U1243" i="3"/>
  <c r="V1243" i="3" s="1"/>
  <c r="U1244" i="3"/>
  <c r="V1244" i="3" s="1"/>
  <c r="U1245" i="3"/>
  <c r="V1245" i="3" s="1"/>
  <c r="U1246" i="3"/>
  <c r="V1246" i="3" s="1"/>
  <c r="U1247" i="3"/>
  <c r="V1247" i="3" s="1"/>
  <c r="U1248" i="3"/>
  <c r="V1248" i="3" s="1"/>
  <c r="U1249" i="3"/>
  <c r="V1249" i="3" s="1"/>
  <c r="U1250" i="3"/>
  <c r="V1250" i="3" s="1"/>
  <c r="U1251" i="3"/>
  <c r="V1251" i="3" s="1"/>
  <c r="U1252" i="3"/>
  <c r="V1252" i="3" s="1"/>
  <c r="U1253" i="3"/>
  <c r="V1253" i="3" s="1"/>
  <c r="U1254" i="3"/>
  <c r="V1254" i="3" s="1"/>
  <c r="U1255" i="3"/>
  <c r="V1255" i="3" s="1"/>
  <c r="U1256" i="3"/>
  <c r="V1256" i="3" s="1"/>
  <c r="U1257" i="3"/>
  <c r="V1257" i="3" s="1"/>
  <c r="U1258" i="3"/>
  <c r="V1258" i="3" s="1"/>
  <c r="U1259" i="3"/>
  <c r="V1259" i="3" s="1"/>
  <c r="U1260" i="3"/>
  <c r="V1260" i="3" s="1"/>
  <c r="U1261" i="3"/>
  <c r="V1261" i="3" s="1"/>
  <c r="U1262" i="3"/>
  <c r="V1262" i="3" s="1"/>
  <c r="U1263" i="3"/>
  <c r="V1263" i="3" s="1"/>
  <c r="U1264" i="3"/>
  <c r="V1264" i="3" s="1"/>
  <c r="U1265" i="3"/>
  <c r="V1265" i="3" s="1"/>
  <c r="U1266" i="3"/>
  <c r="V1266" i="3" s="1"/>
  <c r="U1267" i="3"/>
  <c r="V1267" i="3" s="1"/>
  <c r="U1268" i="3"/>
  <c r="V1268" i="3" s="1"/>
  <c r="U1269" i="3"/>
  <c r="V1269" i="3" s="1"/>
  <c r="U1270" i="3"/>
  <c r="V1270" i="3" s="1"/>
  <c r="U1271" i="3"/>
  <c r="V1271" i="3" s="1"/>
  <c r="U1272" i="3"/>
  <c r="V1272" i="3" s="1"/>
  <c r="U1273" i="3"/>
  <c r="V1273" i="3" s="1"/>
  <c r="U1274" i="3"/>
  <c r="V1274" i="3" s="1"/>
  <c r="U1275" i="3"/>
  <c r="V1275" i="3" s="1"/>
  <c r="U1276" i="3"/>
  <c r="V1276" i="3" s="1"/>
  <c r="U1277" i="3"/>
  <c r="V1277" i="3" s="1"/>
  <c r="U1278" i="3"/>
  <c r="V1278" i="3" s="1"/>
  <c r="U1279" i="3"/>
  <c r="V1279" i="3" s="1"/>
  <c r="U1280" i="3"/>
  <c r="V1280" i="3" s="1"/>
  <c r="U1281" i="3"/>
  <c r="V1281" i="3" s="1"/>
  <c r="U1282" i="3"/>
  <c r="V1282" i="3" s="1"/>
  <c r="U1283" i="3"/>
  <c r="V1283" i="3" s="1"/>
  <c r="U1284" i="3"/>
  <c r="V1284" i="3" s="1"/>
  <c r="U1285" i="3"/>
  <c r="V1285" i="3" s="1"/>
  <c r="U1286" i="3"/>
  <c r="V1286" i="3" s="1"/>
  <c r="U1287" i="3"/>
  <c r="V1287" i="3" s="1"/>
  <c r="U1288" i="3"/>
  <c r="V1288" i="3" s="1"/>
  <c r="U1289" i="3"/>
  <c r="V1289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299" i="3"/>
  <c r="V1299" i="3" s="1"/>
  <c r="U1300" i="3"/>
  <c r="V1300" i="3" s="1"/>
  <c r="U1301" i="3"/>
  <c r="V1301" i="3" s="1"/>
  <c r="U1302" i="3"/>
  <c r="V1302" i="3" s="1"/>
  <c r="U1303" i="3"/>
  <c r="V1303" i="3" s="1"/>
  <c r="U1304" i="3"/>
  <c r="V1304" i="3" s="1"/>
  <c r="U1305" i="3"/>
  <c r="V1305" i="3" s="1"/>
  <c r="U1306" i="3"/>
  <c r="V1306" i="3" s="1"/>
  <c r="U1307" i="3"/>
  <c r="V1307" i="3" s="1"/>
  <c r="U1308" i="3"/>
  <c r="V1308" i="3" s="1"/>
  <c r="U1309" i="3"/>
  <c r="V1309" i="3" s="1"/>
  <c r="U1310" i="3"/>
  <c r="V1310" i="3" s="1"/>
  <c r="U1311" i="3"/>
  <c r="V1311" i="3" s="1"/>
  <c r="U1312" i="3"/>
  <c r="V1312" i="3" s="1"/>
  <c r="U1313" i="3"/>
  <c r="V1313" i="3" s="1"/>
  <c r="U1314" i="3"/>
  <c r="V1314" i="3" s="1"/>
  <c r="U1315" i="3"/>
  <c r="V1315" i="3" s="1"/>
  <c r="U1316" i="3"/>
  <c r="V1316" i="3" s="1"/>
  <c r="U1317" i="3"/>
  <c r="V1317" i="3" s="1"/>
  <c r="U1318" i="3"/>
  <c r="V1318" i="3" s="1"/>
  <c r="U1319" i="3"/>
  <c r="V1319" i="3" s="1"/>
  <c r="U1320" i="3"/>
  <c r="V1320" i="3" s="1"/>
  <c r="U1321" i="3"/>
  <c r="V1321" i="3" s="1"/>
  <c r="U1322" i="3"/>
  <c r="V1322" i="3" s="1"/>
  <c r="U1323" i="3"/>
  <c r="V1323" i="3" s="1"/>
  <c r="U1324" i="3"/>
  <c r="V1324" i="3" s="1"/>
  <c r="U1325" i="3"/>
  <c r="V1325" i="3" s="1"/>
  <c r="U1326" i="3"/>
  <c r="V1326" i="3" s="1"/>
  <c r="U1327" i="3"/>
  <c r="V1327" i="3" s="1"/>
  <c r="U1328" i="3"/>
  <c r="V1328" i="3" s="1"/>
  <c r="U1329" i="3"/>
  <c r="V1329" i="3" s="1"/>
  <c r="U1330" i="3"/>
  <c r="V1330" i="3" s="1"/>
  <c r="U1331" i="3"/>
  <c r="V1331" i="3" s="1"/>
  <c r="U1332" i="3"/>
  <c r="V1332" i="3" s="1"/>
  <c r="U1333" i="3"/>
  <c r="V1333" i="3" s="1"/>
  <c r="U1334" i="3"/>
  <c r="V1334" i="3" s="1"/>
  <c r="U1335" i="3"/>
  <c r="V1335" i="3" s="1"/>
  <c r="U1336" i="3"/>
  <c r="V1336" i="3" s="1"/>
  <c r="U1337" i="3"/>
  <c r="V1337" i="3" s="1"/>
  <c r="U1338" i="3"/>
  <c r="V1338" i="3" s="1"/>
  <c r="U1339" i="3"/>
  <c r="V1339" i="3" s="1"/>
  <c r="U1340" i="3"/>
  <c r="V1340" i="3" s="1"/>
  <c r="U1341" i="3"/>
  <c r="V1341" i="3" s="1"/>
  <c r="U1342" i="3"/>
  <c r="V1342" i="3" s="1"/>
  <c r="U1343" i="3"/>
  <c r="V1343" i="3" s="1"/>
  <c r="U1344" i="3"/>
  <c r="V1344" i="3" s="1"/>
  <c r="U1345" i="3"/>
  <c r="V1345" i="3" s="1"/>
  <c r="U1346" i="3"/>
  <c r="V1346" i="3" s="1"/>
  <c r="U1347" i="3"/>
  <c r="V1347" i="3" s="1"/>
  <c r="U1348" i="3"/>
  <c r="V1348" i="3" s="1"/>
  <c r="U1349" i="3"/>
  <c r="V1349" i="3" s="1"/>
  <c r="U1350" i="3"/>
  <c r="V1350" i="3" s="1"/>
  <c r="U1351" i="3"/>
  <c r="V1351" i="3" s="1"/>
  <c r="U1352" i="3"/>
  <c r="V1352" i="3" s="1"/>
  <c r="U1353" i="3"/>
  <c r="V1353" i="3" s="1"/>
  <c r="U1354" i="3"/>
  <c r="V1354" i="3" s="1"/>
  <c r="U1355" i="3"/>
  <c r="V1355" i="3" s="1"/>
  <c r="U1356" i="3"/>
  <c r="V1356" i="3" s="1"/>
  <c r="U1357" i="3"/>
  <c r="V1357" i="3" s="1"/>
  <c r="U1358" i="3"/>
  <c r="V1358" i="3" s="1"/>
  <c r="U1359" i="3"/>
  <c r="V1359" i="3" s="1"/>
  <c r="U1360" i="3"/>
  <c r="V1360" i="3" s="1"/>
  <c r="U1361" i="3"/>
  <c r="V1361" i="3" s="1"/>
  <c r="U1362" i="3"/>
  <c r="V1362" i="3" s="1"/>
  <c r="U1363" i="3"/>
  <c r="V1363" i="3" s="1"/>
  <c r="U1364" i="3"/>
  <c r="V1364" i="3" s="1"/>
  <c r="U1365" i="3"/>
  <c r="V1365" i="3" s="1"/>
  <c r="U1366" i="3"/>
  <c r="V1366" i="3" s="1"/>
  <c r="U1367" i="3"/>
  <c r="V1367" i="3" s="1"/>
  <c r="U1368" i="3"/>
  <c r="V1368" i="3" s="1"/>
  <c r="U1369" i="3"/>
  <c r="V1369" i="3" s="1"/>
  <c r="U1370" i="3"/>
  <c r="V1370" i="3" s="1"/>
  <c r="U1371" i="3"/>
  <c r="V1371" i="3" s="1"/>
  <c r="U1372" i="3"/>
  <c r="V1372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1378" i="3"/>
  <c r="V1378" i="3" s="1"/>
  <c r="U1379" i="3"/>
  <c r="V1379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393" i="3"/>
  <c r="V1393" i="3" s="1"/>
  <c r="U1394" i="3"/>
  <c r="V1394" i="3" s="1"/>
  <c r="U1395" i="3"/>
  <c r="V1395" i="3" s="1"/>
  <c r="U1396" i="3"/>
  <c r="V1396" i="3" s="1"/>
  <c r="U1397" i="3"/>
  <c r="V1397" i="3" s="1"/>
  <c r="U1398" i="3"/>
  <c r="V1398" i="3" s="1"/>
  <c r="U1399" i="3"/>
  <c r="V1399" i="3" s="1"/>
  <c r="U1400" i="3"/>
  <c r="V1400" i="3" s="1"/>
  <c r="U1401" i="3"/>
  <c r="V1401" i="3" s="1"/>
  <c r="U1402" i="3"/>
  <c r="V1402" i="3" s="1"/>
  <c r="U1403" i="3"/>
  <c r="V1403" i="3" s="1"/>
  <c r="U1404" i="3"/>
  <c r="V1404" i="3" s="1"/>
  <c r="U1405" i="3"/>
  <c r="V1405" i="3" s="1"/>
  <c r="U1406" i="3"/>
  <c r="V1406" i="3" s="1"/>
  <c r="U1407" i="3"/>
  <c r="V1407" i="3" s="1"/>
  <c r="U1408" i="3"/>
  <c r="V1408" i="3" s="1"/>
  <c r="U1409" i="3"/>
  <c r="V1409" i="3" s="1"/>
  <c r="U1410" i="3"/>
  <c r="V1410" i="3" s="1"/>
  <c r="U1411" i="3"/>
  <c r="V1411" i="3" s="1"/>
  <c r="U1412" i="3"/>
  <c r="V1412" i="3" s="1"/>
  <c r="U1413" i="3"/>
  <c r="V1413" i="3" s="1"/>
  <c r="U1414" i="3"/>
  <c r="V1414" i="3" s="1"/>
  <c r="U1415" i="3"/>
  <c r="V1415" i="3" s="1"/>
  <c r="U1416" i="3"/>
  <c r="V1416" i="3" s="1"/>
  <c r="U1417" i="3"/>
  <c r="V1417" i="3" s="1"/>
  <c r="U1418" i="3"/>
  <c r="V1418" i="3" s="1"/>
  <c r="U1419" i="3"/>
  <c r="V1419" i="3" s="1"/>
  <c r="U1420" i="3"/>
  <c r="V1420" i="3" s="1"/>
  <c r="U1421" i="3"/>
  <c r="V1421" i="3" s="1"/>
  <c r="U1422" i="3"/>
  <c r="V1422" i="3" s="1"/>
  <c r="U1423" i="3"/>
  <c r="V1423" i="3" s="1"/>
  <c r="U1424" i="3"/>
  <c r="V1424" i="3" s="1"/>
  <c r="U1425" i="3"/>
  <c r="V1425" i="3" s="1"/>
  <c r="U1426" i="3"/>
  <c r="V1426" i="3" s="1"/>
  <c r="U1427" i="3"/>
  <c r="V1427" i="3" s="1"/>
  <c r="U1428" i="3"/>
  <c r="V1428" i="3" s="1"/>
  <c r="U1429" i="3"/>
  <c r="V1429" i="3" s="1"/>
  <c r="U1430" i="3"/>
  <c r="V1430" i="3" s="1"/>
  <c r="U1431" i="3"/>
  <c r="V1431" i="3" s="1"/>
  <c r="U1432" i="3"/>
  <c r="V1432" i="3" s="1"/>
  <c r="U1433" i="3"/>
  <c r="V1433" i="3" s="1"/>
  <c r="U1434" i="3"/>
  <c r="V1434" i="3" s="1"/>
  <c r="U1435" i="3"/>
  <c r="V1435" i="3" s="1"/>
  <c r="U1436" i="3"/>
  <c r="V1436" i="3" s="1"/>
  <c r="U1437" i="3"/>
  <c r="V1437" i="3" s="1"/>
  <c r="U1438" i="3"/>
  <c r="V1438" i="3" s="1"/>
  <c r="U1439" i="3"/>
  <c r="V1439" i="3" s="1"/>
  <c r="U1440" i="3"/>
  <c r="V1440" i="3" s="1"/>
  <c r="U1441" i="3"/>
  <c r="V1441" i="3" s="1"/>
  <c r="U1442" i="3"/>
  <c r="V1442" i="3" s="1"/>
  <c r="U1443" i="3"/>
  <c r="V1443" i="3" s="1"/>
  <c r="U1444" i="3"/>
  <c r="V1444" i="3" s="1"/>
  <c r="U1445" i="3"/>
  <c r="V1445" i="3" s="1"/>
  <c r="U1446" i="3"/>
  <c r="V1446" i="3" s="1"/>
  <c r="U1447" i="3"/>
  <c r="V1447" i="3" s="1"/>
  <c r="U1448" i="3"/>
  <c r="V1448" i="3" s="1"/>
  <c r="U1449" i="3"/>
  <c r="V1449" i="3" s="1"/>
  <c r="U1450" i="3"/>
  <c r="V1450" i="3" s="1"/>
  <c r="U1451" i="3"/>
  <c r="V1451" i="3" s="1"/>
  <c r="U1452" i="3"/>
  <c r="V1452" i="3" s="1"/>
  <c r="U1453" i="3"/>
  <c r="V1453" i="3" s="1"/>
  <c r="U1454" i="3"/>
  <c r="V1454" i="3" s="1"/>
  <c r="U1455" i="3"/>
  <c r="V1455" i="3" s="1"/>
  <c r="U1456" i="3"/>
  <c r="V1456" i="3" s="1"/>
  <c r="U1457" i="3"/>
  <c r="V1457" i="3" s="1"/>
  <c r="U1458" i="3"/>
  <c r="V1458" i="3" s="1"/>
  <c r="U1459" i="3"/>
  <c r="V1459" i="3" s="1"/>
  <c r="U1460" i="3"/>
  <c r="V1460" i="3" s="1"/>
  <c r="U1461" i="3"/>
  <c r="V1461" i="3" s="1"/>
  <c r="U1462" i="3"/>
  <c r="V1462" i="3" s="1"/>
  <c r="U1463" i="3"/>
  <c r="V1463" i="3" s="1"/>
  <c r="U1464" i="3"/>
  <c r="V1464" i="3" s="1"/>
  <c r="U1465" i="3"/>
  <c r="V1465" i="3" s="1"/>
  <c r="U1466" i="3"/>
  <c r="V1466" i="3" s="1"/>
  <c r="U1467" i="3"/>
  <c r="V1467" i="3" s="1"/>
  <c r="U1468" i="3"/>
  <c r="V1468" i="3" s="1"/>
  <c r="U1469" i="3"/>
  <c r="V1469" i="3" s="1"/>
  <c r="U1470" i="3"/>
  <c r="V1470" i="3" s="1"/>
  <c r="U1471" i="3"/>
  <c r="V1471" i="3" s="1"/>
  <c r="U1472" i="3"/>
  <c r="V1472" i="3" s="1"/>
  <c r="U1473" i="3"/>
  <c r="V1473" i="3" s="1"/>
  <c r="U1474" i="3"/>
  <c r="V1474" i="3" s="1"/>
  <c r="U1475" i="3"/>
  <c r="V1475" i="3" s="1"/>
  <c r="U1476" i="3"/>
  <c r="V1476" i="3" s="1"/>
  <c r="U1477" i="3"/>
  <c r="V1477" i="3" s="1"/>
  <c r="U1478" i="3"/>
  <c r="V1478" i="3" s="1"/>
  <c r="U1479" i="3"/>
  <c r="V1479" i="3" s="1"/>
  <c r="U1480" i="3"/>
  <c r="V1480" i="3" s="1"/>
  <c r="U1481" i="3"/>
  <c r="V1481" i="3" s="1"/>
  <c r="U1482" i="3"/>
  <c r="V1482" i="3" s="1"/>
  <c r="U1483" i="3"/>
  <c r="V1483" i="3" s="1"/>
  <c r="U1484" i="3"/>
  <c r="V1484" i="3" s="1"/>
  <c r="U1485" i="3"/>
  <c r="V1485" i="3" s="1"/>
  <c r="U1486" i="3"/>
  <c r="V1486" i="3" s="1"/>
  <c r="U1487" i="3"/>
  <c r="V1487" i="3" s="1"/>
  <c r="U1488" i="3"/>
  <c r="V1488" i="3" s="1"/>
  <c r="U1489" i="3"/>
  <c r="V1489" i="3" s="1"/>
  <c r="U1490" i="3"/>
  <c r="V1490" i="3" s="1"/>
  <c r="U1491" i="3"/>
  <c r="V1491" i="3" s="1"/>
  <c r="U1492" i="3"/>
  <c r="V1492" i="3" s="1"/>
  <c r="U1493" i="3"/>
  <c r="V1493" i="3" s="1"/>
  <c r="U1494" i="3"/>
  <c r="V1494" i="3" s="1"/>
  <c r="U1495" i="3"/>
  <c r="V1495" i="3" s="1"/>
  <c r="U1496" i="3"/>
  <c r="V1496" i="3" s="1"/>
  <c r="U1497" i="3"/>
  <c r="V1497" i="3" s="1"/>
  <c r="U1498" i="3"/>
  <c r="V1498" i="3" s="1"/>
  <c r="U1499" i="3"/>
  <c r="V1499" i="3" s="1"/>
  <c r="U1500" i="3"/>
  <c r="V1500" i="3" s="1"/>
  <c r="U1501" i="3"/>
  <c r="V1501" i="3" s="1"/>
  <c r="U1502" i="3"/>
  <c r="V1502" i="3" s="1"/>
  <c r="U1503" i="3"/>
  <c r="V1503" i="3" s="1"/>
  <c r="U1504" i="3"/>
  <c r="V1504" i="3" s="1"/>
  <c r="U1505" i="3"/>
  <c r="V1505" i="3" s="1"/>
  <c r="U1506" i="3"/>
  <c r="V1506" i="3" s="1"/>
  <c r="U1507" i="3"/>
  <c r="V1507" i="3" s="1"/>
  <c r="U1508" i="3"/>
  <c r="V1508" i="3" s="1"/>
  <c r="U1509" i="3"/>
  <c r="V1509" i="3" s="1"/>
  <c r="U1510" i="3"/>
  <c r="V1510" i="3" s="1"/>
  <c r="U1511" i="3"/>
  <c r="V1511" i="3" s="1"/>
  <c r="U1512" i="3"/>
  <c r="V1512" i="3" s="1"/>
  <c r="U1513" i="3"/>
  <c r="V1513" i="3" s="1"/>
  <c r="U1514" i="3"/>
  <c r="V1514" i="3" s="1"/>
  <c r="U1515" i="3"/>
  <c r="V1515" i="3" s="1"/>
  <c r="U1516" i="3"/>
  <c r="V1516" i="3" s="1"/>
  <c r="U1517" i="3"/>
  <c r="V1517" i="3" s="1"/>
  <c r="U1518" i="3"/>
  <c r="V1518" i="3" s="1"/>
  <c r="U1519" i="3"/>
  <c r="V1519" i="3" s="1"/>
  <c r="U1520" i="3"/>
  <c r="V1520" i="3" s="1"/>
  <c r="U1521" i="3"/>
  <c r="V1521" i="3" s="1"/>
  <c r="U1522" i="3"/>
  <c r="V1522" i="3" s="1"/>
  <c r="U1523" i="3"/>
  <c r="V1523" i="3" s="1"/>
  <c r="U1524" i="3"/>
  <c r="V1524" i="3" s="1"/>
  <c r="U1525" i="3"/>
  <c r="V1525" i="3" s="1"/>
  <c r="U1526" i="3"/>
  <c r="V1526" i="3" s="1"/>
  <c r="U1527" i="3"/>
  <c r="V1527" i="3" s="1"/>
  <c r="U1528" i="3"/>
  <c r="V1528" i="3" s="1"/>
  <c r="U1529" i="3"/>
  <c r="V1529" i="3" s="1"/>
  <c r="U1530" i="3"/>
  <c r="V1530" i="3" s="1"/>
  <c r="U1531" i="3"/>
  <c r="V1531" i="3" s="1"/>
  <c r="U1532" i="3"/>
  <c r="V1532" i="3" s="1"/>
  <c r="U1533" i="3"/>
  <c r="V1533" i="3" s="1"/>
  <c r="U1534" i="3"/>
  <c r="V1534" i="3" s="1"/>
  <c r="U1535" i="3"/>
  <c r="V1535" i="3" s="1"/>
  <c r="U1536" i="3"/>
  <c r="V1536" i="3" s="1"/>
  <c r="U1537" i="3"/>
  <c r="V1537" i="3" s="1"/>
  <c r="U1538" i="3"/>
  <c r="V1538" i="3" s="1"/>
  <c r="U1539" i="3"/>
  <c r="V1539" i="3" s="1"/>
  <c r="U1540" i="3"/>
  <c r="V1540" i="3" s="1"/>
  <c r="U1541" i="3"/>
  <c r="V1541" i="3" s="1"/>
  <c r="U1542" i="3"/>
  <c r="V1542" i="3" s="1"/>
  <c r="U1543" i="3"/>
  <c r="V1543" i="3" s="1"/>
  <c r="U1544" i="3"/>
  <c r="V1544" i="3" s="1"/>
  <c r="U1545" i="3"/>
  <c r="V1545" i="3" s="1"/>
  <c r="U1546" i="3"/>
  <c r="V1546" i="3" s="1"/>
  <c r="U1547" i="3"/>
  <c r="V1547" i="3" s="1"/>
  <c r="U1548" i="3"/>
  <c r="V1548" i="3" s="1"/>
  <c r="U1549" i="3"/>
  <c r="V1549" i="3" s="1"/>
  <c r="U1550" i="3"/>
  <c r="V1550" i="3" s="1"/>
  <c r="U1551" i="3"/>
  <c r="V1551" i="3" s="1"/>
  <c r="U1552" i="3"/>
  <c r="V1552" i="3" s="1"/>
  <c r="U1553" i="3"/>
  <c r="V1553" i="3" s="1"/>
  <c r="U1554" i="3"/>
  <c r="V1554" i="3" s="1"/>
  <c r="U1555" i="3"/>
  <c r="V1555" i="3" s="1"/>
  <c r="U1556" i="3"/>
  <c r="V1556" i="3" s="1"/>
  <c r="U1557" i="3"/>
  <c r="V1557" i="3" s="1"/>
  <c r="U1558" i="3"/>
  <c r="V1558" i="3" s="1"/>
  <c r="U1559" i="3"/>
  <c r="V1559" i="3" s="1"/>
  <c r="U1560" i="3"/>
  <c r="V1560" i="3" s="1"/>
  <c r="U1561" i="3"/>
  <c r="V1561" i="3" s="1"/>
  <c r="U1562" i="3"/>
  <c r="V1562" i="3" s="1"/>
  <c r="U1563" i="3"/>
  <c r="V1563" i="3" s="1"/>
  <c r="U1564" i="3"/>
  <c r="V1564" i="3" s="1"/>
  <c r="U1565" i="3"/>
  <c r="V1565" i="3" s="1"/>
  <c r="U1566" i="3"/>
  <c r="V1566" i="3" s="1"/>
  <c r="U1567" i="3"/>
  <c r="V1567" i="3" s="1"/>
  <c r="U1568" i="3"/>
  <c r="V1568" i="3" s="1"/>
  <c r="U1569" i="3"/>
  <c r="V1569" i="3" s="1"/>
  <c r="U1570" i="3"/>
  <c r="V1570" i="3" s="1"/>
  <c r="U1571" i="3"/>
  <c r="V1571" i="3" s="1"/>
  <c r="U1572" i="3"/>
  <c r="V1572" i="3" s="1"/>
  <c r="U1573" i="3"/>
  <c r="V1573" i="3" s="1"/>
  <c r="U1574" i="3"/>
  <c r="V1574" i="3" s="1"/>
  <c r="U1575" i="3"/>
  <c r="V1575" i="3" s="1"/>
  <c r="U1576" i="3"/>
  <c r="V1576" i="3" s="1"/>
  <c r="U1577" i="3"/>
  <c r="V1577" i="3" s="1"/>
  <c r="U1578" i="3"/>
  <c r="V1578" i="3" s="1"/>
  <c r="U1579" i="3"/>
  <c r="V1579" i="3" s="1"/>
  <c r="U1580" i="3"/>
  <c r="V1580" i="3" s="1"/>
  <c r="U1581" i="3"/>
  <c r="V1581" i="3" s="1"/>
  <c r="U1582" i="3"/>
  <c r="V1582" i="3" s="1"/>
  <c r="U1583" i="3"/>
  <c r="V1583" i="3" s="1"/>
  <c r="U1584" i="3"/>
  <c r="V1584" i="3" s="1"/>
  <c r="U1585" i="3"/>
  <c r="V1585" i="3" s="1"/>
  <c r="U1586" i="3"/>
  <c r="V1586" i="3" s="1"/>
  <c r="U1587" i="3"/>
  <c r="V1587" i="3" s="1"/>
  <c r="U1588" i="3"/>
  <c r="V1588" i="3" s="1"/>
  <c r="U1589" i="3"/>
  <c r="V1589" i="3" s="1"/>
  <c r="U1590" i="3"/>
  <c r="V1590" i="3" s="1"/>
  <c r="U1591" i="3"/>
  <c r="V1591" i="3" s="1"/>
  <c r="U1592" i="3"/>
  <c r="V1592" i="3" s="1"/>
  <c r="U1593" i="3"/>
  <c r="V1593" i="3" s="1"/>
  <c r="U1594" i="3"/>
  <c r="V1594" i="3" s="1"/>
  <c r="U1595" i="3"/>
  <c r="V1595" i="3" s="1"/>
  <c r="U1596" i="3"/>
  <c r="V1596" i="3" s="1"/>
  <c r="U1597" i="3"/>
  <c r="V1597" i="3" s="1"/>
  <c r="U1598" i="3"/>
  <c r="V1598" i="3" s="1"/>
  <c r="U1599" i="3"/>
  <c r="V1599" i="3" s="1"/>
  <c r="U1600" i="3"/>
  <c r="V1600" i="3" s="1"/>
  <c r="U1601" i="3"/>
  <c r="V1601" i="3" s="1"/>
  <c r="U1602" i="3"/>
  <c r="V1602" i="3" s="1"/>
  <c r="U1603" i="3"/>
  <c r="V1603" i="3" s="1"/>
  <c r="U1604" i="3"/>
  <c r="V1604" i="3" s="1"/>
  <c r="U1605" i="3"/>
  <c r="V1605" i="3" s="1"/>
  <c r="U1606" i="3"/>
  <c r="V1606" i="3" s="1"/>
  <c r="U1607" i="3"/>
  <c r="V1607" i="3" s="1"/>
  <c r="U1608" i="3"/>
  <c r="V1608" i="3" s="1"/>
  <c r="U1609" i="3"/>
  <c r="V1609" i="3" s="1"/>
  <c r="U1610" i="3"/>
  <c r="V1610" i="3" s="1"/>
  <c r="U1611" i="3"/>
  <c r="V1611" i="3" s="1"/>
  <c r="U1612" i="3"/>
  <c r="V1612" i="3" s="1"/>
  <c r="U1613" i="3"/>
  <c r="V1613" i="3" s="1"/>
  <c r="U1614" i="3"/>
  <c r="V1614" i="3" s="1"/>
  <c r="U1615" i="3"/>
  <c r="V1615" i="3" s="1"/>
  <c r="U1616" i="3"/>
  <c r="V1616" i="3" s="1"/>
  <c r="U1617" i="3"/>
  <c r="V1617" i="3" s="1"/>
  <c r="U1618" i="3"/>
  <c r="V1618" i="3" s="1"/>
  <c r="U1619" i="3"/>
  <c r="V1619" i="3" s="1"/>
  <c r="U1620" i="3"/>
  <c r="V1620" i="3" s="1"/>
  <c r="U1621" i="3"/>
  <c r="V1621" i="3" s="1"/>
  <c r="U1622" i="3"/>
  <c r="V1622" i="3" s="1"/>
  <c r="U1623" i="3"/>
  <c r="V1623" i="3" s="1"/>
  <c r="U1624" i="3"/>
  <c r="V1624" i="3" s="1"/>
  <c r="U1625" i="3"/>
  <c r="V1625" i="3" s="1"/>
  <c r="U1626" i="3"/>
  <c r="V1626" i="3" s="1"/>
  <c r="U1627" i="3"/>
  <c r="V1627" i="3" s="1"/>
  <c r="U1628" i="3"/>
  <c r="V1628" i="3" s="1"/>
  <c r="U1629" i="3"/>
  <c r="V1629" i="3" s="1"/>
  <c r="U1630" i="3"/>
  <c r="V1630" i="3" s="1"/>
  <c r="U1631" i="3"/>
  <c r="V1631" i="3" s="1"/>
  <c r="U1632" i="3"/>
  <c r="V1632" i="3" s="1"/>
  <c r="U1633" i="3"/>
  <c r="V1633" i="3" s="1"/>
  <c r="U1634" i="3"/>
  <c r="V1634" i="3" s="1"/>
  <c r="U1635" i="3"/>
  <c r="V1635" i="3" s="1"/>
  <c r="U1636" i="3"/>
  <c r="V1636" i="3" s="1"/>
  <c r="U1637" i="3"/>
  <c r="V1637" i="3" s="1"/>
  <c r="U1638" i="3"/>
  <c r="V1638" i="3" s="1"/>
  <c r="U1639" i="3"/>
  <c r="V1639" i="3" s="1"/>
  <c r="U1640" i="3"/>
  <c r="V1640" i="3" s="1"/>
  <c r="U1641" i="3"/>
  <c r="V1641" i="3" s="1"/>
  <c r="U1642" i="3"/>
  <c r="V1642" i="3" s="1"/>
  <c r="U1643" i="3"/>
  <c r="V1643" i="3" s="1"/>
  <c r="U1644" i="3"/>
  <c r="V1644" i="3" s="1"/>
  <c r="U1645" i="3"/>
  <c r="V1645" i="3" s="1"/>
  <c r="U1646" i="3"/>
  <c r="V1646" i="3" s="1"/>
  <c r="U1647" i="3"/>
  <c r="V1647" i="3" s="1"/>
  <c r="U1648" i="3"/>
  <c r="V1648" i="3" s="1"/>
  <c r="U1649" i="3"/>
  <c r="V1649" i="3" s="1"/>
  <c r="U1650" i="3"/>
  <c r="V1650" i="3" s="1"/>
  <c r="U1651" i="3"/>
  <c r="V1651" i="3" s="1"/>
  <c r="U1652" i="3"/>
  <c r="V1652" i="3" s="1"/>
  <c r="U1653" i="3"/>
  <c r="V1653" i="3" s="1"/>
  <c r="U1654" i="3"/>
  <c r="V1654" i="3" s="1"/>
  <c r="U1655" i="3"/>
  <c r="V1655" i="3" s="1"/>
  <c r="U1656" i="3"/>
  <c r="V1656" i="3" s="1"/>
  <c r="U1657" i="3"/>
  <c r="V1657" i="3" s="1"/>
  <c r="U1658" i="3"/>
  <c r="V1658" i="3" s="1"/>
  <c r="U1659" i="3"/>
  <c r="V1659" i="3" s="1"/>
  <c r="U1660" i="3"/>
  <c r="V1660" i="3" s="1"/>
  <c r="U1661" i="3"/>
  <c r="V1661" i="3" s="1"/>
  <c r="U1662" i="3"/>
  <c r="V1662" i="3" s="1"/>
  <c r="U1663" i="3"/>
  <c r="V1663" i="3" s="1"/>
  <c r="U1664" i="3"/>
  <c r="V1664" i="3" s="1"/>
  <c r="U1665" i="3"/>
  <c r="V1665" i="3" s="1"/>
  <c r="U1666" i="3"/>
  <c r="V1666" i="3" s="1"/>
  <c r="U1667" i="3"/>
  <c r="V1667" i="3" s="1"/>
  <c r="U1668" i="3"/>
  <c r="V1668" i="3" s="1"/>
  <c r="U1669" i="3"/>
  <c r="V1669" i="3" s="1"/>
  <c r="U1670" i="3"/>
  <c r="V1670" i="3" s="1"/>
  <c r="U1671" i="3"/>
  <c r="V1671" i="3" s="1"/>
  <c r="U1672" i="3"/>
  <c r="V1672" i="3" s="1"/>
  <c r="U1673" i="3"/>
  <c r="V1673" i="3" s="1"/>
  <c r="U1674" i="3"/>
  <c r="V1674" i="3" s="1"/>
  <c r="U1675" i="3"/>
  <c r="V1675" i="3" s="1"/>
  <c r="U1676" i="3"/>
  <c r="V1676" i="3" s="1"/>
  <c r="U1677" i="3"/>
  <c r="V1677" i="3" s="1"/>
  <c r="U1678" i="3"/>
  <c r="V1678" i="3" s="1"/>
  <c r="U1679" i="3"/>
  <c r="V1679" i="3" s="1"/>
  <c r="U1680" i="3"/>
  <c r="V1680" i="3" s="1"/>
  <c r="U1681" i="3"/>
  <c r="V1681" i="3" s="1"/>
  <c r="U1682" i="3"/>
  <c r="V1682" i="3" s="1"/>
  <c r="U1683" i="3"/>
  <c r="V1683" i="3" s="1"/>
  <c r="U1684" i="3"/>
  <c r="V1684" i="3" s="1"/>
  <c r="U1685" i="3"/>
  <c r="V1685" i="3" s="1"/>
  <c r="U1686" i="3"/>
  <c r="V1686" i="3" s="1"/>
  <c r="U1687" i="3"/>
  <c r="V1687" i="3" s="1"/>
  <c r="U1688" i="3"/>
  <c r="V1688" i="3" s="1"/>
  <c r="U1689" i="3"/>
  <c r="V1689" i="3" s="1"/>
  <c r="U1690" i="3"/>
  <c r="V1690" i="3" s="1"/>
  <c r="U1691" i="3"/>
  <c r="V1691" i="3" s="1"/>
  <c r="U1692" i="3"/>
  <c r="V1692" i="3" s="1"/>
  <c r="U1693" i="3"/>
  <c r="V1693" i="3" s="1"/>
  <c r="U1694" i="3"/>
  <c r="V1694" i="3" s="1"/>
  <c r="U1695" i="3"/>
  <c r="V1695" i="3" s="1"/>
  <c r="U1696" i="3"/>
  <c r="V1696" i="3" s="1"/>
  <c r="U1697" i="3"/>
  <c r="V1697" i="3" s="1"/>
  <c r="U1698" i="3"/>
  <c r="V1698" i="3" s="1"/>
  <c r="U1699" i="3"/>
  <c r="V1699" i="3" s="1"/>
  <c r="U1700" i="3"/>
  <c r="V1700" i="3" s="1"/>
  <c r="U1701" i="3"/>
  <c r="V1701" i="3" s="1"/>
  <c r="U1702" i="3"/>
  <c r="V1702" i="3" s="1"/>
  <c r="U1703" i="3"/>
  <c r="V1703" i="3" s="1"/>
  <c r="U1704" i="3"/>
  <c r="V1704" i="3" s="1"/>
  <c r="U1705" i="3"/>
  <c r="V1705" i="3" s="1"/>
  <c r="U1706" i="3"/>
  <c r="V1706" i="3" s="1"/>
  <c r="U1707" i="3"/>
  <c r="V1707" i="3" s="1"/>
  <c r="U1708" i="3"/>
  <c r="V1708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714" i="3"/>
  <c r="V1714" i="3" s="1"/>
  <c r="U1715" i="3"/>
  <c r="V1715" i="3" s="1"/>
  <c r="U1716" i="3"/>
  <c r="V1716" i="3" s="1"/>
  <c r="U1717" i="3"/>
  <c r="V1717" i="3" s="1"/>
  <c r="U1718" i="3"/>
  <c r="V1718" i="3" s="1"/>
  <c r="U1719" i="3"/>
  <c r="V1719" i="3" s="1"/>
  <c r="U1720" i="3"/>
  <c r="V1720" i="3" s="1"/>
  <c r="U1721" i="3"/>
  <c r="V1721" i="3" s="1"/>
  <c r="U1722" i="3"/>
  <c r="V1722" i="3" s="1"/>
  <c r="U1723" i="3"/>
  <c r="V1723" i="3" s="1"/>
  <c r="U1724" i="3"/>
  <c r="V1724" i="3" s="1"/>
  <c r="U1725" i="3"/>
  <c r="V1725" i="3" s="1"/>
  <c r="U1726" i="3"/>
  <c r="V1726" i="3" s="1"/>
  <c r="U1727" i="3"/>
  <c r="V1727" i="3" s="1"/>
  <c r="U1728" i="3"/>
  <c r="V1728" i="3" s="1"/>
  <c r="U1729" i="3"/>
  <c r="V1729" i="3" s="1"/>
  <c r="U1730" i="3"/>
  <c r="V1730" i="3" s="1"/>
  <c r="U1731" i="3"/>
  <c r="V1731" i="3" s="1"/>
  <c r="U1732" i="3"/>
  <c r="V1732" i="3" s="1"/>
  <c r="U1733" i="3"/>
  <c r="V1733" i="3" s="1"/>
  <c r="U1734" i="3"/>
  <c r="V1734" i="3" s="1"/>
  <c r="U1735" i="3"/>
  <c r="V1735" i="3" s="1"/>
  <c r="U1736" i="3"/>
  <c r="V1736" i="3" s="1"/>
  <c r="U1737" i="3"/>
  <c r="V1737" i="3" s="1"/>
  <c r="U1738" i="3"/>
  <c r="V1738" i="3" s="1"/>
  <c r="U1739" i="3"/>
  <c r="V1739" i="3" s="1"/>
  <c r="U1740" i="3"/>
  <c r="V1740" i="3" s="1"/>
  <c r="U1741" i="3"/>
  <c r="V1741" i="3" s="1"/>
  <c r="U1742" i="3"/>
  <c r="V1742" i="3" s="1"/>
  <c r="U1743" i="3"/>
  <c r="V1743" i="3" s="1"/>
  <c r="U1744" i="3"/>
  <c r="V1744" i="3" s="1"/>
  <c r="U1745" i="3"/>
  <c r="V1745" i="3" s="1"/>
  <c r="U1746" i="3"/>
  <c r="V1746" i="3" s="1"/>
  <c r="U1747" i="3"/>
  <c r="V1747" i="3" s="1"/>
  <c r="U1748" i="3"/>
  <c r="V1748" i="3" s="1"/>
  <c r="U1749" i="3"/>
  <c r="V1749" i="3" s="1"/>
  <c r="U1750" i="3"/>
  <c r="V1750" i="3" s="1"/>
  <c r="U1751" i="3"/>
  <c r="V1751" i="3" s="1"/>
  <c r="U1752" i="3"/>
  <c r="V1752" i="3" s="1"/>
  <c r="U1753" i="3"/>
  <c r="V1753" i="3" s="1"/>
  <c r="U1754" i="3"/>
  <c r="V1754" i="3" s="1"/>
  <c r="U1755" i="3"/>
  <c r="V1755" i="3" s="1"/>
  <c r="U1756" i="3"/>
  <c r="V1756" i="3" s="1"/>
  <c r="U1757" i="3"/>
  <c r="V1757" i="3" s="1"/>
  <c r="U1758" i="3"/>
  <c r="V1758" i="3" s="1"/>
  <c r="U1759" i="3"/>
  <c r="V1759" i="3" s="1"/>
  <c r="U1760" i="3"/>
  <c r="V1760" i="3" s="1"/>
  <c r="U1761" i="3"/>
  <c r="V1761" i="3" s="1"/>
  <c r="U1762" i="3"/>
  <c r="V1762" i="3" s="1"/>
  <c r="U1763" i="3"/>
  <c r="V1763" i="3" s="1"/>
  <c r="U1764" i="3"/>
  <c r="V1764" i="3" s="1"/>
  <c r="U1765" i="3"/>
  <c r="V1765" i="3" s="1"/>
  <c r="U1766" i="3"/>
  <c r="V1766" i="3" s="1"/>
  <c r="U1767" i="3"/>
  <c r="V1767" i="3" s="1"/>
  <c r="U1768" i="3"/>
  <c r="V1768" i="3" s="1"/>
  <c r="U1769" i="3"/>
  <c r="V1769" i="3" s="1"/>
  <c r="U1770" i="3"/>
  <c r="V1770" i="3" s="1"/>
  <c r="U1771" i="3"/>
  <c r="V1771" i="3" s="1"/>
  <c r="U1772" i="3"/>
  <c r="V1772" i="3" s="1"/>
  <c r="U1773" i="3"/>
  <c r="V1773" i="3" s="1"/>
  <c r="U1774" i="3"/>
  <c r="V1774" i="3" s="1"/>
  <c r="U1775" i="3"/>
  <c r="V1775" i="3" s="1"/>
  <c r="U1776" i="3"/>
  <c r="V1776" i="3" s="1"/>
  <c r="U1777" i="3"/>
  <c r="V1777" i="3" s="1"/>
  <c r="U1778" i="3"/>
  <c r="V1778" i="3" s="1"/>
  <c r="U1779" i="3"/>
  <c r="V1779" i="3" s="1"/>
  <c r="U1780" i="3"/>
  <c r="V1780" i="3" s="1"/>
  <c r="U1781" i="3"/>
  <c r="V1781" i="3" s="1"/>
  <c r="U1782" i="3"/>
  <c r="V1782" i="3" s="1"/>
  <c r="U1783" i="3"/>
  <c r="V1783" i="3" s="1"/>
  <c r="U1784" i="3"/>
  <c r="V1784" i="3" s="1"/>
  <c r="U1785" i="3"/>
  <c r="V1785" i="3" s="1"/>
  <c r="U1786" i="3"/>
  <c r="V1786" i="3" s="1"/>
  <c r="U1787" i="3"/>
  <c r="V1787" i="3" s="1"/>
  <c r="U1788" i="3"/>
  <c r="V1788" i="3" s="1"/>
  <c r="U1789" i="3"/>
  <c r="V1789" i="3" s="1"/>
  <c r="U1790" i="3"/>
  <c r="V1790" i="3" s="1"/>
  <c r="U1791" i="3"/>
  <c r="V1791" i="3" s="1"/>
  <c r="U1792" i="3"/>
  <c r="V1792" i="3" s="1"/>
  <c r="U1793" i="3"/>
  <c r="V1793" i="3" s="1"/>
  <c r="U1794" i="3"/>
  <c r="V1794" i="3" s="1"/>
  <c r="U1795" i="3"/>
  <c r="V1795" i="3" s="1"/>
  <c r="U1796" i="3"/>
  <c r="V1796" i="3" s="1"/>
  <c r="U1797" i="3"/>
  <c r="V1797" i="3" s="1"/>
  <c r="U1798" i="3"/>
  <c r="V1798" i="3" s="1"/>
  <c r="U1799" i="3"/>
  <c r="V1799" i="3" s="1"/>
  <c r="U1800" i="3"/>
  <c r="V1800" i="3" s="1"/>
  <c r="U1801" i="3"/>
  <c r="V1801" i="3" s="1"/>
  <c r="U1802" i="3"/>
  <c r="V1802" i="3" s="1"/>
  <c r="U1803" i="3"/>
  <c r="V1803" i="3" s="1"/>
  <c r="U1804" i="3"/>
  <c r="V1804" i="3" s="1"/>
  <c r="U1805" i="3"/>
  <c r="V1805" i="3" s="1"/>
  <c r="U1806" i="3"/>
  <c r="V1806" i="3" s="1"/>
  <c r="U1807" i="3"/>
  <c r="V1807" i="3" s="1"/>
  <c r="U1808" i="3"/>
  <c r="V1808" i="3" s="1"/>
  <c r="U1809" i="3"/>
  <c r="V1809" i="3" s="1"/>
  <c r="U1810" i="3"/>
  <c r="V1810" i="3" s="1"/>
  <c r="U1811" i="3"/>
  <c r="V1811" i="3" s="1"/>
  <c r="U1812" i="3"/>
  <c r="V1812" i="3" s="1"/>
  <c r="U1813" i="3"/>
  <c r="V1813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819" i="3"/>
  <c r="V1819" i="3" s="1"/>
  <c r="U1820" i="3"/>
  <c r="V1820" i="3" s="1"/>
  <c r="U1821" i="3"/>
  <c r="V1821" i="3" s="1"/>
  <c r="U1822" i="3"/>
  <c r="V1822" i="3" s="1"/>
  <c r="U1823" i="3"/>
  <c r="V1823" i="3" s="1"/>
  <c r="U1824" i="3"/>
  <c r="V1824" i="3" s="1"/>
  <c r="U1825" i="3"/>
  <c r="V1825" i="3" s="1"/>
  <c r="U1826" i="3"/>
  <c r="V1826" i="3" s="1"/>
  <c r="U1827" i="3"/>
  <c r="V1827" i="3" s="1"/>
  <c r="U1828" i="3"/>
  <c r="V1828" i="3" s="1"/>
  <c r="U1829" i="3"/>
  <c r="V1829" i="3" s="1"/>
  <c r="U1830" i="3"/>
  <c r="V1830" i="3" s="1"/>
  <c r="U1831" i="3"/>
  <c r="V1831" i="3" s="1"/>
  <c r="U1832" i="3"/>
  <c r="V1832" i="3" s="1"/>
  <c r="U1833" i="3"/>
  <c r="V1833" i="3" s="1"/>
  <c r="U1834" i="3"/>
  <c r="V1834" i="3" s="1"/>
  <c r="U1835" i="3"/>
  <c r="V1835" i="3" s="1"/>
  <c r="U1836" i="3"/>
  <c r="V1836" i="3" s="1"/>
  <c r="U1837" i="3"/>
  <c r="V1837" i="3" s="1"/>
  <c r="U1838" i="3"/>
  <c r="V1838" i="3" s="1"/>
  <c r="U1839" i="3"/>
  <c r="V1839" i="3" s="1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V1883" i="3" s="1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U1965" i="3"/>
  <c r="V1965" i="3" s="1"/>
  <c r="U1966" i="3"/>
  <c r="V1966" i="3" s="1"/>
  <c r="V1967" i="3"/>
  <c r="V2002" i="3"/>
  <c r="V1969" i="3"/>
  <c r="U1970" i="3"/>
  <c r="V1970" i="3" s="1"/>
  <c r="V1971" i="3"/>
  <c r="U1972" i="3"/>
  <c r="V1972" i="3" s="1"/>
  <c r="U1973" i="3"/>
  <c r="V1973" i="3" s="1"/>
  <c r="U1974" i="3"/>
  <c r="V1974" i="3" s="1"/>
  <c r="V1975" i="3"/>
  <c r="V733" i="3"/>
  <c r="U1977" i="3"/>
  <c r="V1977" i="3" s="1"/>
  <c r="U1978" i="3"/>
  <c r="V1978" i="3" s="1"/>
  <c r="V1995" i="3"/>
  <c r="U1980" i="3"/>
  <c r="V1980" i="3" s="1"/>
  <c r="U1981" i="3"/>
  <c r="V1981" i="3" s="1"/>
  <c r="U1982" i="3"/>
  <c r="V1982" i="3" s="1"/>
  <c r="U1983" i="3"/>
  <c r="V1983" i="3" s="1"/>
  <c r="V734" i="3"/>
  <c r="U1985" i="3"/>
  <c r="V1985" i="3" s="1"/>
  <c r="U1986" i="3"/>
  <c r="V1986" i="3" s="1"/>
  <c r="U1987" i="3"/>
  <c r="V1987" i="3" s="1"/>
  <c r="V2007" i="3"/>
  <c r="U1989" i="3"/>
  <c r="V1989" i="3" s="1"/>
  <c r="U1990" i="3"/>
  <c r="V1990" i="3" s="1"/>
  <c r="U1991" i="3"/>
  <c r="V1991" i="3" s="1"/>
  <c r="U1992" i="3"/>
  <c r="V1992" i="3" s="1"/>
  <c r="U1993" i="3"/>
  <c r="V1993" i="3" s="1"/>
  <c r="U1994" i="3"/>
  <c r="V1994" i="3" s="1"/>
  <c r="V1976" i="3"/>
  <c r="U1996" i="3"/>
  <c r="V1996" i="3" s="1"/>
  <c r="U1997" i="3"/>
  <c r="V1997" i="3" s="1"/>
  <c r="U1998" i="3"/>
  <c r="V1998" i="3" s="1"/>
  <c r="U1999" i="3"/>
  <c r="V1999" i="3" s="1"/>
  <c r="U2000" i="3"/>
  <c r="V2000" i="3" s="1"/>
  <c r="U2001" i="3"/>
  <c r="V2001" i="3" s="1"/>
  <c r="V481" i="3"/>
  <c r="U2003" i="3"/>
  <c r="V2003" i="3" s="1"/>
  <c r="U2004" i="3"/>
  <c r="V2004" i="3" s="1"/>
  <c r="U2005" i="3"/>
  <c r="V2005" i="3" s="1"/>
  <c r="U2006" i="3"/>
  <c r="V2006" i="3" s="1"/>
  <c r="V1979" i="3"/>
  <c r="U2008" i="3"/>
  <c r="V2008" i="3" s="1"/>
  <c r="U2009" i="3"/>
  <c r="V2009" i="3" s="1"/>
  <c r="U2010" i="3"/>
  <c r="V2010" i="3" s="1"/>
  <c r="U2011" i="3"/>
  <c r="V2011" i="3" s="1"/>
  <c r="U2012" i="3"/>
  <c r="V2012" i="3" s="1"/>
  <c r="U2013" i="3"/>
  <c r="V2013" i="3" s="1"/>
  <c r="U2014" i="3"/>
  <c r="V2014" i="3" s="1"/>
  <c r="U2015" i="3"/>
  <c r="V2015" i="3" s="1"/>
  <c r="U2016" i="3"/>
  <c r="V2016" i="3" s="1"/>
  <c r="U2017" i="3"/>
  <c r="V2017" i="3" s="1"/>
  <c r="U2018" i="3"/>
  <c r="V2018" i="3" s="1"/>
  <c r="U2019" i="3"/>
  <c r="V2019" i="3" s="1"/>
  <c r="U2020" i="3"/>
  <c r="V2020" i="3" s="1"/>
  <c r="U2021" i="3"/>
  <c r="V2021" i="3" s="1"/>
  <c r="U2022" i="3"/>
  <c r="V2022" i="3" s="1"/>
  <c r="U2023" i="3"/>
  <c r="V2023" i="3" s="1"/>
  <c r="U2024" i="3"/>
  <c r="V2024" i="3" s="1"/>
  <c r="U2025" i="3"/>
  <c r="V2025" i="3" s="1"/>
  <c r="U2026" i="3"/>
  <c r="V2026" i="3" s="1"/>
  <c r="U2027" i="3"/>
  <c r="V2027" i="3" s="1"/>
  <c r="U2028" i="3"/>
  <c r="V2028" i="3" s="1"/>
  <c r="U2029" i="3"/>
  <c r="V2029" i="3" s="1"/>
  <c r="U2030" i="3"/>
  <c r="V2030" i="3" s="1"/>
  <c r="U2031" i="3"/>
  <c r="V2031" i="3" s="1"/>
  <c r="U2032" i="3"/>
  <c r="V2032" i="3" s="1"/>
  <c r="U2033" i="3"/>
  <c r="V2033" i="3" s="1"/>
  <c r="U2034" i="3"/>
  <c r="V2034" i="3" s="1"/>
  <c r="U2035" i="3"/>
  <c r="V2035" i="3" s="1"/>
  <c r="U2036" i="3"/>
  <c r="V2036" i="3" s="1"/>
  <c r="V2037" i="3"/>
  <c r="U2038" i="3"/>
  <c r="V2038" i="3" s="1"/>
  <c r="U2039" i="3"/>
  <c r="V2039" i="3" s="1"/>
  <c r="U2040" i="3"/>
  <c r="V2040" i="3" s="1"/>
  <c r="U2041" i="3"/>
  <c r="V2041" i="3" s="1"/>
  <c r="U2042" i="3"/>
  <c r="V2042" i="3" s="1"/>
  <c r="U2043" i="3"/>
  <c r="V2043" i="3" s="1"/>
  <c r="U2044" i="3"/>
  <c r="V2044" i="3" s="1"/>
  <c r="U2045" i="3"/>
  <c r="V2045" i="3" s="1"/>
  <c r="V2046" i="3"/>
  <c r="U2047" i="3"/>
  <c r="V2047" i="3" s="1"/>
  <c r="V2048" i="3"/>
  <c r="U2049" i="3"/>
  <c r="V2049" i="3" s="1"/>
  <c r="U2050" i="3"/>
  <c r="V2050" i="3" s="1"/>
  <c r="U2051" i="3"/>
  <c r="V2051" i="3" s="1"/>
  <c r="U2052" i="3"/>
  <c r="V2052" i="3" s="1"/>
  <c r="U2053" i="3"/>
  <c r="V2053" i="3" s="1"/>
  <c r="U2054" i="3"/>
  <c r="V2054" i="3" s="1"/>
  <c r="U2055" i="3"/>
  <c r="V2055" i="3" s="1"/>
  <c r="U2056" i="3"/>
  <c r="V2056" i="3" s="1"/>
  <c r="U2057" i="3"/>
  <c r="V2057" i="3" s="1"/>
  <c r="U2058" i="3"/>
  <c r="V2058" i="3" s="1"/>
  <c r="U2059" i="3"/>
  <c r="V2059" i="3" s="1"/>
  <c r="U2060" i="3"/>
  <c r="V2060" i="3" s="1"/>
  <c r="U2061" i="3"/>
  <c r="V2061" i="3" s="1"/>
  <c r="U2062" i="3"/>
  <c r="V2062" i="3" s="1"/>
  <c r="U2063" i="3"/>
  <c r="V2063" i="3" s="1"/>
  <c r="U2064" i="3"/>
  <c r="V2064" i="3" s="1"/>
  <c r="U2065" i="3"/>
  <c r="V2065" i="3" s="1"/>
  <c r="U2066" i="3"/>
  <c r="V2066" i="3" s="1"/>
  <c r="U2067" i="3"/>
  <c r="V2067" i="3" s="1"/>
  <c r="U2068" i="3"/>
  <c r="V2068" i="3" s="1"/>
  <c r="U2069" i="3"/>
  <c r="V2069" i="3" s="1"/>
  <c r="U2070" i="3"/>
  <c r="V2070" i="3" s="1"/>
  <c r="U2071" i="3"/>
  <c r="V2071" i="3" s="1"/>
  <c r="U2072" i="3"/>
  <c r="V2072" i="3" s="1"/>
  <c r="U2073" i="3"/>
  <c r="V2073" i="3" s="1"/>
  <c r="U2074" i="3"/>
  <c r="V2074" i="3" s="1"/>
  <c r="U2075" i="3"/>
  <c r="V2075" i="3" s="1"/>
  <c r="U2076" i="3"/>
  <c r="V2076" i="3" s="1"/>
  <c r="U2077" i="3"/>
  <c r="V2077" i="3" s="1"/>
  <c r="U2078" i="3"/>
  <c r="V2078" i="3" s="1"/>
  <c r="U2079" i="3"/>
  <c r="V2079" i="3" s="1"/>
  <c r="U2080" i="3"/>
  <c r="V2080" i="3" s="1"/>
  <c r="U2081" i="3"/>
  <c r="V2081" i="3" s="1"/>
  <c r="U2082" i="3"/>
  <c r="V2082" i="3" s="1"/>
  <c r="U2083" i="3"/>
  <c r="V2083" i="3" s="1"/>
  <c r="U2084" i="3"/>
  <c r="V2084" i="3" s="1"/>
  <c r="U2085" i="3"/>
  <c r="V2085" i="3" s="1"/>
  <c r="U2086" i="3"/>
  <c r="V2086" i="3" s="1"/>
  <c r="U2087" i="3"/>
  <c r="V2087" i="3" s="1"/>
  <c r="U2088" i="3"/>
  <c r="V2088" i="3" s="1"/>
  <c r="U2089" i="3"/>
  <c r="V2089" i="3" s="1"/>
  <c r="V2090" i="3"/>
  <c r="V2091" i="3"/>
  <c r="U2092" i="3"/>
  <c r="V2092" i="3" s="1"/>
  <c r="U2093" i="3"/>
  <c r="V2093" i="3" s="1"/>
  <c r="U2094" i="3"/>
  <c r="V2094" i="3" s="1"/>
  <c r="U2095" i="3"/>
  <c r="V2095" i="3" s="1"/>
  <c r="U2096" i="3"/>
  <c r="V2096" i="3" s="1"/>
  <c r="U2097" i="3"/>
  <c r="V2097" i="3" s="1"/>
  <c r="U2098" i="3"/>
  <c r="V2098" i="3" s="1"/>
  <c r="U2099" i="3"/>
  <c r="V2099" i="3" s="1"/>
  <c r="U2100" i="3"/>
  <c r="V2100" i="3" s="1"/>
  <c r="U2101" i="3"/>
  <c r="V2101" i="3" s="1"/>
  <c r="U2102" i="3"/>
  <c r="V2102" i="3" s="1"/>
  <c r="U2103" i="3"/>
  <c r="V2103" i="3" s="1"/>
  <c r="U2104" i="3"/>
  <c r="V2104" i="3" s="1"/>
  <c r="U2105" i="3"/>
  <c r="V2105" i="3" s="1"/>
  <c r="U2106" i="3"/>
  <c r="V2106" i="3" s="1"/>
  <c r="U2107" i="3"/>
  <c r="V2107" i="3" s="1"/>
  <c r="U2108" i="3"/>
  <c r="V2108" i="3" s="1"/>
  <c r="U2109" i="3"/>
  <c r="V2109" i="3" s="1"/>
  <c r="U2110" i="3"/>
  <c r="V2110" i="3" s="1"/>
  <c r="U2111" i="3"/>
  <c r="V2111" i="3" s="1"/>
  <c r="U2112" i="3"/>
  <c r="V2112" i="3" s="1"/>
  <c r="U2113" i="3"/>
  <c r="V2113" i="3" s="1"/>
  <c r="U2114" i="3"/>
  <c r="V2114" i="3" s="1"/>
  <c r="U2115" i="3"/>
  <c r="V2115" i="3" s="1"/>
  <c r="U2116" i="3"/>
  <c r="V2116" i="3" s="1"/>
  <c r="U2117" i="3"/>
  <c r="V2117" i="3" s="1"/>
  <c r="U2118" i="3"/>
  <c r="V2118" i="3" s="1"/>
  <c r="U2119" i="3"/>
  <c r="V2119" i="3" s="1"/>
  <c r="U2120" i="3"/>
  <c r="V2120" i="3" s="1"/>
  <c r="U2121" i="3"/>
  <c r="V2121" i="3" s="1"/>
  <c r="U2122" i="3"/>
  <c r="V2122" i="3" s="1"/>
  <c r="U2123" i="3"/>
  <c r="V2123" i="3" s="1"/>
  <c r="U2124" i="3"/>
  <c r="V2124" i="3" s="1"/>
  <c r="U2125" i="3"/>
  <c r="V2125" i="3" s="1"/>
  <c r="U2126" i="3"/>
  <c r="V2126" i="3" s="1"/>
  <c r="U2127" i="3"/>
  <c r="V2127" i="3" s="1"/>
  <c r="U2128" i="3"/>
  <c r="V2128" i="3" s="1"/>
  <c r="U2129" i="3"/>
  <c r="V2129" i="3" s="1"/>
  <c r="U2130" i="3"/>
  <c r="V2130" i="3" s="1"/>
  <c r="U2131" i="3"/>
  <c r="V2131" i="3" s="1"/>
  <c r="U2132" i="3"/>
  <c r="V2132" i="3" s="1"/>
  <c r="U2133" i="3"/>
  <c r="V2133" i="3" s="1"/>
  <c r="U2134" i="3"/>
  <c r="V2134" i="3" s="1"/>
  <c r="U2135" i="3"/>
  <c r="V2135" i="3" s="1"/>
  <c r="U2136" i="3"/>
  <c r="V2136" i="3" s="1"/>
  <c r="U2137" i="3"/>
  <c r="V2137" i="3" s="1"/>
  <c r="V156" i="3"/>
  <c r="V1988" i="3"/>
  <c r="V328" i="3"/>
  <c r="V520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4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20" i="3"/>
  <c r="W121" i="3"/>
  <c r="W122" i="3"/>
  <c r="W123" i="3"/>
  <c r="W124" i="3"/>
  <c r="W125" i="3"/>
  <c r="W126" i="3"/>
  <c r="W127" i="3"/>
  <c r="W128" i="3"/>
  <c r="W130" i="3"/>
  <c r="W131" i="3"/>
  <c r="W132" i="3"/>
  <c r="W133" i="3"/>
  <c r="W135" i="3"/>
  <c r="W136" i="3"/>
  <c r="W137" i="3"/>
  <c r="W138" i="3"/>
  <c r="W139" i="3"/>
  <c r="W140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3" i="3"/>
  <c r="W384" i="3"/>
  <c r="W386" i="3"/>
  <c r="W387" i="3"/>
  <c r="W388" i="3"/>
  <c r="W389" i="3"/>
  <c r="W390" i="3"/>
  <c r="W392" i="3"/>
  <c r="W393" i="3"/>
  <c r="W394" i="3"/>
  <c r="W395" i="3"/>
  <c r="W396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2" i="3"/>
  <c r="W483" i="3"/>
  <c r="W484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7" i="3"/>
  <c r="W988" i="3"/>
  <c r="W989" i="3"/>
  <c r="W990" i="3"/>
  <c r="W991" i="3"/>
  <c r="W992" i="3"/>
  <c r="W993" i="3"/>
  <c r="W994" i="3"/>
  <c r="W995" i="3"/>
  <c r="W996" i="3"/>
  <c r="W997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70" i="3"/>
  <c r="W1972" i="3"/>
  <c r="W1973" i="3"/>
  <c r="W1974" i="3"/>
  <c r="W1977" i="3"/>
  <c r="W1978" i="3"/>
  <c r="W1980" i="3"/>
  <c r="W1981" i="3"/>
  <c r="W1982" i="3"/>
  <c r="W1983" i="3"/>
  <c r="W1985" i="3"/>
  <c r="W1986" i="3"/>
  <c r="W1987" i="3"/>
  <c r="W1989" i="3"/>
  <c r="W1990" i="3"/>
  <c r="W1991" i="3"/>
  <c r="W1992" i="3"/>
  <c r="W1993" i="3"/>
  <c r="W1994" i="3"/>
  <c r="W1996" i="3"/>
  <c r="W1997" i="3"/>
  <c r="W1998" i="3"/>
  <c r="W1999" i="3"/>
  <c r="W2000" i="3"/>
  <c r="W2001" i="3"/>
  <c r="W2003" i="3"/>
  <c r="W2004" i="3"/>
  <c r="W2005" i="3"/>
  <c r="W2006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8" i="3"/>
  <c r="W2039" i="3"/>
  <c r="W2040" i="3"/>
  <c r="W2041" i="3"/>
  <c r="W2042" i="3"/>
  <c r="W2043" i="3"/>
  <c r="W2044" i="3"/>
  <c r="W2045" i="3"/>
  <c r="W2047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4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20" i="3"/>
  <c r="X121" i="3"/>
  <c r="X122" i="3"/>
  <c r="X123" i="3"/>
  <c r="X124" i="3"/>
  <c r="X125" i="3"/>
  <c r="X126" i="3"/>
  <c r="X127" i="3"/>
  <c r="X128" i="3"/>
  <c r="X130" i="3"/>
  <c r="X131" i="3"/>
  <c r="X132" i="3"/>
  <c r="X133" i="3"/>
  <c r="X135" i="3"/>
  <c r="X136" i="3"/>
  <c r="X137" i="3"/>
  <c r="X138" i="3"/>
  <c r="X139" i="3"/>
  <c r="X140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3" i="3"/>
  <c r="X384" i="3"/>
  <c r="X386" i="3"/>
  <c r="X387" i="3"/>
  <c r="X388" i="3"/>
  <c r="X389" i="3"/>
  <c r="X390" i="3"/>
  <c r="X392" i="3"/>
  <c r="X393" i="3"/>
  <c r="X394" i="3"/>
  <c r="X395" i="3"/>
  <c r="X396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2" i="3"/>
  <c r="X483" i="3"/>
  <c r="X484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7" i="3"/>
  <c r="X988" i="3"/>
  <c r="X989" i="3"/>
  <c r="X990" i="3"/>
  <c r="X991" i="3"/>
  <c r="X992" i="3"/>
  <c r="X993" i="3"/>
  <c r="X994" i="3"/>
  <c r="X995" i="3"/>
  <c r="X996" i="3"/>
  <c r="X997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70" i="3"/>
  <c r="X1972" i="3"/>
  <c r="X1973" i="3"/>
  <c r="X1974" i="3"/>
  <c r="X1977" i="3"/>
  <c r="X1978" i="3"/>
  <c r="X1980" i="3"/>
  <c r="X1981" i="3"/>
  <c r="X1982" i="3"/>
  <c r="X1983" i="3"/>
  <c r="X1985" i="3"/>
  <c r="X1986" i="3"/>
  <c r="X1987" i="3"/>
  <c r="X1989" i="3"/>
  <c r="X1990" i="3"/>
  <c r="X1991" i="3"/>
  <c r="X1992" i="3"/>
  <c r="X1993" i="3"/>
  <c r="X1994" i="3"/>
  <c r="X1996" i="3"/>
  <c r="X1997" i="3"/>
  <c r="X1998" i="3"/>
  <c r="X1999" i="3"/>
  <c r="X2000" i="3"/>
  <c r="X2001" i="3"/>
  <c r="X2003" i="3"/>
  <c r="X2004" i="3"/>
  <c r="X2005" i="3"/>
  <c r="X2006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8" i="3"/>
  <c r="X2039" i="3"/>
  <c r="X2040" i="3"/>
  <c r="X2041" i="3"/>
  <c r="X2042" i="3"/>
  <c r="X2043" i="3"/>
  <c r="X2044" i="3"/>
  <c r="X2045" i="3"/>
  <c r="X2047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Q2" i="3"/>
  <c r="S2" i="3"/>
  <c r="M3" i="15" l="1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T2" i="3" l="1"/>
  <c r="U2" i="3"/>
  <c r="V2" i="3" s="1"/>
  <c r="W2" i="3"/>
  <c r="X2" i="3"/>
  <c r="L3" i="22" l="1"/>
  <c r="K3" i="22"/>
  <c r="J3" i="22"/>
  <c r="I3" i="22"/>
  <c r="H3" i="22"/>
  <c r="G3" i="22"/>
  <c r="F3" i="22"/>
  <c r="E3" i="22"/>
  <c r="D3" i="22"/>
  <c r="C3" i="22"/>
  <c r="B3" i="22"/>
  <c r="M2" i="22"/>
  <c r="M3" i="22" l="1"/>
  <c r="B30" i="16" l="1"/>
  <c r="M2" i="16"/>
  <c r="M30" i="16" s="1"/>
  <c r="B25" i="20"/>
  <c r="C40" i="13"/>
  <c r="C39" i="13"/>
  <c r="C38" i="13"/>
  <c r="M2" i="15" l="1"/>
  <c r="M264" i="19"/>
  <c r="L264" i="19"/>
  <c r="K264" i="19"/>
  <c r="J264" i="19"/>
  <c r="I264" i="19"/>
  <c r="H264" i="19"/>
  <c r="G264" i="19"/>
  <c r="F264" i="19"/>
  <c r="E264" i="19"/>
  <c r="D264" i="19"/>
  <c r="C264" i="19"/>
  <c r="B264" i="19"/>
  <c r="M500" i="15" l="1"/>
  <c r="L500" i="15"/>
  <c r="K500" i="15"/>
  <c r="J500" i="15"/>
  <c r="I500" i="15"/>
  <c r="H500" i="15"/>
  <c r="G500" i="15"/>
  <c r="F500" i="15"/>
  <c r="E500" i="15"/>
  <c r="D500" i="15"/>
  <c r="C500" i="15"/>
  <c r="B500" i="15"/>
</calcChain>
</file>

<file path=xl/sharedStrings.xml><?xml version="1.0" encoding="utf-8"?>
<sst xmlns="http://schemas.openxmlformats.org/spreadsheetml/2006/main" count="51664" uniqueCount="5510">
  <si>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</si>
  <si>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</si>
  <si>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</si>
  <si>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</si>
  <si>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</si>
  <si>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</si>
  <si>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</si>
  <si>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</si>
  <si>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</si>
  <si>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</si>
  <si>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</si>
  <si>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</si>
  <si>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</si>
  <si>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MOVIMIENTO CONTRA LA INTOLERANCIA</t>
  </si>
  <si>
    <t>GESTION Y ESTUDIOS AMBIENTALES, S. COOP.</t>
  </si>
  <si>
    <t>ASCENSORES ZENER GRUPO ARMONIZA, S.L.U.</t>
  </si>
  <si>
    <t>GAS NATURAL COMERCIALIZADORA, S.A.</t>
  </si>
  <si>
    <t>CARLOS BERNARDO  FERNANDEZ</t>
  </si>
  <si>
    <t>CRESPO COMERCIAL ESPAÑOLA DE PROTECCION, S.L.</t>
  </si>
  <si>
    <t>DEREOJO PRODUCCIONES, S.L.</t>
  </si>
  <si>
    <t>INVESTIGACION &amp; CONSULTING S.A.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</si>
  <si>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</si>
  <si>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</si>
  <si>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</si>
  <si>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</si>
  <si>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</si>
  <si>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</si>
  <si>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</si>
  <si>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</si>
  <si>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</si>
  <si>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</si>
  <si>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</si>
  <si>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</si>
  <si>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</si>
  <si>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</si>
  <si>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</si>
  <si>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</si>
  <si>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</si>
  <si>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</si>
  <si>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</si>
  <si>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</si>
  <si>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</si>
  <si>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</si>
  <si>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</si>
  <si>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</si>
  <si>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</si>
  <si>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</si>
  <si>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CLECE, S.A.</t>
  </si>
  <si>
    <t>DECORACION Y PINTURAS JOSE HERRADOR S.L.U.</t>
  </si>
  <si>
    <t>PABLO MANUEL SALVIEJO DELGADO</t>
  </si>
  <si>
    <t>JOSE GARCIA GONZALEZ</t>
  </si>
  <si>
    <t>AGUAPURA AGUAVIVA, S.L.</t>
  </si>
  <si>
    <t>RENTOKIL INITIAL ESPAÑA, S.A.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</si>
  <si>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</si>
  <si>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</si>
  <si>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</si>
  <si>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</si>
  <si>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</si>
  <si>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</si>
  <si>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</si>
  <si>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</si>
  <si>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</si>
  <si>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</si>
  <si>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</si>
  <si>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</si>
  <si>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</si>
  <si>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INCOPE CONSULTORES, S.L</t>
  </si>
  <si>
    <t>INCIDEC INGENIERÍA Y ARQUITECTURA, S.L.</t>
  </si>
  <si>
    <t>EL CORTE INGLES, S.A.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</si>
  <si>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</si>
  <si>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</si>
  <si>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</si>
  <si>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</si>
  <si>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</si>
  <si>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</si>
  <si>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</si>
  <si>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</si>
  <si>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LOCUS AVIS S.L.</t>
  </si>
  <si>
    <t>CASA AMBROSIO RODRIGUEZ, S.L.</t>
  </si>
  <si>
    <t>MIGUEL  SANABRIA MURCIEGO</t>
  </si>
  <si>
    <t>API MOVILIDAD, S.A</t>
  </si>
  <si>
    <t>DRAGER SAFETY HISPANIA S.A.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</si>
  <si>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</si>
  <si>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</si>
  <si>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</si>
  <si>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</si>
  <si>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</si>
  <si>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</si>
  <si>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</si>
  <si>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</si>
  <si>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</si>
  <si>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</si>
  <si>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</si>
  <si>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</si>
  <si>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</si>
  <si>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</si>
  <si>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</si>
  <si>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</si>
  <si>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</si>
  <si>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</si>
  <si>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PRODUCTOS CALTER,  S.L.</t>
  </si>
  <si>
    <t>SUMINISTROS INDUSTRIALES VALLADOLID, S.L.</t>
  </si>
  <si>
    <t>BLAPE RENTA, S.L.</t>
  </si>
  <si>
    <t>ABACO C.E. INFORMATICOS, S.L.</t>
  </si>
  <si>
    <t>ALCASA SATURNO S.L.</t>
  </si>
  <si>
    <t>ANTALIS IBERIA</t>
  </si>
  <si>
    <t>GLOBAL PROJECTS &amp; SUPPLIES, S.L.</t>
  </si>
  <si>
    <t>INDUSTRIAS METALICAS VALLISOLETANAS, S.L.</t>
  </si>
  <si>
    <t>ECOLOGISTAS EN ACCION-CODA</t>
  </si>
  <si>
    <t>ZEPHYR MENSAJEROS, S.L.</t>
  </si>
  <si>
    <t>ASOCIACION CULTURAL ""PEONZA""</t>
  </si>
  <si>
    <t>FRANCISCO SALVADOR PARRAVICINI, S.L.N.E.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</si>
  <si>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</si>
  <si>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</si>
  <si>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</si>
  <si>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</si>
  <si>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</si>
  <si>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</si>
  <si>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</si>
  <si>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</si>
  <si>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</si>
  <si>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</si>
  <si>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</si>
  <si>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</si>
  <si>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</si>
  <si>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</si>
  <si>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</si>
  <si>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</si>
  <si>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</si>
  <si>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</si>
  <si>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</si>
  <si>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</si>
  <si>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</si>
  <si>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</si>
  <si>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</si>
  <si>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</si>
  <si>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</si>
  <si>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</si>
  <si>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</si>
  <si>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</si>
  <si>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</si>
  <si>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</si>
  <si>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</si>
  <si>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</si>
  <si>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</si>
  <si>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</si>
  <si>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</si>
  <si>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</si>
  <si>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</si>
  <si>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</si>
  <si>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</si>
  <si>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</si>
  <si>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</si>
  <si>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</si>
  <si>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</si>
  <si>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</si>
  <si>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</si>
  <si>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</si>
  <si>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</si>
  <si>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</si>
  <si>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</si>
  <si>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</si>
  <si>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</si>
  <si>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</si>
  <si>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</si>
  <si>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</si>
  <si>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</si>
  <si>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</si>
  <si>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</si>
  <si>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</si>
  <si>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</si>
  <si>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</si>
  <si>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</si>
  <si>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</si>
  <si>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</si>
  <si>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</si>
  <si>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</si>
  <si>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</si>
  <si>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</si>
  <si>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</si>
  <si>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</si>
  <si>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</si>
  <si>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</si>
  <si>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</si>
  <si>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</si>
  <si>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</si>
  <si>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</si>
  <si>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</si>
  <si>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</si>
  <si>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</si>
  <si>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</si>
  <si>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</si>
  <si>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</si>
  <si>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</si>
  <si>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</si>
  <si>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</si>
  <si>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</si>
  <si>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</si>
  <si>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</si>
  <si>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</si>
  <si>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</si>
  <si>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</si>
  <si>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</si>
  <si>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</si>
  <si>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</si>
  <si>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</si>
  <si>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</si>
  <si>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</si>
  <si>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</si>
  <si>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</si>
  <si>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</si>
  <si>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</si>
  <si>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</si>
  <si>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</si>
  <si>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</si>
  <si>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</si>
  <si>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</si>
  <si>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</si>
  <si>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</si>
  <si>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</si>
  <si>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</si>
  <si>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</si>
  <si>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</si>
  <si>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</si>
  <si>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</si>
  <si>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</si>
  <si>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</si>
  <si>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</si>
  <si>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</si>
  <si>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</si>
  <si>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</si>
  <si>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</si>
  <si>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</si>
  <si>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</si>
  <si>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</si>
  <si>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</si>
  <si>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</si>
  <si>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</si>
  <si>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</si>
  <si>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</si>
  <si>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</si>
  <si>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</si>
  <si>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</si>
  <si>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</si>
  <si>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</si>
  <si>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</si>
  <si>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</si>
  <si>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</si>
  <si>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</si>
  <si>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</si>
  <si>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</si>
  <si>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</si>
  <si>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</si>
  <si>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</si>
  <si>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</si>
  <si>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</si>
  <si>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</si>
  <si>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</si>
  <si>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</si>
  <si>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</si>
  <si>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</si>
  <si>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</si>
  <si>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</si>
  <si>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</si>
  <si>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</si>
  <si>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</si>
  <si>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</si>
  <si>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</si>
  <si>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</si>
  <si>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</si>
  <si>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</si>
  <si>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</si>
  <si>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</si>
  <si>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</si>
  <si>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</si>
  <si>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</si>
  <si>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</si>
  <si>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</si>
  <si>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</si>
  <si>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</si>
  <si>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</si>
  <si>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</si>
  <si>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</si>
  <si>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</si>
  <si>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</si>
  <si>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</si>
  <si>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</si>
  <si>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</si>
  <si>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</si>
  <si>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</si>
  <si>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</si>
  <si>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</si>
  <si>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</si>
  <si>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</si>
  <si>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</si>
  <si>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</si>
  <si>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</si>
  <si>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</si>
  <si>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</si>
  <si>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</si>
  <si>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</si>
  <si>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</si>
  <si>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</si>
  <si>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</si>
  <si>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</si>
  <si>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</si>
  <si>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</si>
  <si>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</si>
  <si>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</si>
  <si>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</si>
  <si>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</si>
  <si>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</si>
  <si>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</si>
  <si>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</si>
  <si>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</si>
  <si>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</si>
  <si>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TINLOHI, S.L.</t>
  </si>
  <si>
    <t>VALLADOLID AUTOMOVIL S.A.</t>
  </si>
  <si>
    <t>SRCL CONSENUR, S.L.U.</t>
  </si>
  <si>
    <t>GLAXOSMITHKLINE, S.A.</t>
  </si>
  <si>
    <t>ELECTRO-INDUX, S.L.</t>
  </si>
  <si>
    <t>CENTRO ESPAÑOL DE METROLOGIA</t>
  </si>
  <si>
    <t>V-TRES APLICACIONES INDUSTRIALES S.L.</t>
  </si>
  <si>
    <t>SUMINISTROS GRAFICOS POLGRAF, S.L.</t>
  </si>
  <si>
    <t>TRANSPORTES OLID Y CIA, S.L.</t>
  </si>
  <si>
    <t>Total General Servicios</t>
  </si>
  <si>
    <t>Total General Obras</t>
  </si>
  <si>
    <t>INNOVATIVE SOLUTIONS IN CHEMISTRY, S.L.</t>
  </si>
  <si>
    <t>ACQUAJET SEMAE, S.L.U.</t>
  </si>
  <si>
    <t>CONSTRUCCIONES SANCHEZ ROMERA, S.L.</t>
  </si>
  <si>
    <t>T-SYSTEMS ITC IBERIA S.A.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</si>
  <si>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</si>
  <si>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</si>
  <si>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</si>
  <si>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</si>
  <si>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</si>
  <si>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</si>
  <si>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Porcentaje</t>
  </si>
  <si>
    <t>Total General Suministros</t>
  </si>
  <si>
    <t>Total General Otros</t>
  </si>
  <si>
    <t>ESTUDIO DE DISEÑO Y ARQUITECTURA WORLD DESIGN, S.L.</t>
  </si>
  <si>
    <t>SERVICIOS DE PRENSA COMUNICAPLUS, S.A.</t>
  </si>
  <si>
    <t>ALTERNATIVAS ECONÓMICAS, S.C.C.L.</t>
  </si>
  <si>
    <t>GILSON INTERNACIONAL BV SUCURSAL EN ESPAÑA</t>
  </si>
  <si>
    <t>VIDRA FOC SA</t>
  </si>
  <si>
    <t>SCHARLAB, S.L.</t>
  </si>
  <si>
    <t>1A INGENIEROS,  S.L.P.</t>
  </si>
  <si>
    <t>ELECTROTECNIA CASTILLA Y LEON SL</t>
  </si>
  <si>
    <t>BIOTRAN GESTION DE RESIDUOS, S.L.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</si>
  <si>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</si>
  <si>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</si>
  <si>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</si>
  <si>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</si>
  <si>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</si>
  <si>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</si>
  <si>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</si>
  <si>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</si>
  <si>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</si>
  <si>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</si>
  <si>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</si>
  <si>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</si>
  <si>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</si>
  <si>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</si>
  <si>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</si>
  <si>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</si>
  <si>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</si>
  <si>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</si>
  <si>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</si>
  <si>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</si>
  <si>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</si>
  <si>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</si>
  <si>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</si>
  <si>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</si>
  <si>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</si>
  <si>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</si>
  <si>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</si>
  <si>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</si>
  <si>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</si>
  <si>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</si>
  <si>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</si>
  <si>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</si>
  <si>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</si>
  <si>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</si>
  <si>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</si>
  <si>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AGILENT TECHNOLOGIES SPAIN, S.L.</t>
  </si>
  <si>
    <t>ALVAREZ Y MATEO ARQUITECTOS, SL</t>
  </si>
  <si>
    <t>AURUM REGALOS PUBLICITARIOS,S.L.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</si>
  <si>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</si>
  <si>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</si>
  <si>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</si>
  <si>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</si>
  <si>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</si>
  <si>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CONSTRUCCIONES RAUL FERNANDEZ ALEGRE SL</t>
  </si>
  <si>
    <t>DIALOGASEX</t>
  </si>
  <si>
    <t>DISTRIBUCION DE PAPEL CASTILLA Y LEON, S.A.</t>
  </si>
  <si>
    <t>DS SMITH RECYCLING SPAIN S.A.</t>
  </si>
  <si>
    <t>FLORISTERIA YERBA, COMUNIDAD DE BIENES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</si>
  <si>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</si>
  <si>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</si>
  <si>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</si>
  <si>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</si>
  <si>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</si>
  <si>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</si>
  <si>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</si>
  <si>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</si>
  <si>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</si>
  <si>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</si>
  <si>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JOSE CARLOS CASTILLO GOMEZ</t>
  </si>
  <si>
    <t>TECNICAS DEL FUEL, S.L.</t>
  </si>
  <si>
    <t>WILLIS IBERIA CORREDURIA DE SEGUROS Y REASEGUROS, S.A.</t>
  </si>
  <si>
    <t>TEKNOKROMA ANALITICA, S.A.</t>
  </si>
  <si>
    <t>REUQAV INGENIEROS S.L.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</si>
  <si>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</si>
  <si>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</si>
  <si>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</si>
  <si>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</si>
  <si>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</si>
  <si>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INDRA SISTEMAS, S.A.</t>
  </si>
  <si>
    <t>MARÍA VANESA CALZADA RODRIGUEZ</t>
  </si>
  <si>
    <t>BRAVO INDIA SL</t>
  </si>
  <si>
    <t>AVENET IT SL</t>
  </si>
  <si>
    <t>CALEFACCION AUTOMATICA S.L.</t>
  </si>
  <si>
    <t>FCC MEDIO AMBIENTE SA</t>
  </si>
  <si>
    <t>CENTRO MATERIAL SANITARIO, S.A.</t>
  </si>
  <si>
    <t>ELECTROCASTILLA 2000 S.L.</t>
  </si>
  <si>
    <t>PILAR SOLA  PIZARRO</t>
  </si>
  <si>
    <t>FUNDACION GENERAL DE LA UNIVERSIDAD VALLADOLID</t>
  </si>
  <si>
    <t>IVAN PEREZ  TOMILLO</t>
  </si>
  <si>
    <t>IGNACIO BARCELÓ BLANCO-STEGER</t>
  </si>
  <si>
    <t>PROTEC SOLANA,S.L.</t>
  </si>
  <si>
    <t>RAYUELA PRODUCCIONES TEATRALES, S.L.</t>
  </si>
  <si>
    <t>RBA REVISTAS, S.L.</t>
  </si>
  <si>
    <t>HERMANOS SALGADO DE LA HERA CB</t>
  </si>
  <si>
    <t>SOMHAIRLE WATSON</t>
  </si>
  <si>
    <t>TELEFONICA SOLUCIONES DE INFORMATICA Y COMUNICACIONES DE ESPAÑA S.A.U</t>
  </si>
  <si>
    <t>CYDIMA, S.L.</t>
  </si>
  <si>
    <t>DEANTE CERRAJERIA, S.L.</t>
  </si>
  <si>
    <t>PLACAS Y ROTULOS INDUSTRIALES, SOCIEDAD LIMITADA</t>
  </si>
  <si>
    <t>INTEGRAL DE AUTOMOCION 2000, S.A.</t>
  </si>
  <si>
    <t>GESTION DE SERVICIOS INTEGRALES, S.A.</t>
  </si>
  <si>
    <t>EMMA GOMEZ  GOMEZ</t>
  </si>
  <si>
    <t>SOLIBRI OY</t>
  </si>
  <si>
    <t>ESPASA CALPE, S.A.</t>
  </si>
  <si>
    <t>MARIA FELISA ALONSO ACUÑA</t>
  </si>
  <si>
    <t>HIJO DE CIRIACO SANCHEZ S.L.</t>
  </si>
  <si>
    <t>TECNOLOGIA INFORMATICA 2000</t>
  </si>
  <si>
    <t>GRAFICAS 81 S.L.</t>
  </si>
  <si>
    <t>JESUS PUEBLA  SANZ</t>
  </si>
  <si>
    <t>NURIA MARTIN  SANZ</t>
  </si>
  <si>
    <t>TRESBOLILLO TEATRO &amp; MAPPING</t>
  </si>
  <si>
    <t>GRUPO DE TEATRO MUTIS</t>
  </si>
  <si>
    <t>ESTUDIOS Y CONTROLES BIOLOGICOS, S.L. (BIECON)</t>
  </si>
  <si>
    <t>RQR IMAGEN DE EMPRESA, S.L.</t>
  </si>
  <si>
    <t>NURIA MONTERO MARCOS</t>
  </si>
  <si>
    <t>REVISTA EMPRENDEDORES S.L.</t>
  </si>
  <si>
    <t>SOCIEDAD MIXTA PARA PROMOCIÓN TURISMO S.L.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</si>
  <si>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</si>
  <si>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</si>
  <si>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</si>
  <si>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</si>
  <si>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AXEL SPRINGER ESPAÑA, S.A.</t>
  </si>
  <si>
    <t>REHABILITACION CONSTRUCCION PROMOCION NUCLEO, S.A.</t>
  </si>
  <si>
    <t>SERMANINT HISPANIA, S.L. (SERVICIOS DE MNTO INTEGRAL)</t>
  </si>
  <si>
    <t>VIVE DISFRUTANDO, S.L.L.</t>
  </si>
  <si>
    <t>ALFE SUMINISTROS A LA CONSTRUCCION E INDUSTRIA</t>
  </si>
  <si>
    <t>EDITORIAL CULTURA ACTIVA S.L.</t>
  </si>
  <si>
    <t>LA CANDELA TEATRO Y COMUNIDAD</t>
  </si>
  <si>
    <t>ALACRAN S.L.</t>
  </si>
  <si>
    <t>AXATON, S.L.</t>
  </si>
  <si>
    <t>ELECNOR SERVICIOS Y PROYECTOS,S.A.U</t>
  </si>
  <si>
    <t>DIARIO DE PRENSA DIGITAL, S.L.</t>
  </si>
  <si>
    <t>GRUPO MANTENIMIENTO E INSTALACIONES GRUMAN, S.L.</t>
  </si>
  <si>
    <t>MOTORPRESS IBERICA, S.A. SOC.UNIPERSONAL</t>
  </si>
  <si>
    <t>OBRAS HERGON, S.A.</t>
  </si>
  <si>
    <t>OSCARESCALANTE S.L.U.</t>
  </si>
  <si>
    <t>ASOC CULTURAL LA FLOR DE ROMERO</t>
  </si>
  <si>
    <t>CENTRO DE ESTUDIOS DE MATERIALES Y CONTROL DE OBRAS, S.A. (CEMOSA)</t>
  </si>
  <si>
    <t>DANIEL CEJUDO FERNANDEZ</t>
  </si>
  <si>
    <t>DISTROMEL, S.A.</t>
  </si>
  <si>
    <t>FORTUNATO GUTIERREZ CEA</t>
  </si>
  <si>
    <t>GRÁFICAS MALPICA, S.L.</t>
  </si>
  <si>
    <t>RED PRODUCCIONES, S.L.</t>
  </si>
  <si>
    <t>SARA BURGOS PANERO</t>
  </si>
  <si>
    <t>MARIA JOSE LARENA  GOROSTIAGA</t>
  </si>
  <si>
    <t>RADHANIL</t>
  </si>
  <si>
    <t>MERCK LIFE SCIENCE SLU</t>
  </si>
  <si>
    <t>ALJOBAR S.L.</t>
  </si>
  <si>
    <t>ANEK S-3, S.L.</t>
  </si>
  <si>
    <t>ARIDOS GONZAL SL</t>
  </si>
  <si>
    <t>BEATRIZ COELLO CAMPOS</t>
  </si>
  <si>
    <t>DIABLA TEATRO</t>
  </si>
  <si>
    <t>FED.ASOC.PERSONAS SORDAS CASTILLA</t>
  </si>
  <si>
    <t>UNIFORMES Y VESTUARIO LABORAL, S.L.</t>
  </si>
  <si>
    <t>TYPUS GRAFICAS Y PUBLICIDAD, S.L.U.</t>
  </si>
  <si>
    <t>TANIA DOMINGUEZ MAESTRO</t>
  </si>
  <si>
    <t>SEICER INGENIERÍA, S.L.</t>
  </si>
  <si>
    <t>SANTIAGO CARRILLO GRACIA</t>
  </si>
  <si>
    <t>FERNANDO DONCEL HERRERO</t>
  </si>
  <si>
    <t>TOPODUERO, S.L. (TOPOGRAFÍA Y DRONES)</t>
  </si>
  <si>
    <t>FERNANDO RINCON CHICHES</t>
  </si>
  <si>
    <t>MARTA MARÍA HERRARTE SANZ</t>
  </si>
  <si>
    <t>MANUEL CARDEÑAS BELTRAN</t>
  </si>
  <si>
    <t>M2SENSORS, S.L.</t>
  </si>
  <si>
    <t>JESUS SILVERIO CAVIA CAMARERO</t>
  </si>
  <si>
    <t>LABORATORIO DE IMPRESIÓN KIROLAB 3D, C.B.</t>
  </si>
  <si>
    <t>MORALES Y ABELLA, S.A.</t>
  </si>
  <si>
    <t>LA CLAVE SPORT, S.L.</t>
  </si>
  <si>
    <t>AD</t>
  </si>
  <si>
    <t>2023 08 1341 22799</t>
  </si>
  <si>
    <t>DORNIER S.A.</t>
  </si>
  <si>
    <t>AJUSTE ANUALIDADES CONTRATO GESTIÓN SERVICIO PÚBLICO REGULACIÓN ESTACIONAMIENTO VEHÍCULOS VÍA PÚBLICA EN VALLADOLID</t>
  </si>
  <si>
    <t>220</t>
  </si>
  <si>
    <t>MADRID</t>
  </si>
  <si>
    <t>ServPubl - De gestión de servicios públicos</t>
  </si>
  <si>
    <t>PrAbier - Procedimiento Abierto</t>
  </si>
  <si>
    <t>MultiC - MultiCriterio</t>
  </si>
  <si>
    <t>2023 10 2311 22799</t>
  </si>
  <si>
    <t>CLECE SA-ONET IBERIA SOLUCIONES SA (UTE SAD AYUNTAMIENTO DE VALLADOLID. LOTE 1)</t>
  </si>
  <si>
    <t>contrato ayuda a domicilio -lote 1- años 2021, 2022 y enero a agosto 2023</t>
  </si>
  <si>
    <t>VALLADOLID</t>
  </si>
  <si>
    <t>Servicios - De servicios</t>
  </si>
  <si>
    <t>2023 06 3232 22700</t>
  </si>
  <si>
    <t>ILUNION LIMPIEZA Y MEDIO AMBIENTE, S.A.</t>
  </si>
  <si>
    <t>PR-SE 43/2022 (PR-SE31/2020PS5) 1ª PRORROGA CTO LIMPIEZA EDIFICIOS MUNICIPALES. AREA 06. COLEGIOS PUBLICOS. LOTE 6. 2023</t>
  </si>
  <si>
    <t>2023 02 1511 619</t>
  </si>
  <si>
    <t>COTODISA OBRAS Y SERVICIOS S.A</t>
  </si>
  <si>
    <t>EXPTE.6/22  ADJUDICACIÓN OBRAS FASE I REURBANIZACIÓN C. DANIEL DEL OLMO Y PRIMER TRAMO NORTE DE CASTILLA (POL. ARGALES)</t>
  </si>
  <si>
    <t>Obras - De Obras</t>
  </si>
  <si>
    <t>2ª AMPLIACION CONTRATO SERVICIO AYUDA A DOMICILIO-LOTE 1- MAYOR DEMANDA E INCREMENTO FINANCIACION-AÑO2022 Y ENE-AG 2023.</t>
  </si>
  <si>
    <t>2023 07 1711 610</t>
  </si>
  <si>
    <t>ACCIONA MEDIO AMBIENTE, S.A.</t>
  </si>
  <si>
    <t>2ª PRÓRROGA MANTENIMIENTO ZONAS VERDES SUR Y ESTE. EXP. V. 10-2019 P.S.3.</t>
  </si>
  <si>
    <t>ALCOBENDAS</t>
  </si>
  <si>
    <t>2023 08 1341 619</t>
  </si>
  <si>
    <t>KAPSCH TRAFFICOM TRANSPORTATION SA</t>
  </si>
  <si>
    <t>CONTRATO GESTIÓN INTEGRAL SISTEMA CENTRALIZADO CONTROL DE TRÁFICO (2022/2023/1 enero a 31 agosto'2024)</t>
  </si>
  <si>
    <t>2023 04 9231 22201</t>
  </si>
  <si>
    <t>SOCIEDAD ESTATAL CORREOS TELEGRAFOS, S.A</t>
  </si>
  <si>
    <t>CONTRATO SERVICIOS POSTALES AYTO. VALLADOLID - AÑO 2023 - LOTE 1</t>
  </si>
  <si>
    <t>2023 10 2312 22799</t>
  </si>
  <si>
    <t>SACYR SOCIAL SL</t>
  </si>
  <si>
    <t>ESTANCIAS DIURNAS LOTE 1-GESTION 7 UC-EN23 A NOV25-PL: 11.384-UC IVA inc Z.SUR-H.REY-UC2 RON-D-ARCA-Z.ES-2 UCS PARQUESOL</t>
  </si>
  <si>
    <t>2023 11 1321 22701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</si>
  <si>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</si>
  <si>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</si>
  <si>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</si>
  <si>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2023 08 1532 619</t>
  </si>
  <si>
    <t>ZARZUELA S.A. - EMPRESA CONSTRUCTORA</t>
  </si>
  <si>
    <t>Contrato de obras de remodelación de la avenida Reyes Católicos en Valladolid (expediente 1/2022)</t>
  </si>
  <si>
    <t>2023 11 1621 634</t>
  </si>
  <si>
    <t>IVECO ESPAÑA, S.L.</t>
  </si>
  <si>
    <t>ADQUISICIÓN TRES CAMIONES RECOLECTORES CARGA LATERAL IVECO MOD. AD260S34Y/PS ALLISON PARA EL SERVICIO LIMPIEZA</t>
  </si>
  <si>
    <t>Suministro - De suministro</t>
  </si>
  <si>
    <t>2023 11 1361 624</t>
  </si>
  <si>
    <t>SCANIA HISPANIA, S.A.</t>
  </si>
  <si>
    <t>Expte.: SPSC_SE 10_2022; Suministro de dos vehículos autobombas pesada BUP_3 y BUP_17; SEISYPC</t>
  </si>
  <si>
    <t>SAN FERNANDO DE HENARES</t>
  </si>
  <si>
    <t>2023 11 1621 22103</t>
  </si>
  <si>
    <t>PRORROGA SUMINISTRO GASÓLEO PARA VEHÍCULOS DEL SERVICIO DE LIMPIEZA AÑO 2023</t>
  </si>
  <si>
    <t>2023 08 1651 619</t>
  </si>
  <si>
    <t>LOTE 1 CONSERVACIÓN, REPARACIÓN Y REFORMA DEL ALUMBRADO PÚBLICO. EXP: SEMEU 8/2021</t>
  </si>
  <si>
    <t>2023 0850 1341 609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</si>
  <si>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</si>
  <si>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</si>
  <si>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</si>
  <si>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</si>
  <si>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2023 04 9204 216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</si>
  <si>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</si>
  <si>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</si>
  <si>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</si>
  <si>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</si>
  <si>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contrato ayuda a domicilio -lote 2 comidas SAD- años 2021, 2022 y enero a agosto 2023</t>
  </si>
  <si>
    <t>VILLAMURIEL DE CERRATO</t>
  </si>
  <si>
    <t>PALENCIA</t>
  </si>
  <si>
    <t>2023 11 1621 22700</t>
  </si>
  <si>
    <t>URBASER SA</t>
  </si>
  <si>
    <t>CONTRATO SERVICIO DE LAVADO E HIGIENIZCAIÓN CONTENEDORES DEL Sº LIMPIEZA Y CONTROL EXTERNO CALIDAD, AÑOS 2023 Y 2024</t>
  </si>
  <si>
    <t>PRORROGA Y AMPLIACION CONTRATO DE PROYECTOS SOCIOEDUCATIVOS Y DESARROLLO COMUNITARIO EN CEAS- DE ENERO A AGOSTO 2023</t>
  </si>
  <si>
    <t>2023 06 3231 22799</t>
  </si>
  <si>
    <t>ARMAISMA, S.L.</t>
  </si>
  <si>
    <t>EXPTE SE-EIJI 10/2022 PS 11. PRORROGA CONTRATO GESTION EIM EL PRINCIPITO. LOTE 3. AÑO 2023 Y 01/01 A 31/08/2024.</t>
  </si>
  <si>
    <t>KOALA SOLUCIONES EDUCATIVAS, S.A.</t>
  </si>
  <si>
    <t>EXPTE SE-EIJI 10/2022 PS 11. PRORROGA CONTRATO GESTION EIM MAFALDA Y GUILLE. LOTE 7. AÑO 2023 Y 01/01 A 31/08/2024.</t>
  </si>
  <si>
    <t>2023 02 1511 609</t>
  </si>
  <si>
    <t>TOYR S.A</t>
  </si>
  <si>
    <t>ADJ.EXPT.46/21 REURBANIZACIÓN PLAZA DE LA COMUNICACIÓN (ANTIGUA AP25-1 ARIZA) EN CALLE ADOLFO SUAREZ.</t>
  </si>
  <si>
    <t>2023 05 4314 22100</t>
  </si>
  <si>
    <t>IBERDROLA CLIENTES S.A.U</t>
  </si>
  <si>
    <t>NUEVO CONTRATO DE SUMINISTRO ENERGIA ELECTRICA PARA LAS DEPENDENCIAS DEL EXCMO. AYUNTAMIENTO DE  VALLADOLID</t>
  </si>
  <si>
    <t>BILBAO</t>
  </si>
  <si>
    <t>VIZCAYA</t>
  </si>
  <si>
    <t>2023 04 9204 213</t>
  </si>
  <si>
    <t>ALPA COPIADORAS, S.L.</t>
  </si>
  <si>
    <t>SUMINISTRO DE LA IMPRESIÓN CORPORATIVA, CDIT</t>
  </si>
  <si>
    <t>2023 02 1501 203</t>
  </si>
  <si>
    <t>ADJUDICAR CONTRATO SUMINISTRO DE IMPRESIÓN CORPORATIVA DEL 8.02 A 31.12.22; 1.01.A 31.12.23; 1.01 A 7.02.24.</t>
  </si>
  <si>
    <t>2023 01 9205 203</t>
  </si>
  <si>
    <t>ADJUDICA --&gt; EXPED PR-SE-40/2021 CONTRATO IMPRESIÓN CORPORATIVA 01/01/2023 a 31/12/2023 IMPRENTA: alquiler máquina IN4</t>
  </si>
  <si>
    <t>2023 01 9205 213</t>
  </si>
  <si>
    <t>ADJUDICA  EXPED PR-SE-40/2021 COPIAS NUEVO CONTRATO IMPRESIÓN CORPORATIVA 01/01/2023 a 31/12/2023 ---&gt; IMPRENTA</t>
  </si>
  <si>
    <t>2023 01 9207 213</t>
  </si>
  <si>
    <t>ADJUDICA--&gt;  EXPED PR-SE-10/2021 / COPIAS IMPRESIÓN CORPORATIVA 01/01/2023 a 31/12/2023 GOBIERNO Y RELACIONES 5 MÁQUINAS</t>
  </si>
  <si>
    <t>2023 11 3111 203</t>
  </si>
  <si>
    <t>ALQUILER/COPIAS IMPRESION Sº SALUD Y Dº Aª SALUD P. SEGURIDAD C./8 FB A 31 DC. 2022/1 EN A 31 DC.2023/1 EN A 7 FB 2024</t>
  </si>
  <si>
    <t>UniC - Único Criterio</t>
  </si>
  <si>
    <t>2023 01 9207 203</t>
  </si>
  <si>
    <t>ADJUDICA EXPED PR-SE 40/2021 ALQUILER  IMPRESIÓN CORPORATIVA 01/01/2023 a 31/12/2023, GOBIERNO Y RELACIONES: 5 MÁQUINAS</t>
  </si>
  <si>
    <t>2023 11 1621 213</t>
  </si>
  <si>
    <t>CONTRATO SUMINISTRO IMPRESIÓN CORPORATIVA DEL AYUNTAMIENTO DE VALLADOLID (SERVICIO DE lIMPIEZA)</t>
  </si>
  <si>
    <t>2023 09 3301 213</t>
  </si>
  <si>
    <t>SUMINISTRO DE IMPRESIÓN CORPORATIVA PARA LA CONCEJALÍA DEL ÁREA DE CULTURA Y TURISMO Y  SECRETARÍA DEL ÁREA 2022/2024</t>
  </si>
  <si>
    <t>2023 04 9209 203</t>
  </si>
  <si>
    <t>CONTRATO SUMINISTRO IMPRESIÓN CORPORATIVA (EQUIPOS MULTIFUNCIÓN CONCEJALÍA/DIRECCIÓN Y SECR. EJECUTIVA PLANIF. Y REC.).</t>
  </si>
  <si>
    <t>2023 10 2312 213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</si>
  <si>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</si>
  <si>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</si>
  <si>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2023 10 2412 213</t>
  </si>
  <si>
    <t>SUMINISTROSDE IMPRESION DEL 8 DE FEBRERO DE 2022 AL 7 DE FEBRERO DE 2024 DEL CENTRO DE FORMACION PARA EL EMPLEO-</t>
  </si>
  <si>
    <t>2023 10 2311 213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</si>
  <si>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</si>
  <si>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</si>
  <si>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2023 01 9206 203</t>
  </si>
  <si>
    <t>ALQUILER 2 FOTOCOPIADORAS COLOR Y B/N PARA EL ARCHIVO MUNICIPAL, DEL 1 DE ENERO AL 31 DE DICIEMBRE DE 2023.</t>
  </si>
  <si>
    <t>2023 01 9206 213</t>
  </si>
  <si>
    <t>COPIAS COLOR Y B/N 2 FOTOCOPIADORAS ARCHIVO MUNICIPAL, DEL 1 DE ENERO AL 31 DE DICIEMBRE DE 2023.</t>
  </si>
  <si>
    <t>2023 04 9341 213</t>
  </si>
  <si>
    <t>PREVISIONES DE GASTO EQUIPOS DE IMPRESIÓN TESORERÍA Y RECAUDACIÓN</t>
  </si>
  <si>
    <t>2023 05 4331 203</t>
  </si>
  <si>
    <t>Adjudicación. Contrato centralizado de Suministro de Impresión Corporativa (dos años).</t>
  </si>
  <si>
    <t>2023 08 1341 203</t>
  </si>
  <si>
    <t>ALQUILER_FOTOCOPIADORA_CENTRO DE MOVILIDAD URBANA (8 febrero a 31 diciembre/2022/2023/1 enero a 7 febrero 2024)</t>
  </si>
  <si>
    <t>2023 05 4301 203</t>
  </si>
  <si>
    <t>Adjudicación Contrato Suministro Impresión Corporativa D.Á. Innovación (8/2 - 31/12/22) (1/1 - 31/12/23) (1/1 - 7/2/24)</t>
  </si>
  <si>
    <t>2023 08 1341 213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</si>
  <si>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</si>
  <si>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</si>
  <si>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</si>
  <si>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2023 05 4312 203</t>
  </si>
  <si>
    <t>CONTRATO DEL SUMINISTRO DE IMPRESION CORPORATIVA PARA LAS DEPENDENCIAS DEL EXCMO . AYTO. DE VALLADOLID</t>
  </si>
  <si>
    <t>2023 08 1301 213</t>
  </si>
  <si>
    <t>Consumos fotocopiadoras Área Mov. y Espacio Urbano (SEMEU-CONCEJ pta. 38, LIC pta. 19, SCIE pta 18 bis, INF. URB. pta 9)</t>
  </si>
  <si>
    <t>2023 08 1301 203</t>
  </si>
  <si>
    <t>Alquiler fotocopiadoras Área Mov. y Espacio Urbano (SEMEU-CONCEJ pta. 38, LIC pta 19, SCIE pta 18 bis, INF. URB. pta 19)</t>
  </si>
  <si>
    <t>2023 04 9311 203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</si>
  <si>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</si>
  <si>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</si>
  <si>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2023 01 9203 203</t>
  </si>
  <si>
    <t>CONTRATO CENTRAL.  ALQUILER MAQ. FOTOC. KYOCERA 4053, R.I.  8/2/2022-31/12/2022; 1/1/2023 -31/12/2023 ;1/1/2024-7/2/2024</t>
  </si>
  <si>
    <t>2023 01 9203 213</t>
  </si>
  <si>
    <t>CONTRATO CENTRAL. COPIAS MAQ. FOTOC. KYOCERA 4053, R.I. 8/2/2022-31/12/2022; 1/1/2023-31/12/2023, 1/1/2024-7/2/2024</t>
  </si>
  <si>
    <t>2023 01 9312 203</t>
  </si>
  <si>
    <t>ALQUILER FOTOCOPIADORA DEPARTAMENTO DE CONTABILIDAD DESDE 8-2-2022 A 7-2-2024</t>
  </si>
  <si>
    <t>Otros - Otros</t>
  </si>
  <si>
    <t>ALQUILER FOTOCOPIADORA PARA INTERVENCION GENERAL DESDE 8-2-2022 A 7-2-2024.</t>
  </si>
  <si>
    <t>2023 01 9312 213</t>
  </si>
  <si>
    <t>ESTIMACION COPIAS MAQUINA FOTOCOPIADORA INTERVENCION GENERAL DESDE 8-2-2022 A 7-2-2024</t>
  </si>
  <si>
    <t>ESTIMACION COPIAS BLANCO Y NEGRO Y COLOR DEPARTAMENTO DE CONTABILIDAD DESDE 8-2-2022 A 7-2-2024</t>
  </si>
  <si>
    <t>2023 02 9331 203</t>
  </si>
  <si>
    <t>ALQUILER FOTOCOPIADORA DEL DPTO. PATRIMONIO.PERIODO:08-02 AL 31/12/2022 - 01/01 AL 31/12/2023 y 01/01 AL 07/02/2024.</t>
  </si>
  <si>
    <t>2023 11 1321 213</t>
  </si>
  <si>
    <t>IMPORTE SUMINISTRO DE IMPRESIÓN CORPORATIVA  POLICÍA MUNICIPAL. DEL 8 DE FEBRERO DE 2022 AL 7 DE FEBRERO DE 2024</t>
  </si>
  <si>
    <t>2023 02 9331 213</t>
  </si>
  <si>
    <t>ESTIMACIÓN COPIAS FOTOCOPIADORA DPTO. PATRIMONIO. PERIODO: 08/02 AL 31/12/2022-01/01 AL 31/12/2023 y 01/01 AL 07/02/2024</t>
  </si>
  <si>
    <t>2023 08 1532 203</t>
  </si>
  <si>
    <t>Contrato de ALQUILER DE FOTOCOPIADORAS del S.E.P.I. entre el 1 de enero y el 31 de diciembre de 2023.-</t>
  </si>
  <si>
    <t>2023 08 1532 213</t>
  </si>
  <si>
    <t>Contrato de COPIAS para FOTOCOPIADORAS del S.E.P.I. entre el 1 de enero y el 31 de diciembre de 2023.-</t>
  </si>
  <si>
    <t>2023 03 9241 203</t>
  </si>
  <si>
    <t>CONTRATO IMPRESIÓN CORPORATIVA (DEL 8-02-2022 AL 7-02-2024)</t>
  </si>
  <si>
    <t>2023 06 3232 213</t>
  </si>
  <si>
    <t>CONTRATO SUMINISTRO DE IMPRESION CORPORATIVA. 08/02/2022 A 07/02/2024. EDUCACIÓN.</t>
  </si>
  <si>
    <t>2023 06 3321 213</t>
  </si>
  <si>
    <t>CONTRATO SUMINISTRO DE IMPRESIÓN CORPORATIVO. 08/02/2022 A 07/02/2024. BIBLIOTECAS PÚBLICAS.</t>
  </si>
  <si>
    <t>2023 06 2315 213</t>
  </si>
  <si>
    <t>CONTRATO SUMINISTRO DE IMPRESIÓN CORPORATIVA. 08/02/2022 A 07/02/2024. IGUALDAD</t>
  </si>
  <si>
    <t>2023 04 9321 203</t>
  </si>
  <si>
    <t>Equipos para los Servicios de Gestión de Ingresos e Inspección Tributaria, de 1 de enero a 31 de diciembre 2023</t>
  </si>
  <si>
    <t>2023 10 2316 213</t>
  </si>
  <si>
    <t>ALQUILER Y COPIAS DE EQUIPOS MULTIFUNCIÓN DEL CAI - AÑOS DESDE 8 DE FEBRERO DE  2022, 2023, HASTA 7 DE FEBRERO DE 2024.</t>
  </si>
  <si>
    <t>2023 10 2313 213</t>
  </si>
  <si>
    <t>SUM.IMPRESION DE CONCEJALIA, DIRECCION Y SECRET.EJECUTIVA .AREA SERVICIOS SOCIALES Y M.C.-DEL 8  FEB 2022 AL 7 FEB. 2024</t>
  </si>
  <si>
    <t>2023 01 9201 203</t>
  </si>
  <si>
    <t>Contrato de alquiler fotocopiadoras de Secretaría General 2022-2024.</t>
  </si>
  <si>
    <t>2023 01 9201 213</t>
  </si>
  <si>
    <t>Previsión gastos copias Secretaría General contrato de impresión 2022-2024.</t>
  </si>
  <si>
    <t>2023 04 9202 203</t>
  </si>
  <si>
    <t>CONTRATO DE ALQUILER MAQUINAS FOTOCOPIADORAS PERSONAL Y FORMACION</t>
  </si>
  <si>
    <t>2023 04 9202 213</t>
  </si>
  <si>
    <t>ABONO DE COPIAS DE FOTOCOPIADORAS PERSONAL Y FORMACION AÑOS 2022-2024</t>
  </si>
  <si>
    <t>2023 04 3121 213</t>
  </si>
  <si>
    <t>Alquiler y copias fotocopiadoras de 8-2-2022 a 7-2-2024. Servicio de Prevención y Salud Laboral</t>
  </si>
  <si>
    <t>2023 07 1721 203</t>
  </si>
  <si>
    <t>CONTRATO PARA EL ALQUILER DE IMPRESORAS Y FOTOCOPIADORAS. SERVICIO DE MEDIO AMBIENTE</t>
  </si>
  <si>
    <t>2023 11 1361 213</t>
  </si>
  <si>
    <t>CONTRATO IMPRESIÓN CORPORATIVA DEL 1 DE ENERO AL 31 DE DICIEMBRE DE 2023;SEISYPC.</t>
  </si>
  <si>
    <t>2023 04 9204 22200</t>
  </si>
  <si>
    <t>VODAFONE ESPAÑA, S.A.U.</t>
  </si>
  <si>
    <t>TELEFONÍA FIJA , MÓVIL Y DATOS, LOTE 1</t>
  </si>
  <si>
    <t>AMPLIACIÓN ÁREA REGULADA ORA 2020 - 2026</t>
  </si>
  <si>
    <t>2023 03 9241 22700</t>
  </si>
  <si>
    <t>PRIMERA PRÓRROGA CONTRATO SERVICIO LIMPIEZA CENTROS DEL SERVICIO DE PARTICIPACIÓN CIUDADANA (DEL 1 ENE AL 31 DIC 2023)</t>
  </si>
  <si>
    <t>EDEBEI INFANTIL S.L.</t>
  </si>
  <si>
    <t>EXPTE SE-EIJI 10/2022 PS 11. PRORROGA CONTRATO GESTION EIM LA COMETA. LOTE 5. AÑO 2023 Y 01/01 A 31/08/2024.</t>
  </si>
  <si>
    <t>EXPTE SE-EIJI 10/2022 PS 11. PRORROGA CONTRATO GESTION EIM CAMPANILLA. LOTE 1. AÑO 2023 Y 01/01 A 31/08/2024.</t>
  </si>
  <si>
    <t>2023 11 1321 22799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</si>
  <si>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</si>
  <si>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</si>
  <si>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</si>
  <si>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</si>
  <si>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2023 07 1711 22799</t>
  </si>
  <si>
    <t>2ª PRÓRRROGA MANTENIMIENTO ZONAS VERDES SUR Y ESTE. EXP. V.10-2019 P.S.3.</t>
  </si>
  <si>
    <t>2023 04 9204 636</t>
  </si>
  <si>
    <t>MAINTENANCE DEVELOPMENT ,S.A -MDTEL TELECOMUNICACIONES</t>
  </si>
  <si>
    <t>MANTENIMIENTO DE LA PLATAFORMA DE TELEFONÍA, LOTE 1 (73/2021)</t>
  </si>
  <si>
    <t>2023 07 1721 633</t>
  </si>
  <si>
    <t>VS 3/17 PRÓRROGA DEL CONTRATO RELATIVO AL MANTENIMIENTO INTEGRAL DE LA RCCAVA. SERVICIO MEDIO AMBIENTE.</t>
  </si>
  <si>
    <t>LLANERA</t>
  </si>
  <si>
    <t>ASTURIAS</t>
  </si>
  <si>
    <t>2ª PRÓRROGA LOTE 2 SEÑALIZACIÓN HORIZONTAL (Enero-Julio'2023)</t>
  </si>
  <si>
    <t>ATOS IT SOLUTIONS AND SERVICES IBERIA S.L.</t>
  </si>
  <si>
    <t>SERVICIO DE MANTENIMIENTO Y REPARACIÓN DE LOS EQUIPOS DE TRATAMIENTO DE LA INFORMACIÓN. (S. I. CRÍTICOS)  LOTE 2</t>
  </si>
  <si>
    <t>SERV.RESTAURACION EN COMEDOR SOCIAL AÑO 2023: 80 COMIDAS Y 60 CENAS/DIA- HASTA CAPAC.MAX 125: 2,53 E/COM Y 2,2 E/CENA</t>
  </si>
  <si>
    <t>2023 11 1621 22799</t>
  </si>
  <si>
    <t>CESIÓN CONTRATO (1º PRORROGA) EXPLOTACIÓN 4 PUNTOS LIMPIOS FIJOS Y UNO MOVIL Sº LIMPIEZA DEL 1-1 AL 30-9-2023</t>
  </si>
  <si>
    <t>ESIMPLA, S.L.</t>
  </si>
  <si>
    <t>EXPTE SE-EIJI 10/2022 PS 11. PRORROGA CONTRATO GESTION EIM CASCANUECES. LOTE 2. AÑO 2023. 01/01 A 31/08/2024.</t>
  </si>
  <si>
    <t>2023 04 9204 641</t>
  </si>
  <si>
    <t>GUADALTEL, S.A.</t>
  </si>
  <si>
    <t>IMPLANTACIÓN, EVOLUCIÓN Y MTO. DE LA PLATAFORMA DE ADMÓN ELECTRÓNICA  BASADA EN MOAD, LOTE 1 (68/2020)</t>
  </si>
  <si>
    <t>SEVILLA</t>
  </si>
  <si>
    <t>SERVICIO INTEGRAL DE SOPORTE AL DESARROLLO DE SISTEMAS DE INFORMACIÓN,  LOTE 1, PRIMERA PRÓRROGA  (62/2022)</t>
  </si>
  <si>
    <t>BOECILLO</t>
  </si>
  <si>
    <t>2023 06 3321 22799</t>
  </si>
  <si>
    <t>SERRAL ORGANIZACION Y GESTION DE ARCHIVOS Y BIBLIOTECAS, SL</t>
  </si>
  <si>
    <t>SE 20/21  LOTE 1 CTTO DE APOYO EN LA GESTIÓN DE LOS SERVICIOS EN LA RED DE BIBLIOTECAS MUNICIPALES.</t>
  </si>
  <si>
    <t>LAS PALMAS</t>
  </si>
  <si>
    <t>2023 06 3261 22799</t>
  </si>
  <si>
    <t>FEDERACION DE COLECTIVOS EDUCACION DE ADULTOS</t>
  </si>
  <si>
    <t>SE-EIJI 1/2019 PS 2. PRORROGA CONTRATO DE SERVICIO DEL PROGRAMA ""APRENDIZAJE A LO LARGO DE LA VIDA"" HASTA EL 31/07/2023.</t>
  </si>
  <si>
    <t>2023 02 9332 22700</t>
  </si>
  <si>
    <t>PRORROGA CONTRATO LIMPIEZA DE DEPENDENCIAS MUNICIPALES,(LOTE 1)C.CONSIST.SAN BENITO,STA. ANA,SOTO MED. AÑO 2023</t>
  </si>
  <si>
    <t>2023 07 1711 619</t>
  </si>
  <si>
    <t>CONTRATO MANTENIMIENTO FUENTES PUBLICAS ORNAMENTALES Y CENTROS DE BOMBEO.</t>
  </si>
  <si>
    <t>UTE ESTE BARRIO</t>
  </si>
  <si>
    <t>PRÓRROGA PROYECTO LUCHA CONTRA LA EXCLUSIÓN EN ZONAS VULNERABLES DE LA ZONA ESTE DE 9/3/2023 AL 8/3/2024</t>
  </si>
  <si>
    <t>2023 0750 1721 623</t>
  </si>
  <si>
    <t>TECNOLOGIA VIALES APLICADAS TEVA S.L.</t>
  </si>
  <si>
    <t>ESP. VS 21/22 SISTEMA CONTROL ACCESO ZBE. AÑO 2023. APUNTE PREVIO 920229000619</t>
  </si>
  <si>
    <t>HISPAPOST S.A</t>
  </si>
  <si>
    <t>CONTRATO SERVICIOS POSTALES AYTO. VALLADOLID - AÑO 2023 - LOTE 2</t>
  </si>
  <si>
    <t>TORREJON DE ARDOZ</t>
  </si>
  <si>
    <t>2023 1050 2313 641</t>
  </si>
  <si>
    <t>L2.ADJUDIC.TRANSF.DIGITAL GEST.Y AT.PERSONAS AL SIST.SERV.SOC.-FONDO RECUP.TRANSF Y RESILICIENCIA-C22.I2-P5-GETRONICS</t>
  </si>
  <si>
    <t>ARASTI BARCA M.A., S.L.</t>
  </si>
  <si>
    <t>EXPTE SE-EIJI 10/2022 PS 11. PRORROGA CONTRATO GESTION EIM PLATERO. LOTE 8. AÑO 2023 Y 01/01 A 31/08/2024.</t>
  </si>
  <si>
    <t>BURGOS</t>
  </si>
  <si>
    <t>ADQUISICIÓN DE UN CAMIÓN RECOLECTOR CARGA TRASERA IVECO MOD. AD260S34Y/PS ALLISON  PARA EL SERVICIO LIMPIEZA</t>
  </si>
  <si>
    <t>2023 10 2312 22700</t>
  </si>
  <si>
    <t>PRORROGA CONT.LIMPIEZA-LOTE 10- CPM NO TRANSFERIDOS+ AMPL.PARQUESOL- ESPACIO PARQ.-AÑO 2023.</t>
  </si>
  <si>
    <t>2023 06 3231 22700</t>
  </si>
  <si>
    <t>SAMYL FACILITY SERVICES, S.L.</t>
  </si>
  <si>
    <t>PR-SE 43/2022 (PR-SE31/2020PS5). 1ª PRORROGA CTO DE LIMPIEZA EDIFICIOS MUNICIPALES. AREA 06. E.I.M.LOTE 7. 2023</t>
  </si>
  <si>
    <t>2023 11 1321 204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</si>
  <si>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</si>
  <si>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</si>
  <si>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</si>
  <si>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</si>
  <si>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</si>
  <si>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</si>
  <si>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UTE MEJORA RIO PISUERGA</t>
  </si>
  <si>
    <t>MEJORA EFICIENCIA ENERGÉTICA, HIDRÁULICA Y LUMÍNICA FUENTE PLAZA ZORRILLA. Contrato Basado PS 37.</t>
  </si>
  <si>
    <t>PONTEVEDRA</t>
  </si>
  <si>
    <t>2023 06 2314 22799</t>
  </si>
  <si>
    <t>FACTIBLE S COOP.</t>
  </si>
  <si>
    <t>PRÓRROGA CTTO GESTION INTEGRAL COORD. ANIM. DINAMIZ. Y SEGUIMIENTO ESPACIO JOVEN ZONA SUR. LOTE 2 / 15/1/23 A 31/12/24</t>
  </si>
  <si>
    <t>2023 11 1631 22103</t>
  </si>
  <si>
    <t>PRORROGA CONTRATO SUMINISTRO GASÓLEO PARA VEHÍCULOS DEL S. DE LIMPIEZA VIARIA AÑO 2023</t>
  </si>
  <si>
    <t>2023 03 9241 22799</t>
  </si>
  <si>
    <t>ALLENDE ACTIVIDADES DE OCIO Y TIEMPO LIBRE,  S.L.</t>
  </si>
  <si>
    <t>SERVICIO DE GESTIÓN INTEGRAL DE UNA PARTE DE LAS ACTIVIDADES DEL PROGRAMA VALLANOCHE/VALLATARDE</t>
  </si>
  <si>
    <t>ELSAMEX GESTIÓN DE INFRAESTRUCTURAS, S.L.</t>
  </si>
  <si>
    <t>CONTRATO MANTENIMIENTO DEL MOBILIARIO URBANO.</t>
  </si>
  <si>
    <t>SCIVOLO-ROSSO,S.L.</t>
  </si>
  <si>
    <t>EXPTE SE-EIJI 10/2022 PS 11. PRORROGA CONTRATO GESTION EIM EL TOBOGAN. LOTE 6. AÑO 2023 Y 01/01 A 31/08/2024.</t>
  </si>
  <si>
    <t>2023 0750 1721 641</t>
  </si>
  <si>
    <t>EXP. VS 21/22 SISTEMA CONTROL ACCESO ZBE AÑO 2023. APUNTE PREVIO 920229000588</t>
  </si>
  <si>
    <t>INFOREST MEDIO AMBIENTE, S.L.</t>
  </si>
  <si>
    <t>CONTRATO MANTENIMIENTO ZONAS VERDES SUR Y ESTE LOTE 2. EXP. V. 10-2019.</t>
  </si>
  <si>
    <t>EULEN SERVICIOS SOCIOSANITARIOS, S.A.</t>
  </si>
  <si>
    <t>EXPTE SE-EIJI 10/2022 PS 11. PRORROGA CONTRATO GESTION EIM EL GLOBO. LOTE 9. AÑO 2023 Y 01/01 A 31/08/2024.</t>
  </si>
  <si>
    <t>EXPTE SE-EIJI 10/2022 PS 11. PRORROGA CONTRATO GESTION EIM FANTASIA. LOTE 4. AÑO 2023 Y 01/01 A 31/08/2024.</t>
  </si>
  <si>
    <t>CONTRATO MANTENIMIENTO AREAS DE JUEGOS INFANTILES.</t>
  </si>
  <si>
    <t>2023 04 9204 626</t>
  </si>
  <si>
    <t>AMPLIACIÓN NUEVAS ÁREAS WIFI (67/2021)</t>
  </si>
  <si>
    <t>PRORROGA CONT.LIMPIEZA -LOTE 10-CPM TRANSFERIDOS-año 2023-PROY.FIN.AF.TRANSF.CPMS Y COMEDOR.</t>
  </si>
  <si>
    <t>EXPTE SE-EIJI 10/2022 PS 11. PRORROGA CONTRATO GESTION EIM CABALLITO BLANCO. LOTE 10. AÑO 2023 Y 01/01 A 31/08/2024.</t>
  </si>
  <si>
    <t>2023 03 9241 22701</t>
  </si>
  <si>
    <t>U.T.E. SIFU MADRID BROCOLI AVA CENTROS CIVICOS Y MUNICIPALES</t>
  </si>
  <si>
    <t>PRÓRROGA CONTRATO DE CELADURÍA CENTROS CÍVICOS. LOTE 3</t>
  </si>
  <si>
    <t>2023 02 9331 224</t>
  </si>
  <si>
    <t>BILBAO C.A. SEGUROS Y REASEGUROS</t>
  </si>
  <si>
    <t>PRÓRROGA CONTRATO SEGURO FLOTA VEHÍCULOS (LOTE 3) AYUNTAMIENTO VALLADOLID (Exp. 15/2020 ps6) 5-2-23 A 5-2-24</t>
  </si>
  <si>
    <t>GETXO</t>
  </si>
  <si>
    <t>CONTRATO VS 21/22. CONTROL DE ACCESOS A LA ZONA DE BAJAS EMISIONES (ZBE)</t>
  </si>
  <si>
    <t>FORMACAL S.L.</t>
  </si>
  <si>
    <t>PRORROGA CONTRATO ENVEJECIMIENTO ACTIVO DE LOS CPM NO TRANSFERIDOS DEL 1 DE ENERO AL 15 DE  SEPTIEMBRE DE 2023</t>
  </si>
  <si>
    <t>LICENCIAS VINCULADAS CON  LAS BASES DE DATOS DE LOS SISTEMAS DE INFORMACIÓN, LOTE 1 GRUPO A (23/2022)</t>
  </si>
  <si>
    <t>SE-EIJI 7/2022. CONTRATO DE SERVICIOS PARA LA GESTION DE LA E.I.M. ""CASCABEL"". AÑO 2023 Y DEL 01/01 A 31/08/2024.</t>
  </si>
  <si>
    <t>2023 03 9241 632</t>
  </si>
  <si>
    <t>PROYECON GALICIA S.A.</t>
  </si>
  <si>
    <t>OBRA REHABILITACIÓN ANTIGUO FRONTÓN LAS FLORES PARA CENTRO DOTACIONAL</t>
  </si>
  <si>
    <t>PEREIRO DE AGUIAR</t>
  </si>
  <si>
    <t>OURENSE</t>
  </si>
  <si>
    <t>2023 1050 2312 626</t>
  </si>
  <si>
    <t>L2-ADJUDIC-EQUIP.SIST. ACCESIBLE D GEST.ENVEJECIM.ACTIVO EN CPMS-FOND. RECUP, RANSF Y RESILICIENCIA C22.I2.PROY.5-COTESA</t>
  </si>
  <si>
    <t>Mixto - Mixto</t>
  </si>
  <si>
    <t>LICENCIAS VINCULADAS CON LOS SISTEMAS DEL CPD Y CENTRO DE ATENCIÓN A USUARIOS, LOTE 2 GRUPO A (23/2022)</t>
  </si>
  <si>
    <t>2023 05 4331 609</t>
  </si>
  <si>
    <t>CONTRATO DE OBRA SISTEMAS DE DRENAJE URBANO SOSTENIBLE-SUDs (URBAN GREEN UP G.A. Nº  730426). EXPTE AI-13/20</t>
  </si>
  <si>
    <t>2023 08 1513 83100</t>
  </si>
  <si>
    <t>IMESAPI, S.A.</t>
  </si>
  <si>
    <t>Primera prórroga lote 2 actuaciones obligatorias de carácter subsidiario y/o urgente (exp. 33/2019 SEMEU PS 1)</t>
  </si>
  <si>
    <t>ESTANCIAS DIURNAS L.2 COMIDAS-EN 23 A NOV 25-P:4,68 E/U/D-128 PLAZAS DE 7 UC:Z.SUR,H.REY,UC2 ROND,D-ARC,Z.EST,2 UCS PAR</t>
  </si>
  <si>
    <t>PRORROGA CONTRATO ENVEJECIMIENTO ACTIVO DE LOS  CPMS TRANSFERIDOS DEL 1 DE ENERO AL  15 DE SEPTIEMBRE DE  2023</t>
  </si>
  <si>
    <t>IBERMATICA</t>
  </si>
  <si>
    <t>SERVICIOS LÍNEA BASE OFICINA TÉCNICA DE SEGURIDAD, LOTE 1   (59/2021)</t>
  </si>
  <si>
    <t>SAN SEBASTIAN</t>
  </si>
  <si>
    <t>GUIPUZCOA</t>
  </si>
  <si>
    <t>UTE INETUM ESPAÑA VIRTUAL DESK EXPTE N10SS 55 22 LEY 18/1982</t>
  </si>
  <si>
    <t>TRANSFORMACION DIGITAL DE LOS SERVICIOS SOCIALES DE ATENCION A LAS PERSONAS-CONVENIO CON JCYL FINANCIADO X FONDOS PRTR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</si>
  <si>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</si>
  <si>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</si>
  <si>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</si>
  <si>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</si>
  <si>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LICENCIAS VINCULADAS CON LOS SISTEMAS DEL CPD Y CENTRO DE ATENCIÓN A USUARIOS, LOTE 2 GRUPO B (23/2022)</t>
  </si>
  <si>
    <t>2023 05 4331 22799</t>
  </si>
  <si>
    <t>Adjudicación contrato mantenimiento, soporte y evolutivo S2CITY. Expediente AI-21/2022..Año 2023.</t>
  </si>
  <si>
    <t>BARCELONA</t>
  </si>
  <si>
    <t>PrNegSP - Procedimiento Negociado Sin Publicidad</t>
  </si>
  <si>
    <t>SinC - Sin Criterio</t>
  </si>
  <si>
    <t>MANTENIMIENTO Y REPARACIÓN DE LOS EQUIPOS DE TRATAMIENTO DE LA INFORMACIÓN, (SISTEMAS INFORMÁTICOS NO CRÍTICOS), LOTE 1</t>
  </si>
  <si>
    <t>2023 11 1321 22700</t>
  </si>
  <si>
    <t>1ª PRÓRROGA CONTRATO DE LIMPIEZA DEPEDENCIAS DE POLICÍA MUNICIPAL  DEL 1 DE ENERO AL 31 DE DICIEMBRE DE 2023.</t>
  </si>
  <si>
    <t>OFICINA DE CALIDAD DEL SOFTWARE Y MEJORA DE PROCESOS, LOTE 2, PRIMERA PRÓRROGA, (62/2022)</t>
  </si>
  <si>
    <t>PRORROGA ESTANCIAS DIURNAS 7 UCS: UC2 ROND,Z.SUR,HTA.REY,D-ARCA Y Z.ESTE (112 PLAZAS)X 40 DIASX 25,39 ¿+4 %IVA-EN Y FEBR</t>
  </si>
  <si>
    <t>TEVASEÑAL S.A.</t>
  </si>
  <si>
    <t>2ª PRÓRROGA LOTE 1 SEÑALIZACIÓN VERTICAL (Enero-Julio'2023)</t>
  </si>
  <si>
    <t>GUARROMAN</t>
  </si>
  <si>
    <t>Conservación, reparación y reforma del alumbrado exterior (presupuestos participativos 2023) expediente 8/2021 lote 1</t>
  </si>
  <si>
    <t>GESTIÓN Y MANTENIMIENTO ÁREAS WIFI (67/2021)</t>
  </si>
  <si>
    <t>SERVICIOS OSGA, S.L.</t>
  </si>
  <si>
    <t>PRORROGA CONTRATO DE CELADURIA DE LOS CPM TRANSFERIDOS DEL 01/01/2023 AL 31/07/2023</t>
  </si>
  <si>
    <t>LOGROÑO</t>
  </si>
  <si>
    <t>LA RIOJA</t>
  </si>
  <si>
    <t>2023 11 1321 641</t>
  </si>
  <si>
    <t>SUITABLE SOFTWARE VINFOVAL S.L.</t>
  </si>
  <si>
    <t>APLICACIÓN INFORMÁTICA DE POLICÍA MUNICIPAL. LOTE Nº 1, EXPTE. 41/2021.</t>
  </si>
  <si>
    <t>CARLET</t>
  </si>
  <si>
    <t>VALENCIA</t>
  </si>
  <si>
    <t>PRORROGA DEL SERVICIO DE CELADURIA DE LOS CPM NO TRANSFERIDOS DEL 01/01 AL 31/07/2023</t>
  </si>
  <si>
    <t>SE-EIJI 11/2022 PS 1. PRORROGA CONTRATO MANTENIMIENTO COLEGIOS PUBLICOS. LOTE 1. AÑO 2023.</t>
  </si>
  <si>
    <t>SUMINISTRO, INST., CONF. Y PUESTA EN MARCHA DE ORDENADORES PERSONALES Y MONITORES, LOTE 1 , ENERO 22 A JUNIO 23</t>
  </si>
  <si>
    <t>2023 11 1321 22103</t>
  </si>
  <si>
    <t>SUMINISTRO DE GASÓLEO DE AUTOMOCIÓN PARA VEHÍCULOS DE POLICÍA DEL 1 DE ENERO AL 31 DE DIC. DE 2023.</t>
  </si>
  <si>
    <t>2023 0450 9231 641</t>
  </si>
  <si>
    <t>DIVISA IT S.A.U.</t>
  </si>
  <si>
    <t>REAJUSTE ANUALIDADES CONTRATO SISTEMA GESTION DE QUEJAS Y SUGERENCIAS-AÑO 2023</t>
  </si>
  <si>
    <t>MIGRACIÓN DEL SISTEMA DEL CORREO ELECTRÓNICO DEL AYTO. DE VALLADOLID A EXCHANGE ON-LINE, LOTE 3 (58/2021)</t>
  </si>
  <si>
    <t>2023 11 1621 22102</t>
  </si>
  <si>
    <t>PRORROGA CONTRATO SUMINSITRO GAS NATURAL DEL 1-1 AL 30-9-2023 PARA EL SERVICIO DE LIMPIEZA</t>
  </si>
  <si>
    <t>GLOBAL ROSETTA S.L.U.</t>
  </si>
  <si>
    <t>OFICINA DE PROYECTO PARA LA PRESTACIÓN DE SERV DE COORDINACIÓN.... DEL LOTE 1, LOTE 2  (68/2020)</t>
  </si>
  <si>
    <t>2023 10 2311 22102</t>
  </si>
  <si>
    <t>SUMINISTRO DE GAS EN CENTRO INTEGRADO DESDE 1 ene A 30 sep 2023</t>
  </si>
  <si>
    <t>UMINISTRO DE GAS EN CEAS DESDE  1 ene a 30 sept 2023</t>
  </si>
  <si>
    <t>SUMINISTRO DE GAS EN COMEDOR SOCIAL DESDE  1 ene a 30 sep 2023</t>
  </si>
  <si>
    <t>2023 11 1321 22102</t>
  </si>
  <si>
    <t>1ª PRÓRROGA DEL CONTRATO DE SUMINISTRO DE GAS NATURAL DEPENDENCIAS DE POLICÍA DEL 1-1-2023 AL 30-9-2023.</t>
  </si>
  <si>
    <t>2023 11 1361 22102</t>
  </si>
  <si>
    <t>CONTRATO DE SUMINISTRO DE GAS NATURAL DESDE 01_01_2023 A 30_09_2023 EXPTE:PR_SE_10_2021 PS6 EXPTE.SE 10_2019; SEISYPC.</t>
  </si>
  <si>
    <t>2023 06 3231 22102</t>
  </si>
  <si>
    <t>PR-SE 16/2022 (PS 6 EXPTE SE 10/2019). PRORROGA SUMINISTRO DE GAS EN ESCUELAS INFANTILES. 01/01/2023 A 31/09/2023.</t>
  </si>
  <si>
    <t>2023 06 3232 22102</t>
  </si>
  <si>
    <t>PR-SE 16/2022 (PS 6 EXPTE SE 10/2019). PRORROGA SUMINISTRO DE GAS EN COLEGIOS PUBLICOS. 01/01/2023 A 31/09/2023.</t>
  </si>
  <si>
    <t>2023 06 3321 22102</t>
  </si>
  <si>
    <t>PR-SE 16/2022 (PS 6 EXPTE SE 10/2019). PRORROGA SUMINISTRO DE GAS EN BIBLIOTECAS PUBLICAS. 01/01/2023 A 31/09/2023.</t>
  </si>
  <si>
    <t>2023 06 2315 22102</t>
  </si>
  <si>
    <t>PR-SE 16/2022 (PS 6 EXPTE SE 10/2019). PRORROGA SUMINISTRO DE GAS EN CENTRO MUNICIPAL DE LA IGUALDAD. 01/01 A 31/09/2023</t>
  </si>
  <si>
    <t>2023 02 9332 22102</t>
  </si>
  <si>
    <t>SEGUNDA PRÓRROGA SUMINISTRO GAS NATURAL EDIF.MUNICIPALES (EXPTE.10/2019 DEDE 1.01.23 A 31.09.23).</t>
  </si>
  <si>
    <t>2023 10 2312 22102</t>
  </si>
  <si>
    <t>SUMINISTRO GAS EN CENTROS DE PERSONAS MAYORES NO TRANSFERIDOS DEL 1/1 A 30/9/2023</t>
  </si>
  <si>
    <t>SUMINISTRO DE GAS EN CENTROS DE PERSONAS MAYORES TRANSFERIDOS DEL 1/1 A 30/9/2023</t>
  </si>
  <si>
    <t>2023 10 2412 22102</t>
  </si>
  <si>
    <t>SUMINISTRO DE GAS PARA EL CENTRO DE FORMACION PARA EL EMPLEO  DEL 1/1 A 30/9/2023</t>
  </si>
  <si>
    <t>2023 03 9241 22102</t>
  </si>
  <si>
    <t>2ª PRÓRROGA CONTRATO SUMINISTRO DE GAS (DEL 01/01 AL 30/09 DE 2023) SERVICIO DE PARTICIPACIÓN CIUDADANA</t>
  </si>
  <si>
    <t>OPERACIÓN DEL  CENTRO DE OPERACIONES DE CIBERSEGURIDAD (SOC), LOTE 1   (59/2021)</t>
  </si>
  <si>
    <t>2023 06 3232 22799</t>
  </si>
  <si>
    <t>SE 10/20 PS1 PRORROGA CTTO MANTENIMIENTO ZONAS VERDES. LOTE 1. COLEGIOS PUBLICOS. AÑO 2023 Y HASTA 22 SEPTIEMB 2024</t>
  </si>
  <si>
    <t>2023 07 1711 22103</t>
  </si>
  <si>
    <t>PRÓRROGA DEL CONTRATO DE SUMINISTRO DE GASÓLEO DE AUTOMOCIÓN.EXP. NÚM: PR-SE 37/2022 (SUMINISTRO PARA EL AÑO 2023).</t>
  </si>
  <si>
    <t>AMPLIACION CON SERV.CELADURIA EL CONT.GESTION CENTRO INTEGRADO PARA PERS.SIN HOGAR DE 1 SEP 2021 A MARZO 2024</t>
  </si>
  <si>
    <t>REAJUSTE ANUALIDADES CONTRATO RECOGIDA CONTENEDORES AMARILLOS ""ENVASES"", AMPLIACIÓN AÑO 2023</t>
  </si>
  <si>
    <t>INDRA SOLUCIONES TECNOLOGICAS DE LA INFOMACION S.L.U.</t>
  </si>
  <si>
    <t>MTO. Y ASISTENCIA TÉCNICA DE LAS HERRAMIENTAS DE ADMÓN ELECTRÓNICA DEL AYTO.  BASADAS EN AMARA SUITE, (45/2022)</t>
  </si>
  <si>
    <t>AUTOS IGLESIAS SL</t>
  </si>
  <si>
    <t>CONTRATO RENTING  VEHÍCULOS POLICÍA. DEL 1 DE ENERO DE 2023 AL 15 DE AGOSTO DE 2027. LOTE Nº 3. EXPTE SPSC 06/2022.</t>
  </si>
  <si>
    <t>LUGO</t>
  </si>
  <si>
    <t>SE-EIJI 6/2020 P.S. 4. CONTRATO DINAMIZACION ESPACIO JOVEN NORTE LOTE 1. REAJUSTE DE ANUALIDADES. 01/01/23 A 30/04/23</t>
  </si>
  <si>
    <t>Mejora de la eficiencia energética, hidráulica y lumínica de la fuente Azul. Contrato Basado P.S. 36.</t>
  </si>
  <si>
    <t>CONSTRUCCIONES A M C, SA</t>
  </si>
  <si>
    <t>OBRA DE RENOVACIÓN Y REFORMA DE LOS ASEOS DEL CENTRO CÍVICO ZONA SUR</t>
  </si>
  <si>
    <t>2023 07 1701 22700</t>
  </si>
  <si>
    <t>INSTITUTO MINUSVALIDO ASTUR S.A.L.</t>
  </si>
  <si>
    <t>1ª PRÓRROGA CONTRATO LIMPIEZA CASA DEL BARCO Y EDIFICIO ANEXO. 2023. LOTE 9. EXPTE. PR-SE4372022 (P.S.5 EXPTE. SE 31/2O)</t>
  </si>
  <si>
    <t>2023 11 1361 22700</t>
  </si>
  <si>
    <t>UTE LIMPIEZA DEPENDENCIAS AYUNTAMIENTO DE VALLADOLID</t>
  </si>
  <si>
    <t>PRIMERA PRÓRROGA CONTRATO SERVICIO LIMPIEZA DEPENDENCIAS PARQUES ERAS Y CANTERAC SEISYPC;AÑO 2023;EXPTE.:SE31_2020</t>
  </si>
  <si>
    <t>SHS  CONSULTORES S L</t>
  </si>
  <si>
    <t>MTO. Y ASIST. TÉCNICA DEL SISTEMA DE GESTIÓN DE PERSONAL Y NÓMINA, BASADO EN META4 E-MIND, SEGUNDA PRÓRROGA, (27/2022)</t>
  </si>
  <si>
    <t>SOLUCIÓN DE AUTENTICACIÓN CON DOBLE FACTOR (2FA), LOTE 1   (59/2021)</t>
  </si>
  <si>
    <t>2023 10 2311 22700</t>
  </si>
  <si>
    <t>ANTON CENTRO ESPECIAL DE EMPLEO, S.L</t>
  </si>
  <si>
    <t>PRORROGA L11 LIMPIEZA CEAS: CENTRO Y JEF.ZON., BELÉN, DEL-ARG., DEL-CANT., Bº ESPAÑA, C/PATO Y ARCA REAL - AÑO 2023</t>
  </si>
  <si>
    <t>lucha contra la exclusión en barriadas vulnerables de zona este-serv.y activ.-enero y febrero 2023</t>
  </si>
  <si>
    <t>SOLUCIÓN DE PROTECCIÓN DE ENDPOINT (EDR), LOTE 1   (59/2021)</t>
  </si>
  <si>
    <t>2023 06 2314 22700</t>
  </si>
  <si>
    <t>PR-SE 43/2022 (PR-SE31/2020PS5). 1ª PRORROGA CTO DE LIMPIEZA EDIFICIOS MUNICIPALES. AREA 06. ESP. JOVENES. LOTE 7. 2023</t>
  </si>
  <si>
    <t>SCHNEIDER ELECTRIC ESPAÑA, S.A.</t>
  </si>
  <si>
    <t>REAJUSTE DE ANUALIDADES. CONTRATO MANTENIMIENTO TELECOMUNICACIONES DEL 1 DE ENERO AL 16 DE FEBRERO DE 2023.</t>
  </si>
  <si>
    <t>2023 09 3341 22799</t>
  </si>
  <si>
    <t>NEMOKINOS SLU</t>
  </si>
  <si>
    <t>CONTRATO SERV. ASISTENCIA TECNICA PROGRAMA VALLADOLID COMO INTEGRANTE DE LA RED CIUDADES CREATIVAS DE LA UNESCO. 2021-24</t>
  </si>
  <si>
    <t>ASISTENCIA TÉCNICA OPERACIÓN, CAU, Y MTO  DEL SOFTWARE DE BASE Y COMUNICACIONES LOTE 2, DEL 8/2/22  AL 7/2/23</t>
  </si>
  <si>
    <t>PRORROGA  (LOTE 2) CONTRATO LIMPIEZA DE DEPENDENCIAS MUNICIPALES ARCHIVO, EDIF.SALUD LAB.C.MÉDICO FLORES,  AÑO 2023</t>
  </si>
  <si>
    <t>2023 04 9341 22699</t>
  </si>
  <si>
    <t>CAIXABANK S.A.</t>
  </si>
  <si>
    <t>GASTOS Y COMISIONES CONTRATACION TERMINALES PUNTO DE VENTA FISICOS Y VIRTUALES AYTO DE VALLADOLID 2023-2025</t>
  </si>
  <si>
    <t>PRÓRROGA CONTRATO DE CELADURÍA SANTIAGO LÓPEZ Y SEGUNDO MONTES. LOTE 4</t>
  </si>
  <si>
    <t>EL PINAR DE ANTEQUERA</t>
  </si>
  <si>
    <t>SERVICIOS INTEGRALES DE FINCAS URBANAS DE MADRID</t>
  </si>
  <si>
    <t>Servicio celaduría en CEAS de 1/1/2023 A 31/7/2023</t>
  </si>
  <si>
    <t>CONTRATO RECOGIDA CONTENEDORES AMARILLOS ""ENVASES"", PERIODO JULIO 2021 A JUNIO 2023</t>
  </si>
  <si>
    <t>2023 04 9231 22799</t>
  </si>
  <si>
    <t>CONSORCIO DE MANIPULADO Y SERVICIOS POSTALES SL</t>
  </si>
  <si>
    <t>SEGUNDA PRORROGA CONTRATO IMPRESION, PLEGADO Y ENSOBRADO DE ENVIOS POSTALES AÑOS 2023-2024 (SE39/2019)</t>
  </si>
  <si>
    <t>MALAGA</t>
  </si>
  <si>
    <t>SE 20/21 LOTE 2 PROGRAMA ACTIVIDADES FOMENTO Y ANIMACIÓN A LA LECTURA EN LA RED DE BIBLIOTECAS MUNICIPALES</t>
  </si>
  <si>
    <t>SAN MIGUEL DEL PINO</t>
  </si>
  <si>
    <t>2023 01 9201 22799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</si>
  <si>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</si>
  <si>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</si>
  <si>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</si>
  <si>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</si>
  <si>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</si>
  <si>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</si>
  <si>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</si>
  <si>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2023 08 1532 22103</t>
  </si>
  <si>
    <t>SUMINISTRO DE GASÓLEO TIPO A., PARA EL AÑO 2023.-</t>
  </si>
  <si>
    <t>LINEAS Y CABLES S.A.</t>
  </si>
  <si>
    <t>SUMINISTRO Y MAQUETACIÓN DE ORDENADORES PORTÁTILES LOTE 2 , DE ENERO 22 A JJUNIO 23</t>
  </si>
  <si>
    <t>POZUELO DE ALARCÓN</t>
  </si>
  <si>
    <t>2ª PRÓRROGA CONTRATO MANTENIMIENTO ZONAS VERDES SUR Y ESTE LOTE 3. EXP. V.10-2019.</t>
  </si>
  <si>
    <t>RED ESPAÑOLA DE SERVICIOS, S.A.U.</t>
  </si>
  <si>
    <t>CONTRATO CENTRALIZADO DE SUMINISTRO DE GASOLINA 95º PARA VEHÍCULOS DE POLICÍA MUNICIPAL EJERCICIOS  2023 Y 2024.</t>
  </si>
  <si>
    <t>LOTE 3 CONSERVACIÓN, REPARACIÓN Y REFORMA DEL ALUMBRADO PÚBLICO. EXP: SEMEU 8/2021</t>
  </si>
  <si>
    <t>2023 11 1631 22700</t>
  </si>
  <si>
    <t>REAJUSTE ANUALIDAES CONTRATO SERVICIOS LIMPIEZA INSTALACIONES LIMPIEZA VIARIA 1-1-2022 AL 31-8-2023 (EXP PR-S.E. 31/2020</t>
  </si>
  <si>
    <t>SOLUCIÓN DE PROTECCIÓN DEL DOMINIO, LOTE 1   (59/2021)</t>
  </si>
  <si>
    <t>2023 05 4331 22700</t>
  </si>
  <si>
    <t>PRORROGA CONTRATO CENTRALIZADO LIMPIEZA DEPENDENCIAS MUNICIPALES 2023. EDIFICIO AGENCIA DE INNOVACION. SE 43/2022</t>
  </si>
  <si>
    <t>2023 06 3321 22700</t>
  </si>
  <si>
    <t>SE 11/2020 CTTO LIMPIEZAS. MODIFICACIÓN LOTE 7. NUEVA BIBLIOTECA PARQUESOL. AÑO 2023</t>
  </si>
  <si>
    <t>2023 11 1621 212</t>
  </si>
  <si>
    <t>COORDINACIÓN SEGURIDAD Y SALUD REPARACIÓN FACHADA EDIFICIO DEL SERVICIO DE LIMPIEZA EN CALLE TOPACIO</t>
  </si>
  <si>
    <t>AdDirec - Adjudicación Directa</t>
  </si>
  <si>
    <t>2023 06 2315 22620</t>
  </si>
  <si>
    <t>ENCLAVE FORMACIÓN, S.L.U.</t>
  </si>
  <si>
    <t>LOTE 1 - CONTRATACION SERVICIOS PARA EL DESARROLLO DEL PLAN DE INSERCION LABORAL  AÑO 2023</t>
  </si>
  <si>
    <t>LICENCIAS VINCULADAS CON LAS BASES DE DATOS DE LOS SISTEMAS DE INFORMACIÓN GRUPO B, LOTE 1 (23/2022)</t>
  </si>
  <si>
    <t>AIR CASTILLA, S.L.</t>
  </si>
  <si>
    <t>PRORROGA CONTRATO SERVICIO MANTENIMIENTO PLATAFORMAS CONTENDORES SOTERRADOS AYTO. VALLADOLID DEL 1-1 AL 31-8-2023</t>
  </si>
  <si>
    <t>STRATEGIA INFINITA, S.L.</t>
  </si>
  <si>
    <t>PRÓRROGA CONTRATO DE SERVICIOS DE GESTIÓN DE LA ESCUELA DE PARTICIPACIÓN CIUDADANA (DEL 01/01/2023 AL 31/12/2023)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</si>
  <si>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</si>
  <si>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</si>
  <si>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</si>
  <si>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</si>
  <si>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SUSTITUCIÓN EQUIPAMIENTO OBSOLETO ÁREAS WIFI Y REUNIFICACIÓN ACCESOS  (67/2021)</t>
  </si>
  <si>
    <t>SOPORTE Y MANTENIMIENTO DEL PORTAL Y SEDE ELECTRÓNICA DEL AYUNTAMIENTO DE VALLADOLID, BASADOS EN PROXIA SUITE (22/2022)</t>
  </si>
  <si>
    <t>AUDIOVISUAL EXPERIENCE S.L.</t>
  </si>
  <si>
    <t>ASISTENCIA TECNICA ESPECTÁCULOS Y EQUIPAMIENTO AUDIOVISUALES EN RED DE TEATROS DE LOS CENTROS CÍVICOS</t>
  </si>
  <si>
    <t>CONTRATO SUMINISTRO IMPRESIÓN CORPORATIVA DEL AYUNTAMIENTO DE VALLADOLID (SERVICIO DE LIMPIEZA)</t>
  </si>
  <si>
    <t>2023 02 1501 619</t>
  </si>
  <si>
    <t>PRIMERA PRÓRROGA CONTRATO SEGURIDAD Y SALUD LOTE 1 OBRAS EN EDIFICACIONES DESDE 2.01. A 15.10.2023.</t>
  </si>
  <si>
    <t>Gasto Complementario del Lote 2 del Contrato de Seguridad y Salud en obras municipales. SEPI.</t>
  </si>
  <si>
    <t>PRÓRROGA CONTRATO SEGURO DAÑOS MATERIALES (LOTE 2) AYUNTAMIENTO VALLADOLID (Exp. 15/2020 ps6) 5-2-23 A 5-2-24</t>
  </si>
  <si>
    <t>SOLUCIÓN DE PROTECCIÓN DE LA NAVEGACIÓN DEL USUARIO, LOTE 1   (59/2021)</t>
  </si>
  <si>
    <t>2023 11 1321 629</t>
  </si>
  <si>
    <t>ARMERIA DEL CARMEN S.L</t>
  </si>
  <si>
    <t>PLAN DE RENOVACIÓN DE ARMAMENTO PARA POLICÍAS MUNICIPAL. EXPTE SPSC 039/21.</t>
  </si>
  <si>
    <t>CARTAGENA</t>
  </si>
  <si>
    <t>MURCIA</t>
  </si>
  <si>
    <t>2023 08 1651 213</t>
  </si>
  <si>
    <t>SONEPAR IBERICA SPAIN S.A.U.</t>
  </si>
  <si>
    <t>Adjudicación Suministro de material fungible para instalaciones de Alumbrado Público. LOTE 2  SEMEU 28/2021.-</t>
  </si>
  <si>
    <t>LEGANES</t>
  </si>
  <si>
    <t>2023 04 9204 22701</t>
  </si>
  <si>
    <t>SISTEMAS INTEGRALES DE CASTILLA Y LEÓN, S.L.</t>
  </si>
  <si>
    <t>SERVICIOS DE CELADURÍA CDIT, PRIMERA PRÓRROGA, (61/2022)</t>
  </si>
  <si>
    <t>2023 09 3341 22609</t>
  </si>
  <si>
    <t>A. SAORIN MONTAJE DE STAND, S.L.</t>
  </si>
  <si>
    <t>ADJUDICACION SUMINISTRO INFRAESTRUCTURAS PARA ESPACIO MULTIUSOS Y EQUIPAMIENTO FERIA DEL LIBRO VALLADOLID 2023. LOTE 1</t>
  </si>
  <si>
    <t>LORQUI</t>
  </si>
  <si>
    <t>DAVID ANDRÉS MORO</t>
  </si>
  <si>
    <t>Primera prórroga lote 1 actuaciones obligatorias de carácter subsidiario y/o urgente (exp. 33/2019 SEMEU PS1)</t>
  </si>
  <si>
    <t>2023 10 2313 22799</t>
  </si>
  <si>
    <t>PRORROGA SERV.MANTENIMIENTO APLIC.PRESTAVA-GESTION Y TRAMITACION DE PREST.Y SERV.SOC.-AÑO 2023</t>
  </si>
  <si>
    <t>AYTOS SOLUCIONES INFORMATICAS, S.L.U.</t>
  </si>
  <si>
    <t>MTO DEL SISTEMA DE INFORMACIÓN PRESUPUESTARIA, CONTABLE Y FINANCIERA (SICALWIN), 2ª PRÓRROGA, (96/2021)</t>
  </si>
  <si>
    <t>ECIJA</t>
  </si>
  <si>
    <t>2023 11 1631 22104</t>
  </si>
  <si>
    <t>PROYMA, S.L.</t>
  </si>
  <si>
    <t>CONCURSO CONTRATO SUMINISTRO VESTUARIO PERSONAL S. LIMPIEZA VIARIA EJERCICIO 2023, LOTE 1</t>
  </si>
  <si>
    <t>GIJON</t>
  </si>
  <si>
    <t>ampliación contrato envejecimiento activo en el año 2023 de 1/1 a 15/9 x incremento de actividad y talleres</t>
  </si>
  <si>
    <t>CONTENEDORES CASTRO, S.L.</t>
  </si>
  <si>
    <t>PRORROGA CONTRATO TRANSPORTE DESDE EL SERVICIO DE LIMPIEZA A CTR  DE LOS RESIDUOS DE LIMPIEZA MECÁNICA VIARIA</t>
  </si>
  <si>
    <t>2023 04 9204 22002</t>
  </si>
  <si>
    <t>RECICLAJE DE CONSUMIBLES OFIMÁTICOS IBAIZABAL, S. L.</t>
  </si>
  <si>
    <t>SUMINISTRO DE FUNGIBLES DE IMPRESIÓN ORIGINALES, LOTE 1</t>
  </si>
  <si>
    <t>BASAURI</t>
  </si>
  <si>
    <t>SESS 41/2020. PRORROGA CONTRATO CENTRALIZADO CELADURIA. LOTE 5. COLEGIOS PUBLICOS.01/01/2023 A 31/07/2023.</t>
  </si>
  <si>
    <t>SERVICIOS BAJO DEMANDA OFICINA TÉCNICA DE SEGURIDAD, LOTE 1   (59/2021)</t>
  </si>
  <si>
    <t>2023 09 3301 22706</t>
  </si>
  <si>
    <t>AGORA ESTUDIOS DE MERCADO, S.L.</t>
  </si>
  <si>
    <t>ADJUDICACION CONTRATO SERV. MANTENIMIENTO OBSERVATORIO CULTURAL Y TURISTICO CIUDAD DE VALLADOLID. LOTE 2,  AÑOS 2020-23</t>
  </si>
  <si>
    <t>LOTE 2 CONSERVACIÓN, REPARACIÓN Y REFORMA DEL ALUMBRADO PÚBLICO. EXP: SEMEU 8/2021</t>
  </si>
  <si>
    <t>2023 10 2412 22700</t>
  </si>
  <si>
    <t>PRORROGA CONT.LIMPIEZA-LOTE 10- CENTRO DE FORMACION DE EMPLEO-AÑO 2023.</t>
  </si>
  <si>
    <t>INETUM ESPAÑA S.A.</t>
  </si>
  <si>
    <t>LICENCIAS, MTO. Y ASISTENCIA TÉCNICA DEL GESTOR DOCUMENTAL ALFRESCO, PRIMERA PRÓRROGA 1/6/22 AL 31/5/23 (94/2021)</t>
  </si>
  <si>
    <t>2023 10 2312 22699</t>
  </si>
  <si>
    <t>AGUSTIN TORRES MAÑUECO</t>
  </si>
  <si>
    <t>ACTUACIONES MUSICALES EN LOS CPM DURANTE 2023- INICIATIVAS SOCIALES</t>
  </si>
  <si>
    <t>EXPED PR-SE-40/2021 IMPRESIÓN CORPORATIVA COMPLEMENTARIO AMPLIAR GASTO COPIAS 5 MÁQUINAS GOBIERNO Y RELACIONES AÑO 2023</t>
  </si>
  <si>
    <t>SEGUNDA PRÓRROGA CONTRATO SUMINISTRO GAS NATURAL; EXPTE.: PR_SE 16_2022;SEISYPC.</t>
  </si>
  <si>
    <t>CONCURSO CONTRATO SUMINISTRO VESTUARIO PERSONAL S. LIMPIEZA VIARIA EJERCICIO 2023, LOTES 4 y 5</t>
  </si>
  <si>
    <t>LA CISTERNIGA</t>
  </si>
  <si>
    <t>IN PULSO MUSICAL SOCIEDAD COOPERATIVA</t>
  </si>
  <si>
    <t>SE 10-22. CTTO PRESTACION ACTIVIDADES ESCUELA MUNICIPAL DE MUSICA ""MARIANO DE LAS HERAS"" CURSO 22-23, 23-24</t>
  </si>
  <si>
    <t>2023 09 4321 22799</t>
  </si>
  <si>
    <t>COMUNICACIONES Y OCIO INTERACTIVO, S.L.</t>
  </si>
  <si>
    <t>CONTRATO SERVICIO PLANIFICACION, GESTION PATROCINIOS, COLABORACION EVENTOS INTERES TURISTICO CULTURAL VALLADOLID 2022-23</t>
  </si>
  <si>
    <t>2023 02 9332 213</t>
  </si>
  <si>
    <t>PRORROGA CTRATO SERV MTO DE SIST. CLIMA., CALEFAC,VENTIL., AGUA  CALIENTE E INTERIOR G. ELECTROG, EDIFIC MUNICIP 2023</t>
  </si>
  <si>
    <t>ALBACETE</t>
  </si>
  <si>
    <t>2023 07 1701 22102</t>
  </si>
  <si>
    <t>VEOLIA SERVICIOS LECAM,S.A.U.</t>
  </si>
  <si>
    <t>CONSUMO BIOMASA 2018 A 2026.-</t>
  </si>
  <si>
    <t>prorroga gestión centro ocupacional para pers.con discap.intelectual-enero a 14 feb 2023</t>
  </si>
  <si>
    <t>2023 04 9202 22799</t>
  </si>
  <si>
    <t>ADJUDICACION EXPEDIENTE SE-55/2020 CONTROL DE PRESENCIA EMPLEADOS PUBLICOS - MANTENIMIENTO 2023</t>
  </si>
  <si>
    <t>ABAST SYSTEMS &amp; SOLUTIONS SL</t>
  </si>
  <si>
    <t>ACONDICIONAMIENTO CPD RESPALDO, LOTE 2   (59/2021)</t>
  </si>
  <si>
    <t>2023 08 1301 22699</t>
  </si>
  <si>
    <t>Contrato con ACQUAJET para el suministro de botellas de agua para la Dirección del Área de Movilidad y Espacio Urbano</t>
  </si>
  <si>
    <t>TAMARES</t>
  </si>
  <si>
    <t>ACTION SERVICE PLEITE VIEDMA S.L.</t>
  </si>
  <si>
    <t>ADJUDICACION SERVICIO ADAPTACION IMAGEN CORPORATIVA FERIA DEL LIBRO DE VALLADOLID 2023. LOTE 2</t>
  </si>
  <si>
    <t>REAJUSTE CONTRATO SERV. MANTENIMIENTO OBSERVATORIO CULTURAL Y TURISTICO CIUDAD DE VALLADOLID. LOTE 2,  AÑOS 2023-24</t>
  </si>
  <si>
    <t>2023 07 1721 22199</t>
  </si>
  <si>
    <t>AL AIR LIQUIDE ESPAÑA, S.A.</t>
  </si>
  <si>
    <t>VS 17/18 PRÓRROGA DEL CONTRATO DE SUMINISTRO DE GASES A PRESIÓN, MEZCLAS DE GASES DE BOTELLAS PARA LA RCCAVA</t>
  </si>
  <si>
    <t>ALBA PRIETO VILLARRAGUT</t>
  </si>
  <si>
    <t>PRORROGA 1 AÑO DEL CONTRATO SERVICIO MANTENIMIENTO PORTALES WEB DE CULTURA Y TURISMO LOTE 2. (01-05-2022 AL 30-04-2023)</t>
  </si>
  <si>
    <t>ALQUILER MODULO AISLADO 7500+2350MM CON DOS DESPACHOS + 1 ASEO PARA VESTUARIO DEL NUEVO PERSONAL CONTRATADO EN C.M.P.A.</t>
  </si>
  <si>
    <t>SANTOVENIA DE  PISUERGA</t>
  </si>
  <si>
    <t>EXPED PR-SE-40/2021 IMPRESIÓN CORPORATIVA--&gt; COMPLEMENTARIO AMPLIAR GASTO COPIAS MÁQUINA IMPRENTA AÑO 2023</t>
  </si>
  <si>
    <t>CONTRATO DE RENTING DE 4 VEHÍCULOS CAMUFLADOS PARA POLICÍA MUNICIPAL DE ENERO A MAYO DE 2023.</t>
  </si>
  <si>
    <t>ALSINA I LLORCA S.L.</t>
  </si>
  <si>
    <t>CONTRATO SUMINISTRO DE VESTUARIO Y COMPLEMENTOS PARA EL PERSONAL DE LIMPIEZA VIARIA. AÑO 2023 (LOTES 4 Y 7)</t>
  </si>
  <si>
    <t>BADALONA</t>
  </si>
  <si>
    <t>2023 11 1621 22104</t>
  </si>
  <si>
    <t>CONTRATO SUMINISTRO DE VESTUARIO Y COMPLEMENTOS PARA EL PERSONAL DEL SERVICIO DE LIMPIEZA. AÑO 2023 (LOTES 4 Y 7)</t>
  </si>
  <si>
    <t>ELENA FINAT SAEZ</t>
  </si>
  <si>
    <t>ADJUDICACION CONTRATO DE SERVICIOS PARA LA DINAMIZACION Y GESTION DE GALERIAS VALLADOLID AÑO 2023</t>
  </si>
  <si>
    <t>PRORROGA L11 LIMPIEZA CENTRO DE ATENCIÓN AL INMIGRANTE - PROY.FINANCIACIÓN AFECTADA MANT.CAI - AÑO 2023.</t>
  </si>
  <si>
    <t>PRORROGA L11 CONTRATO LIMPIEZA COMEDOR SOCIAL - PROY.FINANC.AFECTADA TRANSF.CPMs Y COMEDOR - AÑO 2023.</t>
  </si>
  <si>
    <t>2023 01 9206 22706</t>
  </si>
  <si>
    <t>ARCAL GESTIÓN DOCUMENTAL, S.A.</t>
  </si>
  <si>
    <t>DIVERSOS SERVICIOS PRESTADOS POR ARCAL GESTIÓN DOCUMENTAL AL ARCHIVO MUNICIPAL, DURANTE EL AÑO 2023.</t>
  </si>
  <si>
    <t>2023 11 3111 22106</t>
  </si>
  <si>
    <t>ARCOVET PRODUCTOS VETERINARIOS SL</t>
  </si>
  <si>
    <t>PRORROGA CONTRATO SUMINISTRO DE MEDICAMENTOS Y PIENSOS PARA EL C.M.P.A. 12-9-2022 A 11-9-2023 - LOTE 2</t>
  </si>
  <si>
    <t>2023 01 9205 22100</t>
  </si>
  <si>
    <t>ADJUDICA EXPTE PR-SE 13/2021 NUEVO CONTRATO SUMINISTRO ENERGÍA ELÉCTRICA A IMPRENTA AÑOS 2022 y 2023</t>
  </si>
  <si>
    <t>2023 02 9332 22100</t>
  </si>
  <si>
    <t>ADJUDICAR LOTE 1 EXPTE. SUMINISTRO ENERGÍA ELÉCTRICA PARA ÁREA PLANEAMIENTO URBANÍSTICO Y VIVIENDA</t>
  </si>
  <si>
    <t>2023 10 2311 22100</t>
  </si>
  <si>
    <t>CONTRATO SUMINISTRO ENERGÍA ELÉCTRICA PARA COMEDOR SOCIAL -  2022 Y 2023 - LOTE 1</t>
  </si>
  <si>
    <t>CONTRATO SUMINISTRO ENERGÍA ELÉCTRICA PARA CENTROS DE ACCIÓN SOCIAL Y ALBERGUE MUNICIPAL - 2022 Y 2023 - LOTE 1</t>
  </si>
  <si>
    <t>2023 10 2312 22100</t>
  </si>
  <si>
    <t>CONTRATO SUMINISTRO ENERGIA ELECTRICA DE LOS CPM TRANSFERISOS EN 2022 Y 2023</t>
  </si>
  <si>
    <t>CONTRATO SUMINISTRO ENERGIA ELECTRICA EN LOS CPM MUNICIPALES ,  NO TRANSFERIDOS, EN 2022 Y 2023</t>
  </si>
  <si>
    <t>2023 06 3231 22100</t>
  </si>
  <si>
    <t>PR-SE 13/2021. NUEVO CONTRATO SUMINISTRO DE ENERGÍA ELÉCTRICA AYUNTAMIENTO DE VALLADOLID. ESCUELAS INFANTILES.</t>
  </si>
  <si>
    <t>2023 06 3321 22100</t>
  </si>
  <si>
    <t>PR-SE 13/2021. NUEVO CONTRATO SUMINISTRO DE ENERGÍA ELÉCTRICA AYUNTAMIENTO DE VALLADOLID. BIBLIOTECAS PÚBLICAS.</t>
  </si>
  <si>
    <t>2023 06 2314 22100</t>
  </si>
  <si>
    <t>PR-SE 13/2021. NUEVO CONTRATO SUMINISTRO DE ENERGÍA ELÉCTRICA AYUNTAMIENTO DE VALLADOLID. ESPACIOS JOVENES.</t>
  </si>
  <si>
    <t>2023 06 2315 22100</t>
  </si>
  <si>
    <t>PR-SE 13/2021. NUEVO CONTRATO SUMINISTRO ENERGÍA ELÉCTRICA AYUNTAMIENTO DE VALLADOLID. CENTRO MUNICIPAL DE LA IGUALDAD.</t>
  </si>
  <si>
    <t>2023 11 1361 22100</t>
  </si>
  <si>
    <t>CONTRATO DE SUMINISTRO DE ENERGÍA ELÉCTRICA PARA LOS AÑOS 2022 Y 2023; EXPTE: PR_SE 13_2021; SEISYPC</t>
  </si>
  <si>
    <t>2023 09 3341 22100</t>
  </si>
  <si>
    <t>SUMINISTRO ENERGÍA ELÉCTRICA CÚPULA DEL MILENIO, ROSA CHACEL Y GALERIAS VALLADOLID</t>
  </si>
  <si>
    <t>2023 09 4321 22100</t>
  </si>
  <si>
    <t>CONTRATO CENTRALIZADO SUMINISTRO ENERGIA ELECTRICA ALBERGUE PEREGRINOS PUENTE DUERO, PANTALLA ALBERTO FDEZ Y LA HIPICA</t>
  </si>
  <si>
    <t>2023 10 2412 22100</t>
  </si>
  <si>
    <t>CONTRATO SUMINISTRO ENERGIA ELECTRICA DEL CENTRO DE FORMACION PARA EL  EMPLEO- JACINTO BENAVENTE EN 2022 Y 2023</t>
  </si>
  <si>
    <t>2023 11 1621 22100</t>
  </si>
  <si>
    <t>CONTRATO SUMINISTRO ENERGIA ELECTRICA SERVICIO DE LIMPIEZA AÑOS 2022 Y 2023</t>
  </si>
  <si>
    <t>2023 11 1631 22100</t>
  </si>
  <si>
    <t>SUMINISTRO ENERGIA ELECTRICA S. LIMPIEZA VIARIA AÑOS 2022 Y 2023</t>
  </si>
  <si>
    <t>2023 05 4331 22100</t>
  </si>
  <si>
    <t>2021-13 Contrato de suministro de energia eléctica Instalaciones Municipales Calle Vega Sicilia,2 (Agencia Innovación) .</t>
  </si>
  <si>
    <t>2023 08 1341 22100</t>
  </si>
  <si>
    <t>ENERGÍA ELÉCTRICA 2022-2023 _ CENTRO DE MOVILIDAD URBANA</t>
  </si>
  <si>
    <t>2023 11 3111 22100</t>
  </si>
  <si>
    <t>SUMINISTRO ENERGIA ELECTRICA 2022 Y 2023 . SERVICIO SALUD PUBLICA. EXPTE. PR-SE 13/2021</t>
  </si>
  <si>
    <t>2023 07 1721 22100</t>
  </si>
  <si>
    <t>CONTRATO DE SUMINISTRO DE ENERGÍA ELÉCTRICA.  SERVICIO DE MEDIO AMBIENTE</t>
  </si>
  <si>
    <t>2023 07 1711 22100</t>
  </si>
  <si>
    <t>CONTRATO SUMINISTRO ENERGIA ELECTRICA, SERVICIO DE PARQUES Y JARDINES.</t>
  </si>
  <si>
    <t>2023 07 1701 22100</t>
  </si>
  <si>
    <t>CONTRATO SUMINISTRO ENERGIA ELECTRICA CASA DEL BARCO Y ANEXO, Y GRUPO PRESION XXV AÑOS DE PAZ.</t>
  </si>
  <si>
    <t>2023 05 4312 22100</t>
  </si>
  <si>
    <t>NUEVO CONTRATO DE SUMINISTRO DE ENERGIA ELECTRICA PARA LAS DEPENDENCIAS DEL EXCMO. AYUNTAMIENTO DE VALLADOLID</t>
  </si>
  <si>
    <t>2023 08 1532 22100</t>
  </si>
  <si>
    <t>ENERGÍA ELÉCTRICA PARQUE VÍAS PÚBLICAS.-</t>
  </si>
  <si>
    <t>2023 04 9204 22100</t>
  </si>
  <si>
    <t>SUMINISTRO ENERGÍA ELÉCTRICA, EDIFICIO ENRIQUE IV,  1/01/2022 A 31/12/2023</t>
  </si>
  <si>
    <t>2023 06 3232 22100</t>
  </si>
  <si>
    <t>PR-SE 13/2021. NUEVO CONTRATO SUMINISTRO DE ENERGÍA ELÉCTRICA AYUNTAMIENTO DE VALLADOLID. COLEGIOS PÚBLICOS.</t>
  </si>
  <si>
    <t>2023 11 1321 22100</t>
  </si>
  <si>
    <t>NUEVO CONTRATO DE ENERGÍA ELÉCTRICA PARA POLICIA MUNICIPAL  EJERCICIOS 2022 Y 2023</t>
  </si>
  <si>
    <t>2023 03 9241 22100</t>
  </si>
  <si>
    <t>ENERGÍA ELÉCTRICA SERVICIO DE PARTICIPACIÓN CIUDADANA</t>
  </si>
  <si>
    <t>2023 03 9241 213</t>
  </si>
  <si>
    <t>LOTE 3: MANTENIMIENTO ASCENSORES EDIFICIOS DEPENDIENTES SERVICIO PARTICIPACIÓN CIUDADANA</t>
  </si>
  <si>
    <t>VIGO</t>
  </si>
  <si>
    <t>2023 06 3261 213</t>
  </si>
  <si>
    <t>SE 58-20 P.S. 4 PRORROGA CTTO MANTENIMIENTO ASCENSORES LOTE 1 ESCUELA MUNICIPAL DE MUSICA. AÑOS 2023 Y 2024</t>
  </si>
  <si>
    <t>2023 06 2314 213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</si>
  <si>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</si>
  <si>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</si>
  <si>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MANTENIMIENTO DE DOS ASCENSORES DEPENDENCIAS POLICÍA MUNICIPAL EN AVDA DE BURGOS. EJERCICIO 2023.</t>
  </si>
  <si>
    <t>MANTENIMIENTO DE ELEVADORES DE LOS CENTROS DE INTERV.SOCIAL (Comedor Social-proy.F.A.) - AÑO 2023</t>
  </si>
  <si>
    <t>MANTENIMIENTO DE 2 ELEVADORES EN EL CENTRO INTEGRADO- SERV.INTERVENCION SOCIAL- AÑO 2023</t>
  </si>
  <si>
    <t>Mantenimiento de los elevadores dependientes del Servicio de Iniciativas Sociales CPMS Transferidos durante el año 2023</t>
  </si>
  <si>
    <t>Mantenimiento de los elevadores dependientes del Servicio de Iniciativas Sociales durante el  año 2023.</t>
  </si>
  <si>
    <t>BUREAU VERITAS INSPECCION Y TESTING, S.L.UNIPERSONAL</t>
  </si>
  <si>
    <t>CONTRATO BASADO EN ACUERDO MARCO CONTROL DE CALIDAD ELEVADORES URBANOS LADERA ESTE PARQUESOL (LOTE 2). EXP: 50/2021</t>
  </si>
  <si>
    <t>SANT CUGAT DEL VALLES</t>
  </si>
  <si>
    <t>Mantenimiento de elevador del Centro de Formación Jacinto Benavente. Desde 1 de enero a 31 de diciembre de 2023.</t>
  </si>
  <si>
    <t>ASE-PSIKE, S.L.</t>
  </si>
  <si>
    <t>LOTE 2 - CONTRATACION SERVICIOS PARA EL DESARROLLO DEL PLAN DE INSERCION LABORAL  AÑOS 2023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</si>
  <si>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</si>
  <si>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</si>
  <si>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LOTE 3 - CONTRATACION SERVICIOS PARA EL DESARROLLO DEL PLAN DE INSERCION LABORAL  AÑOS 2023</t>
  </si>
  <si>
    <t>2023 04 9311 22799</t>
  </si>
  <si>
    <t>ASTIBOT INGENIERIA INFORMATICA ROBOTICA Y DOMOTICA SL</t>
  </si>
  <si>
    <t>1ª PRORROGA CONTRATO LAS CUENTAS CLARAS 18-02-2023 A 31-12-2023</t>
  </si>
  <si>
    <t>ULTIMO PAGO CONTRATO ""LAS CUENTAS CLARAS""   17-02-2021 A 17-02-2023</t>
  </si>
  <si>
    <t>ADJ.C.CALIDAD LOTE 2.EXPTE.6/22 OBRAS FASE I REURBANIZACIÓN C. DANIEL DEL OLMO Y PRIMER TRAMO NORTE DE CASTILLA</t>
  </si>
  <si>
    <t>REDACCIÓN Y SEGUIMIENTO DE PLAN DE CONTROL DE CALIDAD, POR TÉCNICO COMPETENTE EN FUNCIÓN DEL TIPO DE OBRA.</t>
  </si>
  <si>
    <t>LICENCIAS VINCULADAS CON LA SOLUCIÓN DE ANTIVIRUS, LOTE 3 GRUPO A (23/2022)</t>
  </si>
  <si>
    <t>SUMINISTRO, INSTALACIÓN, CONFIGURACIÓN Y PUESTA EN MARCHA DE UN SISTEMA DE COPIAS DE SEGURIDAD, LOTE 1 (58/2021)</t>
  </si>
  <si>
    <t>LICENCIAS VINCULADAS CON LA SOLUCIÓN ANTIVIRUS  LOTE 3 GRUPO B (23/2022)</t>
  </si>
  <si>
    <t>2023 09 3341 22200</t>
  </si>
  <si>
    <t>CONTRATO DEL SERVICIO DE MANTENIMIENTO DEL SISTEMA DE CONEXIÓN A INTERNET MEDIANTE WIFI EN GALERÍAS VA 1/4/22 AL 1/4/23</t>
  </si>
  <si>
    <t>2023 09 3341 22602</t>
  </si>
  <si>
    <t>ANA MOYANO CANO</t>
  </si>
  <si>
    <t>DISEÑO Y ARTES FINALES PARA LA PUBLICIDAD DE LAS ACTIVIDADES REALIZADAS EN GALERIAS VA</t>
  </si>
  <si>
    <t>MTO. DEL SISTEMA DE INFORMACIÓN DEL PADRÓN MUNICIPAL DE HABITANTES DEL AYTO DE VALLADOLID, SEGUNDA PRÓRROGA (36/2022)</t>
  </si>
  <si>
    <t>2023 01 9312 22706</t>
  </si>
  <si>
    <t>PRIMERA PRORROGA CONTRATO DE MANTENIMIENTO Y ASISTENCIA TECNICA DE LA APLICACIÓN DE CONTABILIDAD ANALITICA (2023)</t>
  </si>
  <si>
    <t>BAND SWEET, S.L.</t>
  </si>
  <si>
    <t>ACTUACIONES MUSICALES DURANTE 2023 EN LOS CPM- INICIATIVAS SOCIALES</t>
  </si>
  <si>
    <t>2023 06 2315 22611</t>
  </si>
  <si>
    <t>BERTA MONCLUS  ARRABAL</t>
  </si>
  <si>
    <t>TALLER DE IMPROVISACIÓN TEATRAL EN EL CENTRO MUNICIPAL DE IGUALDAD(CMI), ENERO 2023.</t>
  </si>
  <si>
    <t>ENSAYOS DE CONTROL DE CALIDAD DE OBRAS MUNICIPALES DEL LOTE 2, DEFINIDOS EN EL PLAN DE CALIDAD DE LA OBRA DE SUDS</t>
  </si>
  <si>
    <t>ADJ.C.CALIDAD LOTE 2 (ASIS.TECNI)REURBAN.PLA.LA COMUNICACIÓN (ANT.AP25 ARIZA)CALLE ADOLFO SUAREZ.</t>
  </si>
  <si>
    <t>2023 0250 9332 632</t>
  </si>
  <si>
    <t>CONTROL DE CALIDAD-EXCAVACIÓN ARQUEOLÓGICA EN EL PATIO CENTRAL DEL  MONASTERIO SAN BENITO</t>
  </si>
  <si>
    <t>SE-EIJI 11/2022 PS 1. PRORROGA CONTRATO MANTENIMIENTO BIBLIOTECAS PUBLICAS. LOTE 1. AÑO 2023.</t>
  </si>
  <si>
    <t>SE-EIJI 11/2022 PS 1. PRORROGA CONTRATO MANTENIMIENTO ESCUELA MUNICIPAL DE MUSICA. LOTE 1. AÑO 2023.</t>
  </si>
  <si>
    <t>CALORVENT S.L.</t>
  </si>
  <si>
    <t>ADJUDICACION CONTRATO REPARACIONES INSTALACIONES TÉRMICAS EXP SPSC 35/2021 DEL Sº LIMPIEZA, DEL 1-1-2023 AL 30-11-2023</t>
  </si>
  <si>
    <t>ADJUDICACIÓN EXP V35/2021 CONTRATO MANTENIMIENTO INSTALACIONES TÉRMICAS Sº LIMPIEZA, DEL 1-1 AL 30-11-2023</t>
  </si>
  <si>
    <t>CONTRATO MANTENIMIENTO INSTALACIONES TERMICAS; LOTE 2; PRESTACIONES BÁSICAS; AÑO 2023///SEISYPC.</t>
  </si>
  <si>
    <t>CONTRATO MANTENIMIENTO INSTALACIONES TERMICAS; LOTE 2; PRESTACIONES COMPLEMENTARIAS/AÑO 2023///SEISYPC</t>
  </si>
  <si>
    <t>ADJUDICACIÓN CONTRATO EXP SPSC 35/2021 MANTENIMIENTOINSTALACIONES TÉRMICAS Sº LIMPIEZA, DIC 2023, ENERO Y FEBRERO 2024</t>
  </si>
  <si>
    <t>MANTENIMIENTO INSTALACIONES TERMICAS;LOTE 2:PRESTACIONES COMPLEMENTARIAS/POR REAJUSTE ANUALIDADES/2023//SEISPC</t>
  </si>
  <si>
    <t>ADJUDICACIÓN CONTRATO REPARACIONES INSTALACIONES TERMICAS EXP SPSC 35/2021 Sº LIMPIEZA, DIC 2023, ENERO-FEBRERO 2024</t>
  </si>
  <si>
    <t>MANTENIMIENTO DE LOS SISTEMAS DE FONTANERÍA, SANEAMIENTO Y PANEL SOLAR, LOTE 2</t>
  </si>
  <si>
    <t>2023 11 3111 22113</t>
  </si>
  <si>
    <t>CANYCAT PETS, SL.L</t>
  </si>
  <si>
    <t>PRORROGA CONTRATO SIUMINISTRO DE MEDICAMENTOS Y PIENSOS PARA EL C.M.P.A. 12--9-2022 A 11-9-2023 - LOTE 1</t>
  </si>
  <si>
    <t>2023 01 9203 22000</t>
  </si>
  <si>
    <t>CARLIBUR S.L.</t>
  </si>
  <si>
    <t>CONTRATO SUMINISTRO MATERIAL DE OFICINA ALMACEN DE ACOPIOS LOTE 1  DE 01/02/2023-31/12/2023, R.I.</t>
  </si>
  <si>
    <t>CONTRATO SUMINISTRO MATERIAL DE OFICINA ALMACEN DE ACOPIOS LOTE 4  DE 01/02/2023-31/12/2023, R.I.</t>
  </si>
  <si>
    <t>CONTRATO SUMINISTRO MATERIAL DE OFICINA ALMACEN DE ACOPIOS LOTE 6  DE 01/02/2023-31/12/2023, R.I.</t>
  </si>
  <si>
    <t>2023 03 9241 22104</t>
  </si>
  <si>
    <t>PRÓRROGA CONTRATO SUMINISTRO DE VESTUARIO LOTE 1 (DE 1 ENERO A 14 JUNIO 2023)</t>
  </si>
  <si>
    <t>2023 01 9203 22104</t>
  </si>
  <si>
    <t>PRIMERA PRORROGA CONTRATO SUMINISTRO VESTUARIO PERSONAL ADSCRITO REGIMEN INTERIOR (16 DIC-2022- 15 JUNIO 2023)</t>
  </si>
  <si>
    <t>2023 06 3232 22104</t>
  </si>
  <si>
    <t>PRORROGA EXPTE. PR-SE 13/2022. SUMINISTRO VESTUARIO SERVICIOS MUNICIPALES. SERVICIO DE EDUCACION.2023. LOTE 1. TEXTIL</t>
  </si>
  <si>
    <t>CARRALAMATA, S.L.</t>
  </si>
  <si>
    <t>TALLERES DE CLAVES PARA UNA COMUNICACION NO SEXISTA EN EL CENTRO MUNICIPAL DE LA IGUALDAD</t>
  </si>
  <si>
    <t>CONTRATO SUMINISTRO MATERIAL DE OFICINA ALMACEN DE ACOPIOS LOTE 2  DE 01/02/2023-31/12/2023, R.I.</t>
  </si>
  <si>
    <t>CONTRATO SUMINISTRO MATERIAL DE OFICINA ALMACEN DE ACOPIOS LOTE 3  DE 01/02/2023-31/12/2023, R.I.</t>
  </si>
  <si>
    <t>CASTILLA ASESORIA DE TURISMO SL</t>
  </si>
  <si>
    <t>VISITAS PROG CONOCE TU CIUDAD I """"VALLADOLID EN VALOR"""" ALUMNADO 3º-6º PRIM CENTROS EDUCATIVOS VALLADOLID 1-1 AL 15-6-23</t>
  </si>
  <si>
    <t>ASIST. TÉCNICA OPERACIÓN, CAU, Y MTO.  DEL SOFTWARE DE BASE Y COMUNICACIONES LOTE 1, DEL 8/2/22 AL 7/2/23</t>
  </si>
  <si>
    <t>ASIST. TÉCNICA OPERACIÓN, CAU, Y MTO. DEL SOFTWARE DE BASE Y COMUNICACIONES LOTE 1, DEL 8/2/22 AL 7/2/23</t>
  </si>
  <si>
    <t>2023 1050 2312 641</t>
  </si>
  <si>
    <t>L1.ADJUDICACION SIST.ACCESIBLE GEST.ENVEJEC.ACTIVO EN CPMS-AÑO 2023-FONDOS RECUP,TRANSF.Y RESILICIENCIA-C22:I2.P5-COTESA</t>
  </si>
  <si>
    <t>contrato proy.socioeduc.y des.comunit.ceas-programa construyendo mi futuro-ene a agosto 2023</t>
  </si>
  <si>
    <t>2023 10 2316 22616</t>
  </si>
  <si>
    <t>TALLERES DE SENSIB. CONV. INTERCULTURAL EN CENTROS EDUCATIVOS Y EN GRUPOS DE INF Y ADULTOS EN CEAS. -  ENERO-JUNIO 2023</t>
  </si>
  <si>
    <t>ADJUDICA ALQUILER Y MANTENIMIENTO EQUIPO PRODUCCIÓN DIGITAL BIZHUB PRO C-6500 IMPRENTA: ENERO y FEBRERO 2023</t>
  </si>
  <si>
    <t>PRÓRROGA CONTRATO GESTIÓN DE LAS PANTALLAS DE GRAN FORMATO UBICADAS EN LA CIUDAD DE VALLADOLID 74/2017</t>
  </si>
  <si>
    <t>CONTRATO DE PLANIFICACIÓN, CAPTACION Y GESTION DE PATROCINIOS 2021/40, REAJUSTE DEL GASTO: 22661,98+4563,02= 27225</t>
  </si>
  <si>
    <t>PRORROGA CONTRATO IMPRESION, PLEGADO Y ENSOBRADO DE ENVIOS POSTALES AÑOS 2022-2023 (SE39/2019)</t>
  </si>
  <si>
    <t>SE-EIJI 27/2021. MANTENIMIENTO INSTALACIONES DE PROTECCIÓN CONTRA INCENDIOS. EDIFICIOS MUNICIPALES. LOTE 1. COLEGIOS</t>
  </si>
  <si>
    <t>2023 06 3231 213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</si>
  <si>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</si>
  <si>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</si>
  <si>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</si>
  <si>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</si>
  <si>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2023 05 4331 213</t>
  </si>
  <si>
    <t>CONTRATO SERVICIO DE MANTENIMIENTO DE LAS INSTALACIONES DE PROTECCIÓN CONTRA INCENDIOS - AGENCIA INNOVACIÓN.</t>
  </si>
  <si>
    <t>ADECUACIONES EN LAS INSTALACIONES DE PROTECCION CONTRA INCENDIOS CASA CONSISTORIAL, SAN BENITO Y EL ARCHIVO MUNICIPAL.</t>
  </si>
  <si>
    <t>ADO</t>
  </si>
  <si>
    <t>AGENCIA INNOVACIÓN /MANTENIMIENTO PREVENTIVO DE MATERIAL CONTRA INCENDIOS CORRESPONDIENTE AL MES DE DICIEMBRE-2022</t>
  </si>
  <si>
    <t>240</t>
  </si>
  <si>
    <t>2023 06 2315 22799</t>
  </si>
  <si>
    <t>DATAINFO CONSULTORES Y ASESORES SL</t>
  </si>
  <si>
    <t>CONTRATO DE SERVICIOS GESTIÓN Y DESARROLLO DE TALL. EDUCAT. EN MATERIA DE IGUAL. Y CONTRA LA VIOLENC. / AÑO 2022 Y 2023</t>
  </si>
  <si>
    <t>DAVID TUTOR DE LA IGLESIA</t>
  </si>
  <si>
    <t>PROGRAMA DE HUERTOS ESCOLARES ESCUELAS INFANTILES MUNICIPALES CURSO 2022-2023 (ENERO A AGOSTO 2023)</t>
  </si>
  <si>
    <t>ARENILLAS DE SAN PELAYO</t>
  </si>
  <si>
    <t>PRORROGA CONTRATO PRESTACION SERVICIO MANTENIMIENTO COMUNICACION 2.0 AREA CULTURA Y TURISMO. 29-08- 2022 AL 28-08-2023</t>
  </si>
  <si>
    <t>ADJUDICACION SERVICIO MANTNEIMIENTO PLATAFORMA WEB Y GABINETE DE PRENSA, FERIA DEL LIBRO VALLADOLID 2023. LOTE 3</t>
  </si>
  <si>
    <t>2023 03 9241 22602</t>
  </si>
  <si>
    <t>PUBLICIDAD EXPOSICIONES Y MUESTRAS DE TEATRO Y CULTURA TRADICIONAL EN C. CÍVICOS (DISEÑO Y MAQUETACIÓN CARTELES)</t>
  </si>
  <si>
    <t>2023 05 4314 22799</t>
  </si>
  <si>
    <t>MANTENIMIENTO-PROMOCION BASE  DATOS DE LOS ESTABLECIMIENTO DE COMERCIO SOSTENIBLE, EL 30% AL INICIO Y EL 70% FINALIZAC.</t>
  </si>
  <si>
    <t>2023 11 1361 22103</t>
  </si>
  <si>
    <t>Expte.: PR_SE 37_2022 Contrato de suministro de gasóleo automoción; SEISYPC.</t>
  </si>
  <si>
    <t>REAJUSTE CONTRATO SERVICIOS DINAMIZACION Y GESTION DE GALERIAS VALLADOLID 2023</t>
  </si>
  <si>
    <t>ESTUDIO DE SEGURIDAD Y SALUD REHABILITACIÓN ENERGÉTICA REFORMA Y ACTUALIZACIÓN DE LA CASA CONSISTORIAL EXP11/2022""</t>
  </si>
  <si>
    <t>ADJUDICAR SEGURIDAD Y SALUD LOTE II DEL ARU 29 DE OCTUBRE FASE II (EXPTE. 5/19)</t>
  </si>
  <si>
    <t>Coordinación de seguridad y salud por actuación subsidiaria en inmueble en calle Zapico 1.  OE 8_2021_</t>
  </si>
  <si>
    <t>SERVICIO COORDINACIÓN S.SALUD OBRA FASE II EXC.ARQUEOLOGICA PATIO CENTRAL MONASTERIO SAN BENITO EL REAL</t>
  </si>
  <si>
    <t>ADJ. CONTRATO S.SALUD EXPTE.LOTE 3 DE LA FASE II DE LA ACTUACION EN ARU 29 OCTUBRE EN C/VILLABAÑEZ</t>
  </si>
  <si>
    <t>2023 02 9332 632</t>
  </si>
  <si>
    <t>ADJ.SEGURIDAD Y SALUD EXPTE. 50/2021 ""CONTRATO OBRAS CONSOLIDACIÓN  CELDAS DEL CONVENTO DE STA. CATALINA"".</t>
  </si>
  <si>
    <t>COORDINACIÓN DE SEGURIDAD Y SALUD OBRA REHABILITACION ANTIGUO FRONTON DE LAS FLORES PARA CENTRO DOTACIONAL</t>
  </si>
  <si>
    <t>ADJ.SEGURIDAD Y  SALUD.EXPTE.46/21 REURB.PZA. DE LA COMUNICACIÓN (ANTIGUA AP25-1 ARIZA) EN CALLE ADOLFO SUAREZ.</t>
  </si>
  <si>
    <t>SEGURIDAD Y SALUD CONTRATO GISCCT (2022-2023-1 enero a 31 agosto'2024)</t>
  </si>
  <si>
    <t>2023 0550 4312 632</t>
  </si>
  <si>
    <t>Control de Seguridad y Salud - Obra de acondicionamiento de Mercado Rondilla de Santa Teresa</t>
  </si>
  <si>
    <t>INGENIA SOLUCIONES GRUPO ELECTRICAS HERMANOS CAMPOS, S.L.</t>
  </si>
  <si>
    <t>REAJUSTE ANUALIDADES INSTALACIONES GESTION Y MANTENIMIENTO SISTEMA AUTOMATICO PRESTAMOS DE BICICLETAS 2022-2023.</t>
  </si>
  <si>
    <t>2023 08 1532 622</t>
  </si>
  <si>
    <t>Seguridad y Salud en Traslado del Parque de Vías Públicas, sito en C/ Títulos 51. Fase 2. Lote 1. Expte. SEMEU 30/2021.-</t>
  </si>
  <si>
    <t>2023 11 1321 632</t>
  </si>
  <si>
    <t>ACTIVIDADES DE COORDINACIÓN DE SEGURIDAD Y SALUD OBRAS AMPLIACIÓN VESTUARIOS DISTRITO 4.</t>
  </si>
  <si>
    <t>2023 11 1361 22199</t>
  </si>
  <si>
    <t>DISTRIBUIDORA DE GASES OLMAR, S.L.</t>
  </si>
  <si>
    <t>3 botellas de gas propano para formación de extinción de incendios; SEISYPC</t>
  </si>
  <si>
    <t>MUGA DE SAYAGO</t>
  </si>
  <si>
    <t>ZAMORA</t>
  </si>
  <si>
    <t>2023 11 1621 214</t>
  </si>
  <si>
    <t>DIAGNOSIS Y REPARACIÓN DISPOSITIVOS GEOLOCALIZACIÓN Y PESAJE EN VEHÍC. 8500LRN, 1375LMR Y 8612LRG. SERVICIO DE LIMPIEZA.</t>
  </si>
  <si>
    <t>SAN ESTEBAN DE LITERA</t>
  </si>
  <si>
    <t>HUESCA</t>
  </si>
  <si>
    <t>CONTRATO SISTEMA GESTION DEQUEJAS Y SUGERENCIAS - AÑOS 2023, 2024 Y 2025</t>
  </si>
  <si>
    <t>2023 11 1361 633</t>
  </si>
  <si>
    <t>SEGUNDA PRÓRROGA EXPTE: 23/2018;LOTE 1;MANTENIMIENTO PREVENTIVO DE EQUIPOS DE RESPIRACIÓN AUTÓNOMA Y ACCESORIOS; SEISYPC</t>
  </si>
  <si>
    <t>EXPTE:23/2018;SEGUNDA PRÓRROGA; LOTE 1; MANTENIMIENTO CORRECTIVO DE EQUIPOS DE RESPIRACIÓN AUTÓNOMA Y ACCESORIOS;SEISYPC</t>
  </si>
  <si>
    <t>MANTENIMIENTO CORRECTIVO DE EQUIPOS DE RESPIRACIÓN AUTÓNOMA Y ACCESORIOS.</t>
  </si>
  <si>
    <t>2023 06 3321 22001</t>
  </si>
  <si>
    <t>DROSOPHILA EDICIONES S.L</t>
  </si>
  <si>
    <t>CTTO SUMINISTRO SUSCRIPCIÓN REVISTA ""TURISMO RURAL"" PARA BIBLIOTECAS PÚBLICAS//AÑO 2023</t>
  </si>
  <si>
    <t>TORRELAGUNA</t>
  </si>
  <si>
    <t>2023 11 1321 22699</t>
  </si>
  <si>
    <t>RECOGIDA Y DESTRUCCIÓN DE DOCUMENTACIÓN AFECTADA POR LA LEY DE PROTECCIÓN DE DATOS. EJ. 2023</t>
  </si>
  <si>
    <t>2023 06 3232 212</t>
  </si>
  <si>
    <t>CP JOSÉ ZORRILLA // GESTIÓN RESIDUOS (RESIDUOS MEZCLADOS DE CONSTRUCCIÓN)  LLEVADA (CONTENEDOR 5M3). noviembre 2022</t>
  </si>
  <si>
    <t>CTTO SERVICIOS RECOGIDA DE RESIDUOS PROCEDENTES DE OBRAS REALIZADAS EN VARIOS COLEGIOS PÚBLICOS//1 MES</t>
  </si>
  <si>
    <t>2023 10 2412 223</t>
  </si>
  <si>
    <t>GESTION RESIDUOS DEL CENTRO DE FORMACION PRA EL EMPLEO, JACINTO BENAVENTE DURANTE 2023</t>
  </si>
  <si>
    <t>DTS OABE, S.L.</t>
  </si>
  <si>
    <t>COMPRA DE PRODCTOS BIOCIDAS PARA EL CONTROL DE PLAGAS EN LA CIUDAD DE VALLADOLID AÑO 2023</t>
  </si>
  <si>
    <t>OROZKO</t>
  </si>
  <si>
    <t>EZOS S.L.</t>
  </si>
  <si>
    <t>Lote 1:taller La diversidad como fortaleza de sensibilización del plan de accesibilidad del 1 enero al 31 de agosto2023</t>
  </si>
  <si>
    <t>2023 01 9207 22602</t>
  </si>
  <si>
    <t>DUCAL EDICIONES SLU</t>
  </si>
  <si>
    <t>ADJUDICA CONTRATO PROMOCIONAR VALLADOLID EN REVISTA LO MEJOR DE LAS AUTONOMÍAS (FITUR 2023)</t>
  </si>
  <si>
    <t>2023 05 4331 22699</t>
  </si>
  <si>
    <t>DUOMO REGALOS, S.L.</t>
  </si>
  <si>
    <t>CONTRATO ADQUISICIÓN Y SERIGRAFIADO DE MOCHILAS PARA LA ACTIVIDAD DENOMINADA PASEOS DE LA INNOVACIÓN. PLAN SMARTVA Y PE4</t>
  </si>
  <si>
    <t>LOTE 1 ACUERDO MARCO CONTROL DE CALIDAD ALUMBRADO. EXP: 8/2021 SEMEU</t>
  </si>
  <si>
    <t>CONTRATO BASADO EN ACUERDO MARCO CONTROL DE CALIDAD ELEVADORES URBANOS LADERA ESTE PARQUESOL (LOTE 1). EXP: 50/2021</t>
  </si>
  <si>
    <t>ENSAYOS DE CONTROL DE CALIDAD DE OBRAS MUNICIPALES DEL LOTE 1, DEFINIDOS EN EL PLAN DE CALIDAD DE LA OBRA SUDS</t>
  </si>
  <si>
    <t>ADJUD.EXPT. ASIST.TÉCN.A LA DIREC.OBRA CONSTRUC.PASO INFERIOR CONEX. ENTRE C/PANADEROS Y LABRADORES CON AVDA.SEGOVIA.</t>
  </si>
  <si>
    <t>ADJ.C.CALIDAD LOTE 1 (ENSAYO MAT)REURB.PLA.LA COMUNICACIÓN (ANT.AP25 .ARIZA)CALLE ADOLFO SUAREZ</t>
  </si>
  <si>
    <t>2023 07 1701 22799</t>
  </si>
  <si>
    <t>DYNAMYCA SOSTENIBLE SL</t>
  </si>
  <si>
    <t>1ª PRÓRROGA LOTE 2 CONTRATO PROGRAMAS EDUCACIÓN AMBIENTAL (RED DE HUERTOS ESCOLARES) PLAZO: 01/01/2023 AL 31/08/2023</t>
  </si>
  <si>
    <t>DYNAQUA MEDIO AMBIEBNTE, S.L.</t>
  </si>
  <si>
    <t>Redacción Proyecto Carril Bicil tramo N. en Pseo J.C.I  con Pasarela Esgueva. Duplicado por no incorporación.26-2021</t>
  </si>
  <si>
    <t>eBOGA SOLUCIONES Y SERVICIOS DE SEGURIDAD INTEGRAL</t>
  </si>
  <si>
    <t>MANTENIMIENTO DEL SISTEMA DE LECTURA DE MATRÍCULAS AÑO 2023.</t>
  </si>
  <si>
    <t>LAS ROZAS DE MADRID</t>
  </si>
  <si>
    <t>CONTRATO SUMINISTRO DE VESTUARIO Y COMPLEMENTOS PARA EL PERSONAL DEL SERVICIO DE LIMPIEZA. AÑO 2023 (LOTES 5 Y 6)</t>
  </si>
  <si>
    <t>CONTRATO SUMINISTRO DE VESTUARIO Y COMPLEMENTOS PARA EL PERSONAL DE LIMPIEZA VIARIA. AÑO 2023 (LOTES 5 Y 6)</t>
  </si>
  <si>
    <t>CTTO SUMINISTRO SUSCRIPCIÓN REVISTA ""EL ECOLOGISTA"" PARA BIBLIOTECAS MUNICIPALES//AÑO 2023</t>
  </si>
  <si>
    <t>AD/</t>
  </si>
  <si>
    <t>EXPTE SE-EIJI 10/2022 PS 11. PROR CTTO GESTION EIM LA COMETA. L 5. AÑO 2023 Y 01/01 A 31/08/2024. REAJUSTE A PROYECTO</t>
  </si>
  <si>
    <t>EDICIONES CONDE NAST, S.L</t>
  </si>
  <si>
    <t>CTTO SUMINISTRO REVISTAS ""VANITY"" Y ""TRAVELER"" PARA BIBLIOTECAS PÚBLICAS//AÑO 2023</t>
  </si>
  <si>
    <t>2023 05 4331 22602</t>
  </si>
  <si>
    <t>EDICIONES LA MESETA, S.L.</t>
  </si>
  <si>
    <t>PUBLICACION 2 PAGINAS PUBLICIDAD EN LA REVISTA CASTILLA Y LEON ECONOMICA. AÑO 2023</t>
  </si>
  <si>
    <t>2023 10 2312 22606</t>
  </si>
  <si>
    <t>EDICIONES UNIVERSIDAD SALAMANCA</t>
  </si>
  <si>
    <t>20 EJEMPLARES DEL LIBRO""REGIMEN MUNICIPAL IBEROAMERICANO "" 'PARA EL PROGRAMA PASANTIAS- INICIATIVAS SOCIALES 2023</t>
  </si>
  <si>
    <t>CTTO SUMINISTRO SUSCRIPCIÓN ANUAL A VARIAS REVISTAS EDITORIAL CULTURAL ACTIVA S.L//AÑO 2023</t>
  </si>
  <si>
    <t>MAJADAHONDA</t>
  </si>
  <si>
    <t>CTTO SUMINISTRO SUSCRIPCIÓN ANUAL REVISTA INFANTIL CLIJ (CUADERNOS DE LITERATURA INFANTIL Y JUVENIL) //AÑO 2023</t>
  </si>
  <si>
    <t>MATARÓ</t>
  </si>
  <si>
    <t>ENERGINOBA BATERÍAS Y MANTENIMIENTOS, S.L.</t>
  </si>
  <si>
    <t>MTO. Y REPARACIÓN DE LOS SISTEMAS ELÉCTRICOS Y DE ALIMENTACIÓN ININTERRUMPIDA, LOTE 2 , (73/2021)</t>
  </si>
  <si>
    <t>EDUARDO SÁNCHEZ BLANCO</t>
  </si>
  <si>
    <t>INSTALACIÓN OCHO PERSIANAS; SERVICIO DE EXTINCIÓN DE INCENDIOS, SALVAMENTO Y PROTECCIÓN CIVIL.</t>
  </si>
  <si>
    <t>LA CISTÉRNIGA</t>
  </si>
  <si>
    <t>2023 07 1623 22700</t>
  </si>
  <si>
    <t>EIC ESTUDIO DE INGENIERIA CIVIL S.L.</t>
  </si>
  <si>
    <t>REVISIÓN Y ACTUALIZACIÓN PROYECTO BÁSICO DE LA AMPLIACIÓN DEL VERTEDERO DE VALLADOLID. PLAZO: 1 MES</t>
  </si>
  <si>
    <t>LEON</t>
  </si>
  <si>
    <t>EPTISA SERVICIOS DE INGENIERIA SL</t>
  </si>
  <si>
    <t>A.MARCO(A.J.G.19.05.2020) C.CALIDAD LOTE 1 (ENSAYOS) OBRA PASOS INFERIORES LABRADORES Y PANADEROS CON AVDA.SEGOVIA</t>
  </si>
  <si>
    <t>2023 09 3341 213</t>
  </si>
  <si>
    <t>CONTRATO SERVICIO MANTENIMIENTO Y CONSERVACION PREVENTIVO-CORRECTIVO. LOTE 2 EDIFICIO CUPULA DEL MILENIO 2023-24</t>
  </si>
  <si>
    <t>CONTRATO SERVICIO MANTENIMIENTO Y CONSERVACION PREVENTIVO-CORRECTIVO. LOTE 1  EDIFICIO GALERIAS VA  2023-24</t>
  </si>
  <si>
    <t>2023 09 4321 213</t>
  </si>
  <si>
    <t>CONTRATO SERVICIO MANTENIMIENTO Y CONSERVACION PREVENTIVO-CORRECTIVO. LOTE 3 EDIFICIO HIPICA 2023-24</t>
  </si>
  <si>
    <t>REPARACION Y SUSTITUCION ELEMENTOS EQUIPAMIENTO ELECTRICIDAD PARA CENTRO DE TRANSFORMACION DE LA ANTIGUA HIPICA MILITAR</t>
  </si>
  <si>
    <t>CAMBIO LUMINARIAS CAMERINOS CUPULA A LED</t>
  </si>
  <si>
    <t>DIVERSAS REPARACIONES EN LA CUPULA DEL MILENIO</t>
  </si>
  <si>
    <t>SERVICIO MANTENIMIENTO INTEGRAL DEL CENTRO MARCELINA PONCELA DURANTE 8 MESES</t>
  </si>
  <si>
    <t>2023 10 2412 22104</t>
  </si>
  <si>
    <t>EL ACCESORIO HERRANZ Y VELASCO S.L.</t>
  </si>
  <si>
    <t>VEATUARIO PARA EL CURSO DE PINTURA DECORATIVA V DEL 1 DE MARZO AL 30 DE NOVIEMBRE- C. DE FORMACION PARA EL EMPLEO</t>
  </si>
  <si>
    <t>2023 08 1532 623</t>
  </si>
  <si>
    <t>Suministro de 6 martillos perforadores - percutores eléctricos, marca BOSCH profesional modelo GBH, 12-52 DVcombinado.</t>
  </si>
  <si>
    <t>2023 11 1321 22104</t>
  </si>
  <si>
    <t>SUMINISTRO ROPA POLICIAL DE ALTA VISIBILIDAD Y LLUVIA. EXPTE SPSC-SE 026/2022. LOTE 3. EJERC. 2023</t>
  </si>
  <si>
    <t>2023 11 1361 623</t>
  </si>
  <si>
    <t>Diez equipos de protección individual para incendios industriales y urbanos estructurales; SEISYPC.</t>
  </si>
  <si>
    <t>1ª PRÓRROGA CONTRATO DE VESTUARIO PARA POLICÍA MUNICIPAL EXP. SPSC 021/2021. LOTE Nº 1.</t>
  </si>
  <si>
    <t>1ª PRÓRROGA CONTRATO DE VESTUARIO PARA POLICÍA MUNICIPAL. EXPTE. SPSC 02/2021. LOTE Nº 3.</t>
  </si>
  <si>
    <t>2023 03 9241 22699</t>
  </si>
  <si>
    <t>SUM. DE OBSEQUIOS CONCURSO DISFRACES CARNAVAL 2023 PARA CC JOSÉ LUIS MOSQUERA</t>
  </si>
  <si>
    <t>2023 02 9332 623</t>
  </si>
  <si>
    <t>Suministro de UN DISPOSITIVO MOVIL con conexión LTE más funda para trabajos de campo</t>
  </si>
  <si>
    <t>2023 01 9207 22001</t>
  </si>
  <si>
    <t>ADJUDICA SUMINISTRO DIARIO (RENOVACIÓN) SUSCRIPCIONES 2023 PERIÓDICO DIARIO DE VALLADOLID - EL MUNDO, Prensa y Gabinete</t>
  </si>
  <si>
    <t>2023 05 4331 22001</t>
  </si>
  <si>
    <t>SUMINISTRO DE PERIODICOS DEL DIARIO EL MUNDO, PARA LA AGENCIA DE INNOVACIÓN. AÑO 2023</t>
  </si>
  <si>
    <t>2023 07 1721 22799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</si>
  <si>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</si>
  <si>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</si>
  <si>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MANTENIMIENTO GRUPOS ELECTRÓGENOS CENTROS CÍVICOS</t>
  </si>
  <si>
    <t>MANTENIMIENTO PUNTUAL DE LAS INSTALACIONES FV</t>
  </si>
  <si>
    <t>2023 07 1721 22112</t>
  </si>
  <si>
    <t>SUMINISTRO Y COLOCACION DE MATERIAL DE REPARACION DE LAS INSTALACIONES FOTOVOLTAICAS</t>
  </si>
  <si>
    <t>TOMA DE TIERRA CABINA DE ARCO LADRILLO DE LA RED CONTROL ATMOSFERICO</t>
  </si>
  <si>
    <t>OBRAS REFORMQ INSTALACIÓN ELÉCTRICA ARCHIVO MUNICIPAL</t>
  </si>
  <si>
    <t>MEDINA DEL CAMPO</t>
  </si>
  <si>
    <t>Mantenimiento instalación solar fotovoltaica del SEPI y revisión y limpieza paneles fotovoltaicos.-</t>
  </si>
  <si>
    <t>2023 11 1321 212</t>
  </si>
  <si>
    <t>ACONDICIONAMIENTO DEL SISTEMA ELÉCTRICO EN GARAJE DEL DISTRITO 3º.</t>
  </si>
  <si>
    <t>2023 07 1721 213</t>
  </si>
  <si>
    <t>MANTENIMIENTO DE LA VITRINA DEL LABORATORIO DE LA RED DE CONTAMINACION</t>
  </si>
  <si>
    <t>LAGUNA DE DUERO</t>
  </si>
  <si>
    <t>FILTROS DE CAMPANA PARA LA VITRINA DEL LABORATORIO DE LA RED DE CONTAMINACION</t>
  </si>
  <si>
    <t>ELENA TORIBIO  RODRIGUEZ</t>
  </si>
  <si>
    <t>TALLER AUTOCUIDADO, AUTOESTIMA Y EMPODERAMIENTO EN EL CENTRO MUNICIPAL DE LA IGUALDAD</t>
  </si>
  <si>
    <t>EMERGALIA S.L.U.</t>
  </si>
  <si>
    <t>2 mochilas primeros aux, 6 paquetes protec boca RCP y 20 mascarillas para reanimación ambú; SEISYPC</t>
  </si>
  <si>
    <t>2023 06 3321 622</t>
  </si>
  <si>
    <t>COORD.SEG. Y SALUD DE OBRA PROY.MODIFICADO BIBLIOTECA PARQUESOL DEBIDO A CIMENTACIÓN DEL TERRENO-2022</t>
  </si>
  <si>
    <t>TALLER DE ACTIVIDAD A EJECTUTAR EN EL CENTRO MUNICIPAL DE LA IGUALDAD</t>
  </si>
  <si>
    <t>TALLER DE CANTO EN EL CENTRO MUNICIPAL DE LA IGUALDAD / 5 TALLERES 2023</t>
  </si>
  <si>
    <t>2023 04 9204 22799</t>
  </si>
  <si>
    <t>EMPROSOFT S.A.</t>
  </si>
  <si>
    <t>OFICINA TÉCNICA DE PROYECTOS, LOTE 3</t>
  </si>
  <si>
    <t>REAJUSTE LOTE 1 - CONTRATACION SERVICIOS PARA EL DESARROLLO DEL PLAN DE INSERCIÓN LABORAL / 26 SEPT 2022 A 25 SEPT 2024</t>
  </si>
  <si>
    <t>REPARACIÓN URGENTE SAI  EN EL CPD DE RESPALDO</t>
  </si>
  <si>
    <t>ENSUMA EMPLEO SOCIAL, S.L.</t>
  </si>
  <si>
    <t>SERVICIO DE CATERING EVENTO ORGANIZADO EN LA AGENCIA DE INNOVACIÓN  PRESENTACIÓN DE LA ORDENANZA VAL.CIUDAD DEMOSTRADORA</t>
  </si>
  <si>
    <t>CORESES</t>
  </si>
  <si>
    <t>CATERING PARA LAS JORNADAS DE HABILIDADES SOCIALES (...) Y  DE DERECHOS HUMANOS (...). DEL 24-MARZO Y DEL 21-ABRIL</t>
  </si>
  <si>
    <t>ENTIDAD DEPORTIVA MUJER DEFIENDETE</t>
  </si>
  <si>
    <t>TALLER DE DEFENSA PERSONAL EN EL CENTRO MUNICIPAL DE LA IGUALDAD</t>
  </si>
  <si>
    <t>ZARATÁN</t>
  </si>
  <si>
    <t>CLASES DEFENSA PERSONAL ""MUJER DEFIÉNDETE"" EN EL CENTRO MUNICIPAL DE LA IGUALDAD / ABRIL, MAYO Y JUNIO</t>
  </si>
  <si>
    <t>2023 09 3301 22799</t>
  </si>
  <si>
    <t>REAJUSTE CTO. SERVICIO INGENIERIA ASISTENCIA TECNICA CULTURA Y TURISMO SEGURIDAD CIUDADANA ESPECTAC. PUBLICOS 2023</t>
  </si>
  <si>
    <t>2023 06 2315 22614</t>
  </si>
  <si>
    <t>SERVICIO DE GUARDERIA EN EL CENTRO MUNICIPAL DE LA IGUALDAD</t>
  </si>
  <si>
    <t>VS 18/18 PRÓRROGA CONTRATO SERVICIO CALIBRACIONES PARA EL SERVICIO DE MEDIO AMBIENTE, LOTE 1</t>
  </si>
  <si>
    <t>ADJ.C.CALID.(LOTE 1)EXPTE.6/22 OBRAS FASE I REURBANIZACIÓN C. DANIEL DEL OLMO Y PRIMER TRAMO NORTE DE CASTILLA</t>
  </si>
  <si>
    <t>EQUILIBRIO GOGAR, S.L.</t>
  </si>
  <si>
    <t>GASTOS COMIDA PERSONAL AUDITORÍA DE CALIDAD DE LA POLICÍA MUNICIPAL.</t>
  </si>
  <si>
    <t>2023 04 9202 22607</t>
  </si>
  <si>
    <t>ER.ASSESSMENT CENTER SL</t>
  </si>
  <si>
    <t>SERVICIO DE VALORACION EN PRUEBAS DE APTITUD PSIQUICA POLICIA LOCAL</t>
  </si>
  <si>
    <t>VALORACION DE LA PRUEBA DE APTITUD PSIQUICA ASPIRANTE A PLAZA SUPERINTENDENTE P. LOCAL REALIZADA EL 17 DE FEBRERO 2023</t>
  </si>
  <si>
    <t>ESCOFET 1886, S.A.</t>
  </si>
  <si>
    <t>Suministro puntual banco-jardinera, cuatro bancos y tres sillas a juego sin patas a colocar sobre ""el olivo de Pilarica""</t>
  </si>
  <si>
    <t>MARTORELL</t>
  </si>
  <si>
    <t>2023 0550 4312 22799</t>
  </si>
  <si>
    <t>ESCUELA SUPERIOR DE DISEÑO DE VALLADOLID, S.L.</t>
  </si>
  <si>
    <t>CONTRATO MENOR SERVICIOS CURSO FORMACIÓN ESCAPARATISMO ECONOMÍA CIRCULAR PARA COMERCIOS Y MERCADOS VA.</t>
  </si>
  <si>
    <t>EXPTE SE-EIJI 10/2022 PS 11. PROR CTTO GESTION EIM CASCANUECES. L 2. AÑO 2023. 01/01 A 31/08/2024.REAJUSTE A PROYECTO</t>
  </si>
  <si>
    <t>2023 10 2412 22001</t>
  </si>
  <si>
    <t>LIBROS PARA EL CURSO DE PARQUES Y JARDINES IV, SOBRE CONTENIDO DE DISEÑO DE JARDINES- C. DE F. PARA EL EMPLEO 2023</t>
  </si>
  <si>
    <t>POZUELO DE ALARCON</t>
  </si>
  <si>
    <t>ESRI ESPAÑA SOLUCIONES GEOESPACIALES, S.L.</t>
  </si>
  <si>
    <t>SUMINISTRO DE LICENCIAS Y SOPORTE TÉCNICO DE LOS PRODUCTOS ArcGIS, DE MARZO DE 2022 AL MARZO 2023</t>
  </si>
  <si>
    <t>Dirección facultativa de las obras de instalación de elevadores urbanos en la ladera este del barrio de Parquesol</t>
  </si>
  <si>
    <t>2023 11 3111 22799</t>
  </si>
  <si>
    <t>CONTROL POBLACIONES MOSQUITOS Y DETERMINADAS ESPECIES DE MOSCAS EN EL TERMINO MUNICIPAL VALLADOLID</t>
  </si>
  <si>
    <t>VILLANUBLA</t>
  </si>
  <si>
    <t>2023 01 9206 22799</t>
  </si>
  <si>
    <t>TRATAMIENTO CONJUNTO DE DESINSECTACIÓN Y DESRATIZACIÓN EN ARCHIVO MUNICIPAL, AÑO 2023.</t>
  </si>
  <si>
    <t>ESTUDIOS Y SISTEMAS ENERGETICOS RENOVABLES S.L.</t>
  </si>
  <si>
    <t>SUM. E INST. TERMOSTATO EN CC ZONA SUR</t>
  </si>
  <si>
    <t>2023 03 9241 633</t>
  </si>
  <si>
    <t>SUMINISTRO E INSTALACIÓN DE NUEVO SISTEMA DE CONTROL DE CLIMATIZACIÓN DEL CC ZONA SUR</t>
  </si>
  <si>
    <t>SE-EIJI 11/2022 PS 1. PRORROGA CONTRATO MANTENIMIENTO ESCUELAS INFANTILES MUNICIPALES. LOTE 2. AÑO 2023</t>
  </si>
  <si>
    <t>PRORROGA CONTRATO 010 (ATENCION PRESENCIAL Y TELEFONICA AGENCIA DE INNOVACIÓN). ENERO-MARZO 2023</t>
  </si>
  <si>
    <t>MANTENIMIENTO  Y MEJORA DE LA INSTALACION Y JARDINERIA CUBIERTA VEGETAL EL CAMPILLO. PROYECTO URBAN GREEN UP. EN-SEPT 23</t>
  </si>
  <si>
    <t>SE-EIJI 11/2022 PS 1. PRORROGA CONTRATO MANTENIMIENTO ESPACIOS JOVENES. LOTE 2. AÑO 2023.</t>
  </si>
  <si>
    <t>LOTE 4: MANTENIMIENTO EXTINTORES Y SISTEMAS CONTRA INCENDIOS EDIFICIOS DEPENDIENTES SERV. PARTICIPACIÓN CIUDADANA</t>
  </si>
  <si>
    <t>SE-EIJI 11/2022 PS 1. PRORROGA CONTRATO MANTENIMIENTO CENTRO MUNICIPAL DE LA IGUALDAD. LOTE 2. AÑO 2023.</t>
  </si>
  <si>
    <t>PRORROGA CONTRATO ATENCION TELEFONICA 010 Y CENTRALITA - INFORMACION 2023</t>
  </si>
  <si>
    <t>SE-EIJI 11/2022 PS 1. PRORROGA CONTRATO MANTENIMIENTO CENTRO DE APRENDIZAJE A LO LARGO DE LA VIDA. LOTE 2. AÑO 2023</t>
  </si>
  <si>
    <t>SE EIJI 11/22 PS1. PRORROGA CTTO MANTENIMIENTO EIM LOTE2. AÑO 2023. ENLAZADO A PROYECTO: 4.134,74 ¿</t>
  </si>
  <si>
    <t>SE-EIJI 11/2022 PS 1. PRORROGA CONTRATO MANTENIMIENTO ESCUELAS INFANTILES MUNICIPALES. L 2. AÑO 2023 REAJUSTE A PROYECTO</t>
  </si>
  <si>
    <t>EXPTE SE-EIJI 10/2022 PS 11. PROR CTTO GESTION EIM CABALLITO BLANCO. L 10. AÑO 2023 Y 01/01 A 31/08/2024.REAJUSTE A PROY</t>
  </si>
  <si>
    <t>EXPTE SE-EIJI 10/2022 PS 11. PROR CTTO GESTION EIM EL GLOBO. L 9. AÑO 2023 Y 01/01 A 31/08/2024. REAJUSTE A PROYECTO</t>
  </si>
  <si>
    <t>ADJUDICA ACCESO SERVICIO CONJUNTO DE NOTICIAS AGENCIA EUROPA PRESS AÑO 2023</t>
  </si>
  <si>
    <t>EUROVAL CONTROL,S.A.</t>
  </si>
  <si>
    <t>CALIBRACION CAUDALIMETROS DE LA RED RCCVA</t>
  </si>
  <si>
    <t>ACTUACION OLVIDADAS EN EL MUSEO DE LA CIENCIA DÍA MUNDIAL DE LA NIÑA Y LA MUJER EN LA CIENCIA</t>
  </si>
  <si>
    <t>SIMANCAS</t>
  </si>
  <si>
    <t>2023 03 9241 22609</t>
  </si>
  <si>
    <t>LIBERA TEATRO, TRES ACTUACIONES: EN PRESENTACIÓN MFS, EN CC CANAL DE CASTILLA 30/04/2023 (MFS) Y EN C. PENIT. (4/03/23)</t>
  </si>
  <si>
    <t>GRUPO ELECTRO STOCKS, S.L.</t>
  </si>
  <si>
    <t>Adjudicación  Suministro de material fungible para instalaciones de Alumbrado Público. LOTE 1 SEMEU 28/2021.-</t>
  </si>
  <si>
    <t>EVENTO ORGANIZACION SERVICIOS PLENOS, S.L</t>
  </si>
  <si>
    <t>ADJUDICACION SERVICIOS AUXILIARES FERIA DEL LIBRO DE VALLADOLID 2023. LOTE 5</t>
  </si>
  <si>
    <t>EVENTOS CONGRESOS Y COMUNICACION S.L.</t>
  </si>
  <si>
    <t>PRORROGA CONTRATO DE SERVICIO ATENCION Y COORDINACION SERVICIOS AUXILIARES CUPULA DEL MILENIO. 12-04-2022 AL 11-04-2023</t>
  </si>
  <si>
    <t>ARROYO DE LA ENCOMIENDA</t>
  </si>
  <si>
    <t>COLABORACION DIA DE LA RADIOA 2023</t>
  </si>
  <si>
    <t>CTTO COORDINACION ANIMACION DINAMIZACION Y SEGUIMIENTO ESPACIO JOVEN ZONA SUR LOTE 2. DEL 15/1/21 AL 14/1/23</t>
  </si>
  <si>
    <t>2023 06 2314 22613</t>
  </si>
  <si>
    <t>GESTION ACTIVIDAD HORA DEL PLANETA</t>
  </si>
  <si>
    <t>2023 10 2316 22799</t>
  </si>
  <si>
    <t>FACTORÍA, GESTIÓN Y CONSULTORÍA, S.L.</t>
  </si>
  <si>
    <t>PRÓRROGA CONTRATO SERV.MEDIACION Y CONVIVENCIA INTERCULTURAL DE 1 A 31 DE ENERO 2023</t>
  </si>
  <si>
    <t>2023 10 2312 22617</t>
  </si>
  <si>
    <t>SERVICIO DE INTERPRETE DE LENGUA DE SIGNOS PARA EL FORO DE LA CULTURA DEL 22 AL 26 DE FEBRERO- INICITIVAS SOCIALES</t>
  </si>
  <si>
    <t>Valladolid</t>
  </si>
  <si>
    <t>FERNANDO BLANCO VAQUERO</t>
  </si>
  <si>
    <t>FOTOGRAFIA Y VIDEO ACTIVIDADES HORA DEL PLANETA 25 DE MARZO</t>
  </si>
  <si>
    <t>DOCUMENTACIÓN TÉCNICA DE LAS INSTALACIONES PARA REHABILITACIÓN DEL INMUEBLE -AZUCARERA STA.VICTORIA-</t>
  </si>
  <si>
    <t>VESTUARIO PARA EL CURSO DE VALLADOLID CUIDA VI- CENTRO DE FORMACION PARA EL  EMPLEO</t>
  </si>
  <si>
    <t>2023 10 2412 22199</t>
  </si>
  <si>
    <t>EPIS PARA LOS PARTICIPANTES DEL CURSO VALLADOLID CUIDA VI DEL C. DE F. PARA ELEMPLEO- INICITIVAS SOCIALES DURANTE 2023</t>
  </si>
  <si>
    <t>2023 04 9321 22799</t>
  </si>
  <si>
    <t>MATERIAL PARA LA CONTRUCCIÓN-MONTAJE DE ESTANTERÍA PARA EL SERVICIO DE GESTIÓN DE INGRESOS</t>
  </si>
  <si>
    <t>2023 03 9241 212</t>
  </si>
  <si>
    <t>FERRETERIA SANTIAGO RODRIGUEZ S.L.</t>
  </si>
  <si>
    <t>SUM. CERRADURA CAJÓN CC DELICIAS</t>
  </si>
  <si>
    <t>SUM. DE MATERIALES PARA TRABAJOS DE CERRAJERÍA EN CC J.M. LUELMO</t>
  </si>
  <si>
    <t>2023 10 2311 212</t>
  </si>
  <si>
    <t>COLOCACIÓN URGENTE DE CERRADURA LINCE EN VIVIENDA SOCIAL DE C/ MORADAS 11, BAJO B</t>
  </si>
  <si>
    <t>2023 10 2312 212</t>
  </si>
  <si>
    <t>SUMINISTRO PARA REPARACION DE  UN PASADOR  ALUMINIO DEL CPM ARCA REAL. DUR A1 DIA</t>
  </si>
  <si>
    <t>D</t>
  </si>
  <si>
    <t>2023 07 1711 22199</t>
  </si>
  <si>
    <t>CILINDRO TESA 5200-3030N / CILINDRO TESA 5030-3030N / COPIA LLAVE JMA</t>
  </si>
  <si>
    <t>300</t>
  </si>
  <si>
    <t>ADJUDICA RENOVACIÓN SUSCRIPCIÓN ANUAL AL FICHERO DE CARGOS AÑO 2023 - GOBIERNO Y RELACIONES</t>
  </si>
  <si>
    <t>2023 02 9332 22799</t>
  </si>
  <si>
    <t>TRANSPORTE Y GESTIÓN DE RESIDUOS ENVASES CONTAMINADOS PINTURAS</t>
  </si>
  <si>
    <t>FITNESS PROJET CENTER S.L.</t>
  </si>
  <si>
    <t>Mantenimiento mes de enero de 2023 de las máquinas de los gimnasios de los parques de bomberos; SEISYPC</t>
  </si>
  <si>
    <t>FLOMEYCA, S.A.</t>
  </si>
  <si>
    <t>Perfilería y materiales diversos en aluminio, montaje armarios en remolque NRBQ;SEISYPC</t>
  </si>
  <si>
    <t>FUENLABRADA</t>
  </si>
  <si>
    <t>TRASPASO DE MEDIOS MATERIALES ASOCIADOS AL CONTRATO DE RECOGIDA SELECTIVA DE PAPEL Y CARTÓN, EXP V.25/2017</t>
  </si>
  <si>
    <t>FIRMAPROFESIONAL,S.A.</t>
  </si>
  <si>
    <t>CONTRATACION NUEVO CERTIFICADO SSL SW DOMINIO DE EXPLOTACIÓN IDEVA.ES. PERIODO DE VALIDEZ 1 AÑO. AÑO 2023</t>
  </si>
  <si>
    <t>MANTENIMIENTO CERTIFICADO SSL SW DOMINIO DE EXPLOTACIÓN VALLADOLID.ES. PERIODO DE VALIDEZ 1 AÑO.</t>
  </si>
  <si>
    <t>RENOVACIÓN CERTIFICADOS DATOSABIERTOS-PRE.VALLADOLID.ES;DATOSABIERTOS.VALLADOLID.ES;S2CITY-PRE.VALLADOLID.ES;S2CITY.VALL</t>
  </si>
  <si>
    <t>RENOVACIÓN DE CERTIFICADO DIGITAL SSL OV WILDCAR VALLADOLIDADELANTE.ES</t>
  </si>
  <si>
    <t>2023 09 3341 22699</t>
  </si>
  <si>
    <t>FRANK JAKOBSEN</t>
  </si>
  <si>
    <t>REGISTRO DE MARCAS Y PATENTES DEL LOGO Y NOMBRE DEL CENTRO MARCELINA PONCELA</t>
  </si>
  <si>
    <t>SAN SEBASTIAN DE LOS REYES</t>
  </si>
  <si>
    <t>CUATRO RAMOS DE FLORES Y UN CENTRO PARA OFRENDA FLORAL EN VERACRUZ Y CEMENTERIO FALLECIDOS ACTO SERVICIO;SEISYPC</t>
  </si>
  <si>
    <t>MOTOS DE IMPORTACIÓN, S.L.</t>
  </si>
  <si>
    <t>SUMINISTRO DE EQUIPAMIENTO MOTORISTA (CASCOS).. EXPTE.  SPSC-SE 026/2022 lote 1. EJERC. 2023.</t>
  </si>
  <si>
    <t>FORJA CERRAJERIA ENRIQUE GONZALEZ S.L</t>
  </si>
  <si>
    <t>REPARACIÓN-RESTAURACIÓN QUIOSKO UBICAR EN PLAZA CAÑO ARGALES</t>
  </si>
  <si>
    <t>CALVARRA</t>
  </si>
  <si>
    <t>PRORROGA lote 3-TALLER EDUCATIVO PREVENCION USO INADECUADO TIC-.-29,50 E/H- ENE A AGO 23</t>
  </si>
  <si>
    <t>PRORROGA lote 2-TALLER EDUCATIVO SOBRE COMERCIO JUSTO-PLAN COOP.-29,50 E/H- ENE A AGO 23</t>
  </si>
  <si>
    <t>2023 10 2412 22799</t>
  </si>
  <si>
    <t>FORMACION Y  TECNOLOGIA EDUCATIVA EN CASTILLA Y LEON, S.L.</t>
  </si>
  <si>
    <t>Prórroga Lote 1: Curso de servicios auxiliares de estética. 360 horas.</t>
  </si>
  <si>
    <t>LUNA MÁGICA: ESPECTÁCULO DE MAGIA EN CC ESGUEVA EL DÍA 25/03/2023. MFS</t>
  </si>
  <si>
    <t>2023 07 1721 22706</t>
  </si>
  <si>
    <t>FRANCISCO JOSÉ GOZALO ARRANZ</t>
  </si>
  <si>
    <t>ESTUDIO TECNICO PLANOS ZONA ZAS N2 SAN MIGUEL</t>
  </si>
  <si>
    <t>2023 02 9332 212</t>
  </si>
  <si>
    <t>SUMINISTRO DE PLANCHA DE POLICARBONATO COMPACTO</t>
  </si>
  <si>
    <t>INFOPRODUCTS, S.L.</t>
  </si>
  <si>
    <t>SUMINISTRO DE FUNGIBLES DE IMPRESIÓN COMPATIBLES, LOTE 2</t>
  </si>
  <si>
    <t>FRASUR CONTROL, S.L.</t>
  </si>
  <si>
    <t>CONTRATO CONTROL POBLACION PALOMA BRAVIA, TORCAZ Y ESTORNINOS HASTA FORMALIZACION NUEVO CONTRATO EN LICITACIÓN</t>
  </si>
  <si>
    <t>CORALINA (LA)</t>
  </si>
  <si>
    <t>2023 11 3111 213</t>
  </si>
  <si>
    <t>FRIGORIFICOS BENITO S.L.</t>
  </si>
  <si>
    <t>REPARACION CAMARA FRIGORIFICA DEL CENTRO MUNICIPAL DE PROTECCION ANIMAL</t>
  </si>
  <si>
    <t>2023 07 1701 213</t>
  </si>
  <si>
    <t>FRIHER, S.L.</t>
  </si>
  <si>
    <t>MANTENIMIENTO EQUIPOS CLIMATIZACIÓN EN EDIFICIO ANEXO AL DE CASA DEL BARCO. 01/01/2023 AL 31/12/2023</t>
  </si>
  <si>
    <t>MANTENIMIENTO PREVENTIVO DE LOS EQUIPOS DE CLIMATIZACIÓN DEL EDIFICIO CASA DEL BARCO Y DEL CMPA</t>
  </si>
  <si>
    <t>MANTENIMIENTO SISTEMA AIRE ACONDICIONADO LABORATORIO</t>
  </si>
  <si>
    <t>SUM. E INST. DIFERENCIALES SUPERINMUNIZADOS EN CUADRO ELÉCTRICO DE CLIMATIZACIÓN DEL CC RONDILLA</t>
  </si>
  <si>
    <t>FUGATEC I mas D S.L</t>
  </si>
  <si>
    <t>CTTO SERVICIOS DETECCIÓN DE FUGAS DE AGUA CON TECNOLOGÍA NO INVASIVA EN VARIOS COLEGIOS PÚBLICOS//2023</t>
  </si>
  <si>
    <t>AMPLIACION SERVICIOS DETECCIÓN FUGA OCULTA DE AGUA EN 3 COLEGIOS PÚBLICOS//2023</t>
  </si>
  <si>
    <t>FUNDACION ALDABA</t>
  </si>
  <si>
    <t>prev.drogas -L1-MONEO 22:12-23:9-DEDALO 22:2-23:1 (10098 EN22 Y 6333 EN23) -L2 PREV.C.ESC Y OT.ENT-6992,61EN 22-4091EN23</t>
  </si>
  <si>
    <t>2 PARTE DEL PROGRAMA DE COMPETENCIA FAMILIAR AFECT DIRIGIDO A FAMILIAS CON HIJOS DE 12 A 16 AÑOS DEL 01/01/AL 30/06/2023</t>
  </si>
  <si>
    <t>FUNDACION ASPAYM CASTILLA Y LEON</t>
  </si>
  <si>
    <t>Seminario de evacuación a personas con discapacidad para formar a personal técnico de entidades del secto-23 de marzo</t>
  </si>
  <si>
    <t>FUNDACION ENTRETANTOS</t>
  </si>
  <si>
    <t>1ª PRÓRROGA LOTE 3. CONTRATO PROGRAMAS EDUCACIÓN AMBIENTAL (ACCIONES EDUCATIVAS). PLAZO: 01/01/2023 AL 31/08/2023</t>
  </si>
  <si>
    <t>CONTRATO DE MANTENIMIENTO SERVICIO DE ANALISIS Y CONTROL DEL OBSERVATORIO CULTURAL Y TURISTICO DEL AYTO VA 2023/24</t>
  </si>
  <si>
    <t>CONTRATACIÓN APOYO Y SOPORTE PARA LA JUSTIFICACIÓN Y CIERRE DE PROYECTOS EUROPEOS FINANCIADOS CON FONDOS EUROPEOS.</t>
  </si>
  <si>
    <t>FUNDACION JUAN SOÑADOR</t>
  </si>
  <si>
    <t>SERVICIO DE DESAYUNO PARA LOS PARTICIPANTES  DE LA JORNADA  ENCUENTROS CON CENTROAMERICA DENTRO DEL PROGRAMA DE PASANTIA</t>
  </si>
  <si>
    <t>FUNDACION MUNICIPAL DE CULTURA</t>
  </si>
  <si>
    <t>CESION SALA DE LA CASA REVILLA DE LA FMC PARA PROYECCION DOCUMENTAL DIA INTERNACIONAL DE LA MUJER</t>
  </si>
  <si>
    <t>UTILIZACION INSTALACIONES DEPORTIVAS MPLES. DIA 24 ENERO 2023, PARA PRUEBAS FÍSICAS PARA PROMOCIÓN POLICIAS MUNICIPALES.</t>
  </si>
  <si>
    <t>USO PISTA ATLETISMO CIUDAD DE VALLADOLID Y GIMNASIO Y PISCINA DE HUERTA DEL REY PARA PRUEBAS FISICAS PROVISION BOMBEROS</t>
  </si>
  <si>
    <t>UTILIZACION DEL POLIDEPORTIVO DEL CENTRO J. L. MOSQ. PARA UN TALLER DEL CVA HUERTA DEL REY DE1 D ENERO A 31 DE  MAYO2023</t>
  </si>
  <si>
    <t>CTTO DE SERVICIOS POR LA LIMPIEZA EXCEPCIONAL DE LA 1ª PLANTA DEL CEE Nº 1 CURSO ESCOLAR 22/23. DEL 1/1/ 23 AL 23/6/23</t>
  </si>
  <si>
    <t>FUNDACION SIGLO PARA EL TURISMO Y LAS ARTES DE CASTILLA Y LEON</t>
  </si>
  <si>
    <t>GASTOS POR LA GESTION DE VENTA DE ENTRADAS DEL CONCIERTOPARA MAYORES REALIZADO EL 30 DE DICIEMBRE DE 2022</t>
  </si>
  <si>
    <t>ESPACIO PARA CELEBRACION DE UN CONCIERTO DIRIGUIDO A LAS PERSONAS MAYORES DE LOS CENTROS DE VIDA ACTIVA, 22 DE ABRIL 23</t>
  </si>
  <si>
    <t>FUNDACION SPLORA</t>
  </si>
  <si>
    <t>RUTA VAMOS A DAR LA VUELTA AL PLANETA DIA 25 DE MARZO</t>
  </si>
  <si>
    <t>PAYASO CUCHUFLAY EN CC PARQUESOL EL DÍA 29/04/2023. MFS</t>
  </si>
  <si>
    <t>GAMESYSTEM ESPAÑA, S.A.</t>
  </si>
  <si>
    <t>INSPECCIÓN LÍNEA DE VIDA DEL CC BAILARÍN VICENTE ESCUDERO</t>
  </si>
  <si>
    <t>ALCORCÓN</t>
  </si>
  <si>
    <t>2023 05 4312 22102</t>
  </si>
  <si>
    <t>PR-SE 16/2022 (PS 6 EXT. SE 10/2019) GAS NATURAL OMIC 1-1-2023 AL 31-9-2023</t>
  </si>
  <si>
    <t>TRABAJOS DE INSPECCIÓN PERIÓDICA DE IRI DE LA EMPRESA DISTRIBUIDORA DE GAS NATURAL EN LOS COLEGIOS PÚBLICOS. 2023</t>
  </si>
  <si>
    <t>GASES Y SOLDADURA DE CASTILLA, S.L.</t>
  </si>
  <si>
    <t>Recarga de una botella de oxígeno para oxicorte; SEISYPC</t>
  </si>
  <si>
    <t>SUMINISTO DE BOMBONAS DE GAS ARCAL PARA LOS EQUIPOS DE SOLDADURA UTILIZADOS EN COLEGIOS PÚBLICOS- AÑO 2023</t>
  </si>
  <si>
    <t>Recarga de una botella de oxígeno modelo OXIFLAM O2 MINITOP para reponer en el equipo de oxicorte del parque;SEISYPC</t>
  </si>
  <si>
    <t>2023 08 1532 210</t>
  </si>
  <si>
    <t>Suministro recarga de botella ARCAL 21 para el Centro de Mantenimiento de Edificaciones.</t>
  </si>
  <si>
    <t>PRESTACIONES BÁSICAS MANTENIM. Y CONSERV. INST. TÉRMICAS EDIFICIOS DE POLICIA DEL  1-1-2023 AL 31-12-2023. LOTE 1.</t>
  </si>
  <si>
    <t>PREST.  ACCESORIAS (REPAR. Y MATERIAL) MANTENIM. Y CONSERV. INSTAL.  TÉRMICAS POLICÍA DEL 1-1-2023 AL 31-12-2023. LOTE 1</t>
  </si>
  <si>
    <t>PREST. ACCESORIAS (REP. Y MATERIAL) MANT. Y CONSERV. INSTAL. TÉRMICAS POLICÍA DEL 1-1-2023 AL 31-12-2023. LOTE 1.</t>
  </si>
  <si>
    <t>Mantenimiento calefacción, climatización y  ACS centros del Serv. Intervención Social. Del 1 enero a 31 diciembre 2023</t>
  </si>
  <si>
    <t>Mnto. Calefacción, climatización y ACS en  los CPM sin transferir del Servicio de Iniciativas Sociales. AÑO 2023</t>
  </si>
  <si>
    <t>Mnto. Calefacción, climatización y ACS en los CPM transferidos  del Servicio de Iniciativas Sociales. AÑO 2023</t>
  </si>
  <si>
    <t>RECARGA  DE BOMBONAS PARA SOLDAR EN EL TALLER DE CERRAJERÍA DEL CMEI</t>
  </si>
  <si>
    <t>SUMINISTRO REPUESTOS REPARACIÓN RECOLECTORES DE GEESINK PARA VEHÍCULOS DEL SERVICIO DE LIMPIEZA.</t>
  </si>
  <si>
    <t>TORREJÓN DE ARDOZ</t>
  </si>
  <si>
    <t>GEMA POVEDA MONTES</t>
  </si>
  <si>
    <t>TALLER DE EDUCACION EMOCIONAL INFANTIL EN EL CENTRO MUNICIPAL DE LA IGUALDAD</t>
  </si>
  <si>
    <t>TALLER CENTRO MUNICIPAL DE LA IGUALDAD ""LAS NIÑAS TAMBIÉN SON DE CIENCIAS"" / MARZO 2023</t>
  </si>
  <si>
    <t>TALLER CENTRO MUNICIPAL DE LA IGUALDAD 7 CLAVES PARA GARANTIZAR UNA AUTOESTIMA SANA A TUS  HIJ@S / ABRIL 2023</t>
  </si>
  <si>
    <t>2023 09 3341 22700</t>
  </si>
  <si>
    <t>LIMPIEZA DEL CENTRO MARCELINA PONCELA. LIMPIEZA PREVIA A SU INAUGURACION Y PRIMER MES DE FUNCIONAMIENTO</t>
  </si>
  <si>
    <t>ALQUILER 1 FUENTE DE AGUA 05/12/2022 y el 04/01/2023</t>
  </si>
  <si>
    <t>JOMAR SEGURIDAD, SL</t>
  </si>
  <si>
    <t>Contrato extintores Servicio de Medio Ambiente</t>
  </si>
  <si>
    <t>CABANILLAS DEL CAMPO</t>
  </si>
  <si>
    <t>GUADALAJARA</t>
  </si>
  <si>
    <t>SERVICIO CELADURÍA JACINTO BENAVENTE // DICIEMBRE 22</t>
  </si>
  <si>
    <t>CONTRATO EXTINTORES SERVICIO PARQUES Y JARDINES -CASETAS-</t>
  </si>
  <si>
    <t>2023 03 9241 22199</t>
  </si>
  <si>
    <t>PORTÁTIL HP 14S-DQ4001NS PARA C.C. EL CAMPILLO</t>
  </si>
  <si>
    <t>ASOCIACIÓN CULTURAL TAHONA TRADICIONAL</t>
  </si>
  <si>
    <t>ACTUACION MUSICAL TAHONA EN CC CANAL DE CASTILLA NAVIDAD 2022</t>
  </si>
  <si>
    <t>SPACIO VALLADOLID, S.A.</t>
  </si>
  <si>
    <t>ALFOMBRAS ANTIHUMEDAD PARA CENTROS DE PARTICIPACIÓN CIUDADANA</t>
  </si>
  <si>
    <t>CORRECTIVOS A REALIZAR DEL MANTO. DEL SISTEMA DE PROTECCION DE INCENDIOS EN LOS CVA DURANTE EL AÑO 2023</t>
  </si>
  <si>
    <t>ACTIU BERBEGAL Y FORMAS S.A.</t>
  </si>
  <si>
    <t>PREST SERV MONTAJE CENTROS DE PARTICIPACIÓN CIUDADANA</t>
  </si>
  <si>
    <t>CASTALLA</t>
  </si>
  <si>
    <t>ALICANTE</t>
  </si>
  <si>
    <t>BARCIMASTER, S.L.</t>
  </si>
  <si>
    <t>SUMINISTRO DE SUDADERAS Y CAMISETAS CAMPAÑA PARTICIPACIÓN CIUDADANA</t>
  </si>
  <si>
    <t>CERDANYOLA DEL VALLÉS</t>
  </si>
  <si>
    <t>2023 06 3232 22706</t>
  </si>
  <si>
    <t>AYUNTAMIENTO DE VALLADOLID  CEIP PEDRO GOMEZ BOSQUE.CONTROL DE CALIDAD. LOTE 2. ASISTENCIA TÉCNICA</t>
  </si>
  <si>
    <t>ACUCHILLADO Y 3 MANOS DE BARNIZ</t>
  </si>
  <si>
    <t>2023 09 4321 22199</t>
  </si>
  <si>
    <t>SUMINISTRO EXTINTOR PARA LA ANTIGUA HIPICA MILITAR</t>
  </si>
  <si>
    <t>EL PAYASO"" ESPECTACULO DE CIRCO MUDO A TODO COLOR // CM PINAR DE ANTEQUERA</t>
  </si>
  <si>
    <t>ARANDA DE DUERO</t>
  </si>
  <si>
    <t>MARIA ESTHER PEREZ  ARRIBAS</t>
  </si>
  <si>
    <t>FUNCIÓN DEL 30 DE DICIEMBRE DE 2012 DEL MONTAJE SONETOS ENTRE TODOS EN EL CIC NATIVIDAD AC</t>
  </si>
  <si>
    <t>PILAR BORREGO MALMIERCA</t>
  </si>
  <si>
    <t>ESPECTÁCULO ""COSAS QUE CONTAR""  PROGRAMACIÓN DE NAVIDAD CC EL CAMPILLO</t>
  </si>
  <si>
    <t>SANTA MARTA DE TORMES</t>
  </si>
  <si>
    <t>ACTUACION MAGIA FERRIS EL MAGO // CM LAS FLORES //DIA  29/12/2022</t>
  </si>
  <si>
    <t>PRESUPUESTOS PARTICIPATIVOS: SERVICIO ASESORAMIENTO Y ASIST. TÉCNICA PARA DESARROLLO DEL PROGRAMA (01/01/2023 -31/04/24)</t>
  </si>
  <si>
    <t>VISITAS GUIADAS A LA EXPOSICION AUVA 2030 EN LOS CENTROS CIVICOS</t>
  </si>
  <si>
    <t>MANTENIMIENTO ROBOT Y FUNGIBLES DEL ROBOT DEL LABORATORIO DE LA RED DE CONTAMINACION</t>
  </si>
  <si>
    <t>2023 10 2412 212</t>
  </si>
  <si>
    <t>ACOVALL ACOMETIDAS Y SANEAMIENTOS DE VALLADOLID S.L.</t>
  </si>
  <si>
    <t>DESATASCO DE DOS BAJANTES DEL CENTRO DE FORMACION PARA EL EMPLEO- JACINTO BENAVENTE- DUR 1 DIA</t>
  </si>
  <si>
    <t>CONTRATO DE SERVICIOS POR LOS DESATRANQUES EN LA RED DE SANEAMIENTO Y OTROS EN COLEGIOS PUBLICOS. AÑO 2023</t>
  </si>
  <si>
    <t>LAVADO EXTERIOR DE VEHÍCULOS DE POLICÍA MUNICIPAL. (2023)</t>
  </si>
  <si>
    <t>ARAPILES</t>
  </si>
  <si>
    <t>2023 01 9207 22699</t>
  </si>
  <si>
    <t>ALEJANDRO  GARCIA  SANTANA</t>
  </si>
  <si>
    <t>ADJUDICA DISEÑO LOGOTIPO XXXII CONGRESO OICI. CIUDADES SOSTENIBLES. CIUDADES PARA LAS PERSONAS</t>
  </si>
  <si>
    <t>MANTENIMIENTO DEL PROGRAMA INFORMÁTICO DE GESTIÓN DE CALIDAD DE POLICÍA MUNICIPAL. (2023)</t>
  </si>
  <si>
    <t>2023 01 9205 22199</t>
  </si>
  <si>
    <t>ADJUDICA SUMINISTRO A IMPRENTA EN AÑO 2023 PAPELES ESTUCADOS DE DIFERENTES GRAMAJES Y TIPOS</t>
  </si>
  <si>
    <t>VELILLA DE SAN ANTONI</t>
  </si>
  <si>
    <t>2023 07 1721 22602</t>
  </si>
  <si>
    <t>AUDIOVISUAL ESPAÑOLA 2.000, S.A.</t>
  </si>
  <si>
    <t>COMUNICACIÓN ZONA DE BAJAS EMISIONES LA RAZON</t>
  </si>
  <si>
    <t>Mantenimiento del ascensor en el edificio anexo al de Casa del Barco. 01/01/2023 a 31/12/2023</t>
  </si>
  <si>
    <t>2023 10 2312 22618</t>
  </si>
  <si>
    <t>ALFREDO JASO VILLA</t>
  </si>
  <si>
    <t>DISEÑO DE NUEVO IMAGOTIPODE LOS CPM QUE PASARAN A DENOMINARSE CENTROS DE VIDA ACTIVA</t>
  </si>
  <si>
    <t>REPARACIÓN DEFECTOS DETECTADOS EN INSPECCIÓN ASCENSOR CM LAS FLORES</t>
  </si>
  <si>
    <t>REPARACIÓN DEFECTOS DETECTADOS EN INSPECCIÓN ASCENSOR 1 DEL CC ZONA SUR</t>
  </si>
  <si>
    <t>REPARACIÓN DEFECTOS DETECTADOS EN INSPECCIÓN ASCENSOR 2 CC ZONA SUR</t>
  </si>
  <si>
    <t>REPARACIÓN DEFECTOS DETECTADOS EN INSPECCIÓN ASCENSOR DEL CC PILARICA</t>
  </si>
  <si>
    <t>REPARACIÓN DEFECTOS DETECTADOS EN INSPECCIÓN ASCENSORES DE LOS CC DELICIAS (247,83¿) Y ZONA ESTE (31,18¿)</t>
  </si>
  <si>
    <t>SERVICIO ATT. 010, CENTRALITA Y ATT. PRESENCIAL, AGENCIA DE INNOVACIÓN (236,50 HORAS) // MES DICIEMBRE 2022</t>
  </si>
  <si>
    <t>2023 11 1631 214</t>
  </si>
  <si>
    <t>SERVICIOS DE GRUA PARA TRASLADO DE VEHICULOS AVERIADOS DEL SERVICIO DE LIMPIEZA VIARIA</t>
  </si>
  <si>
    <t>2023 09 3301 22699</t>
  </si>
  <si>
    <t>ÁVORIS RETAIL DIVISION, S.L.</t>
  </si>
  <si>
    <t>VIAJE A JAIPUR DEL DIRECTOR DE LA CASA DE LA INDIA AL FESTIVAL DE LITERATURA Y GESTION TRAER FESTIVAL A FERIA LIBRO 2023</t>
  </si>
  <si>
    <t>2023 06 3261 22699</t>
  </si>
  <si>
    <t>BEATRICE FULCONIS MAROTO</t>
  </si>
  <si>
    <t>ESPECTACULO LOBA EN EL LAVA PARA LOS ALUMNOS DEL CENTRO DE APRENDIZAJE A LO LARGO DE LA VIDA EL 25 Y 26 DE ENERO</t>
  </si>
  <si>
    <t>GERIA</t>
  </si>
  <si>
    <t>SUM. DE BOLSAS PARA PARAGUAS CC CANAL DE CASTILLA</t>
  </si>
  <si>
    <t>MANTENIMIENTO, REVISION Y CORRECCIÓN EN PUERTAS MANUALES Y AUTOMÁTICAS DEPENDENCIAS DE POLICÍA EJERCICIO 2023.</t>
  </si>
  <si>
    <t>2023 11 1321 214</t>
  </si>
  <si>
    <t>BICICLETAS CARRIL BICI 2012, SOCIEDAD LIMITADA</t>
  </si>
  <si>
    <t>REPARACIONES BICICLETAS PARQUE INFANTIL DE TRÁFICO  (2023).</t>
  </si>
  <si>
    <t>MANTENIMIENTO DE BICICLETAS DE LA UNIDAD CICLISTA DE LA POLICÍA MUNICIPAL. EJERCICIO 2023</t>
  </si>
  <si>
    <t>MANTENIMIENTO PARA 2023 DE LAS PUERTAS AUTOMATICAS DE LOS CPM TRANSFERIDOS, CPM SAN JUAN, RONDI Y VICTORIA</t>
  </si>
  <si>
    <t>CISTERNIGA</t>
  </si>
  <si>
    <t>MANTENIMIENTO DURANTE 2023 DE LA PUERTA AUTOMATICA DEL CPM NO TRANSFERISO CPM ZONA SUR</t>
  </si>
  <si>
    <t>CABORNERO BUS,S.L.</t>
  </si>
  <si>
    <t>CTTO SERVICIOS DE TRANSPORTE EN AUTOBUSES PARA VARIOS EVENTOS(O. MATEMÁTICAS, D. DE LA RADIO, CASA DE LA INDIA)//AÑO2023</t>
  </si>
  <si>
    <t>Suministro e instalación bomba de circuito de calefacción de techo radiante, marca DAB modelo EVOPLUS por averia .-</t>
  </si>
  <si>
    <t>Mantenimiento de las instalaciones de agua caliente sanitaria y calefacción del Parque del Cabildo, C/ Títulos, 51.-</t>
  </si>
  <si>
    <t>VILLANCICOS NAVIDEÑOS EN CC ESGUEVA</t>
  </si>
  <si>
    <t>CARGRAF  ARTES GRAFICAS, S.L.</t>
  </si>
  <si>
    <t>IMPRESION Y ENCUADERNACION DE 250 EJEMPLARES DEL LIBRO ENSAYO FORO CULTURA 2022</t>
  </si>
  <si>
    <t>ADJUDICA OTROS SUMINISTROS IMPRENTA AÑO 2023: TÓNER IMPRESORAS Y MATERIAL COMPLEMENTARIO</t>
  </si>
  <si>
    <t>2023 11 1631 213</t>
  </si>
  <si>
    <t>CONTRATO DE MANTENIMIENTO Y UBICACION REPETIDOR PARA LA TRANSMISIÓN DE COMUNICACIONES INTERNAS DEL Sº DE LIMPIEZA</t>
  </si>
  <si>
    <t>2023 09 3341 223</t>
  </si>
  <si>
    <t>CASTILLA-LEON INTERNATIONAL MOVERS, SL</t>
  </si>
  <si>
    <t>TRASLADO OBRAS DE ARTE AL CENTRO MARCELINA PONCELA</t>
  </si>
  <si>
    <t>2023 02 1511 206</t>
  </si>
  <si>
    <t>CATENDA  AS</t>
  </si>
  <si>
    <t>MANTEN.ESPACIO NUBE EN CENTRO COMUN DE DATOS PARA DESARROLLO 3 PROY.BIM, GESTOR DOCUMENTOS,VISOR MODELOS,</t>
  </si>
  <si>
    <t>OSLO</t>
  </si>
  <si>
    <t>EXTERIOR</t>
  </si>
  <si>
    <t>2023 01 9206 22001</t>
  </si>
  <si>
    <t>SUSCRIPCIONES ANUALES A PUBLICACIONES DIGITALES CUNAL Y COSITAL, AÑO 2023.</t>
  </si>
  <si>
    <t>SUSCRIPCIÓN ANUAL A BASE DE DATOS ""PROYECTO CSP"", AÑO 2023.</t>
  </si>
  <si>
    <t>ADJUDICA ALQUILER Y MANTENIMIENTO EQUIPO DIGITAL BIZHUB PRO C-6500 PARA IMPRENTA 01/03/2023 a 31/12/2023</t>
  </si>
  <si>
    <t>Cuota de Renting - 0892-KCB, 0888-KCB,- 0887-KCB VEHÍCULOS POLICÍA MUNICIPAL.</t>
  </si>
  <si>
    <t>2023 02 9332 203</t>
  </si>
  <si>
    <t>SUMINISTRO DE CONTENEDORES VACIOS, DEPÓSITO DEL TIEMPO NECESARIO Y RETIRADA DE LOS MISMOS AL VERTEDERO-2023</t>
  </si>
  <si>
    <t>LA FLECHA</t>
  </si>
  <si>
    <t>MNTO INSTALAC. DE PROTEC. CONTRA INCENDIOS // C.MPAL IGUALDAD / EXPTE: SE EIJI 27/21 - LOTE 1 / DICIEMBRE- 2022</t>
  </si>
  <si>
    <t>2023 08 1532 214</t>
  </si>
  <si>
    <t>Reparación por avería de la máquina JCB 3CX del Centro de Conservación de la Vía Pública.-</t>
  </si>
  <si>
    <t>DAVID MARTINEZ ZAPATERO</t>
  </si>
  <si>
    <t>REPARACION GRIETAS EN LOSAS DE HORMIGON DEL CPM ZONA ESTE- DURACION 1 DIA</t>
  </si>
  <si>
    <t>MANDOS DE GARAJE Y COPIAS DE LLAVES DEPENDENCIAS DISTRITOS DE LA POLICÍA MUNICIPAL. (2023)</t>
  </si>
  <si>
    <t>SUMINISTRO DE PAPEL EN IMPRENTA MUNICIPAL PARA TRABAJOS ENCARGADOS POR EL SERVICIO DE PARTICIPACION CIUDADANA</t>
  </si>
  <si>
    <t>ADJUDICA OTROS SUMINISTROS A IMPRENTA RESMAS PAPEL Y CARTULINAS OFFSET E IMPRESIÓN DIGITAL 2023</t>
  </si>
  <si>
    <t>2023 04 3121 22106</t>
  </si>
  <si>
    <t>Adquisición vacunas GSK de Hepatitis B , Hepatitis A y Tétanos para vacunar y revacunar empleados. Servicio Salud Labora</t>
  </si>
  <si>
    <t>TRES CANTOS</t>
  </si>
  <si>
    <t>Sensor de flujo electromagnético para equipo de producción de espuma CTD 4894JLF; SEISYPC</t>
  </si>
  <si>
    <t>GMM 2007 INGENIERIA Y ARQUITECTURA, S.L.</t>
  </si>
  <si>
    <t>SE-EIJI 17/22 PS3. REHABILITACIÓN DE EDIFICIO PARA INSTALACIÓN JUVENIL AMBIENTAL ZONA JOVEN PINAR. DIRECCIÓN FACULTATIVA</t>
  </si>
  <si>
    <t>SE EIJI 17/22 PS3. REHABILITACION DE EDIFICIO PARA INSTALACION JUVENIL AMBIENTAL ""ZONA JOVEN PINAR"". ASISTENCIA TÉCNICA</t>
  </si>
  <si>
    <t>IMPRESIÓN MANIFIESTO 8M / MARZO 2023</t>
  </si>
  <si>
    <t>GRAFICAS CELARAYN S.A.</t>
  </si>
  <si>
    <t>DISEÑO CAMPAÑA SOBRE AGRESIONES SEXUALES EN LOS ESTABLECIMIENTOS DE OCIO DE VALLADOLID / DURANTE 2023</t>
  </si>
  <si>
    <t>SERVICIO DE LIMPIEZA DE LA AGENCIA DE INNOVACIÓN Y DESARROLLO ECONÓMICO (LOTE 5) // MES DICIEMBRE 2022</t>
  </si>
  <si>
    <t>IMPRESÓN CARTELES A3 VARIOS MODELOS CC ESGUEVA</t>
  </si>
  <si>
    <t>GRANDOURE,S.L.</t>
  </si>
  <si>
    <t>MICROBUS PARA LOS TRASLADOS DE LOS PARTICIPANTES DEL PROGRAMA PASANTIAS2023</t>
  </si>
  <si>
    <t>Ampliación del gasto del servicio de transporte en microbús para las personas participantes en PASANTIAS- INICIATIVAS S.</t>
  </si>
  <si>
    <t>GRAÑEDA, S.A.</t>
  </si>
  <si>
    <t>SUM. FOREX PVC 2 x 1 m. CON AGUJEROS PARA TALADRAR EN PARED // CC CANAL DE CASTILLA</t>
  </si>
  <si>
    <t>2023 10 2312 22199</t>
  </si>
  <si>
    <t>ESTRUCTURA METALICA PARA EL ROLL-UP DE IDENTIFICACION DEL  CVA DE PARQUESOL- INICITIVA SOCIALES</t>
  </si>
  <si>
    <t>RENTING VEHÍCULO 6816-LVB DE POLICÍA MUNICIPAL.</t>
  </si>
  <si>
    <t>SUMINISTRO DE PROTECTORES DE LLUVIA PARA CASCOS PROTESTORES PERSONAL DE RECOGIDA DE RESIDUOS, Sº LIMPIEZA</t>
  </si>
  <si>
    <t>Fabricación de placas de vado (permanente y horario) destinadas a la renovación-sustitución por deterioro-Ejercicio 2023</t>
  </si>
  <si>
    <t>GRUAS HOMANSER S.L.</t>
  </si>
  <si>
    <t>Reparación avería en final de carrera por arrancado cables en PUENTE GRUA de instalaciones de la fragua en SEPI.</t>
  </si>
  <si>
    <t>SANTOVENIA DE PISUERGA</t>
  </si>
  <si>
    <t>TALLER DE MAQUILLAJE EN CC DELICIAS Y ACTUACIÓN TEATRAL EN CM PUENTE DUERO 21/02/23. PROGRAMA CARNAVAL 2023 DEL SPC</t>
  </si>
  <si>
    <t>DIFERENCIA ACTUACIÓN CARNAVAL 2023 EN CM PUENTE DUERO</t>
  </si>
  <si>
    <t>ACTUACIÓN TEATRAL EN CC JOSÉ LUIS MOSQUERA EL DÍA 05/03/2023. MFS</t>
  </si>
  <si>
    <t>ADJUDICA SUMISTRO A IMPRENTA MATERIAL MANTENIMIENTO UTILLAJE</t>
  </si>
  <si>
    <t>EDITORIAL CASTELLANA DE IMPRESIONES S.L.</t>
  </si>
  <si>
    <t>PLAN DE COMUNICACIÓN ZONA DE BAJAS EMISIONES EN EL MUNDO</t>
  </si>
  <si>
    <t>COMUNICACIÓN ZONA DE BAJAS EMISIONES EL NORTE</t>
  </si>
  <si>
    <t>ADQUISICIÓN MATERIAL PARA TRABAJOS CMEI</t>
  </si>
  <si>
    <t>2023 04 3121 22799</t>
  </si>
  <si>
    <t>GRUPO LIMPIATIN S.L.L.</t>
  </si>
  <si>
    <t>LIMPIEZA BATAS, TOALLAS, SABANILLAS, ETC. DEPARTAMENTO DE PREVENCION Y SALUD LABORAL</t>
  </si>
  <si>
    <t>TUDELA DE DUERO</t>
  </si>
  <si>
    <t>SE 10/20 PS1 PRORROGA CTTO MANTENIMIENTO ZONAS VERDES. LOTE 2. ESCUELAS INFANTILES MUNIC. AÑO 2023 Y HASTA 22 SEPT 24</t>
  </si>
  <si>
    <t>SESS 41/2020. PRORROGA CONTRATO CENTRALIZADO CELADURIA. LOTE 5. C.M.I. 01/01/2023 A 31/07/2023.</t>
  </si>
  <si>
    <t>2023 08 1532 22700</t>
  </si>
  <si>
    <t>1ª PRORROGA contrato SERVICIO DE LIMPIEZA DEPENDENCIAS DEL PARQUE VIAS PÚBLICAS. Expte. SE - 31/2020</t>
  </si>
  <si>
    <t>SE 10/20 PS1 PRORROGA CTTO MANTENIMIENTO ZONAS VERDES. LOTE 2. CENTRO MUNIC IGUALDAD. AÑO 2023 Y HASTA 22 SEPT 24</t>
  </si>
  <si>
    <t>LOTE 5: MANTENIMIENTO ZONAS VERDES EDIFICIOS DEPENDIENTES SERVICIO PARTICIPACIÓN CIUDADANA</t>
  </si>
  <si>
    <t>PRÓRROGA DEL CONTRATO DE SERVICIO DE DISTRIBUCION, ALMACENAJE Y CUSTODIA DE PUBLICACIONES DEL AYUNTAMIENTO DE VALLADOLID</t>
  </si>
  <si>
    <t>2023 08 1651 22700</t>
  </si>
  <si>
    <t>1ª PRÓRROGA Contrato SERVICIO DE LIMPIEZA  EN DEPENDENCIAS DE CENTRO DE ALUMBRADO PÚBLICO.- Expte SE -31/2020</t>
  </si>
  <si>
    <t>SERVICIO LIMPIEZA ZONAS COMUNES EN  GALERIAS VALLADOLID. 01-07-2022 AL 30-06-2023</t>
  </si>
  <si>
    <t>SUM. Y PLANTACIÓN DE ROSALES EN CC PARQUESOL Y CIC CONDE ANSÚREZ</t>
  </si>
  <si>
    <t>2023 07 1701 22699</t>
  </si>
  <si>
    <t>Contratación del reciclado de papel en los edificios Casa del Barco y Anexo. 01/01/2023 a 31/12/2023</t>
  </si>
  <si>
    <t>CTTO SERVICIOS POR TRABAJOS REALIZADOS FUERA FUERA DE CONTRATO DE MANTENIMIENTO DE ZONAS VERDES EN CEIP//AÑO 2023</t>
  </si>
  <si>
    <t>DESTRUCCIONES PERIÓDICAS DE DOCUMENTACIÓN EN ARCHIVO MUNICIPAL, AÑO 2023.</t>
  </si>
  <si>
    <t>SE 10/20 PS1 PRORROGA CTTO MANTENIMIENTO ZONAS VERDES. LOTE 2 EIM. 2023 (ENLAZADO A PROYECTO: 4.609,82)</t>
  </si>
  <si>
    <t>SE 10/20 PS1 PRORR CTTO MANTENIMIENTO ZONAS VERDES. L 2. EIM. AÑO 2023 Y HASTA 22 SEPT 24 REAJUSTE A PROYECTO</t>
  </si>
  <si>
    <t>RECOGIDA Y DESTRUCCION PAPEL. SERVICIO DE PREVENCION Y SALUD LABORAL</t>
  </si>
  <si>
    <t>LIMPIEZA DE CAFETERIA , INTERIOR BARRA Y ELECTRODOMESTICOS DEL CPM LA VICTORIA- FEBRERO 2023</t>
  </si>
  <si>
    <t>AJUSTE PRESUPESTARIO DE LA LIMPIEZA DEL CENTRO DE FORMACION PARA EL EMPLEO EN 2023- JACINTO BENAVENTE</t>
  </si>
  <si>
    <t>PRORROGA CONT.LIMPIEZA-LOTE 10- CENTRO DE FORMACION DE EMPLEO-AÑO 2023. BARRADO</t>
  </si>
  <si>
    <t>SUM. SACO DE SUSTRATO EN CC JL MOSQUERA</t>
  </si>
  <si>
    <t>GRUPO LITERARIO TEATRO TÚ Y YO</t>
  </si>
  <si>
    <t>ACTUACIÓN DE TEATRO 23/11/2022 EN C.C. ESGUEVA // DIA DE LA MUJER MALTRATADA</t>
  </si>
  <si>
    <t>REPARACIÓN PUERTA BOX Nº 2 DE NAVE DE LAVADO DE VEHÍCULOS DEL Sº DE LIMPIEZA</t>
  </si>
  <si>
    <t>MEJORADA DEL CAMPO</t>
  </si>
  <si>
    <t>2023 11 1631 212</t>
  </si>
  <si>
    <t>DESCONEXIÓN DE CABLES EN CUADRO ELÉCTRICO DE LOS PORTONES DE LA NAVE DE LAVADO DE VEHÍCULOS</t>
  </si>
  <si>
    <t>GRUPO SIFU CASTILLA Y LEON SL</t>
  </si>
  <si>
    <t>Adjudicación mant.jardines -cpm rondilla 5.214,98 E/AÑO  y cpm delicias 9.684,96 E/AÑO-DE ENERO 2022 A ABRIL 2023</t>
  </si>
  <si>
    <t>prorroga serv.reparto e intercambio doc.ser.centrales área serv.soc. y CEAS,CPMS Y CFJB de 1/4/22 a 31/3/23-anual.2023</t>
  </si>
  <si>
    <t>ADJUDICACIÓN MANTENIMIENTO JARDINES - COMEDOR SOCIAL 1.384,11 ¿/AÑO - DE ENERO 2022 A ABRIL 2023.</t>
  </si>
  <si>
    <t>SEÑALIZACION DEL CENTRO OCUPACIONAL- PLAN ACCESIBILIDAD- INICITIVAS SOCIALES</t>
  </si>
  <si>
    <t>PRORROGA  MANTENIMIENTO JARDINES CPM RONDILLA 3476,65EUROS  Y CPM DELICIAS 6456.64EUROS DEL 01/05 AL 31/12/23</t>
  </si>
  <si>
    <t>PRÓRROGA MANTENIMIENTO JARDÍN COMEDOR SOCIAL (1384,11/año)- DE 1/5 A 31/12/2023</t>
  </si>
  <si>
    <t>GRUPO V, S.L.</t>
  </si>
  <si>
    <t>CTTO SUMINISTRO SUSCRIPCIÓN ANUAL A LA REVISTA ""GADGET"" PARA BIBLIOTECAS PÚBLICAS//AÑO 2023</t>
  </si>
  <si>
    <t>PUBLICIDAD DE LAS ACTIVIDADES REALIZADAS EN GALERIAS VA, EN LA REVISTA Y MEDIOS DIGITALES GO DURANTE 4 MESES</t>
  </si>
  <si>
    <t>GUIL ACCESORIOS MUSICA S.L.</t>
  </si>
  <si>
    <t>ADQUISICION DE  NUEVOS MATERIALES DESTINADOS A COMPLETAR Y HOMOLOGAR EL USO ESCENARIOS (90M2).</t>
  </si>
  <si>
    <t>ALCUDIA</t>
  </si>
  <si>
    <t>HECTOR ANGEL PUENTE NIEBLA</t>
  </si>
  <si>
    <t>TRABAJOS DE JARDINERIA EN CIC LA OVERUELA (ENERO-SEPTIEMBRE 2023)</t>
  </si>
  <si>
    <t>DESMOCHE ÁRBOLES PATIO DELANTERO CIC LA OVERUELA (C/ CALVERAS)</t>
  </si>
  <si>
    <t>HECTOR SIERRA  OCAÑA</t>
  </si>
  <si>
    <t>CONTRATACION ADIESTRADOR CANINO CMPA</t>
  </si>
  <si>
    <t>2023 01 9205 22699</t>
  </si>
  <si>
    <t>HERA HOLDING Y HÁBITAT, ECOLOGÍA Y RESTAURACIÓN AMBIENTAL, S.L.</t>
  </si>
  <si>
    <t>ADJUDICA GESTIÓN INTEGRAL RESIDUOS CONTAMINANTES GENERADOS EN IMPRENTA AÑO 2023</t>
  </si>
  <si>
    <t>SUM. VENTANA ALUMINIO Y CLIMALIT PARA LOCAL AV EL REFUGIO</t>
  </si>
  <si>
    <t>2023 05 4312 22799</t>
  </si>
  <si>
    <t>HERMENEUS WORLD SL</t>
  </si>
  <si>
    <t>CONTRATO SERVICIO PARA LA OPERATIVA DE UNA PLATAFORMA DE VENTA ON-LINE (MARKETPLACE) PARA EL COMERCIO DE VALLADOLID</t>
  </si>
  <si>
    <t>HIDRAULICA INDUSTRIAL S.A.</t>
  </si>
  <si>
    <t>Válvula Norgren_ distribuidor de presión de circuito de frenos del vehículo FSV 6, matr 7587GMS; SEISYPC</t>
  </si>
  <si>
    <t>SUMINISTRO DE REPUESTOS PARA REPARACIONES HIDRÁULICAS DE VEHÍCULOS DEL SERVICIO DE LIMPIEZA.</t>
  </si>
  <si>
    <t>Válvula Norgren, distribuidor de presión de circuito de frenos del vehículo FSV_6, matr. 7587 GMS; SEISYPC</t>
  </si>
  <si>
    <t>SUMINISTRO DE REPUESTOS PARA REPARACIONES HIDRÁULICAS DE VEHÍCULOS DEL SERVICIO DE LIMPIEZA..</t>
  </si>
  <si>
    <t>SUMINISTRO DE REPUESTOS ESPECIALES PARA REPARACIONES HIDRÁULICAS DE VEHÍCULOS DE RECOGIDA SELECTIVA DE PAPEL Y CARTÓN</t>
  </si>
  <si>
    <t>SUMINISTRO TUBO ESTRUCTURAL  PARA REPARAR PATA DE FIJACIÓN MAQUINA RETROEXCAVADORA DEL CMEI</t>
  </si>
  <si>
    <t>SUMINISTRO MATERIALES PARA PARA ADECUAR GRADAS MUNICIPALES PARA EVENTOS</t>
  </si>
  <si>
    <t>HISCOX SA SUCURSAL EN ESPAÑA</t>
  </si>
  <si>
    <t>SEGURO DE OBRAS DE ARTE PARA EL CENTRO MARCELINA PONCELA</t>
  </si>
  <si>
    <t>LEADER MEDIA,S.L.</t>
  </si>
  <si>
    <t>PLAN DE COMUNICACIÓN ZONA DE BAJAS EMISIONES EN EL ESPAÑOL</t>
  </si>
  <si>
    <t>PLAN DE COMUNICACION ZONA DE BAJAS EMISIONES EL DIA</t>
  </si>
  <si>
    <t>HOP UBIQUITOUS S.L.</t>
  </si>
  <si>
    <t>EXPEDIENTE VS 16/22 LOTE 1 SUMINISTRO 4 DISPOSITIVOS MEDIDA CON NANOSENSORES</t>
  </si>
  <si>
    <t>CEUTI</t>
  </si>
  <si>
    <t>2023 11 3111 22706</t>
  </si>
  <si>
    <t>HUELLAS VET PET, S.L.</t>
  </si>
  <si>
    <t>PRORROGA RECOGIDA/ATENCION VETERINARIA ANIMALES DOMESTICOS ABANDONADOS/PERDIDOS /TARDES/NOCHES/FINES SEMANA/FESTIVOS L-1</t>
  </si>
  <si>
    <t>CONTRATO MENOR RECOGIDA ANIMALES EN HORARIO EN LOS QUE EL CMPA NO PUEDE PRESTARLO HASTA QUE SE FORMALICE NUEVO CONTRATO</t>
  </si>
  <si>
    <t>REVISIÓN MANTENIMIENTO VEHÍCULOS TOYOTA PRIUS (15.000 KM).</t>
  </si>
  <si>
    <t>2023 07 1721 214</t>
  </si>
  <si>
    <t>REVISION ANUAL DEL VEHICULO DEL SERVICIO TOYOTA AURIS MATRICULA A47705132</t>
  </si>
  <si>
    <t>Adblue y montaje de molduras luna parabrisas en vehículo VMC 14, matr. 2931JVV; SEISYPC.</t>
  </si>
  <si>
    <t>REVISIÓN 15.000 KM CINCO VEHÍCULOS POLICÍA Y SUBSANAR POSIBLES DEFICIENCIAS.</t>
  </si>
  <si>
    <t>CONSUMO EN EL PERIODO DE 20-11-2022 a 21-12-2022 // CTRO.PROGRAMAS JUVENILES - ESPACIO JOVEN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</si>
  <si>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</si>
  <si>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</si>
  <si>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</si>
  <si>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</si>
  <si>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SERVICIOS TÉCNICOS AUDIOVISUALES. INCLUYE ASISTENCIA TÉCNICA DE PERSONAL CUALIFICADO EN CONFERENCIAS,JORNADAS,EVENTOS AI</t>
  </si>
  <si>
    <t>2023 06 3261 214</t>
  </si>
  <si>
    <t>TALLERES ELECTROMECANICOS ARFER, S.L.</t>
  </si>
  <si>
    <t>LOTE 5 A.M. MECANICA GNRAL PARA LOS VEHICULOS DEPENDIENTES DE LA CONCEJALÍA EDUCACIÓN HASTA 8/6/23</t>
  </si>
  <si>
    <t>S.SALUD CONST.NUEVA RED DE ENERGÍA ELÉCT.(MEDIA Y B.TESIÓN) EN C/ VILLABAÑEZ Y ZORZAL (ARU 29 OCTUBRE FASE II) C. MENOR</t>
  </si>
  <si>
    <t>EXPT.6/22  SEGU Y SALUD OBRAS FASE I REURBANIZACIÓN CALLES DANIEL DEL OLMO Y PRIMER TRAMO NORTE DE CASTILLA</t>
  </si>
  <si>
    <t>IGLESIAS INSTALACIONES PETROLIFERAS S.A.</t>
  </si>
  <si>
    <t>REPARACION SURTIDOR GASOIL PARA VEHICULOS EN PARQUE DE BOMBEROS CENTRAL//SERVICIO DE EXTINCIÓN DE INCENDIOS</t>
  </si>
  <si>
    <t>SERVICIO DE ASESORAMIENTO, CONSERVACIÓN PREVENTIVA Y RESTAURACIÓN DEL PATRIMONIO CULTURAL MUEBLE MUNICIPAL (6 MESES)</t>
  </si>
  <si>
    <t>SERVICIO DE ASESORAMIENTO, CONSERVACION PREVENTIVA Y RESTAURACION DEL PATRIMONIO CULTURAL MUEBLE MUNICIPAL (6 MESES)</t>
  </si>
  <si>
    <t>2023 02 1511 22799</t>
  </si>
  <si>
    <t>IGNACIO GONZÁLEZ  TEJERO</t>
  </si>
  <si>
    <t>A.TÉCNICA PARA COMPLETAR PROY.ACTUACIÓN SECTOR SUELO URBANO NO CONSOLIDADO SE(o)00-01 INTEG.FERROVIARIA.</t>
  </si>
  <si>
    <t>QUINTANILLA DE ARRIBA</t>
  </si>
  <si>
    <t>IGNACIO PRADA ECHEVARRIETA</t>
  </si>
  <si>
    <t>CONCIERTO MUSICA NACHO PRADA HORA DEL PLANETA DIA 25 DE MARZO</t>
  </si>
  <si>
    <t>IGNACIO RODRIGUEZ, S.A.</t>
  </si>
  <si>
    <t>SUM. CERRADURA PUERTA CORREDERA CIC SANTIAGO LÓPEZ</t>
  </si>
  <si>
    <t>SUM. DE MATERIALES PARA TRABAJOS DE CARPINTERÍA EN CC ZONA SUR</t>
  </si>
  <si>
    <t>SUMINISTRO DE MATERIALES DE CARPINTERÍA PARA TRABAJOS DE MANTENIMIENTO EN CC ZONA SUR</t>
  </si>
  <si>
    <t>A.M. EXP.V.6-2020  ARREGLOS OBRA CIVIL DIVERSOS PARQUES GESTIÓN DIRECTA LOTE 1.PS 38. CALIDAD.</t>
  </si>
  <si>
    <t>2023 10 2311 22706</t>
  </si>
  <si>
    <t>ILUSTRE COLEGIO DE ABOGADOS VALLADOLID</t>
  </si>
  <si>
    <t>PRORROGA CONTRATO ASESORAMIENTO DCHO DE FAMILIA Y LEY 2ª OPORTUNIDAD EN A JUN 2023.</t>
  </si>
  <si>
    <t>TRIBUNA CONTENIDOS DIGITALES, S.L.</t>
  </si>
  <si>
    <t>PLAN DE COMUNICACIÓN ZONA DE BAJAS EMISIONES EN TRIBUNA</t>
  </si>
  <si>
    <t>IMPERIAL DE EXPLOTACIONES HOTELERAS, S.L.</t>
  </si>
  <si>
    <t>prórroga contrato alojamiento en reg.pension completa 75 e/n +IVA para alumnado coop.tecnica-pasantias-año 2023</t>
  </si>
  <si>
    <t>Seguridad y Salud obras de consolidación celdas del convento de Santa Catalina de Siena.</t>
  </si>
  <si>
    <t>SEGUNDA PRÓRROGA  SEGURIDAD Y SALUD LOTE 1 SEÑALIZACIÓN VERTICAL (Agosto-Diciembre-2022)</t>
  </si>
  <si>
    <t>IMPÚLSAME, CONSULTORÍA Y ESTRATEGIA S.L.</t>
  </si>
  <si>
    <t>MANTENIMIENTO APP VALLAAIRE</t>
  </si>
  <si>
    <t>CTTO SERVICIOS CONCIERTOS CON LA BANDA DE LA ESCUELA MUNICIPAL DE MUSICA PARA  VARIOS ACTOS//AÑO2023</t>
  </si>
  <si>
    <t>A.C.TEATRO ARCON DE OLID</t>
  </si>
  <si>
    <t>REPRESENTACIÓN TEATRAL EN CC ESGUEVA EL DÍA 23/01/23</t>
  </si>
  <si>
    <t>ALQUILER CASETA OBRA PUESTO VIGILANCIA NUEVO APARCAMIENTO DEPENDENCIAS POLICÍA MUNICIPAL AVDA. BURGOS ENERO Y FEB. 2023</t>
  </si>
  <si>
    <t>MATERIALES PARA REPARACIONES URGENTES DE ASCENSOR CC DELICIAS DURANTE LOS MESES DE DICIEMBRE 22 Y ENERO 23</t>
  </si>
  <si>
    <t>MATERIAL IMPRESO PARA LA INAUGURACION DEL CENTRO  MARCELINA PONCELA</t>
  </si>
  <si>
    <t>RENOVACIÓN FACHADA PARA AGENCIA DE INNOVACIÓN. LUMINOSO EXTERIOR, PINTADO Y VINILOS EN EL EXTERIOR Y LIMPIEZA Y REMATES</t>
  </si>
  <si>
    <t>CONTROL CALIDAD REPARACIÓN FACHADA EDIFICIO SERVICIO DE LIMPIEZA EN CALLE TOPACIO</t>
  </si>
  <si>
    <t>2023 05 4312 22104</t>
  </si>
  <si>
    <t>SUMINISTRO ROPA VESTURARIO VIGILANTES DE MERCADOS MUNICIPALES 2023.</t>
  </si>
  <si>
    <t>2023 11 1321 22706</t>
  </si>
  <si>
    <t>AUDITORÍA DE SEGUIMIENTO DE CERTIFICACIÓN DE CALIDAD 9001 EN EL SERVICIO DE POLICÍA MUNICIPAL.</t>
  </si>
  <si>
    <t>2023 11 3111 22103</t>
  </si>
  <si>
    <t>CODISOIL, S.A.</t>
  </si>
  <si>
    <t>SUMINISTRO GASOLEO B PARA HORNO INCINERADOR EL CENTRO MUNICIPAL DE PROTECCION ANIMAL EN 2023</t>
  </si>
  <si>
    <t>SUMINISTRO DE CONTENEDORES, ÁRIDOS Y RETIRADA DE ESCOMBROS POR LAS OBRAS EN LOS COLEGIOS PÚBLICOS. AÑO 2023</t>
  </si>
  <si>
    <t>MNTO INSTALACIONES DE PROTEC. CONTRA INCENDIOS // E.JOVEN Z. NORTE / EXPTE: SE EIJI 27/21 - LOTE 1 / MES DICIEMB- 2022</t>
  </si>
  <si>
    <t>SUMINISTRO DE PAPEL PARA TRABAJOS DEL SERVICIO DE PARTICIPACIÓN CIUDADANA 2023 SERVIDO EN IMPRENTA MUNICIPAL</t>
  </si>
  <si>
    <t>2023 02 1501 22699</t>
  </si>
  <si>
    <t>COMPRA PAPEL PARA LIBROS JORNADAS V Y VI PATRIMONIO Y CIUDAD VILLA DEL PRADO</t>
  </si>
  <si>
    <t>2023 10 2313 22699</t>
  </si>
  <si>
    <t>SUMINISTRO DE PAPEL PARA LAS PUBLICACIONES DEL ÁREA DE SERVICIOS SOCIALES Y MEDIACIÓN COMUNITARIA EN EL AÑO 2023.</t>
  </si>
  <si>
    <t>ACTUACION MUSICAL EN LA IMNAGURACION DEL CENTRO DE VIDA ACTIVA PARQUESOL EL 28 DE FEBRERO 2023-INICIATIVAS SOCIALES</t>
  </si>
  <si>
    <t>REALIZACIÓN DE ESTUDIO INFORMADO POR POSIBLE RUINA EN PLAZA ENCUENTRO DE LOS PUEBLOS -2023 (ENERO-SEPT)</t>
  </si>
  <si>
    <t>2023 11 1621 22706</t>
  </si>
  <si>
    <t>VALORACIÓN DEL ESTADO ESTRUCTURAL DE PLATAFORMAS DE CONTENEDORES SOTERRADOS, ENSAYO E INFORME. SERVICIO DE LIMPIEZA</t>
  </si>
  <si>
    <t>2023 05 4312 22706</t>
  </si>
  <si>
    <t>SERVICIOS DE INSPECCION Y ESTUDIO TECNICO DE LA CUBIERTA DEL MERCADO DEL VAL (A.M. 9/2021)</t>
  </si>
  <si>
    <t>CRISTALERIA ZARATAN, S.L.</t>
  </si>
  <si>
    <t>SUMINISTRO VIDRIOS -CRISTAL PARA LAS DISTINTAS DEPENDENCIAS DE LOS EDIFICIOS MUNICIPALES DEPENDIENTES DE CMEI (2023)</t>
  </si>
  <si>
    <t>SUMINISTRO CRISTALERIA COLEGIOS PÚBLICOS DEPENDIENTES DEL SERVICIO DE EDUCACIÓN. AÑO 2023</t>
  </si>
  <si>
    <t>Mejora de la eficiencia energética, hidráulica y lumínica de la fuente Azul. Contrato Basado P.S. 36. Coord. S. y Salud.</t>
  </si>
  <si>
    <t>AM SECT 2021/37 ADJUDICA DIFUNDIR ENCUENTRO CIUDADES POR SEGURIDAD VIAL Y MOVILIDAD DGT-FEMP: BLOQUE A LOTE 1</t>
  </si>
  <si>
    <t>EXPTE. 10S-SS-55/20. ESTUDIO DE SEGURIDAD Y SALUD. OBRA NUEVA. BIBLIOTECA EN PARCELA 143 F DE PAQUESOL. AÑOS 2021 Y 2022</t>
  </si>
  <si>
    <t>SEGUNDA PRÓRROGA SEGURIDAD Y SALUD LOTE 2 SEÑALIZACIÓN HORIZONTAL (Agosto-Diciembre'2022)</t>
  </si>
  <si>
    <t>MENTENIMIENTO PREVENTIVO DE LA GALERÍA DE TIRO VIRTUAL DE LA POLICÍA MUNICIPAL.</t>
  </si>
  <si>
    <t>REPARACION PERSIANAS  DEL CPM  HUERTA DEL REY- INICITIVAS SOCIALES</t>
  </si>
  <si>
    <t>PRIMERA PRÓRROGA CONTRATO SEGURIDAD Y SALUD LOTE 1 OBRAS EN EDIFICACIONES DEL 16.10 AL 31.12.2022.</t>
  </si>
  <si>
    <t>ACONDICIONAMIENTO PARCELA FMD RIBERA DE CASTILLA EN RONDILLA P.S. 40.</t>
  </si>
  <si>
    <t>ACONDICIONAMIENTO PARCELA FMD RIBERA DE CASTILLA EN RONDILLA P.S.40 SEGURIDAD Y SALUD.</t>
  </si>
  <si>
    <t>ACONDICIONAMIENTO DE JARDINERAS EN PUENTE DE LA CONDESA EYLO P.S. 41</t>
  </si>
  <si>
    <t>INGESER IBERICA 2010, S.L.</t>
  </si>
  <si>
    <t>REVISIÓN ANUAL Y PRUEBAS DE ESTANQUEIDAD DE LA INSTALACIÓN DE HIDROCARBUROS, SURTIDOR Y DEPÓSITO. SERVICIO DE LIMPIEZA.</t>
  </si>
  <si>
    <t>INICIATIVAS-CSE S.COOP.MAD.</t>
  </si>
  <si>
    <t>TALLERES DE FORMACION PARA INTRODUCIR LA PERSPECTIVA DE GENERO</t>
  </si>
  <si>
    <t>INMEVA INFRAESTRUCTURAS, S.L.</t>
  </si>
  <si>
    <t>REGULARIZACIÓN DEL CENTRO DE TRANSFORMACION DEL CC JL MOSQUERA. INSCRIPCIÓN EN RICYL</t>
  </si>
  <si>
    <t>INNOVACIÓN Y SERVICIO ESI, S.L.</t>
  </si>
  <si>
    <t>SOPORTES PARA PANELES HORA DEL PLANETA DIA 25 DE MARZO</t>
  </si>
  <si>
    <t>AUDITORIA INTERNA DE LA RED DE CONTROL DE LA CONTAMINACIÓN</t>
  </si>
  <si>
    <t>OVIEDO</t>
  </si>
  <si>
    <t>ACONDICIONAMIENTO DE JARDINERAS EN PUENTE DE LA CONDESA EYLO P.S. 41. SEGURIDAD Y SALUD.</t>
  </si>
  <si>
    <t>AM SECT 2021/37 ADJUDICA DIFUNDIR ENCUENTRO CIUDADES POR SEGURIDAD VIAL DE DGT-FEMP: BLOQUE A LOTE 4</t>
  </si>
  <si>
    <t>ATECH BPO SL</t>
  </si>
  <si>
    <t>CONTRATO SERV. ATENCION CIUDADANA 010, CENTRALITA Y ATENCION PRESENCIAL 2023</t>
  </si>
  <si>
    <t>ADJUDICA ACCESO SERVICIO DIARIO FOTOS Y NOTICIAS AGENCIA ICAL AÑO 2023</t>
  </si>
  <si>
    <t>ADJUDICA ACCESO WEB SERVICIO DE NOTICIAS AGENCIA EFE AÑO 2023</t>
  </si>
  <si>
    <t>DISEÑO Y MAQUETACIÓN CARTELERIA PARA CENTRO MUNICIPAL DE LA IGUALDAD / DURANTE 2023</t>
  </si>
  <si>
    <t>Suministro y montaje sistema Tele-Gestión en sala de calderas del SEPI y puesta en marcha y chequeo de trabajos conexión</t>
  </si>
  <si>
    <t>Coordinación Seguridad y Salud Reparación de la cubierta del Templete Piramidal del Barrio de San Pedro</t>
  </si>
  <si>
    <t>CONEXIÓN E INSTALACIÓN ELECTRICA TEMPORAL DEL LDR EN DELICIAS DURANTE EL AÑO 2023</t>
  </si>
  <si>
    <t>CTTO SERVICIOS MONTAJE Y DESMONTAJE DE INSTALACIÓN ELÉCTRICA TEMPORAL ACTIVIDAD CARNAVAL DE LOS COLEGIOS//17-02-23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</si>
  <si>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</si>
  <si>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</si>
  <si>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</si>
  <si>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</si>
  <si>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</si>
  <si>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CTTO SERVICIOS INSTALACIÓN DE TENDIDOS DE NUEVAS LÍNEAS ELÉCTRICAS PARA COLEGIOS PÚBLICOS//AÑO 2023</t>
  </si>
  <si>
    <t>TOMAS DE TIERRA EN LA INSTALACION DE DELICIAS DEL LDR</t>
  </si>
  <si>
    <t>INSIGNA UNIFORMES, S.L.</t>
  </si>
  <si>
    <t>1ª PRÓRROGA CONTRATO DE VESTUARIO PARA POLICÍA MUNICIPAL EXP. SPSC 02/2021. LOTE Nº 2.</t>
  </si>
  <si>
    <t>RIBARROJA DEL TURIA</t>
  </si>
  <si>
    <t>SAGRES S.L.</t>
  </si>
  <si>
    <t>1ª PRÓRROGA CONTRATO DE VESTUARIO PARA POLICÍA MUNICIPAL. EXP. SPSC 02/2021.  LOTE Nº 5.</t>
  </si>
  <si>
    <t>REDONDELA</t>
  </si>
  <si>
    <t>1ª PRÓRROGA CONTRATO VESTUARIO PARA POLICÍA MUNICIPAL. EXPTE. SPSC 02/2021. LOTE Nº 4,</t>
  </si>
  <si>
    <t>ADC TIEMPO LIBRE SL</t>
  </si>
  <si>
    <t>1ª PRÓRROGA CONTRATO DE VESTUARIO PARA POLICÍA MUNICIAL. EXP. SPSC 02/2021. LOTE Nº 7.</t>
  </si>
  <si>
    <t>2023 02 1511 22706</t>
  </si>
  <si>
    <t>ALFONSO ARAMBURU PARDO</t>
  </si>
  <si>
    <t>REALIZACIÓN LINFOGRAFÍAS FÁBRICA INOBAT.</t>
  </si>
  <si>
    <t>MATERIALES POR TRABAJOS DE REPARACIÓN EN GUÍAS DEL ASCENSOR CC PILARICA</t>
  </si>
  <si>
    <t>A.T. en CONTROL CALIDAD LOTE 1, EDIFICACION obra Traslado de Instalciones del SEPI, Expte 30/2021 SEMEU.-</t>
  </si>
  <si>
    <t>CONSUMO EN EL PERIODO DE 31-10-2022 a 30-11-2022 // CTRO.PROGRAMAS JUVENILES - ESPACIO JOVEN</t>
  </si>
  <si>
    <t>MNTO INSTALACIONES DE PROTEC. CONTRA INCENDIOS // BIBLIOTECAS MPALES / EXPTE: SE EIJI 27/21 - LOTE 1 / DICIEMBRE-2022</t>
  </si>
  <si>
    <t>DAZA DISEÑO &amp; COMUNICACION, S.L.</t>
  </si>
  <si>
    <t>Contratación de: diseño, maquetación y confección de la GUÍA DEL CONTRIBUYENTE 2023</t>
  </si>
  <si>
    <t>CONTRATO SERVICIOS DE APOYO EN SEGUIMIENTO DE PROYECTOS, PRODUCCIÓN MATERIAL GRAFICO, AUDIOVISUAL Y CONTENIDOS PROGRAMAS</t>
  </si>
  <si>
    <t>CORRECTIVOS REALIZADOS EN CEIP VICENTE ALEIXANDRE, CEIP ANTONIO ALLÚE MORER Y CEIP MARIA DE MOLINA. DICIEMBRE 2022</t>
  </si>
  <si>
    <t>TOMAS DE TIERRA DE LAS CABINAS DE LA RED DE CONTROL ATMOSFERICO</t>
  </si>
  <si>
    <t>INSTALACIÓN ELÉCTRICA TEMPORAL/ EVENTO: / V CONCIERTO POR LA IGUALDAD / PLAZA DEL PORTUGALETE / 30/09/2022</t>
  </si>
  <si>
    <t>2023 05 4331 212</t>
  </si>
  <si>
    <t>CADIELSA GRUPO, S.L.U.</t>
  </si>
  <si>
    <t>CERRADURA SIEMENS STD ALPHA 8GK9560-0KK04 //AGENCIA DE INNOVACIÓN .</t>
  </si>
  <si>
    <t>REPARACIÓN DE URGENCIA AVERÍA ELÉCTRICA ALUMBRADO ACCESO AL CC ZONA SUR</t>
  </si>
  <si>
    <t>2023 07 1711 214</t>
  </si>
  <si>
    <t>CAMIONES DEL PISUERGA, S.A.</t>
  </si>
  <si>
    <t>TOTAL TRABAJOS REPARACION MATRICULA 3856DDD / TOTAL PIEZAS / ANEXO DETALLE FTP000019757 Y VALE</t>
  </si>
  <si>
    <t>CASTILLA VEHICULOS INDUSTRIALES S.A.</t>
  </si>
  <si>
    <t>TA22 2586 REPARACION 4416-KJX KMS.112209 METER EASY PARA VER AVERIAS, HACER UDST FALLO EN SENSOR DE HUMEDAD. COMPROBAR I</t>
  </si>
  <si>
    <t>VENTANA ( UD. DE SUM. Y COL. DE VENTANA CORREDERA DE DOS HOJAS EN COLOR BLANCO // CEIP M.ESCOBAR. DICIEMBRE 2022</t>
  </si>
  <si>
    <t>TA23 7 REPARACION 3687-FJM // KMS.136000 CAMBIAR PILOTO TRASERO DERECHO Y ENDEREZAR ALETA TRASERA IZQUIERDA. / REVISION</t>
  </si>
  <si>
    <t>TA23 20 REPARACION 3687-FJM KMS.136359 MONTAR TOMAS DE AIRE DE ITV / E393RAC01A DIT ITV RACORES / PLACAITV2 PLACA ITV 2</t>
  </si>
  <si>
    <t>INSTALACIÓN ELÉCTRICA TEMPORAL DÍA 8 DE MARZO / 1 DIA</t>
  </si>
  <si>
    <t>1ª PRÓRROGA CONTRATO DE VESTUARIO PARA POLICÍA MUNICIPAL. EXP. SPSC 02/2021. LOTE Nº 9.</t>
  </si>
  <si>
    <t>SUMINISTRO ELECTRICO TEMPORAL LDR 2022</t>
  </si>
  <si>
    <t>DAITONA MOTOS, S.L.</t>
  </si>
  <si>
    <t>FILTRO DE AIRE / FILTRO DE VARIADOR / FILTRO DE GASOLINA / TAMIZ FILTRO DE ACEITE / JUEGO DE RODILLOS DE VARIADOR / CORR</t>
  </si>
  <si>
    <t>FILTRO DE AIRE ( 3394-KMN. REVISION ) / FILTRO DE VARIADOR / FILTRO DE GASOLINA / TAMIZ FILTRO DE ACEITE / JUEGO DE RODI</t>
  </si>
  <si>
    <t>FILTRO DE AIRE / FILTRO DE VARIADOR / TAMIZ FILTRO DE ACEITE / JUEGO DE RODILLOS DE VARIADOR / CORREA DE VARIADOR / DISC</t>
  </si>
  <si>
    <t>INTERRUPTOR LUZ STOP TRASERO / FILTRO DE AIRE ( 3394-KMN. REVISION ) / FILTRO DE VARIADOR / TAMIZ FILTRO DE ACEITE / JUE</t>
  </si>
  <si>
    <t>FILTRO DE AIRE / FILTRO DE VARIADOR / FILTRO DE GASOLINA / BUJÍA CR8E / RODILLOS DE VARIADOR / CORREA DE VARIADOR / TAMI</t>
  </si>
  <si>
    <t>TAMIZ FILTRO DE ACEITE / GLOBAL 10w40 / BUJÍA ngk CR8E / FILTRO DE GASOLINA / FILTRO DE VARIADOR / FILTRO DE AIRE</t>
  </si>
  <si>
    <t>FILTRO DE VARIADOR / FILTRO DE AIRE / FILTRO DE GASOLINA / TAMIZ FILTRO DE ACEITE / GLOBAL 10W40 / BUJÍA CR8E / JUEGO DE</t>
  </si>
  <si>
    <t>BUJÍA NGK BR8ES / JUEGO DE RODILLOS DE VARIADOR / CORREA DE VARIADOR / CORREA DE BOMBA DE ACEITE / TOBERA DE ADMISIÓN /</t>
  </si>
  <si>
    <t>GLOBAL 10w40 / FILTO DE AIRE / FILTRO DE VARIADOR / JUEGO DE RODILLOS DE VARIADOR/ PEQUEÑO MATERIAL / MANO DE OBRA</t>
  </si>
  <si>
    <t>FILTRO DE AIRE / FILTRO DE VARIADOR / GLOBAL SMART 10W40 / JUEGO DE RODILLOS DE VARIADOR / PEQUEÑO MATERIAL / MANO DE OB</t>
  </si>
  <si>
    <t>FILTRO DE AIRE ( 3394-KMN. REVISION ) / FILTRO DE VARIADOR / GLOBAL 10W40 / JUEGO DE RODILLOS DE VARIADOR / PEQUEÑO MATE</t>
  </si>
  <si>
    <t>REPARACIÓN ELÉCTRICA // MATERIAL / MANO DE OBRA</t>
  </si>
  <si>
    <t>2023 08 1341 22602</t>
  </si>
  <si>
    <t>ANUNCIO ORA 18/12/2022 | SOPORTE: EL NORTE DE CASTILLA - NDC - ED. VALLADOLID PRODUCTO: PÁGINA 50 MOD 10X5 (10X5) COLOR</t>
  </si>
  <si>
    <t>17 SUSCRIPCIONES ANUALES ""EL NORTE DE CASTILLA"", EDICIÓN PAPEL Y DIGITAL. AÑO 2023.</t>
  </si>
  <si>
    <t>EYLO MOTOR, S.L.</t>
  </si>
  <si>
    <t>3058DTC. SUSTITUCION JUEGO DE BOMBINES DEL VEHICULO / 2 K9810VL55A - JUEGO LLAVE CERRADURA</t>
  </si>
  <si>
    <t>8842FJC. MANTENIMIENTO ANUAL. CAMBIO ACEITE, FILTRO ACEITE, REFRIGERANTE Y LIQUIDO DE FRENOS / 2 SMOIL5W40 - ACEITE 5W40</t>
  </si>
  <si>
    <t>INSTALACION ELECTRICA TEMPORAL DIA 25 DE MARZO</t>
  </si>
  <si>
    <t>INSTALACIONES ELECTRICAS SEOANE, SL</t>
  </si>
  <si>
    <t>Sustitución de la instalación que automatiza la gestión climática del invernadero de Renedo de Esgueva.</t>
  </si>
  <si>
    <t>3255GXH. SUSTITUCION LAMPARA CRUCE DERECHO / 2 KE26089997 - H7 LONG LIFE</t>
  </si>
  <si>
    <t>Gasto Complementario del Lote 2 del Contrato de Seguridad y Salud en obras municipales SEPI</t>
  </si>
  <si>
    <t>Gasto Complementario Coordinación Seguridad y Salud Ladera Norte 42/2021 SEMEU</t>
  </si>
  <si>
    <t>Gasto Complementario Coordinación Seguridad y Salud Ladera Este 50/2021 SEMEU</t>
  </si>
  <si>
    <t>2023 11 1361 214</t>
  </si>
  <si>
    <t>REPARACION EMBRAGUE AEA-7  MATRICULA VA42345VE//SERVICIO DE EXTINCION DE INCENDIOS</t>
  </si>
  <si>
    <t>AMPLIACION CONT.ALOJAMIENTO+PC PARA ALUMNADO CURSOS COOP.TECNICA-PASANTIAS2023-82,5EUROS/DIA IVAINC.</t>
  </si>
  <si>
    <t>ISFRAMY SECURITY SL</t>
  </si>
  <si>
    <t>MANTENIMIENTO DE LAS CAMARAS DE VIGILANCIA  EXTERIORES DEL CPM TRANSFERIDO,  CPM DELICIAS DURANTE 2023</t>
  </si>
  <si>
    <t>ACUERDO MARCO (A.J.G.19.05.2020) C. CALIDAD LOTE 2 (ASIST.TÉCNICA)OBRA P. INFERIORES PANADEROSY LABRADORES C/ AVDA.SEGOV</t>
  </si>
  <si>
    <t>NEUMATICOS ESGUEVA, S.L.</t>
  </si>
  <si>
    <t>REPARAR RUEDA TURISMO / EQUILIBRAR RUEDA TURISMO / VEHÍCULO 0515KFV</t>
  </si>
  <si>
    <t>MANTENIMIENTO DE LAS CAMARAS DE VIGILANCIA EXTERIORES DEL CPM NO TRANSFERIDO , CPM HUERTA DEL REY DURANTE 2023</t>
  </si>
  <si>
    <t>2023 09 4321 22701</t>
  </si>
  <si>
    <t>SERVICIO DE MANTENIMIENTO DEL SISTEMA DE SEGURIDAD DE LA  ANTIGUA HIPICA MILITAR (01-09-2022 AL 31-08-2023)</t>
  </si>
  <si>
    <t>2023 09 3341 22701</t>
  </si>
  <si>
    <t>SERVICIO DE MANTENIMIENTO DEL SISTEMA DE SEGURIDAD DE LA  CUPULA DEL MILENIO Y GALERIAS VA (01-09-2022 AL 31-08-2023)</t>
  </si>
  <si>
    <t>Mantenimiento de sistemas de seguridad y video vigilancia de los CPM TRANSFERIDOS Serv.Iniciativas Sociales-año 2023</t>
  </si>
  <si>
    <t>Mantenimiento de sistemas de seguridad y video vigilancia de los centros del Servicio de  Iniciativas Sociales-año 2023</t>
  </si>
  <si>
    <t>UNIPREX,S.A.U.</t>
  </si>
  <si>
    <t>CAMPAÑA FOMENTO PARTICIPACIÓN CIUDADANA // EMISORA:VALLADOLID CV.; REF.EXTERNA:;ORDEN:1464228851;</t>
  </si>
  <si>
    <t>S.S.DE LOS REYES</t>
  </si>
  <si>
    <t>CAMPAÑA FOMENTO PARTICIPACIÓN CIUDADANA // EMISORA:VALLADOLID  EFM; REF.EXTERNA:;ORDEN:1464228852;</t>
  </si>
  <si>
    <t>MANTENIMIENTO DE LOS SISTEMAS DE SEGURIDAD Y CCTV EN CENTROS DE INFANCIA, JUVENTUD E IGUALDAD / DURANTE 2023</t>
  </si>
  <si>
    <t>REPARACIÓN DE ATASCOS EN LAS REDES DE SANEAMIENTO DE LOS COLEGIOS PÚBLICOS. AÑO 2023</t>
  </si>
  <si>
    <t>CTTO SUMINISTRO 4 SUSCRIPCIONES ANUALES A LA REVISTA ALTERNATIVAS ECONÓMICAS//AÑO 2023</t>
  </si>
  <si>
    <t>CTTO SUMINISTRO SUSCRIPCIÓN 3 REVISTAS DE AXEL SPRINGER ESPAÑA S.A PARA BIBLIOTECAS PÚBLICAS//AÑO 2023</t>
  </si>
  <si>
    <t>ANTONIO DEL HOYO VENTURA</t>
  </si>
  <si>
    <t>CTTO SERVICIOS REALIZACIÓN DE TALLER PARA CREACIÓN DE CÓMICS//AÑO 2023</t>
  </si>
  <si>
    <t>SUMINISTRO DE PLATAFORMAS, BRAZOS ARTICULADOS Y TIJERAS ELECTRICAS PARA SU UTILIZACIÓN POR MANTENIMIENTO EN COLEGIOS. 23</t>
  </si>
  <si>
    <t>CABEZON DE PISUERGA</t>
  </si>
  <si>
    <t>2023 06 3321 22199</t>
  </si>
  <si>
    <t>CTTO SUMINISTRO SOBRES AYUNTAMIENTO DE 115X225 VENTANA DCHA IMPRESOS CON TIRA DE SILICONA//1 MES</t>
  </si>
  <si>
    <t>MNTO INSTALACIONES DE PROTEC. CONTRA INCENDIOS // E.I.M. / EXPTE: SE EIJI 27/21 - LOTE 1 /  MES DE DICIEMBRE-2022</t>
  </si>
  <si>
    <t>CELADURIAS DICIEMBRE 2022 / EXPT. SESS 41/2020 PS3 LOTE 5 CENTRO IGUALDAD</t>
  </si>
  <si>
    <t>CTTO SERVICIOS DE MANTENIMIENTO DE LOS SISTEMAS DE SEGURIDAD EN LAS EIM Y CENTRO MUNICIPAL DE ADULTOS//AÑO 2023</t>
  </si>
  <si>
    <t>CAJETIN ALARMA DEL CPM RONDILLA- DUR 1 DIA</t>
  </si>
  <si>
    <t>MANTENIMIENTO SISTEMA DE  ALARMA CENTRO MUNICIPAL DE ACUSTICA</t>
  </si>
  <si>
    <t>2023 08 1301 22706</t>
  </si>
  <si>
    <t>URBANIZACIÓN CALLE SEO - VALLADOLID</t>
  </si>
  <si>
    <t>SERV.  MANTENIMIENTO  EQUIPOS ELECTRÓNICOS DE SEGURIDAD Y VIGILANCIA DEL SERVICIO DE POLICÍA MUNICIPAL 2023.</t>
  </si>
  <si>
    <t>DIARIO ABC, S.L.</t>
  </si>
  <si>
    <t>CTTO SUMINISTRO SUSCRIPCIÓN ANUAL DIARIO ABC PARA BIBLIOTECAS PÚBLICAS//AÑO 2023</t>
  </si>
  <si>
    <t>Mantenimiento de la instalación del Sistema de Seguridad y Alarma en  el Centro Municipal de Protección Animal. 2023</t>
  </si>
  <si>
    <t>REPARACIÓN DE LLAVES DE ALARMA Y REPOSICIÓN DE SISTEMAS.</t>
  </si>
  <si>
    <t>Seguridad y alarma de la Casa del Barco, Edificio Anexo. Año 2023.</t>
  </si>
  <si>
    <t>CTTO SERVICIOS MANTENIMIENTO STMAS DE SEGURIDAD EN LAS EIM Y CENTRO MUNICIPAL DE ADULTOS//AÑO 2023 REAJUSTE A PROYECTO</t>
  </si>
  <si>
    <t>CTTO SERVICIOS MANTENIMIENTO STMAS DE SEGURIDAD EN EIM Y CENTRO MUNICIPAL ADULTOS. 2023. ENLAZADO A PROYECTO: 1.823,16</t>
  </si>
  <si>
    <t>CTTO SERVICIOS MANTENIMIENTO SISTEMAS SEGURIDAD DE LA EMMVA SITUADA EN EL COLEGIO MARÍA DE MOLINA//AÑO2023</t>
  </si>
  <si>
    <t>SUMINISTRO ANUAL DE GAS PARA PISTOLAS GALERÍA DE TIRO VIRTUAL DE LA POLICÍA MUNICIPAL.</t>
  </si>
  <si>
    <t>EXPTE.6/22 SEGU Y SALUD OBRAS FASE I REURBANIZACIÓN C. DANIEL DEL OLMO Y PRIMER TRAMO NORTE DE CASTILLA (POL. ARGALES)</t>
  </si>
  <si>
    <t>SUMINISTRO DE EQUIPAMIENTO MOTORISTA (GUANTES) EXPTE. SPSC-SE 026/2022. LOTE 2.  EJERC. 2023.</t>
  </si>
  <si>
    <t>ADJUDICAR CONTROL CALIDAD LOTE II DEL  ARU 29 DE OCTUBRE FASE II</t>
  </si>
  <si>
    <t>2023 05 4331 206</t>
  </si>
  <si>
    <t>ALQUILER ROUTER TEMPORAL INSTALADO EN NAVE HUB INNOVACIÓN C/ VALLE DE ARÁN, 1. SISTEMA DE DETECCIÓN Y VIDEOVIGILANCIA</t>
  </si>
  <si>
    <t>CTTO SERVICIOS MANTENIMIENTO SISTEMAS SEGURIDAD//BIBLIOTECAS CAMPO GRANDE Y MARTIN ABRIL//AÑO 2023</t>
  </si>
  <si>
    <t>CTTO SERVICIOS CONEXIÓN SISTEMA DE SEGURIDAD EN LA EIM CASCABEL//AÑO 2023</t>
  </si>
  <si>
    <t>COPIA DE LLAVE ELECTRÓNICA SISTEMA DE SEGURIDAD CC ZONA SUR</t>
  </si>
  <si>
    <t>2023 06 3231 22199</t>
  </si>
  <si>
    <t>CTTO SUMINISTRO LLAVE SISTEMA DE SEGURIDAD CASCABEL//2023</t>
  </si>
  <si>
    <t>2023 06 3321 625</t>
  </si>
  <si>
    <t>SUMINISTROS TECNICOS GALICIA S.L.</t>
  </si>
  <si>
    <t>SE-EIJI 20/2022 ADJUDICACIÓN SUMINISTRO MOBILIARIO, EDIFICIO DESTINADO A BIBLIOTECA EN PARCELA 143-F PARQUESOL. LOTE 1</t>
  </si>
  <si>
    <t>Contrato con ACQUAJET para el suministro de botellas de agua para la Dirección de Área de Movilidad y Espacio Urbano.</t>
  </si>
  <si>
    <t>REPARACIÓN DE EMISORAS PARA VEHÍCULOS DEL SERVICIO DE LIMPIEZA.</t>
  </si>
  <si>
    <t>GASTO PAPEL PARA TRABAJOS A REALIZAR POR LA IMPRENTA MUNICIPAL PARA EL AREA DE CULTURA Y TURISMO</t>
  </si>
  <si>
    <t>CONTROL DE ALARMAS DE EDIFICIOS E INSTALACIONES ADSCRITOS AL SERVICIO DE PARQUES Y JARDINES. 2023.</t>
  </si>
  <si>
    <t>IDEOTUR, S.L.L.</t>
  </si>
  <si>
    <t>SIJI 9/2020 CONTRATO DE GESTION DE LA ESCUELA DE FORMACION Y ANIMACION JUVENIL. REAJUSTE DE ANUALIDADES</t>
  </si>
  <si>
    <t>SUMINISTRO LUNA UÑEROS 1830x468 mm CC DELICIAS</t>
  </si>
  <si>
    <t>2023 05 4312 22700</t>
  </si>
  <si>
    <t>PRIMERA PRORROGA CONTRATO LIMPIEZA DEPENDENCIAS MUNICIPALES-ANTIGUA OMIC (PR-SE-31/2020)</t>
  </si>
  <si>
    <t>2023 03 9241 22706</t>
  </si>
  <si>
    <t>ASIST. TÉCNICA AL SPC EN EL CONTROL DE EJECUCIÓN DE LOS SERVICIOS DE MANTENIMIENTO DE EDIFICIOS(DE 1/1 2023 A 31/7 2024)</t>
  </si>
  <si>
    <t>AT.CONTROL CALIDAD (3 Lotes) SEMEU 8/2021 para obras Conserv.reparación y reforma de instalaciones Alumbrado Público.</t>
  </si>
  <si>
    <t>C.CALIDAD LOTE 2 CONST.NUEVA RED DE ENERGIA ELECT.(MEDIA Y B.TESIÓN)EN C/ VILLABAÑEZ Y ZORZAL(ARU 29 OCTUBRE FII C.MENOR</t>
  </si>
  <si>
    <t>CONTRATO CONTROL DE CALIDAD OBRAS REMODELACIÓN GALERIAS MUNICIPALES DE ALIMENTACIÓN RONDILLA STA. TERESA (LOTE 2)</t>
  </si>
  <si>
    <t>CONTROL CALIDAD DESPRENDIMIENTO QUE SUSTENTA TERRAZA PÓRTICO ENTRADA CASA CONSISTORIAL</t>
  </si>
  <si>
    <t>CONTRATO SERVICIOS DE COORDINACIÓN EN MATERIA DE SEGURIDAD YSALUD EN OBRAS Y PROYECTOS AYTO.VALLAD.LOTE 2 INFRAESTRUCTUR</t>
  </si>
  <si>
    <t>ASISTENCIA TÉCNICA Y DIREC.FACULTAT.OBRAS REURBANIZACIÓN AVDA. NORTE DE CASTILLA (FASE I) POL.ARG,EXPTE.6/22</t>
  </si>
  <si>
    <t>CONTROL CALIDAD OBRAS REHABILITACIÓN CUATRO BLOQUES EN CALLE VILLABAÑEZ,12,14,16 Y 18(29 OCTUBRE FASE II).</t>
  </si>
  <si>
    <t>Redacción EBSyS para proyecto ""Renovación de redes abastecimiento y saneamiento: Refuerzo firme C/ López Gómez"".</t>
  </si>
  <si>
    <t>Control Calidad Urbanización calle Seo Enero 2023</t>
  </si>
  <si>
    <t>2023 10 2312 216</t>
  </si>
  <si>
    <t>KEYCOES COMUNICACION S.L.</t>
  </si>
  <si>
    <t>MANT.Y REPARAC. EQUIPOS INFORMATICOS DE CPMS ARCA R,Z.ES.HTA Y CENTRO AÑO 2023 DE 1/1 A 28/2 DE 2023 -EXPTE.SESS12/19 PS</t>
  </si>
  <si>
    <t>REPARACIÓN DE FUGAS EN INSTALAC. DE CALEFACCIÓN DEL EDIF DE SAN BENITO (PUERTAS 18 Y 20 SERVIC. DE CONTROL DE LEGALIDAD)</t>
  </si>
  <si>
    <t>CTTO SERVICIOS CORRECTIVOS EN  PCI TRAS INSPECCIÓN POR OCAS EN CEIPS(LOTE 1) FUERA DEL CTTO DE MANTENIMIENTO//2023</t>
  </si>
  <si>
    <t>CURENERGIA COMERCIALIZADOR DE ULTIMO RECURSO S.A.U.</t>
  </si>
  <si>
    <t>COMPENSACION BONO SOCIAL REMESA FACTURAS FOTOVOLTAICAS DEL MES DE ENERO 2023</t>
  </si>
  <si>
    <t>MANT.Y REPARAC. EQUIPOS INFORMATICOS DE CPM VICTORIA AÑO 2023 DE 1/1 A  28/2 DE 2023-EXPTE.SESS12/19 PS3</t>
  </si>
  <si>
    <t>Ensayos Control calidad Lote 1 obras de remodelación de la avenida Reyes Católicos en Valladolid (expediente 1/2022).</t>
  </si>
  <si>
    <t>2023 07 1711 213</t>
  </si>
  <si>
    <t>COMERCIAL AGRICOLA CASTELLANA,S.L</t>
  </si>
  <si>
    <t>ACEITE HIDRAULICO HY-GARD / SIGAUS / CASQUILLO EJE DELANTERO / BULON EJE DELANTERO / ROTULA ESFERICA DIRECCION / ROTULA</t>
  </si>
  <si>
    <t>VÁSTAGO / SOLDADURA DE MATERIA PRIMA / BRIDA PLASTICO 295X4,8MM / CATADIOPTRICO / DISCO CORTE PROF. 115X1 / FARO / MANO</t>
  </si>
  <si>
    <t>TERMINAL OJAL Nº50 / BATERÍA CON CARGA LÍQUIDA/ CABLE MANGUERA 3X2,50 DÓMESTICO / FUNDA TERMORETRACTIL /</t>
  </si>
  <si>
    <t>ADJUDICA RENOVACIÓN DOS SUSCRIPCIONES ANUALES A EL NORTE DE CASTILLA AÑO 2023 - MEDIOS DE COMUNICACIÓN</t>
  </si>
  <si>
    <t>ASISTENCIA TÉC. PARA LA COORDINACIÓN DE SEGURIDAD Y SALUD OBRA PASOS INFERIORES PANADEROS/LABRADORES</t>
  </si>
  <si>
    <t>Servicio de celaduría en COMEDOR SOCIAL de 1/1/2023 A 31/7/2023</t>
  </si>
  <si>
    <t>EXCLUSIVAS MAOR, S.L.</t>
  </si>
  <si>
    <t>MANO DE OBRA / STIHL JOGO DE JUNTAS DE VEDAÇÃO 42820071010 / STIHL VÁLVULA DE ADMISIÓN 42820251801 / STIHL  VÁLVULA DE E</t>
  </si>
  <si>
    <t>STIHL  CINTURÓN DE HERRAMIENTAS CUERO, NEGRO 8810602 / STIHL TIRANTES STIHL 8841510 / Campo Grande / STIHL RG DESMALEZAD</t>
  </si>
  <si>
    <t>MANO DE OBRA / STIHL FILTRO ACEITE 0001 020 9602 / KAWASAKI FILTRO DE AIRE REF. 110290032 / TORO CUCHILLA REF. 133-8183/</t>
  </si>
  <si>
    <t>STIHL  LLAVE UNIVERSAL 8903402</t>
  </si>
  <si>
    <t>TECNICA VALLISOLETANA DEL CLIMA, S.L.</t>
  </si>
  <si>
    <t>Albarán OT/ 135788 de 19/01/2023 ( REPARACIÓN EN TALLER DE CORTACÉSPED HONDA RH 536 REF.: HUERTA DEL REY 1 VALE Nº: 1410</t>
  </si>
  <si>
    <t>ALBARÁN OT/ 135405 DE 15 y 22/12/2022 ( REPARACIÓN EN TALLER DE CORTASETOS HUSQVARNA 536 LI HD60X RETIRADO EL 27/12/2022</t>
  </si>
  <si>
    <t>ADJ.SEGURIDAD Y SALUD EXPT.46/21 REURB.PZA.DE LA COMUNICACIÓN (ANTIGUA AP25-1 ARIZA) EN CALLE ADOLFO SUAREZ</t>
  </si>
  <si>
    <t>2ª PRÓRROGA SEGURIDAD Y SALUD LOTE 2 SEÑALIZACIÓN HORIZONTAL (Enero-Julio 2023)</t>
  </si>
  <si>
    <t>ASISTENCIA TECNICA Y DIREC.OBRAS REURBANIZACIÓN AVDA. NORTE DE CASTILLA(FASE 1) POL. ARGALES EXPTE 6/22.</t>
  </si>
  <si>
    <t>MODIFICADO OBRA REHABILITACIÓN ANTIGUO FRONTÓN LAS FLORES PARA CENTRO DOTACIONAL</t>
  </si>
  <si>
    <t>2023 11 1621 203</t>
  </si>
  <si>
    <t>MANTENIMIENTO EQUIPO POU (FUENTE DE AGUA) DURANTE EL 2023 PARA EL SERVICIO DE LIMPIEZA.</t>
  </si>
  <si>
    <t>Alquiler y mantenimiento de fuente de agua en Agencia de Innovación, Cl Vega Sicilia 2. Año 2023</t>
  </si>
  <si>
    <t>SUMINISTRO DE CISTERNA  PARA EL CENTRO OCUPACIONAL</t>
  </si>
  <si>
    <t>RETIRADA RESIDUOS DEL LABORATORIO DE LA RED DE CONTAMINACION</t>
  </si>
  <si>
    <t>REPARACIÓN DE DUMPERS.</t>
  </si>
  <si>
    <t>MANTENIMIENTO CALEFACCION DEL JACINTO BENAVENTE DURANTE 2023</t>
  </si>
  <si>
    <t>Reparación y trabajos en plataformas elevadoras. Ejercicio 2023.</t>
  </si>
  <si>
    <t>SUMINISTRO MATERIAL OFICINA PARA EL CENTRO DE FORMACION PARA EL EMPLEO- CURSOS MIXTOS DURANTE 2023</t>
  </si>
  <si>
    <t>Mantenimiento y reparación nueva máquina retro-excavadora</t>
  </si>
  <si>
    <t>RENOVACIÓN Y CONTRATACIÓN DE DOMIOS DE LA AGENCIA DE INNOVACIÓN Y DESARROLLO ECONOMICO. AÑO 2023</t>
  </si>
  <si>
    <t>2023 10 2312 22615</t>
  </si>
  <si>
    <t>PETICIONES DE IMPRESION A LA IMPRENTA MUNICIPAL DEL SERVICIO DE INICIATIVAS SOCIALES</t>
  </si>
  <si>
    <t>2ª PRÓRROGA SEGURIDAD Y SALUD LOTE 1 SEÑALIZACIÓN VERTICAL (Enero-Julio'2023)</t>
  </si>
  <si>
    <t>PROCODIMA, S.L.</t>
  </si>
  <si>
    <t>MONTAJE Y DESMONTAJE CASETAS BAZAR NAVIDEÑO.30% AL FINALIZAR EL MONTAJE Y EL 70% AL FINALIZAR EL DESMONTAJE.</t>
  </si>
  <si>
    <t>MOSTOLES</t>
  </si>
  <si>
    <t>MANTENIMIENTO SIST.SEGURIDAD Y VIDEO-VIGIL.CENTROS INTERVENCIÓN SOCIAL - AÑO 2023</t>
  </si>
  <si>
    <t>Mantenimiento sistema de seguridad y video vigilancia del Centro de Formación Jacinto Benavente. AÑO 2023.</t>
  </si>
  <si>
    <t>Mantenimiento sistema de seguridad y video vigilancia del Centro de Formación Jacinto Benavente. AÑO 2023. BARRADO</t>
  </si>
  <si>
    <t>PRÓRROGA CONTRATO SERVICIOS GESTION DE LA ESCUELA DE FORMACIÓN Y ANIMACIÓN JUVENIL / 29/01/23 A 28/01/24</t>
  </si>
  <si>
    <t>VESTUARIO PARA EL CURSO DE PARQUES Y JARDINES IV DEL CENTRO DE FORMACION PARA EL EMPLEO- JACINTO BENAVENTE</t>
  </si>
  <si>
    <t>Redacción Estudio Seguridad y Salud para el proyecto ""Reparación de la Urbanización Santa Ana:  Calle Atenas"".-</t>
  </si>
  <si>
    <t>TALLERES MEDIACIÓN LECTORA CENTRO MUNICIPAL DE LA IGUALDAD / FEBRERO A ABRIL 2023</t>
  </si>
  <si>
    <t>TALLERES MEDIACIÓN LECTORA CENTRO MUNICIPAL DE LA IGUALDAD / MARZO, MAYO, JUNIO 2023</t>
  </si>
  <si>
    <t>SUSTITUCIÓN DE UN VIDRIO MATE ROTO, EN VIVIENDA MUNICIPAL DE PLAZA CHURRERÍA Nº 7</t>
  </si>
  <si>
    <t>REPARACION VENTANA DE 2 HOJAS CORREDERAS  DEL CPM DELICIAS- DUR 1 DIA</t>
  </si>
  <si>
    <t>2023 11 3111 22700</t>
  </si>
  <si>
    <t>PRORROGA CONTRATO  LIMPIEZA DE DEPENDENCIAS MUNICIPALES AÑO 2023 PARA CENTRO MUNICIPAL DE PROTECCION ANIMAL- LOTE 9</t>
  </si>
  <si>
    <t>PRORROGA CONTRATO LIMPIEZA DE DEPENDENCIAS MUNICIPALES AÑO 2023 PARA EL CONSULTORIO DEL PINAR DE ANTEQUERA - LOTE 9</t>
  </si>
  <si>
    <t>DIRECCIÓN FACULTATIVA OBRAS ADAPTACIÓN EDIFICIO DE JEFATURA POLICÍA MUNICIPAL. FASE II.</t>
  </si>
  <si>
    <t>2023 02 1511 600</t>
  </si>
  <si>
    <t>IVAN RODRIGUEZ  PALACIOS</t>
  </si>
  <si>
    <t>ASISTENCIA TÉCNICA.REDAC.PROYECTO ACTUACIÓN DETERMINACIONES COMPLETAS REP.SECTOR 53 CIUDAD JARDIN</t>
  </si>
  <si>
    <t>J.M.B.ALCAÑIZ, S.L.</t>
  </si>
  <si>
    <t>SUM. E INST. MICRÓFONO INALÁMBRICO DUAL EN CC ESGUEVA</t>
  </si>
  <si>
    <t>REPROGRAMACIÓN DIMMER Y FOCOS LED ESCENARIO CC CAMPILLO Y KIT DE CABLEADO PARA CC ZONA SUR</t>
  </si>
  <si>
    <t>SUMINISTRO DE CABLE ADAPTADOR PARA CC CAMPILLO</t>
  </si>
  <si>
    <t>SUMINISTRO DE DOS ORDENADORES PORTÁTILES PARA CC ESGUEVA Y CC PARQUESOL</t>
  </si>
  <si>
    <t>JADE MUSICAL,S.L.</t>
  </si>
  <si>
    <t>ALQUILER EQUIPAMIENTO DE ILUMINACIÓN, SONIDO Y VIDEO PARA LA CELEBRACIÓN DEL""TOUR DEL TALENTO""  DEL 13 AL 17 DE MARZO</t>
  </si>
  <si>
    <t>230</t>
  </si>
  <si>
    <t>JCDECAUX ESPAÑA SLU</t>
  </si>
  <si>
    <t>ALQUILER MARQUESINAS Y RED MUPIS MUNICIPALES. SEMANA TOUR DEL TALENTO EN VALLADOLID DEL 13 AL 18 DE MARZO DE 2023.</t>
  </si>
  <si>
    <t>2023 08 1341 625</t>
  </si>
  <si>
    <t>SUMINISTRO INSTALACIÓN DE ASEO PÚBLICO AUTOMÁTICO ACCESIBLE</t>
  </si>
  <si>
    <t>ADQ. ""PANELES INFORMACIÓN SAE (Tecnología incluida)"" para proy. PRTR ""Ciudades Conectadas"". AD 22022/76749 rmte. incorp.</t>
  </si>
  <si>
    <t>JESUS ENRIQUE ROYUELA  CASAMAYOR</t>
  </si>
  <si>
    <t>CTTO SUMINISTRO SUSCRIPCIÓN REVISTA ""PRINCIPIA KIDS"" PARA BIBLIOTECAS PÚBLICAS//AÑO 2023</t>
  </si>
  <si>
    <t>CUENCA</t>
  </si>
  <si>
    <t>TEATRO EN CIC EMPECINADO EL DÍA 07/05/2023. MFS</t>
  </si>
  <si>
    <t>ALDEA DE SAN MIGUEL</t>
  </si>
  <si>
    <t>NEONYMUS: CONCIERTO DIDÁCTICO EN CC JOSÉ MARÍA LUELMO EL DÍA 15/04/2023. MFS</t>
  </si>
  <si>
    <t>CTTO SERVICIOS CORRECTIVOS EN PCI TRAS INSPECCIÓN POR OCAS EN CEIPS (LOTE 2) FUERA DE CTTO DE MANTENIMIENTO//2023</t>
  </si>
  <si>
    <t>REPARTO Y BUZONEO DE LA GUÍA DEL CONTRIBUYENTE EJERCICIO 2023</t>
  </si>
  <si>
    <t>IMPRESIÓN Y ENCUADERNACIÓN DE 120 EJEMPLARES DE LAS ORDENANZAS FISCALES-2023</t>
  </si>
  <si>
    <t>F - 440 - MANTENIMIENTO INSTALACION PROTECCION CONTRA INCENDIOS - CEAS - (LOTE 4) -  ANUALIDAD 2022 - JOMAR SEGURIDAD SL</t>
  </si>
  <si>
    <t>INGENIA SOLUCIONES EN MOVILIDAD, S.L.</t>
  </si>
  <si>
    <t>SISTEMA AUTOMATIZADO PRESTAMO BICICLETAS VALLABICI</t>
  </si>
  <si>
    <t>OSSA DE MONTIEL</t>
  </si>
  <si>
    <t>ZARDOYA OTIS, S.A.</t>
  </si>
  <si>
    <t>MANTENIMIENTO DE APARATOS ELEVADORES PZA. SANTA ANA, 6 // PERIODO 01-12-2022/31-12-2022</t>
  </si>
  <si>
    <t>REDACCIÓN DE PROYECTOS SELECCIONADOS EN EL PROCESO DE PRESUPUESTOS PARTICIPATIVOS 2022// EXP. SPC 2/2023</t>
  </si>
  <si>
    <t>2023 07 1711 22700</t>
  </si>
  <si>
    <t>lLIMPIEZA VESTUARIOS DE PARQUES Y JARDINES</t>
  </si>
  <si>
    <t>Coordinación de PSS contrato obras instalación elevadores urbanos ladera este Parquesol (expediente 50/2021 SEMEU)</t>
  </si>
  <si>
    <t>CONTRATO DE SUMINISTRO EN RÉGIMEN DE ALQUILER DE INSTALACIONES ELÉCTRICAS TEMPORALES (LOTE 2)</t>
  </si>
  <si>
    <t>Mant. inst. protección contra incendios INTERVENCIÓN SOC. AÑO 22, AÑO 23 y AÑO 24 (LOTE 4).</t>
  </si>
  <si>
    <t>CTO-PR: 486467 RAE: 15127 PS JUAN CARLOS I 84 CEIP NARCISO ALONSO //DICIEMBRE-2022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</si>
  <si>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</si>
  <si>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</si>
  <si>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SPRAY SEGOPI-TECH BLANCO BRILLO RAL 9010 0,4LT                              ( DESARROLLO EMPRESARIAL )</t>
  </si>
  <si>
    <t>LIMPIEZAS ELPERAL</t>
  </si>
  <si>
    <t>LIMPIEZA DE LOS CRISTRALES DEL CENTRO DE VIDA ACTIVA PARQUESOL, UBICADO EN LA C/ ENRIQUE CUBERO, 1- INICIATIVAS SOCIALES</t>
  </si>
  <si>
    <t>INGENIERIA Y DESARROLLO SOSTENIBLE DEL SIGLO XXI, S.L.</t>
  </si>
  <si>
    <t>Redacción del Proyecto y A.T. a la Dirección de obra de Rehabilitación integral del Puente Colgante en Valladolid.-</t>
  </si>
  <si>
    <t>REVISIÓN, RETIMBRADO Y RELLENADO DE EXTINTORES EN DEPENDENCIAS Y VEHÍCULOS DE LA POLICÍA MUNICIPAL.</t>
  </si>
  <si>
    <t>ACEITE HY-GARD LATA 5.Lts / SIGAUS</t>
  </si>
  <si>
    <t>mant. inst.proteccion contra incendios C.FORM.EMPLO JAC.BENAV.AÑO 22, 23 Y 24</t>
  </si>
  <si>
    <t>ENVASE GLOBAL 10W40 SMART ( MORERAS )</t>
  </si>
  <si>
    <t>REPARACIÓN VARIOS VEHÍCULOS // ALINEADO DE CAMION / REPARAR RUEDA TURISMO / EQUILIBRAR RUEDA TURISMO / EQUILIBRAR RUEDA</t>
  </si>
  <si>
    <t>AMPLIACION LOTE 2 COMIDAS SERVICIO A DOMICILIO/ SESS/97/19 PS 13/ENERO-AGOSTO 2023</t>
  </si>
  <si>
    <t>2023 07 1711 22113</t>
  </si>
  <si>
    <t>ALBERTO SANCHEZ  CALDERON</t>
  </si>
  <si>
    <t>SUMINISTRO DE ANIMALES PARA LA FAUNA URBANA (CEREALES Y PIENSO).</t>
  </si>
  <si>
    <t>ARTISTAMENTE, SOCIEDAD LIMITADA</t>
  </si>
  <si>
    <t>TALLERES BORDAL POSTAL Y MUJERES POR CARTA EN EL CENTRO MUNICIPAL DE LA IGUALDAD</t>
  </si>
  <si>
    <t>ANA BELEN DIEZ DE LA CALLE</t>
  </si>
  <si>
    <t>CONFERENCIA HOMENAJE MUJERES EXPLORADORAS EN MUSEO DE LA CIENCIA DE VALLADOLID. DIA MUJER Y LA NIÑA CIENCIA / FEB 2023</t>
  </si>
  <si>
    <t>AXIOMA ANALISIS ESTADISTICOS SL</t>
  </si>
  <si>
    <t>CONTRATO PUENTE HASTA EJECUCIÓN  CONTRATO DE DE SERVICIO DE MANTENIMIENTO DEL OBSERVATORIO TURISTICO ENER Y FEBR 2023</t>
  </si>
  <si>
    <t>SUMINISTRO MATERIAL SANITARIO DESECHABLE, E INSTRUMENTAL QUIRURGICO. DEPARATAMENTO DE PREVENCION Y SALUD LABORAL</t>
  </si>
  <si>
    <t>ESPECTÁCULO ""EFECTO MATILDA"" EN CC MOSQUERA Y EN CC ZONA ESTE (DÍAS 6 Y 9 DE MARZO) CELEBRACIÓN DIA INTNAL. DE LA MUJER</t>
  </si>
  <si>
    <t>ASOC. CULTURAL MUSICAL LA TORZIDA</t>
  </si>
  <si>
    <t>BATUCADA EN CIC EMPECINADO 20/2/23.PROGRAMA CARNAVAL 2023 DEL SPC</t>
  </si>
  <si>
    <t>ASOC. CULTURAL RIBERA DEL PISUERGA</t>
  </si>
  <si>
    <t>ACTUACIÓN PASACALLES EN CC DELICIAS 21/02/23. PROGRAMA CARNAVAL 2023 DEL SPC</t>
  </si>
  <si>
    <t>ASOCIACIÓN CULTURAL LA LUZ DE LAS DELICIAS</t>
  </si>
  <si>
    <t>ESPECTÁCULO DE CIRCO EN CC CASA CUNA 17/2/23. PROGRAMA CARNAVAL 2023 DEL SPC</t>
  </si>
  <si>
    <t>2023 11 1621 219</t>
  </si>
  <si>
    <t>CERRAMIENTOS METALICOS ARTENOX SL</t>
  </si>
  <si>
    <t>REPARACIONES Y MANTENIMIENTO DE CONTENEDORES DE RECOGIDA SELECTIVA DE PAPEL Y CARTÓN. SERVICIO DE LIMPIEZA.</t>
  </si>
  <si>
    <t>AMPLIACION PROG. CONSTRUYENDO MI FUTURO EN CONTRATO GESTION PROY.SOCIOEDUC.Y DES.COM-HASTA AGOSTO 2023</t>
  </si>
  <si>
    <t>FUNDACION PARA EL FOMENTO DE LA INNOVACION INDUSTRIAL</t>
  </si>
  <si>
    <t>CALIBRACIONES SONÓMETROS MEDIO AMBIENTE. EXPEDIENTE VS 7/2020</t>
  </si>
  <si>
    <t>MANTENIMIENTO DE LA RED DE VOZ Y DATOS DEL AYUNTAMIENTO DE VALLADOLID</t>
  </si>
  <si>
    <t>2023 05 4331 22609</t>
  </si>
  <si>
    <t>JORGE FRANCISCO GOMEZ  VILLANUEVA</t>
  </si>
  <si>
    <t>GESTION Y PRODUCCION ACTUACION OCER Y RADE. SEMANA TOUR DEL TALENTO EN VALLADOLID DEL 13 AL 18 DE MARZO DE 2023.</t>
  </si>
  <si>
    <t>PROMOCION Y DIFUSION ENTE LOS JOVENES DE SEMANA TOUR DEL TALENTO EN VALLADOLID DEL 13 AL 18 DE MARZO DE 2023.</t>
  </si>
  <si>
    <t>GRABACIÓN DE VIDEO Y CUÑAS PARA ENTREGAR A LOS MEDIOS ENCARGADOS DE SU DIFUSIÓN</t>
  </si>
  <si>
    <t>2023 01 9203 22799</t>
  </si>
  <si>
    <t>RECOGIDA PAPEL EDIFICIOS MUNICIPALES CASA CONSISTORIAL, SAN BENITO Y SANTA ANA AÑO 2023</t>
  </si>
  <si>
    <t>SANCHEZ VILLARREAL S.L.</t>
  </si>
  <si>
    <t>REPARACIÓN FACHADA EDIFICIO DEL SERVICIO DE LIMPIEZA EN CALLE TOPACIO</t>
  </si>
  <si>
    <t>VALDESTILLAS</t>
  </si>
  <si>
    <t>SUSTITUCIÓN DE LINOELUN ABOMBADO EXISTENTE SOBRE TARIMA TAPADA EN OFICINA DE SAN BENITO PUERTA Nº9</t>
  </si>
  <si>
    <t>REPARACIÓN E INSTALACIÓN SUELO VINÍLICO EN DEPENDENCIAS DISTRITO 1º.</t>
  </si>
  <si>
    <t>CARTELES EXPOSICIONES CENTROS CÍVICOS MESES DE NOV Y DIC 2022</t>
  </si>
  <si>
    <t>LA VALCUEVA</t>
  </si>
  <si>
    <t>EXPTE SE-EIJI 10/22 PS11. PRORROGA CTTO GESTION EIM EL PRINCIPITO. LOTE 3. 2023. ENLAZADO A PROYECTO: 142.832,00</t>
  </si>
  <si>
    <t>EXPTE SE-EIJI 10/22 PS11. PRORROGA CTTO GESTION EIM MAFALDA Y GUILLE. LOTE 7. 2023. ENLAZADO A PROYECTO: 139.232</t>
  </si>
  <si>
    <t>EXPTE SE-EIJI 10/22 PS 11. PRORROGA CTTO GESTION EIM LA COMETA. LOTE 5. 2023. 114331,43 ¿ ENLAZADO A PROYECTO</t>
  </si>
  <si>
    <t>EXPTE SE-EIJI 10/22 PS 11. PRORROGA CTTO GESTION EIM CAMPANILLA LOTE 1. AÑO 23. (108.628,58 ENLAZADO A PROYECTO)</t>
  </si>
  <si>
    <t>EXPTE SE-EIJI 10/22 PS11. PRORROGA CTTO GESTION EIM CASCANUECES. LOTE 2. AÑO 2023 (ENLAZADO A PROYECTO: 78.229,33)</t>
  </si>
  <si>
    <t>EXPTE SE-EIJI 10/22 PS11. PRORROGA CTTO GESTION EIM PLATERO. LOTE 8. 2023. ENLAZADO A PROYECTO: 73.387,68 ¿</t>
  </si>
  <si>
    <t>EXPTE SE-EIJI 10/22 PS11. PRORROGA CTTO GESTION EIM EL GLOBO. LOTE 9. 2023. ENLAZADO A PROYECTO: 41.792,29 ¿</t>
  </si>
  <si>
    <t>EXPTE SE-EIJI 10/22 PS11. PRORROGA CTTO GESTION EIM FANTASIA. LOTE 4. AÑO 2023. ENLAZADO A PROYECTO 41.703,12</t>
  </si>
  <si>
    <t>EXPTE SE-EIJI 10/22 PS11. PRORROGA CTTO GESTION EIM CABALLITO BLANCO. LOTE 10. 2023. ENLAZADO A PROYECTO: 39.540,72 ¿</t>
  </si>
  <si>
    <t>EXPTE SE-EIJI 10/22 PS11. PRORROGA CTTO GESTION EIM EL TOBOGAN.  LOTE 6. 2023. ENLAZADO A PROYECTO: 61.832,00</t>
  </si>
  <si>
    <t>ALMACEN DE RECAMBIOS PAHER, S.A.</t>
  </si>
  <si>
    <t>DISCO CAUCHO QUITA ADHESIVOS STANDA//SERVICIO DE EXTINCION DE INCENDIOS</t>
  </si>
  <si>
    <t>CAMBIO DE BATERIA INTERNA - SCHILLER FRED PA-1, DE LOS DESFIBRILADORES DEL CPM PTE. COLGANTE- CPM H. DEL REY E INEA</t>
  </si>
  <si>
    <t>COSLADA</t>
  </si>
  <si>
    <t>EXPTE SE-EIJI 10/2022 PS 11. PROR CTTO GESTION EIM PLATERO. L 8. AÑO 2023 Y 01/01 A 31/08/2024. REAJUSTE A PROYECTO</t>
  </si>
  <si>
    <t>EXPTE SE-EIJI 10/2022 PS 11. PROR CTTO  GESTION EIM CAMPANILLA. L 1. AÑO 2023 Y 01/01 A 31/08/2024. REAJUSTE A PROYECTO</t>
  </si>
  <si>
    <t>EXPTE SE-EIJI 10/2022 PS 11. PROR CTTO GESTION EIM EL PRINCIPITO. L 3. AÑO 2023 Y 01/01 A 31/08/2024. REAJUSTE A PROYECT</t>
  </si>
  <si>
    <t>CTTO SERVICIOS PARA PRESENTACIÓN Y ANIMACIÓN DE LA ACTIVIDAD ""CARNAVAL DE LOS COLEGIOS"" EL 17-02-2023</t>
  </si>
  <si>
    <t>F - 146 - FABRICACIÓN,SUMINISTRO E INSTALACIÓN DE PUERTAS Y AUTOMS. EN CEAS MONSEÑOR O.ROMERO Y CEAS PL NIEVES -BENADOOR</t>
  </si>
  <si>
    <t>BAYARD REVISTAS, S.A.U.</t>
  </si>
  <si>
    <t>CTTO SUMINISTRO SUSCRIPCIÓN VARIAS REVISTAS DE BAYARD REVISTAS S.A.U PARA BIBLIOTECAS PÚBLICAS// AÑO 2023</t>
  </si>
  <si>
    <t>TROFEOS CONCURSO DISFRACES CARNAVAL (PIEZAS CERÁMICA)</t>
  </si>
  <si>
    <t>DISEÑO E IMPRESIÓN DE MEMORIA // CONCEJALÍA SERVICIOS SOCIALES Y MEDIACIÓN COMUNITARIA // MANDATO 2019-2023</t>
  </si>
  <si>
    <t>MANTENIMIENTO DE LA INFRAESTRUCTURA TETRADE POLICÍA MUNICIPAL.</t>
  </si>
  <si>
    <t>MT CABLE H07RN-F FLEX  3G2,5 450/750V / PROLONGA GEWISS GW62004 IP44 2P+T 16A 230V /SERVICIO DE EXTINCION DE INCENDIOS</t>
  </si>
  <si>
    <t>Adecuaciones en las instalaciones de protección contra incendios en Casa Consistorial, San Benito y Archivo Municipal</t>
  </si>
  <si>
    <t>SUSTITUYE F/2023/347 // MNTO INST P.C.I. // COLEGIOS / EXPTE: SE EIJI 27/21 - LOTE 1 /  MES DE DICIEMBRE-2022</t>
  </si>
  <si>
    <t>PROYECTOR LEDVANCE LED 165W 4000K NG IP65/TASA ECORAEE  (R.DECRETO 208/2005) / MT CABLE H07Z1/SERV. EXTINCION INCENDIOS</t>
  </si>
  <si>
    <t>2023 11 3111 22199</t>
  </si>
  <si>
    <t>CONMUTADOR LEGRAND 69711 MONOBL.10A / DETECTOR LEGRAND 48941  EMP. 360º  IP41 / DOWN DISANO ECOLEX3 1729 20W 4K CELL-D /</t>
  </si>
  <si>
    <t>CAJA EST OBO T350OE 280X200 IP66 CIEGA / Mt CANAL UNEX 73071-2  40x 60  PVC-BA / CAJA EST LEGRAND 92012 // CENTRO CANINO</t>
  </si>
  <si>
    <t>PROGRAMA DE HUERTOS ESCOLARES ESCUELAS INFANTILES MUNICIPALES CURSO 2022-2023 (ENERO A AGOSTO 2023) REAJUSTE A PROYECTO</t>
  </si>
  <si>
    <t>PROGRAMA HUERTOS ESCOLARES EIM CURSO 22-23 (ENERO A AGOSTO 23) ENLAZADO A PROYECTO: 3.546,74</t>
  </si>
  <si>
    <t>JUAN GONZALEZ ROMERA</t>
  </si>
  <si>
    <t>TALLER DE SEXUALIDAD EN LA MADUREZ Y VEJEZ(prende la llama): Enero 2023.EN EL CENTRO DE IGUALDAD (CMI)</t>
  </si>
  <si>
    <t>JUAN PEREZ CAPELLAN</t>
  </si>
  <si>
    <t>Lavado de vehículos. Ejercicio 2023</t>
  </si>
  <si>
    <t>JULIA ALTES MELGAR</t>
  </si>
  <si>
    <t>CTTO SERVICIOS DISEÑO MARCAPÁGINAS NUEVA BIBLIOTECA PARQUESOL Y ACTUALIZACIÓN CONTACTOS CARTELERÍA//1SEMANA//2023</t>
  </si>
  <si>
    <t>KAIZEN STUDIOS S.C.</t>
  </si>
  <si>
    <t>MIGRACIÓN WEB MUNICIPAL DEMOEXPRESS.ES / DURANTE 2023</t>
  </si>
  <si>
    <t>MIJAS</t>
  </si>
  <si>
    <t>CONTROL DE CALIDAD-ASISTENCIA TÉCNICA, ACTUACIONES EXPTE. V6/2020-LOTE 1.</t>
  </si>
  <si>
    <t>PR-SE 13/21. CTTO SUMINISTRO DE ENERGÍA ELÉCTRICA EIM. ENLAZADO A PROYECTO: 22.314,29 ¿</t>
  </si>
  <si>
    <t>PR-SE 16/22 (PS 6 EXPTE SE 10/2019) PRORR SUMINISTRO GAS EN EIM 1/1/23 A 31/9/23 ENLAZADO A PROYECTO: 21.778,74 ¿</t>
  </si>
  <si>
    <t>CONTROL DE CALIDAD-ASISTENCIA TÉCNICA, ACTUACIONES EXPTE. V6/2020-LOTE 2.</t>
  </si>
  <si>
    <t>Mant. y Rep. eq. informaticos  del  cpm la  Victoria de 1/3/23 a 31/12/23</t>
  </si>
  <si>
    <t>Mant. y Rep. eq. informaticos cpms no trans, Arca R., Z.Este, H.Rey y F.Luis León(Centro) de 1/3/23 a 31/12/23</t>
  </si>
  <si>
    <t>SUMINISTRO DE BOLSAS LARGAS PARA LAS MÁQUINAS DE EMBOLSAR PARAGUAS PARA LOS CPM EN 2023</t>
  </si>
  <si>
    <t>MANGO METALICO 140CM / GUANTE HYFLEX 11-800 T-8 / GUANTE HYFLEX 11-800 T-9 / GUANTE PIEL T/FLOR BLANCO T-9 / GUANTE NITR</t>
  </si>
  <si>
    <t>DISTRIBUCIONES AMO, S.A.</t>
  </si>
  <si>
    <t>OR: 10665 - MATRICULA: 6263LCL / BARRA DE ANTENA ( 2394923 )/SERVICIO DE EXTINCION DE INCENDIOS</t>
  </si>
  <si>
    <t>FUENSALDAÑA</t>
  </si>
  <si>
    <t>ALBARAN: AV23/00399 F: 26/01/2023 / TACO FISCHER SX 6. / CASA DEL BARCO / ID: 34879 /</t>
  </si>
  <si>
    <t>ALBARAN: AV23/00358 F: 24/01/2023 / SUJETACABLE 3/8""-10MM ZN. / PERRERA MUNICIPAL /</t>
  </si>
  <si>
    <t>PILA LITIO PROCELL-DURACELL CR123A 3V  CR17345 //SERVICIO DE EXTINCION DE INCENDIOS</t>
  </si>
  <si>
    <t>EXPTE SE-EIJI 10/2022 PS 11. PROR CTTO GESTION EIM FANTASIA. L 4. AÑO 2023 Y 01/01 A 31/08/2024. REAJUSTE A PROYECTO</t>
  </si>
  <si>
    <t>EXPTE SE-EIJI 10/2022 PS 11. PROR CTTO GESTION EIM MAFALDA Y GUILLE. L 7. AÑO 2023 Y 01/01 A 31/08/2024. REAJUSTE A PROY</t>
  </si>
  <si>
    <t>KOMBU DATA SERVICES S.L.U.</t>
  </si>
  <si>
    <t>ADJUDICACION CONTRATO PROGRAMA INFORMATICO DE DIGITALIZACION DE LA FRB DEL AYUNTAMIENTO Y ORGANISMOS AUTONOMOS (2023)</t>
  </si>
  <si>
    <t>SANTIAGO DE COMPOSTELA</t>
  </si>
  <si>
    <t>ID 0035102 / CIERRA.TELESCO 33AT50PL PLATA C/RETENC.</t>
  </si>
  <si>
    <t>PROYECTO DE TEATRO COMUNITARIO EN CC JL MOSQUERA, JM LUELMO Y BAILARIN VICENTE ESCUDERO (ENE-JUN 2023)</t>
  </si>
  <si>
    <t>2023 11 1321 22199</t>
  </si>
  <si>
    <t>ADQUISICIÓN DE DOS BALONES DE BALONMANO PARA LA ACADEMIA DE LA POLICÍA MUNICIPAL.</t>
  </si>
  <si>
    <t>TALLER ADORNOS DE MADERA EN EL CENTRO MUNICIPAL DE LA IGUALDAD</t>
  </si>
  <si>
    <t>8842FJC. SUSTITUCION HEBILLA CINTURON TRASERO DERECHO  Y PLACA MATRICULA DELANTERA / 0 8200684050A - HEBILLA CINTURON /</t>
  </si>
  <si>
    <t>CENTRO CANINO // PUNTA ZOLA 901 C PHILLIPS 1/4 3 - / TOR.ROSC.CHAPA 5.5 X50 250UD / BROCA CASTILLO HSS DIN 338  4</t>
  </si>
  <si>
    <t>TALLER CUPULAS GEODESICAS EN EL CENTRO MUNICIPAL DE LA IGUALDAD / MARZO 2023</t>
  </si>
  <si>
    <t>LAS CHAMANAS</t>
  </si>
  <si>
    <t>LAS CHAMANAS: REPRESENTACIÓN DE LA OBRA ""CUENTOS EN MALETAS"" EN CM PUENTE DUERO EL DÍA 19/03/2023. MFS</t>
  </si>
  <si>
    <t>LAURA  CASTRILLO  ROMÓN</t>
  </si>
  <si>
    <t>TROFEOS EN GRES CARNAVAL 2023</t>
  </si>
  <si>
    <t>LAURA LATORRE HERNANDO</t>
  </si>
  <si>
    <t>TALLER AMORES, RUPTURAS Y DUELOS EN EL CENTRO MUNICIPAL DE LA IGUALDAD</t>
  </si>
  <si>
    <t>HUARTE</t>
  </si>
  <si>
    <t>NAVARRA</t>
  </si>
  <si>
    <t>LIFTISA, S.L.</t>
  </si>
  <si>
    <t>REVISIÓN ANUAL DE SEGURIDAD DE PLATAFORMAS ELEVADORAS DE CC: J.M. LUELMO, BAILARÍN VICENTE ESCUDERO Y PARQUESOL</t>
  </si>
  <si>
    <t>MONTMELO</t>
  </si>
  <si>
    <t>Contrato/PR: 440195 RAE: 6352 CL HERMANITAS DE LA CRUZ 2A EIM LA COMETA  Contrato/PR: ORONA SB Periodo: 12/2022 - 12/202</t>
  </si>
  <si>
    <t>LINLAB SOLUCIONES DE LABORATORIO SL</t>
  </si>
  <si>
    <t>MATERIAL FUNGIBLE LABORATORIO DE CONTAMINACION</t>
  </si>
  <si>
    <t>LOCK SISTEMAS, S.L.L.</t>
  </si>
  <si>
    <t>CONTRATACIÓN DEL SERVICIO DE VIDEOVIGILANCIA EN TÚNELES VÍA PÚBLICA.</t>
  </si>
  <si>
    <t>PR-SE 13/2021. NUEVO CTTO SUMINISTRO DE ENERGÍA ELÉCTRICA. ESCUELAS INFANTILES. REAJUSTE A PROYECTO.</t>
  </si>
  <si>
    <t>PR-SE 16/2022 (PS 6 EXPTE SE 10/2019). PROR SUMINISTRO GAS EN EIM. 01/01/2023 A 31/09/2023. REAJUSTE A PROYECTOS.</t>
  </si>
  <si>
    <t>ALB: 22-238192 PED: 22-062530-1003 S/PED:  / MACHON RED. LATON 3""-21/2 / MANGUITO LATON HEMBRA 3""//EXTINCION INCENDIOS</t>
  </si>
  <si>
    <t>CONTROL DE POBLACIONES DE PALOMA BRAVIA, PALOMA TORCAZ Y ESTORNINOS EN EL TERMINO MUNICIPAL DE VALLADOLID -LOTE 2-</t>
  </si>
  <si>
    <t>ASTORGA</t>
  </si>
  <si>
    <t>AFUMEX CLASS 1000V RZ1-K AS 5G6MM2 (ROLLO4241344)</t>
  </si>
  <si>
    <t>TAPA DOBLE RJ45 KEYSTONE POLAR / PUESTO DE TRABAJO 3 COLUMNAS SUP. POLAR / 78 MOLDURA SIN TABIQUE BLANCO RAL9010 20X30 U</t>
  </si>
  <si>
    <t>CONTROL POBLACIONAL INTENSIVO DE ADULTOS DE PALOMAS TORCACES</t>
  </si>
  <si>
    <t>LUBERR,S.L</t>
  </si>
  <si>
    <t>Reparación de motor de una electrobomba sumergible IDEAL; SEISYPC</t>
  </si>
  <si>
    <t>Acopio anual para suministro de aditivo Ad_Blue para vehículos diésel; SEISYPC</t>
  </si>
  <si>
    <t>HERRERO Y NUÑEZ MOTOR, S.L.</t>
  </si>
  <si>
    <t>7587GMS/ H.M.O., MONTAR TOMAS DE EXTRAPOLACION DE FRENADA /PLACA TOMA ITV /RACOR CODO 16 / KIT FRENOS ITV 1 EJE/SEISPC</t>
  </si>
  <si>
    <t>6484BRD/ H.M.O., CAMBIO DE ACEITE Y FILTROS/H.M.O.,  REV. NIVELES, LUCES, ESTADO DE CORREAS, FRENOS Y NEUMATICOS/SEISPC</t>
  </si>
  <si>
    <t>4918JLF/ H.M.O.REVISAR-CORREGIR PERDIDA  AIRE POR TUBERIA /H.M.O.REVISAR  AVERIAS-RESETEAR PARA PASAR ITV/SEISPC</t>
  </si>
  <si>
    <t>LUIS BLANCO  VICENTE</t>
  </si>
  <si>
    <t>MAGIA DIVERTIDA DE LUIS JOYRA EN CC DELICIAS EL DÍA 16/04/2023. MFS</t>
  </si>
  <si>
    <t>LUIS MIGUEL OLMEDO RODRIGUEZ</t>
  </si>
  <si>
    <t>REPARACIONES Y MANTENIMIENTO DE CONTENEDORES DE RECOGIDA SELECTIVA DE PAPEL Y CARTÓN</t>
  </si>
  <si>
    <t>JESUS SUMINISTROS INDUSTRIALES, S.A.</t>
  </si>
  <si>
    <t>RACORD DIN-11851 NW-50 MACHO PM-50MM INOX / RACORD DIN-11851 NW-50 HEMBRA PM-50MM INOX / ABRAZADERA KB-50 63-67MM/SEISPC</t>
  </si>
  <si>
    <t>M.LUISA LOPEZ MUNICIO</t>
  </si>
  <si>
    <t>TALLER RUTA FORMATIVA POR LA CIUDAD DE VALLADOLID</t>
  </si>
  <si>
    <t>SUMINISTROS INDUSTRIALES SYRESA, S.L.</t>
  </si>
  <si>
    <t>BARRA ANCLAJE 062217 //SERVICIO DE EXTINCION DE INCENDIOS</t>
  </si>
  <si>
    <t>DESARROLLO PROTOCOLO DE COMUNICACIÓN DE LOS NANOSENSORES DE LA ZONA DE BAJAS EMISIONES</t>
  </si>
  <si>
    <t>ALBARÁN OT/ 135925 DE 26 Y 27/01/2023 //REPARACIÓN EN TALLER DE MOTOAZADA HONDA F205 REF.: MORERAS Nº 1 VALE Nº: 1430</t>
  </si>
  <si>
    <t>PR-SE 43/22 (PR-SE31/20PS5) 1º PRORROGA CTTO LIMPIEZA EIM (LOTE 7) 2023 (55.577,72 ENLAZADO A PROYECTO)</t>
  </si>
  <si>
    <t>A.C. SOL Y REGGAE</t>
  </si>
  <si>
    <t>ACTUACIÓN EN CC PILARICA CELEBRACIÓN DÍA DE LA NIÑA Y LA MUJER EN LA CIENCIA 2023</t>
  </si>
  <si>
    <t>ASOC. CAPO D'ASTRO</t>
  </si>
  <si>
    <t>ACTUACIÓN EN CC CANAL DE CASTILLA, DÍA 07/03/2023 CELEBRACIÓN DÍA INTERNACIONAL DE LA MUJER</t>
  </si>
  <si>
    <t>HONTANARES DE ERESMA</t>
  </si>
  <si>
    <t>SEGOVIA</t>
  </si>
  <si>
    <t>DIANA SANCHIS LOBATO</t>
  </si>
  <si>
    <t>TALLER CENTRO MUNICIPAL DE LA IGUALDAD ""NO DES PUNTADA SIN HILO"" / MARZO 2023</t>
  </si>
  <si>
    <t>SUM. DE PIZARRA VELEDA TRANASPARENTE PARA CC ESGUEVA</t>
  </si>
  <si>
    <t>SUMINISTRO DE PLÁSTICOS Y MALLAS ESPECIALES PARA JARDINERÍA. EJERCICIO 2023</t>
  </si>
  <si>
    <t>MACRODISCO TONY,S.L.</t>
  </si>
  <si>
    <t>DISCO MÓVIL EN CC DELICIAS 21/02/23. PROGRAMA CARNAVAL 2023 DEL SPC</t>
  </si>
  <si>
    <t>MAFALDA ENTERTAINMENT, S.L.</t>
  </si>
  <si>
    <t>TALLERES DE INFORMACION Y SENSIBILIZACIÓN CONTRA LA TRATA DE MUJERES</t>
  </si>
  <si>
    <t>BOHADILLA DEL MONTE</t>
  </si>
  <si>
    <t>MAGALY YADRINA PAREDES ALCALÁ</t>
  </si>
  <si>
    <t>TALLER CMI ""PINTANDO MI CAJA INTERIOR"" / MARZO 2023</t>
  </si>
  <si>
    <t>AMPLIACION TALLER CMI ""PINTANDO MI CAJA INTERIOR"" / MARZO 2023</t>
  </si>
  <si>
    <t>2023 07 1701 22110</t>
  </si>
  <si>
    <t>Productos de limpieza y aseo para los edificios Casa del Barco y Anexo. Año 2023</t>
  </si>
  <si>
    <t>2023 07 1711 22110</t>
  </si>
  <si>
    <t>SUMINISTRO DE PRODUCTOS DE LIMPIEZA E HIGIENICO PARA VESTUARIOS</t>
  </si>
  <si>
    <t>LIMPIEZA VEHICULOS SERVICIO MEDIO AMBIENTE</t>
  </si>
  <si>
    <t>LAVADO INTERIOR Y EXTERIOR DE VEHÍCULOS DE LA POLICÍA MUNICIPAL (2023).</t>
  </si>
  <si>
    <t>2023 04 3121 22199</t>
  </si>
  <si>
    <t>MANUEL RAMOS MUÑIZ</t>
  </si>
  <si>
    <t>CALIBRACION EQUIPOS MEDICOS. DEPARTAMENTO PREVENCION Y SALUD LABORAL</t>
  </si>
  <si>
    <t>2023 11 3111 22606</t>
  </si>
  <si>
    <t>EXPTE: 2.6.0.2.002/2018 CONTROL DE POBLACIONES DE PALOMA BRAVÍA/ TORCAZ Y ESTORNINOS// DICIEMBRE DE 2022</t>
  </si>
  <si>
    <t>ALVIBESA MOTOR, S.L.</t>
  </si>
  <si>
    <t>REPARAR VEHÍCULO  TOYOTA PRIUS 1962LTT / ALINEADO DIRECCION / LLANTA DELANTERA DERECHA.</t>
  </si>
  <si>
    <t>AUTO INYECCION VICENTE, S.A.</t>
  </si>
  <si>
    <t>ACUERDO MARCO. REPARACIÓN VEHÍCULO 476CCS  //  MANO DE OBRA // M.O</t>
  </si>
  <si>
    <t>2023 06 3321 22699</t>
  </si>
  <si>
    <t>BELLA PROPORZIONE, SL</t>
  </si>
  <si>
    <t>SUJETALIBROS PARA BIBLIOTECAS MUNICIPALES-</t>
  </si>
  <si>
    <t>PROYECTOR LEDVANCE LED 165W 4000K NG IP65 / TASA ECORAEE   (R.DECRETO 208/2005) // PARQUE BOMBEROS</t>
  </si>
  <si>
    <t>ACUERDO MARCO. SUMINISTRO DE MATERIAL DE ELECTRICIDAD PARA DEPENDENCIAS DE POLICÍA MUNICIPAL.</t>
  </si>
  <si>
    <t>SUMINISTRO RAMPA DE GAS // CC PILARICA // SEGUN PRESUPUESTO Nº 1726/154/22 DE FECHA 07/11/2022</t>
  </si>
  <si>
    <t>ACUERDO MARCO.  TRABAJOS REPARACION MATRICULA 8831JXF / TOTAL PIEZAS / ANEXO DETALLE FTP000019843</t>
  </si>
  <si>
    <t>ACUERDO MARCO. REPARACION 8671-JXF //  KMS.132249 CAMBIAR VALVULA EGR / D-M CATALIZADOR, SUSTITUIR POR UNO</t>
  </si>
  <si>
    <t>SERVOMOTOR Y DISPLAY // CC DELICIAS // SEGUN PRESUPUESTO Nº 1726/153/22 DE FECHA 26/10/2022</t>
  </si>
  <si>
    <t>2023 04 3121 22706</t>
  </si>
  <si>
    <t>CMD SALUD CALIDAD INTEGRAL S.L.</t>
  </si>
  <si>
    <t>EXAMENES GINECOLOGICOS TRABAJADORAS DEL AYUNTAMIENTO. SERVICIO DE PREVENCION Y SALUD LABORAL</t>
  </si>
  <si>
    <t>ACUERDO MARCO. CONOS  SINEX 50CM UN REFLECTANTE BASE GOMA.</t>
  </si>
  <si>
    <t>ACUERDO MARCO. SUMINISTRO DE CONOS NARANJA PVC FLEXIBLE 45CM REFLEX 20CM</t>
  </si>
  <si>
    <t>ACUERDO MARCO. REPARACIÓN DE MOTOCICLETAS DE POLICÍA MUNICIPAL.</t>
  </si>
  <si>
    <t>ACUEERDO MARCO. REPARACIÓN DE MOTOCICLETAS DE POLICÍA MUNICIPAL (MALETAS).</t>
  </si>
  <si>
    <t>ACUERDO MARCO. SUMINISTRO DE TEMPORIZADOR T-20 230V AUTOMATICO ESCALERA RAIL DI</t>
  </si>
  <si>
    <t>ACUERDOMARCO. SUMINISTRO DE MATERIAL DE ELECTRÓNICA PARA POLICÍA MUNICIPAL.</t>
  </si>
  <si>
    <t>ALAMBRE GALVA. 1,3MM Nº 8 BOBINAX 50MT//SERVICIO DE EXTINCION DE INCENDIOS</t>
  </si>
  <si>
    <t>ACUERDO MARCO. SUMINISTRO DE MATERIAL DE FERRETERÍA PARA DEPENDENCIAS DE POLICÍA MUNICIPAL.</t>
  </si>
  <si>
    <t>CUCHILLA TAJIMA RECAMB. LCB-50 - / ALCOTANA BELLOTA 5932-0 - / ACEITE WD-40 200ML / 3 EN UNO CERRADURAS/SEISPC</t>
  </si>
  <si>
    <t>ACUERDO MARCO.   SUMINISTRO DE  CIERRAPUERTAS SR 1003 PLATA FAC 32103 PARA DEPENDENCIAS DE JEFATURA DE POLICÍA.</t>
  </si>
  <si>
    <t>OPA N 220220077063 . SUMINISTRO DE MATERIALES PARA REPARACIONES DEL CPM SAN JUAN-</t>
  </si>
  <si>
    <t>ALB: 23-200199 PED: 23-000037-1017/ REPUESTO P-01445 INTERRUPTOR (148) / SERVICIOS LOGISTICOS INTEGRADOS/SEISPC</t>
  </si>
  <si>
    <t>ACUERDO MARCO. SUMINISTRO DE MATERIAL DE ELECTRÓNICA PARA DEPENDENCIAS DE POLICÍA MUNICIPAL.</t>
  </si>
  <si>
    <t>PUPITRE MICROFONICO DE 6 ZONAS PARA LA SERIE MAV//SERVICIO DE EXTINCION DE INCENDIOS</t>
  </si>
  <si>
    <t>2023 04 3121 623</t>
  </si>
  <si>
    <t>Bomba de succion y cableado de 12 derivaciones para realizacion de ECG. DEPARTAMENTO DE PREVENCION Y SALUD LABORAL</t>
  </si>
  <si>
    <t>ACUERDO MARCO. SUMINISTRO DE MATERIAL PARA MATENIMIENTO DE LAS DEPENDENCIAS DE LA POLICÍA MUNICIPAL.</t>
  </si>
  <si>
    <t>933-10X100 TORNILLO  C/ HEXAGONAL LATON TODO ROSCA / 01021012 KG HILO SOLDAR HMK 70S 0.8MM X 5 KGS - D200 HOKMAND/SEISPC</t>
  </si>
  <si>
    <t>ACUERDO MARCO. SUMINISTRO DE DIVERSO MATERIAL PARA MANTENIMIENTO DE DEPENDENCIAS Y OTROS POLICÍA.</t>
  </si>
  <si>
    <t>JOSE CARLOS PUELLES DE LA CAL</t>
  </si>
  <si>
    <t>ACUERDO MARCO. RUEDAS VEHÍCULOS 205/60R16 MICH. PRIM4 92H ( 1960-LTT) / S.I. GEST.  (  CAT. B  1960-LTT  ) / 195/55R20.</t>
  </si>
  <si>
    <t>CUBIERTA NUEVA ( 275/70R22,5 CONTINENTAL 148M VA-42345-VE  ) / S.I. GESTION DE NFU CAT.D ( VA-42345-VE ) SEISPC</t>
  </si>
  <si>
    <t>LOMIMAR, S.L.</t>
  </si>
  <si>
    <t>ACUERDO MARCO. SUMINISTRO DE MATERIAL PARA TALLER DE REPARACIONES DE POLICÍA MUNICIPAL.</t>
  </si>
  <si>
    <t>ACUERDO MARCO. SUMINISTRO DE MATERIAL PARA TALLER REPARACIÓN DE VEHÍCULOS DE POLICÍA MUNICIPAL.</t>
  </si>
  <si>
    <t>LUBRICANTES LOMAR, S.L.U.</t>
  </si>
  <si>
    <t>ACUERDO MARCO. SUMINISTRO DE MATERIAL PARA TALLER DE REPARACIÓN DE VEHÍCULOS DE POLICÍA MUNICIPAL.</t>
  </si>
  <si>
    <t>MARINO DE LA FUENTE, S.A.</t>
  </si>
  <si>
    <t>F/VF23/258.1 // CERRADURA 161-162-163-164/ SERVICIO DE EXTINCION DE INCENDIOS</t>
  </si>
  <si>
    <t>RADIADORES PALACIOS S.A.</t>
  </si>
  <si>
    <t>SEPIOLITA 20 KG 30-60/SERVICIO DE EXTINCION DE INCENDIOS</t>
  </si>
  <si>
    <t>SUMINISTROS GARCICHAO, S.L.</t>
  </si>
  <si>
    <t>OPA N 220220077066-  SUMINISTRO DE MATERIALES PARA REPARACIONES DEL CPM RONDILLA-</t>
  </si>
  <si>
    <t>VALDELAFUENTE</t>
  </si>
  <si>
    <t>ACUERDO MARCO REPARACIÓN VEHÍCULO 2747CCZ: POLEA ALTERNADOR,VALVULA CONTROL PRESION, ELECTROVALVULA DE CAUDAL.</t>
  </si>
  <si>
    <t>ACUERDO MARCO. REPARACIÓN VEHÍCULOS POLICIA MUNICIPAL: 8742DHV // 1 8200656008 - VALVULA RECICLAJE / 1 8200259649.</t>
  </si>
  <si>
    <t>ALQUILER TEMPORAL ESPACIO CARDIOPROTEGIDO,DURANTE REPARACION DE DESFIBRLADORES DEL CPM PTE. COLG., HUERTA DEL  E INEA-</t>
  </si>
  <si>
    <t>OBSERVATORIO URBANO DESDE 1 DE ENERO DE 2023 A 31 DE MARZO DE 2023</t>
  </si>
  <si>
    <t>BLAPE, S.L.</t>
  </si>
  <si>
    <t>CTTO SUMINISTRO VALLA ELECTROSOLDADA PARA EL CEIP JORGE GUILLÉN//15 DÍAS</t>
  </si>
  <si>
    <t>2023 10 2312 22706</t>
  </si>
  <si>
    <t>PLAN DE AUTOPROTECCION DEL EDIFICIO PARA CENTRO DE VIDA ACTIVA Y ESTANCIAS DIURNAS PARQUESOL- INICIATIVAS SOCIALES</t>
  </si>
  <si>
    <t>SUMINISTRO DE LÁMPARA PARA VIDEOPROYECTOR Y DIADEMA AKG PARA CC ZONA SUR</t>
  </si>
  <si>
    <t>MT CABLE H07Z1-K ZEROH FLEX  1X2,5 NEGRO / REGLETA  OBO 78CE BL  (TS16NA) 2056550 / ANGUL PL UNEX 93220-2  50x 80  ENERO</t>
  </si>
  <si>
    <t>SE-EIJI 27/2021. ADJ. EXPTE.MANT. INSTALACIONES DE PROTEC. CONTRA INCENDIOS.(LOTE 3) EDIFICIOS MUNICIPALES. CG 65</t>
  </si>
  <si>
    <t>F - 889 - MANGUERA Y REGLETA PARA CEAS DELICIAS Y DESHUMIFICADOR PARA COMEDOR SOCIAL - CADIELSA - 1 DIA</t>
  </si>
  <si>
    <t>C.Nª Sª DEL DUERO / INTERRUP NIESSEN 8101 MECANISMO /D.INTERR NIESSEN 8111 MECANISMO/ TECLA I NIESSEN 8201-BA / enero</t>
  </si>
  <si>
    <t>SUMINISTRO DE PINTURAS DE TODO TIPO, disolventes, herramientas de pintor, etc. según necesidades.-</t>
  </si>
  <si>
    <t>MATERIAL ELECTRICO COLEGIOS. APLICO ABONO A 2022 183</t>
  </si>
  <si>
    <t>DOMINIO IGUALDADVALLADOLID.ES Y HOSTING DURANTE EL AÑO 2023</t>
  </si>
  <si>
    <t>SUMINISTRO DE PELLET DE MADERA PARA CALDERA DE BIOMASA DEL CENTRO MUNICIPAL DE PROTECCIÓN ANIMAL AÑO 2023</t>
  </si>
  <si>
    <t>F - 479 - APLIQUE ORBIS PIR 16W 360 - EIF CALLE PATO, 3 - CADIELSA GRUPO SLU</t>
  </si>
  <si>
    <t>MANT. SUMINISTRO DE MATERIALES PARA REPARACIONES DEL CPM PTE. COLGANTE Y RIO ESGUEVA- INICITIVAS SOCIALES - DUR 1 DIA</t>
  </si>
  <si>
    <t>2023 06 3231 212</t>
  </si>
  <si>
    <t>CONMUTADOR SE U5.203.18 C/BASTIDOR(POLAR) / CONMUTADOR LEGRAND 69711 MONOBL.10A / INTERRUP NIESSEN 2101-BA /  enero</t>
  </si>
  <si>
    <t>MT CANAL LEGRAND 30008    20X12,5 / CLAVIJA SOLERA 6566 / BASE 3TO SOLERA 8003 S/CABLE // CASA BARCO</t>
  </si>
  <si>
    <t>F - 161 - PORTALAMPARAS SOLERA BLANCO - VVDA CALLE CADIZ, 13 - CADIELSA SLU. 1 DIA</t>
  </si>
  <si>
    <t>MANUEL SANCHEZ  DEL RIO</t>
  </si>
  <si>
    <t>3ª prórroga contrato exámenes ginecológicos para Departamento de Prevención y Salud Laboral. Febrero 2022 a febrero 2023</t>
  </si>
  <si>
    <t>MANUSA DOOR SYSTEMS SL U</t>
  </si>
  <si>
    <t>REPARACION DOBLE PUERTA TELESCOPICA DE CRISTAL EXTERIOR DE LA CUPULA DEL MILENIO</t>
  </si>
  <si>
    <t>2023 11 1351 224</t>
  </si>
  <si>
    <t>MAPFRE ESPAÑA, COMPAÑIA DE SEGUROS Y REASEGUROS, S.A.</t>
  </si>
  <si>
    <t>EMBARCACIONES DEPORTIVAS||""PÓLIZA"":0631770004865||""RECIBO"":8437137600||"":En trámite/ DE 01-01-23 A 01-01-24/PR. CIVIL</t>
  </si>
  <si>
    <t>EMBARCACIONES DEPORTIVAS||""PÓLIZA:0631770012601||""RECIBO"":8427226540||""MATRICULA/BAST"":chd2313|/31-12-2022 a 31-12-2023/</t>
  </si>
  <si>
    <t>EMBARCACIONES DEPORTIVAS||""PÓLIZA"":0631770012557||""RECIBO"":8427226486||""MATRICULA/BAST"":chd2388||31-12-2022 a 31-12-2023</t>
  </si>
  <si>
    <t>R23 38 5536854-ALBARAN23 38 12/01/2023 500025218L LITRO AD BLUE / 5537962-ALBARAN23 58 17/01/2023 0500038601 LAMPARA 24V</t>
  </si>
  <si>
    <t>EMBARCACIONES DEPORTIVAS||""PÓLIZA"":0631770003062||""RECIBO"":8437137526||""MATRICULA"":CHD - 9219||""01-01-2023 a 01-01-2024</t>
  </si>
  <si>
    <t>MAPFRE VIDA S.A. DE SEGUROS Y REASEGUROS SOBRE LA VIDA HUMANA</t>
  </si>
  <si>
    <t>ACCIDENTES COLECTIVOS||""PÓLIZA"":0551780088803||""RECIBO"":8414251639||""RIESGO"": 001SUMAS GRUPOS//31-12-2022 a 31-12-2023</t>
  </si>
  <si>
    <t>MARCOS IGLESIAS MUÑOZ</t>
  </si>
  <si>
    <t>DESATRANQUE BAÑO PLANTA INFERIOR ALBERGUE MUNICIPAL.</t>
  </si>
  <si>
    <t>CERAMICAS SANCHEZ, S L</t>
  </si>
  <si>
    <t>MATERIAL VARIO CONSTRUCCION // C. P. LEON FELIPE. ENERO</t>
  </si>
  <si>
    <t>JUEGO CUCHILLAS DE SEGADORA / JUEGO CUCHILLAS DE SEGADORA</t>
  </si>
  <si>
    <t>MARIA BEGOÑA DIEZ  NIETO</t>
  </si>
  <si>
    <t>PSICOTÉCNICO POLICÍA MUNICIPAL</t>
  </si>
  <si>
    <t>CASCO JET NERO DECOR T-L PANTALLA</t>
  </si>
  <si>
    <t>ALBARAN: AV23/00307 F: 23/01/2023 / TORNILLO SPAX-S BICROMATADO 4.5*45MM. / TACO AUTOPERFORANTE GK. / GE0012478 / ID-336</t>
  </si>
  <si>
    <t>ALBARAN: AV23/00421 F: 27/01/2023 / CARTUCHO SELLADOR MS PLUS CRISTAL FISCHER /  E.I. EL GLOBO. enero</t>
  </si>
  <si>
    <t>EL EJIDILLO VIVEROS INTEGRALES S.L.</t>
  </si>
  <si>
    <t>EXPDTE.: V.36/2017 ACUERDO MARCO SUMINISTRO / ALBARÁN: 3/23000036 / CUPRESSUS SEMPERVIRENS 250-300</t>
  </si>
  <si>
    <t>F - 447 - DETECTOR PIR 360 LEGRAND - CEAS DELICIAS - ENERGINOBA. 1 DIA</t>
  </si>
  <si>
    <t>ID:0033225-CEIP MIGUEL DE CERVANTEAS / SILICONA SOUDAL NEUTRA 300ML TRANSPARENTE / ID: 0034755-CEIP PEDRO GOMEZ. ENERO</t>
  </si>
  <si>
    <t>ID: 0033582-CEIP VICENTE ALEXANDRE C/ DOSCTOR MORENO / BROCA HSS RECT. COBALTO 03,00 / BROCA HSS RECT. COBALTO 04,00 / B</t>
  </si>
  <si>
    <t>MANT. SUMINISTRO DE CIERRA.DORMA BTS 84 EN-3 ,DORMA PLACA INOX BTS, PARA EL CPM RIO ESGUEVA- INICIATIVAS SOCIAL-DUR 1 DI</t>
  </si>
  <si>
    <t>ID 35204-ESCUELA INFANTIL CASCANUECES / ANTIP. TESA CERRADURA CF50ASR9Z / ANTIP. TESA CUADRADILLO 9 / 9. enero</t>
  </si>
  <si>
    <t>ID: 0034711-EI CASCABEL / ARMARIO LLAVES   30 JOMA. enero</t>
  </si>
  <si>
    <t>VEHÍCULO 4272GHL // SUSTITUCION DISCO, MAZA Y COLARIN EMBRAGUE / 2 302102TB1A - CUBIERTA EMBRAGU / 2 301002TB1B - DISCOS</t>
  </si>
  <si>
    <t>7254GWW MANTENIMIENTO ANUAL / CAMBIO ACEITE FILTRO ACEITE FILTRO AIRE FILTRO POLEN ACEITE CAJA CAMBIOS Y DIFERENCIAL</t>
  </si>
  <si>
    <t>PSICOTECNICO POLICIA MUNICIPAL</t>
  </si>
  <si>
    <t>MANT. SUMINSTRO DE IMATERIALES PARA REPARACIONES DEL CPM ARCA REALY CPM LA VITORIA- INICITIVAS - DUR 1 DIA</t>
  </si>
  <si>
    <t>CAJA MULTIUSO RATIO 380X310X60 MM / FLEXOMETRO 19/5MTS MAGNETICO EHL / PUNTA C/PLANA 17X70 EHL / PUNTA C/PLANA 20X100 E</t>
  </si>
  <si>
    <t>F - 994 - DOS CERRADURAS TESA 2030 50 - PARA CENTRO INTEGRADO - FERRETERIA ORTIZ - 1 DIA</t>
  </si>
  <si>
    <t>MANT. SUMINISTRO DE MATERIAL PARA REPARACIONES DEL CPM PTE. COLGANTE- DURACION 1DIA</t>
  </si>
  <si>
    <t>MARIA CRISTINA CABRERO GARCIA</t>
  </si>
  <si>
    <t>TALLER GESTIÓN EN LOS PROCESOS DE RUPTURA DE PAREJA EN EL CENTRO MUNICIPAL DE LA IGUALDAD</t>
  </si>
  <si>
    <t>MARIA DEL MAR D.ESPINILLA GARCIA</t>
  </si>
  <si>
    <t>TALLERES DE DANZA Y LITERATURA EN EL CENTRO MUNICIPAL DE LA IGUALDAD</t>
  </si>
  <si>
    <t>TALLER 1911 CENTRO MUNICIPAL DE LA IGUALDAD / MARZO 2023</t>
  </si>
  <si>
    <t>MARIA DEL PILAR VICENTE DE FORONDA</t>
  </si>
  <si>
    <t>TALLER MERCADO CANALLA EN LOS ESPACIOS JOVENES ENERO Y MARZO</t>
  </si>
  <si>
    <t>COSTE DIR. FAC. OBRA MDO MUNICIPAL MARQUESINA EXPTE 05-IDEEC_M_MAR_2022</t>
  </si>
  <si>
    <t>Coordinación Seguridad y Salud en obras de remodelación de la avenida Reyes Católicos en Valladolid (expediente 1/2022)</t>
  </si>
  <si>
    <t>2023 07 1711 22106</t>
  </si>
  <si>
    <t>FITOSANITARIA REGIONAL CASTELLANO-LEONESA, S.L</t>
  </si>
  <si>
    <t>PASTA CICATRIZANTE (1 Kg) 6185</t>
  </si>
  <si>
    <t>TORDESILLAS</t>
  </si>
  <si>
    <t>ALB: 23-201145 PED: 23-001849-1003 S/PED: CP JORGE GUILLEN / BARRA 6 ML.POLIETILENO PE100 AD PN16  63 / MANGUITO UNION P</t>
  </si>
  <si>
    <t>ALB: 23-202932 PED: 23-004716-1003 S/PED:  / REGISTRO ALUMINIO ESTANCO NORMAL KN25 40x40 / EDUCACION ESPECIAL Nº1</t>
  </si>
  <si>
    <t>ALB: 23-200496 PED: 23-000806-1003 // S/PED: CP LEON FELIPE // CODO 90º  LATON T-T 63 / ENLACE ROSCA MACHO LATON ENERO</t>
  </si>
  <si>
    <t>ALB: 22-238101 PED: 22-062358-1020 S/PED: JORGE GUILLEN / BOTE HILO TEFLON UNILOCK 160M TANGIT / BOLSA 5 UDS. ENERO</t>
  </si>
  <si>
    <t>ALB: 23-200565 PED: 23-000955-1003  // S/PED: CP LEON FELIPE // ENLACE ROSCA MACHO LATON 63-2"" / BARRA 6 ML. POL. ENERO</t>
  </si>
  <si>
    <t>PIE IZQUIERDO: REPRESENTACIÓN DE LA OBRA ""LA MUJER QUE PLANTA ÁRBOLES"" EN CM LAS FLORES EL DÍA 20/05/2023. MFS</t>
  </si>
  <si>
    <t>ALB: 23-201159 PED: 23-001884-1003 S// PED: CP JORGE GUILLEN // MANGUITO UNION PE TUBO</t>
  </si>
  <si>
    <t>ALB: 23-202662 PED: 23-004259-1017 S/PED: CENTRO EDUCACION / DAK ARQUETA PLASTICO HERMETICA 25X25 +TAPA+JUNTA</t>
  </si>
  <si>
    <t>8 TALLERES SOBRE MANUALIDADES ARTÍSTICAS CON ENFOQUE DE GENERO EN EL CENTRO DE IGUALDAD(CMI). Todo 2023.</t>
  </si>
  <si>
    <t>CAJA DERIVACION C/CONOS 8X M25 Y 2X M32 150X116X67 GRIS CLAR / 73 CANAL BLANCO RAL9010 40X60 U23X. ENERO</t>
  </si>
  <si>
    <t>MANT. SUMINISTRO DE MATERIALES PARA REPARACIONES DEL CPM PTE. COLGANTE Y Z. ESTE- INICITIVAS SOCIALES. DUR 1 DIA</t>
  </si>
  <si>
    <t>MARIA ISABEL SAN MIGUEL MUÑOZ</t>
  </si>
  <si>
    <t>TALLERES DE MUSICA EN FAMILIA EN EL CENTRO MUNICIPAL DE LA IGUALDAD</t>
  </si>
  <si>
    <t>MARIA JESUS  GUTIERREZ PASTOR</t>
  </si>
  <si>
    <t>TALLER SOBRE DISCRIMINACIÓN SOCIAL POR RAZONES DE SEXO EN EL CENTRO MUNICIPAL DE LA IGUALDAD</t>
  </si>
  <si>
    <t>VILLARIEZO</t>
  </si>
  <si>
    <t>MARIA JOSE ANDRES  CONDE</t>
  </si>
  <si>
    <t>CONTRATO SERVICIO ASESORAMIENTO FISCAL AYUNTAMIENTO Y ENTIDADES DEPENDIENTES AÑOS 2020-21-22 Y 23</t>
  </si>
  <si>
    <t>REAJUSTE ANUALIDADES CONTRATO SERVICIO ASESORAMIENTO FISCAL AYUNTAMIENTO Y ENTIDADES DEPENDIENTES 2020, 2021, 2022, 2023</t>
  </si>
  <si>
    <t>REAJUSTE CONTRATO SERVICIO ASESORAMIENTO FISCAL AYUNTAMIENTO Y ENTIDADES DEPENDIENTES. AÑO 2023</t>
  </si>
  <si>
    <t>CEIP PABLO PICASO / - / ROLLO CORCHO 5 MM / COLA EUROPANOL 7803 DE 6K 1200454</t>
  </si>
  <si>
    <t>TERMOCEL PACT-POL 5mm / COLEGIO PUBLICO PARQUE ALAMEDA</t>
  </si>
  <si>
    <t>C.P. FEDERICO GARCIA LORCA / TAPETA MDF BLANCA 106 2700*90*10 / CEIP CARDENAL MENDOZA / PUERTA PLANA MDF / RECERCO PINO</t>
  </si>
  <si>
    <t>NUTRIPLANT Y FARMACAMP, S.L.</t>
  </si>
  <si>
    <t>OSMOCOTE TOPDRESS 19-6-11+MgO+Fe (5-6 MESES) SACO 25 KG</t>
  </si>
  <si>
    <t>MOJADOS</t>
  </si>
  <si>
    <t>IADBLUE 10L / FUSIBLE DIODO / ACEITE URANIA  5W30  URANIA 5000 / Terminal batería standard + / Terminal batería standard</t>
  </si>
  <si>
    <t>SANE-RIEGO, S.A.</t>
  </si>
  <si>
    <t>TUBO EVACUACION Ø 110 ""B"" 3 ML. ENCOLAR / E.RAPIDO MANGUERA 15 GARDENA / E.RAPIDO MANGUERA 20 GARDENA / LANZA RIEGO REGU</t>
  </si>
  <si>
    <t>ACTIVIDADES DE ESCRITURA CREATIVA Y LECTURA EN EL CENTRO MUNICIPAL DE LA IGUALDAD</t>
  </si>
  <si>
    <t>DISEÑO, MAQUETACIÓN Y ADAPTACIÓN A REDES DEL BOLETÍN DEL CMI</t>
  </si>
  <si>
    <t>C.P. FRAY L. DE LEON // CP JOSE ZORRILLA // C.P. LEON FELIPE //  ENERO</t>
  </si>
  <si>
    <t>TALLERES LA NIÑA Y LA MUJER EN LA CIENCIA EN EL CENTRO MUNICIPAL DE LA IGUALDAD</t>
  </si>
  <si>
    <t>MANT. SUMINISTRO DE MATERIAL PARA REPARACIONES DEL CPM Z. SUR 38.15 Y Z.ESTE 14,82 - DURA 1 DIA</t>
  </si>
  <si>
    <t>2023 06 3231 22602</t>
  </si>
  <si>
    <t>CTTO SERVICIOS ADAPTACIÓN CARTEL Y FOLLETO GENERAL EIM CURSO 2023-2024//1 SEMANA</t>
  </si>
  <si>
    <t>ALBARÁN OT/ 135973 DE 1 Y 2/02/2023 //REPARACIÓN EN TALLER DE CORTACÉSPED HONDA HRH536HXE REF.: MORERAS VALE Nº 1449</t>
  </si>
  <si>
    <t>Reparaciones de prendas y materiales; Servicio de Extinción de Incendios, Salvamento y Protección Civil.</t>
  </si>
  <si>
    <t>MARIA SOLEDAD CABALLERO SANCHEZ</t>
  </si>
  <si>
    <t>TALLER CENTRO MUNICIPAL DE LA IGUALDAD ""RESILIENCIA Y AUTOCUIDADO"" / 3 MESES 2023</t>
  </si>
  <si>
    <t>2023 05 4331 204</t>
  </si>
  <si>
    <t>ALQUILER BATERIA VEHICULO ELECTRICO TWIZY MATRICULA 2499HKJ. AÑO 2023</t>
  </si>
  <si>
    <t>2023 06 2315 22619</t>
  </si>
  <si>
    <t>MARIA SONIA SEVILLANO  TEJERA</t>
  </si>
  <si>
    <t>CONTRATO DE SERVICIOS DE GESTION Y DESARROLLO DE LAS ACTIVIDADES INFANTILES EN EP. DE VACACIONES ESCOLARES | 2022 Y 2023</t>
  </si>
  <si>
    <t>2023 08 1532 22199</t>
  </si>
  <si>
    <t>Adquisición de agua mineral en garrafas para el Parque de Vías Públicas, durante el ejercicio 2023.-</t>
  </si>
  <si>
    <t>ASOC ADARTIA</t>
  </si>
  <si>
    <t>CONCIERTO 8 MARZO CON MOTIVO DEL DIA INTERNACIONAL DE LA MUJER / MARZO 2023</t>
  </si>
  <si>
    <t>2023 06 2315 22699</t>
  </si>
  <si>
    <t>MONTAJE Y DESMONTAJE DE LONAS EN LAS FACHADAS DE SAN BENITO Y AYTO EVENTOS / DURANTE 2023</t>
  </si>
  <si>
    <t>ASOC. CULT. VIEJOS DESEOS</t>
  </si>
  <si>
    <t>REPRESENTACIÓN OBRA LAS MUJERES EN DELIBES DENTRO DE LAS ACTIVIDADES DE LA SEMANA DE LA MUJER</t>
  </si>
  <si>
    <t>2023 02 1511 22699</t>
  </si>
  <si>
    <t>REPROGRAMACIÓN EN FUNCIÓN DE ESCANEANDO EN EQUIPO MULTIFUNCIÓN NUM.FC003378. CONFIGURACIÓN FOTOCOPIADO   CLX-9201.</t>
  </si>
  <si>
    <t>CRISTINA PEREZ TEJERA</t>
  </si>
  <si>
    <t>TALLER CENTRO CIVICO PANDERETERAS Y PANDERERAS - PROTAGONISTAS DE LA TRADICION CYL / 14 MARZO 2023</t>
  </si>
  <si>
    <t>SAN MIGUEL DEL ARROYO</t>
  </si>
  <si>
    <t>ALONSO BERRUGUETE // PUNTERA CEMBRE PKE1612 16.0MM L=12 BLANCA / MT TUBO GEWISS ¤DX25720 RKB M20 GRIS / enero</t>
  </si>
  <si>
    <t>2023 06 3232 22103</t>
  </si>
  <si>
    <t>CTTO SUMINISTRO PELLETS CALDERA BIOMASA DEL CEIP NUESTRA SEÑORA DEL DUERO//2 MESES</t>
  </si>
  <si>
    <t>Carteles y folletos campaña concienciación del uso de la escombrera. Plazo 1 semana</t>
  </si>
  <si>
    <t>CTTO SERVICIOS REALIZACIÓN 6 TALLERES PARA LA CELEBRACIÓN DEL DÍA INTERN DE LA MUJER Y LA NIÑA EN LA Cª//FEBRERO 2023</t>
  </si>
  <si>
    <t>MARTA HERRAN  MARTINEZ</t>
  </si>
  <si>
    <t>CENTROS FLORALES, 3 UNIDADES PARA IMNAGURACION DEL CENTRO DE VIDA ACTIVA PARQUESOL EN FEBRERO2023</t>
  </si>
  <si>
    <t>TALLERES/VISITAS RECURSOS PATRIMONIALES DE NUESTRA CIUDAD PARA CENTROS EDUCATIVOS Y DE ADULTOS. ENERO A JUNIO DE 2023</t>
  </si>
  <si>
    <t>MARTA VALDIVIELSO DONOSO</t>
  </si>
  <si>
    <t>TALLER DE ARTESANIA TEXTIL EN EL CENTRO MUNICIPAL DE LA IGUALDAD</t>
  </si>
  <si>
    <t>TABERNA DE CERRATO</t>
  </si>
  <si>
    <t>ACTUACION DIA INTERNACIONAL DE LA MUJER 8M / MARZO 2023</t>
  </si>
  <si>
    <t>MARTIN RODRIGO S.A.</t>
  </si>
  <si>
    <t>CTTO SUMINISTRO CAJAS EMBALAJE PARA MUDANZA LIBROS A LA NUEVA BIBLIOTECA PARQUESOL.MARZO 2023//1 SEMANA</t>
  </si>
  <si>
    <t>ALBARAN: AV22/06230 F: 18/11/2022 / MARTILLO PERF.GBH 12-52  DV BOSCH</t>
  </si>
  <si>
    <t>CP ENTRE RIOS // CUERDA EHL POLIPR 4MMX20 MT VD/BL / EXPERT SDS PLUS-7X (ARMADO): 12 X 150 X 215 / EXPERT febrero</t>
  </si>
  <si>
    <t>RUEDA SIRVEX 1-0130 GIR. ESPIGA LISA // ESCUELAS INFANTILES. febrero</t>
  </si>
  <si>
    <t>CTTO SUMINISTRO MARCAPÁGINAS, CARTELERÍA, DÍPTICOS... PARA DIFUSIÓN DE VARIOS EVENTOS EDUCATIVOS//AÑO 2023</t>
  </si>
  <si>
    <t>ELABORACIÓN DE CARTELERÍA PARA JEFATURA Y DISTRITOS DE POLICÍA MUNICIPAL.</t>
  </si>
  <si>
    <t>EMISIÓN DISTINTIVOS DE VEHÍCULO ELÉCTRICO, CATEGORÍA VELID. MAQUETACIÓN E IMPRESIÓN DE LOS MISMOS Y ENTREGA EN LA AI</t>
  </si>
  <si>
    <t>LONA ROLLON-UP PARA EL  CENTRO DE VIDA ACTIVA PARQUESOL- INICITIVAS SOCIALES- FEBRERO2023</t>
  </si>
  <si>
    <t>CARTELES MUPPYS COLOR : INFO ASAMBLEAS Y VOTACIONES PPTOS. PARTICIPATIVOS 2023</t>
  </si>
  <si>
    <t>IMPRESIÓN DE 100 TRÍPTICOS PROGRAMACIÓN MENUDO FIN DE SEMANA</t>
  </si>
  <si>
    <t>PAPELETAS PARA VOTACIONES PRESUPUESTOS PARTICIPATIVOS 2023</t>
  </si>
  <si>
    <t>CTTO SUMINISTRO MUPIS 120 X 175 cm IMPRESOS 4/0 PARA PUBLICITAR PROCESO ESCOLARIZACIÓN DE EIM DEL CURSO 23-24//1 SEMANA</t>
  </si>
  <si>
    <t>CTTO SERVICIOS CARTELERÍA DESARROLLO II PLAN MUNICIPAL DE LECTURA DE BIBLIOTECAS PÚBLICAS//AÑO 2023</t>
  </si>
  <si>
    <t>IMPRESIÓN ROLL-UP ""QUEERGRESO"" / 23 Y 24 MARZO</t>
  </si>
  <si>
    <t>PANELES EXPOSITIVOS HORA DEL PLANETA DIA 25 DE MARZO</t>
  </si>
  <si>
    <t>MANTENIMIENTO Y MATERIAL PARA EL EQUIPO AQUAPURA DEL LABORATORIO DE LA RED</t>
  </si>
  <si>
    <t>PRODUCTOS FARMACÉUITICOS 2023</t>
  </si>
  <si>
    <t>LIMONADA ALCALINA Y VENDAS ELÁSTICAS; SERVICIO DE EXTINCIÓN DE INCENDIOS, SALVAMENTO Y PROTECCIÓN CIVIL.</t>
  </si>
  <si>
    <t>SUMINISTRO DE MEDICAMENTOS PARA EL SERVICIO DE PREVENCION Y SALUD LABORAL</t>
  </si>
  <si>
    <t>1.000 mascarillas FFP2 para las intervenciones; Servicio de Extinción de Incendios, Salvamento y Protección Civil.</t>
  </si>
  <si>
    <t>ADJUDICA SUMINISTRO TINTAS OFFSETY OTROS MATERIALES PARA TRABAJOS DE IMPRENTA - AÑO 2023</t>
  </si>
  <si>
    <t>MIL TRESCIENTOS GRAMOS, S.L.</t>
  </si>
  <si>
    <t>ORGANIZACION DE I JORNADAS DE LA INDUSTRIA DEL VIDEOJUEGO RETRO</t>
  </si>
  <si>
    <t>LOTE 1: MANTENIMIENTO CALEFACCIÓN Y CLIMATIZACIÓN EDIFICIOS DEPENDIENTES SERVICIO PARTICIPACIÓN CIUDADANA</t>
  </si>
  <si>
    <t>REPARACIONES EN SISTEMAS DE CALEFACCIÓN CENTROS SPC, SEGÚN PPTOS. APROBADOS DEL 157 AL 161</t>
  </si>
  <si>
    <t>SUM. E INST. DE VÁLVULA MARIPOSA EN CC ESGUEVA Y DE VÁLVULA DE LLENADO AUT. Y JUNTAS EN CIC EMPECINADO. PPTOS. 163 Y 164</t>
  </si>
  <si>
    <t>MATRÍCULA: 9992FVL //CUB 205/55R16 91V EFF PER 2 GOODYEAR / NFU N2 / MONTAJE+EQUILIBRADO+VALVULA TURISMO</t>
  </si>
  <si>
    <t>SUM. E INST. CUADRO ELÉCTRICO MANIOBRA MANUAL DE ENFRIADORAS CC PARQUESOL, SEGÚN PPTO. APROBADO Nº 162</t>
  </si>
  <si>
    <t>SUM E INST COLECTOR SUELO RADIANTE EN CC PARQUESOL Y 2 RADIADORES ALUMINIO EN CIC EMPECINADO. SEGÚN PPTOS. 165 Y 166</t>
  </si>
  <si>
    <t>SUMINISTRO REGULADOR Y FILTRO DE GAS CC ESGUEVA SEGUN PRESUPUESTO Nº 1726/156/22 DE FECHA 09/11/2022</t>
  </si>
  <si>
    <t>COMPRESOR Y CARGA DE REFRIGERANTE EN CC PARQUESOL (PPTO 168) Y SUSTITUCIÓN TERMOSTATO CM LA OVERUELA (PPTO. 167)</t>
  </si>
  <si>
    <t>REPARACION EQUIPO LAVADO FURGON 1307 KMD/COLLARINES/PISTON/MANGUERA CRISTAL REFORZADA.../ 23-2020 / LIMPIEZA VIARIA</t>
  </si>
  <si>
    <t>TIJERA ELECTRICISTA BGS/FILTRO ACEITE BOSCH/FILTRO COMBUSTIBLE MANN/FILTRO AIR.../ 36-2017 / SERVICIO DE LIMPIEZA</t>
  </si>
  <si>
    <t>PASTILLA FRENO R.H *SX* / AVISADOR FRENO IVECO DAILY / AVISADOR FRENO IVECO DAILY.../ V36/2017 / SERVICIO DE LIMPIEZA</t>
  </si>
  <si>
    <t>SERVICIOS DE TRADUCCION, EDICION, REVISION DE DOCUMENTOS Y TRADUCCION SIMULTANEA. AÑO HASTA DICIEMBRE DE 2023</t>
  </si>
  <si>
    <t>BALLESTAS HERNANDEZ VALLADOLID, S.L</t>
  </si>
  <si>
    <t>REPARACION BALLESTAS.../ 23-2020 / SERVICIO DE LIMPIEZA</t>
  </si>
  <si>
    <t>SELECTOR SE ZB4-BD5  3POS.MANETA CORTA / CAMARA C SE ZB4-BZ103 2NA // 0848BVS.../ V36/2017 / SERVICIO DE LIMPIEZA</t>
  </si>
  <si>
    <t>SERVICIO LIMPIEZA // DETECTOR SE XS5-30B1PAL2.../ 36-2017 /  SERVICIO DE LIMPIEZA.</t>
  </si>
  <si>
    <t>BOTONERA SE XAL-K178 SETA EMERG. TTR // 7419LDY / SERVICIO DE LIMPIEZA.</t>
  </si>
  <si>
    <t>2023 11 1621 22199</t>
  </si>
  <si>
    <t>CONMUTADOR SE U5.203.18 C/BASTIDOR / BASE 2P+T LEGRAND 69733 SUP.GR PLEXO / CLAVIJA.../ V36/2017 / SERVICIO DE LIMPIEZA</t>
  </si>
  <si>
    <t>DEPOSITO CANINO // CINTA SCOTCH 3M Nº23 BULK HC000588810</t>
  </si>
  <si>
    <t>TOTAL TRABAJOS OPERACION M1 0373GTW / TOTAL PIEZAS / ANEXO DETALLE FTM000008163.../ 23-2020 /  SERVICIO DE LIMPIEZA.</t>
  </si>
  <si>
    <t>ALB. 0026845 MAT. 2515FXC: 690,26 ALB. 0026871 TAPACUBOS: 36,29 SE ADJUNTA ALBARANES.../ 23-2020 / SERVICIO DE LIMPIEZA.</t>
  </si>
  <si>
    <t>TOTAL TRABAJOS REPARACION MATRICULA 2515FXC / ANEXO DETALLE FTP000019850.../ 23-2020 / SERVICIO DE LIMPIEZA</t>
  </si>
  <si>
    <t>TOTAL TRABAJOS REPARACION MATRICULA 0373GTW / ANEXO DETALLE FTP000019869.../ 23-2020 / SERVICIO DE LIMPIEZA</t>
  </si>
  <si>
    <t>TA23 17 REPARACION 9049-KVH // KMS.97604 METER EASY PARA VER AVERIAS, HACER PRUE.../ 23-2020 / SERVICIO DE LIMPIEZA</t>
  </si>
  <si>
    <t>TA23 77 REPARACION 8080-CCV/SUSTITUIR PARAGOLPES, CAPO Y ALETA DERECHA, ENDEREZAR SOP.../ 23-2020 / SERVICIO DE LIMPIEZA</t>
  </si>
  <si>
    <t>USO TARJETA CEPSA // 2453-FZB-3855-GLG-SOPLADOR1-2-3- 3247-KGK-2947-KGK-5593-LBJ // DICIEMBRE-2022</t>
  </si>
  <si>
    <t>TA23 94 REPARACION 3456-BCS/D-M CAJA CAMBIOS PARA SUSTITUIR EMBRAGUE/SUSTITUIR BOMB.../ 23-2020 / SERVICIO DE LIMPIEZA</t>
  </si>
  <si>
    <t>TA23 35 REP E-3465-BGW/KMS.53442 REV.AVERIAS ELECTRICAS DE VENTILADOR Y TECLA CEPILLOS0./ 23-2020 / SERVICIO DE LIMPIEZA</t>
  </si>
  <si>
    <t>COMERCIAL BOIZ, S.A.</t>
  </si>
  <si>
    <t>CEGUI/210600004 - CITY CAT 5000 CEPILLO LATERAL MEZCLA / CEGUI/210600014 - RA.../ V36/2017 / SERVICIO DE LIMPIEZA</t>
  </si>
  <si>
    <t>CEGUI/210600014 - RAVO CEPILLO LATERAL NYLON-ACERO TRENZADO / CEGUI/210600003 - CITY.../ 36-2017 / SERVICIO DE LIMPIEZA.</t>
  </si>
  <si>
    <t>4459KLP/DIESE/462099-SENSOR D NIVEL DE ACEITE 15X7X3-(4976-HSK)ASPOC/40209113-TULIPA.../ V36/2017 / SERVICIO DE LIMPIEZA</t>
  </si>
  <si>
    <t>(6015-DXW) / JURID/2913109560 - PASTILLAS V.I. JUEGO / RYME/10207F - AVISADOR  ELSA22.../ 36-2017 / SERVICIO DE LIMPIEZA</t>
  </si>
  <si>
    <t>TEXTO/ - 0432KMP / SWF/132705 - DAS ORIGINAL TRUCKS MB -SCANIA VOLVO / TEXTO/ - 5297.../ V36/2017 / SERVICIO DE LIMPIEZA</t>
  </si>
  <si>
    <t>0120GJY/DIESE/773125 ESPEJO PRINCIPAL 95X50X28/BOSCH/0281004107SENSOR OXIGENO 4848GZT.../ 36-2017 / SERVICIO DE LIMPIEZA</t>
  </si>
  <si>
    <t>DIESE/653009 - BARRA DE ACOPLAMIENTO 175X9X12 / TEXTO/ - 0755-DWR / TEXTO/ - 9049-KV.../ V36/2017 / SERVICIO DE LIMPIEZA</t>
  </si>
  <si>
    <t>2023 11 1621 22110</t>
  </si>
  <si>
    <t>J720943 / RADIAL HIKOKI G18DSL2WUZ 2X5AH / PORTES / SERVICIO DE LIMPIEZA.</t>
  </si>
  <si>
    <t>TABLERO CORCHO 90X60CM / KIT FORESTAL.../ V36/2017 / SERVICIO DE LIMPIEZA</t>
  </si>
  <si>
    <t>BOTA PVC NITRILO -S5- VERDE / BOTA PVC NITRILO -S5- VERDE / BOTA PVC NITRILO -S5- VE.../ 36-2017 / SERVICIO DE LIMPIEZA</t>
  </si>
  <si>
    <t>ZAPATO ACEBO FRESH S3 MF Nº49.../ 36-2017 / SERVICIO DE LIMPIEZA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</si>
  <si>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</si>
  <si>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</si>
  <si>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</si>
  <si>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Contrato gestión Centro Ocupacional de 15 febrero 2023 a 14 febrero 2026 - anualidad 2023 de 15 febrero a 31 diciembre.</t>
  </si>
  <si>
    <t>1375LMR/CAMBIAR FILTRO ACEITE CAJA CAMBIOS ALISON / KIT REPARA.../ 23-2020 / SERVICIO DE LIMPIEZA</t>
  </si>
  <si>
    <t>OR: 10749 - MATRICULA: 0432KMP / SENSOR NOX ( 2294290 ).../ 23-2020 / SERVICIO DE LIMPIEZA</t>
  </si>
  <si>
    <t>OR: 10806 - MATRICULA: 0432KMP / MANDO ( 1498838 ).../ 23-2020 / SERVICIO DE LIMPIEZA.</t>
  </si>
  <si>
    <t>ALBARAN: AV22/06809 F: 21/12/2022 / ZAPATO T.SERRAJE AZUL MARINO BRUSONI S1 P T-39.../ V36/2017 / SERVICIO DE LIMPIEZA</t>
  </si>
  <si>
    <t>ALBARAN: AV23/00034 F: 05/01/2023 / BOTA YOUTH S3 SRC T-41.../ V36/2017 / SERVICIO DE LIMPIEZA.</t>
  </si>
  <si>
    <t>BT-L-120 - TERMOSTATO DE CONTACTO NC 120ºC 10A 240V.../ V36/2017 / SERVICIO DE LIMPIEZA</t>
  </si>
  <si>
    <t>STIHL ACEITE HP SUPER 5L 7813198055 / SERVICIO DE LIMPIEZA.</t>
  </si>
  <si>
    <t>MANDO DISTANCIA SR-48.../ V36/2017 / SERVICIO DE LIMPIEZA.</t>
  </si>
  <si>
    <t>MATERIALES PARA REPARACIONES CALEFACCIÓN CC CANAL DE CASTILLA Y CC RONDILLA SEGÚN PPTOS. APROBADOS 170 Y 172</t>
  </si>
  <si>
    <t>2023 11 1631 22199</t>
  </si>
  <si>
    <t>COPIA LLAVE NORMAL / CERRADURA AGA 135 C-40 CROMADO / CERRADURA KEYA 201342 CR.../ 36-2017 /  SERVICIO DE LIMPIEZA.</t>
  </si>
  <si>
    <t>AMBIENTADOR ELECTRICO AMIBIPUR.../ V36/2017 / SERVICIO DE LIMPIEZA</t>
  </si>
  <si>
    <t>COPIA LLAVE NORMAL / COPIA LLAVE NORMAL.../ V36/2017 / SERVICIO DE LIMPIEZA.</t>
  </si>
  <si>
    <t>ALB: 23-200139 PED: 23-000236-1020 S/PED: REPUESTOS TALLER / RACORD BARCELONA RED.../ V36/2017 / SERVICIO DE LIMPIEZA</t>
  </si>
  <si>
    <t>ALB: 22-237963 PED: 22-062091-1020 S/PED: REPUESTOS TALLER / RACORD BARCELONA B25 MA.../ V36/2017 / SERVICIO DE LIMPIEZA</t>
  </si>
  <si>
    <t>ALB: 22-237845 PED: 22-061904-1104 S/PED:  / ABRAZADERA SUPER INOX 304 DN 68 - 73.../ V36/2017 / SERVICIO DE LIMPIEZA.</t>
  </si>
  <si>
    <t>CLAVIJA 10-16A-250V DIAMETRO 4,8 CON TT LATERAL DE COLOR BLANCO / PANEL C.../ 36-2017 / LIMPIEZA VIARIA.</t>
  </si>
  <si>
    <t>6671KWD/H.M.O.DESM-MONT. CAJA CAMBIOS Y ACCESORIOS PARA SUST KIT EMBRAGUE, ROD.../ 23-2020 / SERVICIO DE LIMPIEZA</t>
  </si>
  <si>
    <t>TUBER.ACEITE PR/PLACA INTERMEDI/LUZ PLAFON/MANGUITO CAUCHO/CIERRE/CERRADUR/SOPORTE ABAJ./ 23-2020 / SERVICIO DE LIMPIEZA</t>
  </si>
  <si>
    <t>7333LWL/EO,CAMBIO ACEITE-FILTRO/SUST FILTRO SECADOR/SUST FILTRO BLOW-BY REVISAR NIV.../ 23-2020 / SERVICIO DE LIMPIEZA</t>
  </si>
  <si>
    <t>0120GJY/REVISAR TESTIGO CUADRO, RESETEAR CENTRALITA, BORRAR FALLOS-PROBAR/ACC. A CENT.../ 23-2020 / SERVICIO DE LIMPIEZA</t>
  </si>
  <si>
    <t>8500LRN/REVISAR PERDIDA AIRE, SUST.TUBERIAS FRENO DE MANO, POSICIONAR PARA QUE N ROCE.../ 23-2020 / SERVICIO DE LIMPIEZA</t>
  </si>
  <si>
    <t>1433749 (6460275) REMACHE FLOR 4.8x25 GESIPA / 9021-M 5 ZN ARAND.PL.ALA ANCHA.../ 36-2017 / SERVICIO DE LIMPIEZA</t>
  </si>
  <si>
    <t>62303-2RS1/C3 RODAMIENTO BOLAS SKF / 607349 188.8 MANGO 1/4 CON CUADRADO MACHO 150 U.../ V36/2017 / SERVICIO DE LIMPIEZA</t>
  </si>
  <si>
    <t>SASH-HIDROL-M 46 B-200L / APORTACION SIGAUS 200 LITROS / TOTAL RUBIA TIR 9900 FE 5W.../ 36-2017 /  SERVICIO DE LIMPIEZA.</t>
  </si>
  <si>
    <t>SASH-HIDROL-M 46 B-200L / APORTACION SIGAUS 200 LITROS.../ V36/2017 / SERVICIO DE LIMPIEZA</t>
  </si>
  <si>
    <t>ADBLUE A GRANEL.../ 36-2017 /  SERVICIO DE LIMPIEZA.</t>
  </si>
  <si>
    <t>ADBLUE A GRANEL.../ V36/2017 / SERVICIO DE LIMPIEZA</t>
  </si>
  <si>
    <t>AK-ADIGAS 6 CTN 25 L / KLINER FUNGY OIL B2B OPACA BLANCA 25L..../ V36/2017 / SERVICIO DE LIMPIEZA</t>
  </si>
  <si>
    <t>DYNAMIC-GRASA DYNAKOTE EP-00 EC 18 K.../ 36-2017 /  SERVICIO DE LIMPIEZA.</t>
  </si>
  <si>
    <t>DYNAMIC-ANTICONGELANTE 3000 50% 185 K / .../ V36/2017 / SERVICIO DE LIMPIEZA</t>
  </si>
  <si>
    <t>TUBO PARA ALETAS / SOPORTE ALETA FIJACION DIRECTA / MICROINTERRUPTOR UNIVERS.../ 36-2017 / LIMPIEZA VIARIA.</t>
  </si>
  <si>
    <t>RADIADORES VALLADOLID, S.L.</t>
  </si>
  <si>
    <t>CAMBIO DE PANAL RADIADOR BARRERORA.../ V36/2017 / SERVICIO DE LIMPIEZA</t>
  </si>
  <si>
    <t>REPUESTOS SAENZ S.A.</t>
  </si>
  <si>
    <t>ESCOBIJO BARRENDERO CON MANGO 90MM  00001450 / BARRENDERO ROJO 520 5/F 520X65MM  ART.../ V36/2017 / SERVICIO DE LIMPIEZA</t>
  </si>
  <si>
    <t>PINTURA SPRAY 0.5 LT MARCAJE AMARILLO / PILA DURACELL MN21 12V ALCALINA A23/K23A L.../ V36/2017 / SERVICIO DE LIMPIEZA.</t>
  </si>
  <si>
    <t>GANCHO GATILLO GIRATORIO AL 5.3TN / PUNTA 1/4 HEXAGONAL 8MM / ADAPTADOR PARA ATORNILLADOR 892/0.../ SERVICIO DE LIMPIEZA</t>
  </si>
  <si>
    <t>Regalos para el día del niño de nuestro patrón; Servicio de Extinción de Incendios, Salvamento y Protección Civil.</t>
  </si>
  <si>
    <t>ROTULA PARA ARTICULACION DEL BASTIDOR / ANILLO DISTANCIADOR / TUERCA RAVO.../ 36-2017 /  SERVICIO DE LIMPIEZA.</t>
  </si>
  <si>
    <t>2023 11 1631 22110</t>
  </si>
  <si>
    <t>BOLSA NEGRA 90X95 G-140 BDRPLTOTAL(1000 unid)/BOLSA NEGRA 115X150 G-150 BDRPLTOTAL(1000uni)../V36/2017/SERVICIO LIMPIEZA</t>
  </si>
  <si>
    <t>RUEDA COMPLETA BOCA ASPIRACION / PORTES MAF / LABIO DELANTERO PARA BOCA ASPI.../ 36-2017 /  SERVICIO DE LIMPIEZA.</t>
  </si>
  <si>
    <t>BOMBA DE AGUA C/ACOPLAMIENTO ELECTROMAG. BARREDORA RAVO / 5.5KG VARILLA A-304L Ø.../ V36/2017 / SERVICIO DE LIMPIEZA</t>
  </si>
  <si>
    <t>BOLSA NEGRA 90X95 G-140 BDRPLTOTAL (1000 unid)  / BOLSA NEGRA 115X150 G-150 B.../ 36-2017 /  SERVICIO DE LIMPIEZA.</t>
  </si>
  <si>
    <t>LLAVE COMBINADA 34 MM  / ESLINGA AL S C/GUARDACABOS 10MM 1 MTRO / ADAPTADOR IM.../ 36-2017 /  SERVICIO DE LIMPIEZA.</t>
  </si>
  <si>
    <t>PORTES MAF / PORTES MAF / BOMBA AGUA P/ASPERSOR CEPILLO S/ACOPLA ELECT / M CA.../ 36-2017 / SERVICIO DE LIMPIEZA</t>
  </si>
  <si>
    <t>BOLSA NEGRA 90X95 G-140 BDRPLTOTAL (1000 unid) .../ 36-2017 / LIMPIEZA VIARIA.</t>
  </si>
  <si>
    <t>PATIN VERTICAL ELEVACONTINEDORES COMP CON EQUI MAZZOCCHIA / PORTES MAF.../ 36-2017 / SERVICIO DE LIMPIEZA.</t>
  </si>
  <si>
    <t>JGO 9 LLAVES ALLEN HEX CON BOLA CLIP  / MARTILLO DE BOLA C  / TUERCA DIN 985 M-06 8 ZN.../ 36-2017 / LIMPIEZA VIARIA</t>
  </si>
  <si>
    <t>ABRAZADERA TORRO W2 16-27/9 ( ASFA-L) / ABRAZADERA TORRO W2 8-16/9 ( ASFA-L) / ABRAZ.../ V36/2017 / SERVICIO DE LIMPIEZA</t>
  </si>
  <si>
    <t>2023 11 3111 214</t>
  </si>
  <si>
    <t>VEHICULOS CALLEJA, S.L.</t>
  </si>
  <si>
    <t>VEHÍCULO 0521BBH /MANO DE OBRA / DISCOS DE FRENO DL / PASTILLAS DE FRENO DELANTERO / FILTRO DE AIRE / FILTRO DE HABITACU</t>
  </si>
  <si>
    <t>VOLQUETES ESCALANTE, S.L</t>
  </si>
  <si>
    <t>CILINDRO HID. DOBLE EFECTO 70X110X1180 - PORTES (MATRICULA 5277KWD) .../ 23-2020 / SERVICIO DE LIMPIEZA.</t>
  </si>
  <si>
    <t>CARGADOR BATERIA-GANCHO GIRATORIO DE 5.4 T(MATERIAL RETIRADO SR ANGEL GARCIA).../ 23-2020 / SERVICIO DE LIMPIEZA</t>
  </si>
  <si>
    <t>REGULACION SENSOR DE APOYO-MONTAR BLOQUE Y REGULAR PRESION (MATRICULA 6728 KTS).../ 23-2020 / SERVICIO DE LIMPIEZA</t>
  </si>
  <si>
    <t>REVISION ANUAL GRUA FASSI F65B.0.21 AÑO 2020 Nº 0650-0860 (MATRICULA 2756 LLV SUSTITU.../ 23-2020 / SERVICIO DE LIMPIEZA</t>
  </si>
  <si>
    <t>BATERIA SCANRECO (RETIRADO SR PEDRO RINCON).../ 23-2020 / SERVICIO DE LIMPIEZA</t>
  </si>
  <si>
    <t>CTTO SUMINISTRO SUSCRIPCIÓN REVISTA MOTOCICLISMO//AÑO 2023</t>
  </si>
  <si>
    <t>CASTILLA Y LEON RADIO, S.A.</t>
  </si>
  <si>
    <t>CAMPAÑA PUBLICIDAD RADIO PROCESO VOTACIONES PPTOS. PARTICIPATIVOS 2023 (DEL 23 FEB. AL 20 MARZO)</t>
  </si>
  <si>
    <t>REALIZACIÓN DE 50 TALLERES EN PREVENCIÓN DE LA INTOLERANCIA Y DELITOS DE ODIO EN EL ÁMBITO EDUCATIVO.DE FEB A JUN 2023</t>
  </si>
  <si>
    <t>CAMPAÑA PUBLICIDAD EN PRENSA DIGITAL PROCESO DE VOTACIONES PPTOS. PARTICIPATIVOS 2023</t>
  </si>
  <si>
    <t>CTTO SUMINISTRO SUSCRIPCIÓN DEL NORTE DE CASTILLA PARA BIBLIOTECAS PÚBLICAS//AÑO 2023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</si>
  <si>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</si>
  <si>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</si>
  <si>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</si>
  <si>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2023 06 3321 223</t>
  </si>
  <si>
    <t>MUDANZAS PMB, SL UNIPERSONAL</t>
  </si>
  <si>
    <t>CTTO SEVICIOS TRANSPORTE LIBROS Y MATERIAL DEL CENTRO CÍVICO PARQUESOL A LA NUEVA BIBLIOTECA PARQUESOL//MARZO 2023</t>
  </si>
  <si>
    <t>2023 06 2314 22602</t>
  </si>
  <si>
    <t>ELABORACION SOPORTES DIVULGATIVOS UNIVERSIDAD DE VALLADOLID AÑO 2023</t>
  </si>
  <si>
    <t>MULTIPRENSA DE CASTILLA Y LEÓN, S.L.</t>
  </si>
  <si>
    <t>RADIO POPULAR S.A.-COPE</t>
  </si>
  <si>
    <t>SOCIEDAD ESPAÑOLA DE RADIODIFUSION,S.L.</t>
  </si>
  <si>
    <t>WIELORYB SL</t>
  </si>
  <si>
    <t>PRÓRROGA SE-EIJI 6/2020 P.S.7 CONTRATO SERVICIOS GESTION INTEGRAL ESPACIO JOVEN NORTE LOTE 1. 01/05 A 31/12/2023</t>
  </si>
  <si>
    <t>2023 06 3232 632</t>
  </si>
  <si>
    <t>CTTO SUMIN INSTAL ESTORES ENROLLY VENECIANAS POR DETERIORO EN VARIOS CEIP//2023//INVER CONDIC. AUTORIZ PRESTAMO JCYL</t>
  </si>
  <si>
    <t>Alquiler maquinaria sin conductor (rodillos compactadores, carretillas elevadoras, barredoras, mini-retros...) a demanda</t>
  </si>
  <si>
    <t>IMPRESIÓN DE ROLL-UP DE ""VALLADOLID SOCIAL"" DE LA CONCEJALÍA DE SERVICIOS SOCIALES Y MEDIACIÓN COMUNITARIA</t>
  </si>
  <si>
    <t>INSPECCIONES OBLIGATORIAS DE LOS ASCENSORES DE ROND- VICT-PTE. COLG, Z.ESTE(DOS ASCENSORES)Y FRAY LUIS EN 2023</t>
  </si>
  <si>
    <t>Suministro de hormigones y morteros, tanto en obra como mediante retirada en planta con vehículos municipales.</t>
  </si>
  <si>
    <t>Alquiler de 74 Ud. de valla de obra electrosoldada, tipo europeo, con sus pies correspondientes</t>
  </si>
  <si>
    <t>CTTO SUMINISTRO REVISTA ""PEONZA"" PARA BIBLIOTECAS PÚBLICAS//AÑO 2023</t>
  </si>
  <si>
    <t>Alquier y retirada de contenedores de obra, a demanda y según necesidades.-</t>
  </si>
  <si>
    <t>SUMINISTRO DE 2.600 L. GASÓLEO C  PARA CALDERA DEL PARQUE VÍAS PÚBLICAS, C/ Títulos, 51.</t>
  </si>
  <si>
    <t>ELABORACION DE SOPORTES DIVULGATIVOS PARA UNIVERSIDAD DE VALLADOLID 2023</t>
  </si>
  <si>
    <t>MUNDO INDUSTRIA, S.L.</t>
  </si>
  <si>
    <t>4 pletinas de aluminio 40X2X1000; Servicio de Extinción de Incendios, Salvamento y Protección Civil.</t>
  </si>
  <si>
    <t>2023 04 9202 22699</t>
  </si>
  <si>
    <t>NAMEN COLOR, S.L.</t>
  </si>
  <si>
    <t>ADQUISICION DE MANDO PARA PASAR DIAPOSITIVAS EN ORDENADOR DEL AULA DE FORMACON, MODELO PRESENTER K-109 USB</t>
  </si>
  <si>
    <t>NAVARRO APLIC.TERMICAS E HIDRAULICAS S.A</t>
  </si>
  <si>
    <t>CTTO SUMINISTRO MANÓMETRO Y JUNTAS PARA BOMBA VERTICAL PARA EL CEIP FRANCISCO PINO//</t>
  </si>
  <si>
    <t>Sustitución de servomotor en circuito de calefacción de la Imprenta y el Centro de Mantenimiento.</t>
  </si>
  <si>
    <t>SUMINISTRO DE REPUESTOS PARA CIRCUITOS NEUMÁTICOS PARA REPARACIÓN DE VEHÍCULOS DE LIMPIEZA VIARIA.</t>
  </si>
  <si>
    <t>NICOLAS LOPEZ VIVAS SL</t>
  </si>
  <si>
    <t>SUMINISTRO DE MATERIALES PARA REPARACIÓN DE ESCALERAS ACCESO AL CC J.M. LUELMO</t>
  </si>
  <si>
    <t>NIETO VIAJES Y EVENTOS SL</t>
  </si>
  <si>
    <t>TRANSPORTE, ALOJAMIENTO, SEGURO PONENTE TALLER INFORMACION Y SENSIBILIZACION TRATA DE MUJERES</t>
  </si>
  <si>
    <t>NORMADAT, SA</t>
  </si>
  <si>
    <t>LOTE 2 DE CONTRATO DE APOYO A LA GESTIÓN BIBLIOTECARIA, ARCHIVO MUNICIPAL.</t>
  </si>
  <si>
    <t>NOUS LIVE SL</t>
  </si>
  <si>
    <t>CONCIERTOS CUPULA. AGUACERO,ISKENDERS, SAMURAI Y GLOSEMANA TOUR DEL TALENTO EN VALLADOLID DEL 13 AL 18 DE MARZO DE 2023.</t>
  </si>
  <si>
    <t>AJUSTE PRESUPUESTARIO DEL MANTENIMIENTO DE SEGURIDAD Y VIDEOVIGILANCIA DEL CENTRO DE FORMACION PARA EL EMPLEO EN 2023-</t>
  </si>
  <si>
    <t>DESMONTAJE Y RETIRADA DE CABLEADO DE RACK PERTENECIENTE A POLICÍA MUNICIPAL.</t>
  </si>
  <si>
    <t>ACTUACIÓN TEATRAL DE ZOLOPOTROKO EN CC RONDILLA EL DÍA 06/05/2023. MFS</t>
  </si>
  <si>
    <t>TALLERES DE YOGA INFANTIL Y ADOLESCENTE EN EL CENTRO MUNICIPAL DE LA IGUALDAD / PRIMER TRIMESTRE 2023</t>
  </si>
  <si>
    <t>ALDEAMAYOR DE SAN MARTÍN</t>
  </si>
  <si>
    <t>TALLERES DE YOGA INFANTIL Y ADOLESCENTE EN EL CENTRO MUNICIPAL DE LA IGUALDAD / DURANTE 2023</t>
  </si>
  <si>
    <t>Suministro de áridos (arena lavada, arena de mina, piñón, gravas...) y retirada con vehículos municipales.-</t>
  </si>
  <si>
    <t>VALLADOLID (POLIGONO SAN CRISTOBAL)</t>
  </si>
  <si>
    <t>2023 02 9332 22699</t>
  </si>
  <si>
    <t>OCA INSPECCION CONTROL Y PREVENCION, S.A.U.</t>
  </si>
  <si>
    <t>Inspección periódica de la instalación de Baja Tensión del Centro de Prevención Municipal</t>
  </si>
  <si>
    <t>INSPECCIÓN OBLIGATORIA DE LAS INST. DE BAJA TENSIÓN EN 17 EDIFICIOS SPC</t>
  </si>
  <si>
    <t>CTTO SUMINISTRO SUSCRIPCIÓN VARIAS REVISTAS DE OCU EDICIONES//AÑO 2023</t>
  </si>
  <si>
    <t>ASISTENCIA TÉCNICA, OPERACIÓN Y MTO. DEL SOFTWARE DE BASE (54/2022) LOTE 2 , SERV. BAJO DEMANDA</t>
  </si>
  <si>
    <t>ASIST. TÉCNICA  ELABORACIÓN  DOCUMENTACIÓN JUSTIFIC VINCULADA CON LOS PROYECTOS PRTR DEL  ÁREA  PLANIFICACIÓN Y RECURSOS</t>
  </si>
  <si>
    <t>REPARACIÓN CHAPAS SUPERIORES DEL ALOJAMIENTO DEL CONTENEDOR SOTERRADO EN C/ BOSTON FRENTE SEG. SOC. Sº DE LIMPIEZA.</t>
  </si>
  <si>
    <t>OLMO MORALES ALBARRÁN</t>
  </si>
  <si>
    <t>TALLER CHARLA DEBATE MASCULINIDADES EN EL CENTRO MUNICIPAL DE LA IGUALDAD</t>
  </si>
  <si>
    <t>MATERIAL PERSIANAS PARA ESCUELAS INFANTILES MUNICIPALES. AÑO 2023</t>
  </si>
  <si>
    <t>CTTO SUMINISTRO Y SUSTITUCIÓN DE PIEZAS DE ASCENSORES EN CEIPS POR FIN DE VIDA ÚTIL EXPTE 58/2020 (LOTE 1)//2023</t>
  </si>
  <si>
    <t>DIRECCION TECNICA SUMINISTRO E INSTALACION SISTEMAS CONTROL ACCESOS ZBE</t>
  </si>
  <si>
    <t>AMPLIACION PROPUESTA GASTO MATERIAL IMPRESO INAUGURACION DEL CENTRO MARCELINA PONCELA PARA INCLUIR PANEL TEXTO PVC</t>
  </si>
  <si>
    <t>CERTIFICADO DE VERIFICACIÓN PERIÓDICA ANUAL ETILÓMETRO DE INSPECCIÓN CENTRAL DE GUARDIA.</t>
  </si>
  <si>
    <t>REPARACIÓN DE DAÑOS POR ROBO Y VANDALISMO EN ASEOS MASCULINOS 2ª PTA. CC ZONA SUR</t>
  </si>
  <si>
    <t>SUMINISTRO CRISTALERIA ESCUELAS INFANTILES MUNICIPALES DEPENDIENTES DEL SERVICIO DE EDUCACIÓN. AÑO 2023</t>
  </si>
  <si>
    <t>2023 06 3321 212</t>
  </si>
  <si>
    <t>CAC CONSTANZA MARTÍN // CABLE INFOR/DATOS UTP-6 LSZH L.HAL (BOBINA / Mt CANAL UNEX 78043-2  20x30   PVC-BA / CONECTR H</t>
  </si>
  <si>
    <t>DISEÑO DE DIPLOMAS PARA PARTICIPANTES EN LAS  MUESTRAS 2022</t>
  </si>
  <si>
    <t>DOWN.EMP IRELUZ IRD-2405 BL RED. 25W 4000K / TASA ECORAEE   (R.DECRETO 208/2005) /BIBLI. Fº PINO</t>
  </si>
  <si>
    <t>DIRECCION DEL AREA DE M.AMBIENTE // LAMPARA LED REFLECTORA R80 10W E27 4000K</t>
  </si>
  <si>
    <t>OMEGA PERIPHERALS, S.L.</t>
  </si>
  <si>
    <t>SUMINISTRO, INSTALACIÓN, CONFIGURACIÓN Y PUESTA EN MARCHA DE ESTACIONES DE TRABAJO, LOTE 3 , ENERO 22 A JUNIO 23</t>
  </si>
  <si>
    <t>ACUERDO MARCO. SUMINISTRO MATERIAL DE ELECTRICIDAD PARA MANTENIMIENTO DEPENDENCIAS DE POLICÍA.</t>
  </si>
  <si>
    <t>TA23 72 REPARACION 7073-DRZ // KMS.67147 REVISAR FALLO EN WARNING, CAMBIAR RELE DE INTERMITENCIAS. / 4330629 RELE</t>
  </si>
  <si>
    <t>SUMIN., INST, CONFIG. PUESTA EN MARCHA ESTAC. TRABAJO, LOTE 3 , ENERO-JUNIO 23. ANUL. POR AD/  220229/780 AL 31-12-22</t>
  </si>
  <si>
    <t>2023 08 1341 22699</t>
  </si>
  <si>
    <t>PILA PARA BALIZA ISSA 6 VOLT.</t>
  </si>
  <si>
    <t>OPEN ENERGY 2012 SL</t>
  </si>
  <si>
    <t>CONTRATO GESTIÓN Y SEGUIMIENTO CONSUMO Y FACTURACIÓN TODOS CONTRATOS SUMINISTRO ENERGIA ELÉCT. Y GAS DEL AYUNT. VS 4/22</t>
  </si>
  <si>
    <t>ACUERDO MARCO. REPARAC.  MOTOC. KIT TRANSM. RK VERSYS-650 15X45X520 XS0 / KIT DE TRANSM. RV V-STROM 650 15X47X118 525XSO</t>
  </si>
  <si>
    <t>EDIGRUP PRODUCCIONES TV, S.A.</t>
  </si>
  <si>
    <t>AM 2021/37 ADJUDICA PUBLICIDAD AYTOVA EN TV POR FERIA FIMASCOTA</t>
  </si>
  <si>
    <t>AM 2021/37 COMPLEMENTARIO AD 920230002743 ERROR CALCULO IVA (2550+21% NO 3.025) PUBLICIDAD AYTO EN FERIA FIMASCOTA</t>
  </si>
  <si>
    <t>2023 04 9321 22602</t>
  </si>
  <si>
    <t>INSERCIONES PUBLICITARIAS EN MATERIA TRIBUTARIA PARA 2023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</si>
  <si>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</si>
  <si>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</si>
  <si>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</si>
  <si>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</si>
  <si>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</si>
  <si>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MANTENIMIENTO ASCENSOR DE LAS DEPENDENCIAS DEL DISTRITO 3º DE POLICÍA. EJERCICIO 2023.</t>
  </si>
  <si>
    <t>ID: 0034937-BIBLIOTECA SAN JUAN / MANILLA ALMA MANUBRIO REF. 6085 NE 9005M ( JGO )</t>
  </si>
  <si>
    <t>CTTO SUMINISTRO Y SUSTITUCIÓN DE PIEZAS DE ASCENSORES DE LOS COLEGIOS PÚBLICOS PARA SU CORRECTO FUNCIONAMIENTO//AÑO2023</t>
  </si>
  <si>
    <t>MANTENIMIENTO ASCENSORES DEL CENTRO DE VIDA ACTIVA PARQUESOL PARA 2023</t>
  </si>
  <si>
    <t>ARANDELA DIN 127 GROWER ZINCADA M- 8 / RUEDA SIRVEX 1-0557 21BSRFN50 FRENO N / FLEXOMETRO 16/3MTS MAGNETICO EHL / TORNI.</t>
  </si>
  <si>
    <t>TACO FISCHER HM 4X45 S (50UD) / *TACO FISCHER HM 5X65 S REF 62312 / *TACO FISCHER SX  8X40 NYLON 100UD * / TACO FISCHER</t>
  </si>
  <si>
    <t>PILA LITIO CR2032 MAXELL RENATA</t>
  </si>
  <si>
    <t>ACUERDO MARCO.  // COPIA LLAVE NORMAL</t>
  </si>
  <si>
    <t>CONTRATO MANTENIMIENTO ANUAL ASCENSOR C/ TOPACIO 63. SERVICIO DE LIMPIEZA.</t>
  </si>
  <si>
    <t>OSCAR BARAJAS  SÁNCHEZ</t>
  </si>
  <si>
    <t>HABICHUELA CUENTACUENTOS EN CIC NATIVIDAD ÁLVAREZ CHACÓN EL DÍA 12/03/2023. MFS</t>
  </si>
  <si>
    <t>DISEÑO, CAMPAÑA Y ADAPTACIÓN WEB CAMPAÑA MUJER, NIÑA Y CIENCIA</t>
  </si>
  <si>
    <t>DISEÑO, MAQUETACIÓN Y ARTE FINAL DE LA CAMPAÑA 8M / MARZO 2023</t>
  </si>
  <si>
    <t>FERROINDUSTRIAS YUSTOS S.L</t>
  </si>
  <si>
    <t>3 IPN 80 A 6M S 275 JR / TUBO CUADRADO 80X80X2 DD11 / TUBO CUADRADO 40X40X1,5 DD11 / TUBO RECTANGULAR 40X30X1,5 DD11 / T</t>
  </si>
  <si>
    <t>DISEÑO, MAQUETACION Y ARTE FINAL INVITACION ACTO</t>
  </si>
  <si>
    <t>ESPECTÁCULO DE MAGIA EN CIC SEGUNDO MONTES EL DÍA 20/05/2023. MFS</t>
  </si>
  <si>
    <t>SARDON DE DUERO</t>
  </si>
  <si>
    <t>OXIGENO Y SOLDADURA, S.L.</t>
  </si>
  <si>
    <t>Manguera de goma para conexión de la botella de argón para soldadura; SEISYPC,</t>
  </si>
  <si>
    <t>SUMINISTRO MATERIAL FÉRRICO PARA REPARACIÓN DE VEHÍCULOS DEL SERVICIO DE LIMPIEZA.</t>
  </si>
  <si>
    <t>P.I.B. MEDIOAMBIENTAL S.L.</t>
  </si>
  <si>
    <t>REVISIÓN DEL CAÑÓN DE OZONO PARA DESINFECCIÓN DE VEHÍCULOS DE LA POLICÍA MUNICIPAL.</t>
  </si>
  <si>
    <t>PINTO</t>
  </si>
  <si>
    <t>2023 08 1651 22706</t>
  </si>
  <si>
    <t>GASTO COMPLEMENTARIO de la Redacción Proyecto Iluminación Fachada Principal del Ayuntamiento.-</t>
  </si>
  <si>
    <t>PABLO LUIS GARCÍA ZAMORA</t>
  </si>
  <si>
    <t>SUSCRIPCIÓN ANUAL A BASES DE DATOS INFOCONCURSAL ""INFORME DE DATOS"" Y ""USUARIO PROFESIONAL"", AÑO 2023.</t>
  </si>
  <si>
    <t>SERVICIOS DE MAQUETACION PLAN DE COMERCIO 23-26</t>
  </si>
  <si>
    <t>SEPI / TABLERO ABEDUL CARROCERIA 21MM / NORTE V TRATADO U-4  CEPILLADO 63-75 /</t>
  </si>
  <si>
    <t>ADJUDICA CAMPAÑA NACIONAL PROMOCIÓN RADIOFÓNICA SEMANA SANTA 2023 - GOBIERNO Y RELACIONES</t>
  </si>
  <si>
    <t>RECAMBIOS POMAUTO, S L</t>
  </si>
  <si>
    <t>0/0 - CONOS SEÑALIZAC.BANDA C-SOPORT / ADPRO/BLUE10 - BLUE10 / 0/0 - LATIGUILLO REFORZ.S.MUESTRA MAQU.RETRO / 0/0 - TAPI</t>
  </si>
  <si>
    <t>CONTRATOS /PR: ORONA SB + TELEFONIA // CENTROS CEIP /// MES DE DICIEMBRE DE 2022</t>
  </si>
  <si>
    <t>PENTAKILL STUDIOS S.L.</t>
  </si>
  <si>
    <t>CONTRATO PATROCINIO ASISTENCIA GAME CONNECTION AWARDS Y GAME DEVELOPES CONFERENCE. 20 A 24 MARZO 2023</t>
  </si>
  <si>
    <t>KATUA &amp; GALEA: CUENTOS Y TÍTERES EN CM PINAR DE ANTEQUERA EL DÍA 07/05/2023. MFS</t>
  </si>
  <si>
    <t>MATERIAL DE DIFUSIÓN CAMPAÑA DIA INTERNACIONAL DE LA MUJER 8M / MARZO 2023</t>
  </si>
  <si>
    <t>PINTURAS Y SUMINISTROS PINMAHER S.L.L.</t>
  </si>
  <si>
    <t>CTTO SERVICIOS TRABAJOS DE PINTURA EN EL PUNTO DE LECTURA SAN PEDRO REGALADO//1 SEMANA//2023</t>
  </si>
  <si>
    <t>2023 01 9203 22699</t>
  </si>
  <si>
    <t>PLACA METACRILATO POLIDEPORTIVO DELICIAS</t>
  </si>
  <si>
    <t>2023 08 1341 214</t>
  </si>
  <si>
    <t>ACUERDO MARCO_2543HTB:BATERIA 56AH480 BOSCH Y SUSITUTIRLA</t>
  </si>
  <si>
    <t>MANTENIMIENTO CARTELES ALBERGUE JUVENIL ""EL CALLEJÓN"" / DURANTE 2023</t>
  </si>
  <si>
    <t>AM SECT 2021/37 ADJUDICA CAMPAÑA PUBLICIDAD MEDIO DIGITAL APERTURA NUEVO CENTRO PERSONAS MAYORES PARQUESOL</t>
  </si>
  <si>
    <t>VEHÍCULO 0556FVP // BOMBILLA DE CRUCE IZQUIERDA / MANO DE OBRA</t>
  </si>
  <si>
    <t>2023 11 1361 22104</t>
  </si>
  <si>
    <t>EXPTE.: SPSC 013_2021; PRIMERA PRÓRROGA CONTRATO SUMINISTRO VESTUARIO; LOTE 3: TRAJE DE AGUA; SEISYPC</t>
  </si>
  <si>
    <t>ARNEDO</t>
  </si>
  <si>
    <t>EXPTE.: SPSC 013_2021; PRIMERA PRÓRROGA CONTRATO SUMINISTRO VESTUARIO; LOTE 1: ROPA DE PARQUE; SEISYPC</t>
  </si>
  <si>
    <t>MANTNIMIENTO Y MATERIAL FUNGIBLE DEL EQUIPO DE GASES AGILENT DEL LABORATORIO DE LA RED DE CONTAMINACION</t>
  </si>
  <si>
    <t>EXPTE.: SPSC 013_2021; PRIMERA PRÓRROGA CONTRATO SUMINISTRO VESTUARIO; LOTE 4: BOTAS Y ZAPATOS; SEISYPC</t>
  </si>
  <si>
    <t>CARMONA</t>
  </si>
  <si>
    <t>ELDIARIO.ES REALIZA EN FEBRERO EL II EVENTO DE ECONOMÍA CIRCULAR. PONENCIAS, MESAS DE DEBATE Y ENTREVISTAS EN DIRECTO</t>
  </si>
  <si>
    <t>2023 10 2412 22110</t>
  </si>
  <si>
    <t>SUMINISTRO DE  MATERIAL DE LIMPIEZA PARA EL CENTRO DE FORMACION PARA EL EMPLEO JACINTO BENAVENTE- 2023</t>
  </si>
  <si>
    <t>EXPTE.: SPSC 013_2021; PRIMERA PRÓRROGA CONTRATO SUMINISTRO VESTUARIO; LOTE 2: COMPLEMENTOS TÉCNICOS; SEISYPC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</si>
  <si>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</si>
  <si>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</si>
  <si>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</si>
  <si>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</si>
  <si>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</si>
  <si>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AUTOBUSES URBANOS VALLADOLID</t>
  </si>
  <si>
    <t>2 BONOS ANUALES BIKI PARA SORTEO HORA DEL PLANETA / DÍA 25 DE MARZO</t>
  </si>
  <si>
    <t>KIT TRANS. LADO RUEDA / KIT MONTAJED Dr)CI Jumper/FI Ducato / RÓTULA DE SUSP. DELT.../ V36/2017 / SERVICIO DE LIMPIEZA</t>
  </si>
  <si>
    <t>VEHÍCULO 0755DWR // MANO DE OBRA / M.O.DE DESMONTAR Y MONTAR INYECTORES DE VE.../ V36/2017 / SERVICIO DE LIMPIEZA.</t>
  </si>
  <si>
    <t>TA23 243 REPARACION 4795-JCT // KMS.249611 METER VEHICULO EN FRENOMETRO / CAM.../ SP23/2020 / SERVICIO DE LIMPIEZA</t>
  </si>
  <si>
    <t>TA23 266 REPARACION VA-1089-AC // KMS.520721 REV.CAMBIO NO ENTRA LA MARCHA ATRAS. C.../ SP23/2020 / SERVICIO DE LIMPIEZA</t>
  </si>
  <si>
    <t>DIESE/460638 - INTERRUPTOR INTERMITENTE DE AVISO 5X5X8.5 / JURID/2925305390 - PAST.../ V36/2017 / SERVICIO DE LIMPIEZA</t>
  </si>
  <si>
    <t>Nº SERIE  J620115 / TALADRO HITACHI DV18DBL2WPZ 2X5AH / PUNTA ALLEN 840/1Z SW8X2.../ V36/2017 / SERVICIO DE LIMPIEZA.</t>
  </si>
  <si>
    <t>JARDINES / BOTA HAYA S2+CI+SRC Nº40 / BOTA HAYA S2+CI+SRC Nº41 / BOTA HAYA S2+CI+SRC Nº43 / BOTA HAYA S2+CI+SRC Nº44 /</t>
  </si>
  <si>
    <t>CENTRO MUNICIPAL DE PROTECCIÓN ANIMAL C/ PADRE BERNARDO HOYOS. 6 // LANZA DE RIEGO DE LATON / BOTA PU PRADO VE</t>
  </si>
  <si>
    <t>ZAPATO FLOR NEGRO 258 Nº37.../ V36/2017 / SERVICIO DE LIMPIEZA.</t>
  </si>
  <si>
    <t>ACUERDO MARCO. REPARACIÓN PIÑA DE LUCES DERECHA V-STROM / MANETA DE FRENO DELANTERO MOTOC.  HONDA CB-500-X</t>
  </si>
  <si>
    <t>ALBARAN: AV23/00285 F: 20/01/2023 / GAFA UNIVERSAL PHOEBE AHUMADO ANTIVAHO 10228 SAFETOP / AEROSOL LUBRICANTE DOBLE ACCI</t>
  </si>
  <si>
    <t>TAPON LIMP. URINARIO. CEIP ALLUE MORER. ENERO</t>
  </si>
  <si>
    <t>ACUERDO MARCO V.36/2017, ELEMENTOS DE RIEGO.</t>
  </si>
  <si>
    <t>MATRÍCULA 5461BZY // H.M.O.DESM-MONT. CAMBIO PARA SUST. KIT EMBRAGUE /  H.M.O., SUS.../ SP23/2020 / SERVICIO DE LIMPIEZA</t>
  </si>
  <si>
    <t>MATRÍCULA: 7418LDY // MATRÍCULA: 6671KWD // H.M.O., REVISAR FRENOS EN FRENOM.../ SP23/2020 / SERVICIO DE LIMPIEZA</t>
  </si>
  <si>
    <t>98- 5 PASADOR R (114774) // 98- 6 PASADOR R</t>
  </si>
  <si>
    <t>LINEA DE COMBUSTIBLE.../ V36/2017 / SERVICIO DE LIMPIEZA</t>
  </si>
  <si>
    <t>2023 01 9203 214</t>
  </si>
  <si>
    <t>ACUERDO MARCO REPARACION VEHICULO OFICIAL RENAULT VEL SATIS 3161GFG, R.I.</t>
  </si>
  <si>
    <t>ACUERDO MARCO. REPARACIÓN VEHÍCULO DE POLICÍA 3715KGB.</t>
  </si>
  <si>
    <t>ALLIANZ COMPANÍA DE SEGUROS Y REASEGUROS, S.A.</t>
  </si>
  <si>
    <t>Renovación póliza colectivos (accidentes) seguro huertos urbanos. Año 2023</t>
  </si>
  <si>
    <t>Redacción Del Proyecto Parcial De Estructuras De La Azucarera De Santa Victoria</t>
  </si>
  <si>
    <t>PATROCINIO DÍA DE LA BICI 2022 | Soporte: El Norte de Castilla - NDC - Ed. General Producto: Patrocinio Evento (P)</t>
  </si>
  <si>
    <t>2023 09 3341 22199</t>
  </si>
  <si>
    <t>PRODUCTOS Y EQUIPOS RESTAURACION S,L</t>
  </si>
  <si>
    <t>SUMINISTRO MATERIAL DE RESTAURACION PARA EL CENTRO MARCELINA PONCELA</t>
  </si>
  <si>
    <t>GETAFE</t>
  </si>
  <si>
    <t>SUMINISTRO MATERIAL RESTAURACION PARA EL CENTRO MARCELINA PONCELA. SE AMPLIA LA PROPUESTA POR ERROR EN EL IMPORTE</t>
  </si>
  <si>
    <t>PRODUCTOS Y MANGUERAS ESPECIALES S.A.</t>
  </si>
  <si>
    <t>Quince mangueras contraincendios, calidad 4k, de 70mm de diámetro y 15 m longitud; SEISYPC</t>
  </si>
  <si>
    <t>SANTO DOMINGO DE LA CALZADA</t>
  </si>
  <si>
    <t>PROIN-PINILLA S.L.</t>
  </si>
  <si>
    <t>CONTRATO SUMINISTRO DE VESTUARIO Y COMPLEMENTOS PARA EL PERSONAL DE LIMPIEZA VIARIA. AÑO 2023 (LOTE 1)</t>
  </si>
  <si>
    <t>ZARAGOZA</t>
  </si>
  <si>
    <t>CONTRATO SUMINISTRO DE VESTUARIO Y COMPLEMENTOS PARA EL PERSONAL DEL SERVICIO DE LIMPIEZA. AÑO 2023 (LOTE 1)</t>
  </si>
  <si>
    <t>EXPTE.: SPSC 014_2021; Contrato Suministro EPIs; LOTE 2: EPIs interv resc técnico, altura e incendios forestal; SEISYPC.</t>
  </si>
  <si>
    <t>60 bolsas de tránsito personal para la D.O.I.; Servicio de Extinción de Incendios, Salvamento y Protección Civil.</t>
  </si>
  <si>
    <t>Mantenimiento enero y febrero de 2023 de las puertas de los parques de bomberos; SEISYPC</t>
  </si>
  <si>
    <t>PROXIMIA HAVAS, S.L.</t>
  </si>
  <si>
    <t>ADJUDICA CAMPAÑA PUBLICIDAD SEMANA SANTA VALLADOLID EN IL MESSAGGERO DE ROMA</t>
  </si>
  <si>
    <t>PROYECYL S.L.N.E.</t>
  </si>
  <si>
    <t>CURSO PLANES DE IGUALDAD EN EL CENTRO MUNICIPAL DE LA IGUALDAD</t>
  </si>
  <si>
    <t>CONCURSO CONTRATO SUMINISTRO VESTUARIO PERSONAL SERVICIO LIMPIEZA EJERCICIO 2023, LOTE 1</t>
  </si>
  <si>
    <t>PUBLIGER IGLESIAS Y NAVARRO, S.L.</t>
  </si>
  <si>
    <t>ENTREGA CAMISETAS Y MOCHILAS HORA DEL PLANETA DIA 25 DE MARZO</t>
  </si>
  <si>
    <t>2023 05 4312 212</t>
  </si>
  <si>
    <t>PUERTAS SANZ MIGUEL, S.A.L.</t>
  </si>
  <si>
    <t>REPARACION DE LA PERSIANA DEL PUESTO NUMERO 24 DEL MERCADO DEL VAL</t>
  </si>
  <si>
    <t>QUIMICA IINDUSTRIAL MEDITERRANEA, S.L.U</t>
  </si>
  <si>
    <t>ADJUDICA SUMINISTRO JABÓN DE MANOS Y OTROS PARA LIMPIEZA DE TINTAS OFFSET - IMPRENTA</t>
  </si>
  <si>
    <t>ACTUACIÓN DE DANZA EN CIC CONDE ANSÚREZ EL DÍA 18/03/2023. MFS</t>
  </si>
  <si>
    <t>RAFAEL BARRIO GONZALEZ</t>
  </si>
  <si>
    <t>REALIZACION DISEÑO GRAFICO DE LA IMAGEN CORPORATIVA DEL CENTRO MARCELINA PONCELA</t>
  </si>
  <si>
    <t>RANDOM PODCAST ESCENICO. SEMANA DEL TOUR DEL TALENTO.</t>
  </si>
  <si>
    <t>RENEDO DE ESGUEVA</t>
  </si>
  <si>
    <t>CTTO SUMINISTRO SUSCRIPCIÓN 9 REVISTAS PARA BIBLIOTECAS MUNICIPALES//AÑO 2023</t>
  </si>
  <si>
    <t>Suministro áridos reciclados, zahorras y recepción de escombros a granel, con retirada o entrega por medios municipales.</t>
  </si>
  <si>
    <t>CONTRATO SUMINISTRO GASOLINA PARA VEHÍCULOS Y MAQUINARIA DEL SERVICIO DE LIMPIEZA 2023 y 2024.</t>
  </si>
  <si>
    <t>2023 02 9332 22103</t>
  </si>
  <si>
    <t>PREVISIÓN GASTO GASOLINA 95 NUEVO CONTRATO VEHÍCULOS DEL SERVICIO DE MANTENIMIENTO.</t>
  </si>
  <si>
    <t>ABONOS EMUPA, S.L.2020</t>
  </si>
  <si>
    <t>SASU // SACA SUBSTRATO 1,5 M3 ( Prop. 1 SUBST )</t>
  </si>
  <si>
    <t>SANTIAGO DEL ARROYO</t>
  </si>
  <si>
    <t>Alicia Maravillas: Cuenta cuentos cantinela en CIC Santiago López el día 25/02/2023 MFS</t>
  </si>
  <si>
    <t>UTE CTR VALLLADOLID</t>
  </si>
  <si>
    <t>TN. RECOGIDA RESIDUOS VOLUMINOSOS ENERO 2023. CENTRO DE TRATAMIENTO Y ELIMINACIÓN DE RESIDUOS</t>
  </si>
  <si>
    <t>250</t>
  </si>
  <si>
    <t>ConcsOP - De concesion de obra publica</t>
  </si>
  <si>
    <t>CANCIONES ANIMADAS"" ACTUACIÓN DE JAIME LAFUENTE Y JESÚS RONDA EN CC CAMPILLO EL DÍA 14/05/2023. MFS</t>
  </si>
  <si>
    <t>MARGARITO Y CÍA: ESPECTÁCULO DE PAYASOS EN CC BAILARÍN VICENTE ESCUDERO EL DÍA 26/02/2023. MFS</t>
  </si>
  <si>
    <t>ALQUILER DE CARRETILLA ELEVADORA, TODO TERRENO, DURANTE 4 DÍAS.-</t>
  </si>
  <si>
    <t>ESPECTÁCULO DE CIRCO EN CC PILARICA 04/03/2023. MFS</t>
  </si>
  <si>
    <t>ASOCIACION EL CALABACIN ERRANTE COLECTIVO DE ARTE</t>
  </si>
  <si>
    <t>EL CALABACÍN ERRANTE: CUENTA CUENTOS EN CM LA OVERUELA EL DÍA 26/03/2023. MFS</t>
  </si>
  <si>
    <t>COLABORACIÓN STAND PARA XVII SALÓN DEL COMIC Y MANGA DE CASTILLA Y LEÓN EN FERIA DE VALLADOLID / 11 Y 12 MARZO</t>
  </si>
  <si>
    <t>VARIOS CENTROS CÍVICOS // MT TUBO GEWISS ¤DX25720 RKB M20 GRIS / MANGUITO GEWISS ¤DX40020 RKM M20 GR PRE ZH IP40 / CURVA</t>
  </si>
  <si>
    <t>MT CABLE H07Z1-K ZEROH FLEX  1X2,5 NEGRO / MT CANAL LEGRAND 30008    20X12,5 / C.I.C. NATIVIDAD Y CC BAILARIN VICENTE</t>
  </si>
  <si>
    <t>MAGNETOT SE IC60N  2P 25A  D  A9F75225 / MAGNETOT SE IDPN F 1P+N C 10A A9P53610 /CIC EMPECINADO</t>
  </si>
  <si>
    <t>ANGUL PL LEGRAND 30223 / MT CANAL LEGRAND 648905 ADHESIVA 20X12,5 / CLAVIJA SOLERA 6566 / BASE 3TO SOLERA/ VARIOS CC</t>
  </si>
  <si>
    <t>COMPENSACION BONO SOCIAL REMESA FACTURAS FOTOVOLTAICAS FEBRERO 2023</t>
  </si>
  <si>
    <t>INT.HORA ORBIS DOMO DT-30 24H ANALOG.ENCHU / FLUORESCENTE PH TLE 32W/865 CIRCULAR 84055100 / TASA ECORAEE   (R.DECRETO 2</t>
  </si>
  <si>
    <t>CC RONDILLA // MT CABLE RV-K FLEX  3G1,5   0,6/1KV / ANGULO   LEGRAND 30221   Ext/Int / ANGUL PL LEGRAND 30223 /</t>
  </si>
  <si>
    <t>ACTUACIÓN TEATRAL EN CC ZONA SUR EL DÍA 21/05/2023. MFS</t>
  </si>
  <si>
    <t>ANGULO LEGRAND 30221 Ext/Int /MT CANAL LEGRAND 648905 ADHESIVA 20X12,5 /CLAVIJA SOLERA 6566/BASE 3TO/ CC JL MOSQUERA</t>
  </si>
  <si>
    <t>TUBO LED PH CORE.PRO   60CM   8W/865C G13 / TASA ECORAEE   (R.DECRETO 208/2005)</t>
  </si>
  <si>
    <t>SUMINISTRO DE GASOLINA TIPO A PARA LOS VEHÍCULOS DEL S.E.P.I.</t>
  </si>
  <si>
    <t>2023 08 1341 22103</t>
  </si>
  <si>
    <t>GASOLINA VEHÍCULOS CENTRO DE MOVILIDAD URBANA 2023/2024</t>
  </si>
  <si>
    <t>CARGA EXTINTOR CO2-5 PARA PRACTICAS / CARGA EXTINTOR HD-10 PARA PRACTICAS / PRECINTOS EXTINTOR.</t>
  </si>
  <si>
    <t>MONTAJES ELECTRICOS SARMENTERO SL</t>
  </si>
  <si>
    <t>TRABAJOS ELECTRICOS REALIZADOS EN EL CENTRO DE FORMACION JACINTO BENAVENTE ACORDE AL PRESUPUESTO Nº 06722-2022</t>
  </si>
  <si>
    <t>CONTRATO SUMINISTRO GASOLINA 95 PARA VEHÍCULOS; SERVICIO DE EXTINCIÓN DE INCENDIOS, SALVAMENTO Y PROTECCIÓN CIVIL.</t>
  </si>
  <si>
    <t>SUMINISTRO GASOLINA 95º VEHICULOS ADSCRITOS SERVICIO SALUD PUBLICA. AÑOS 2023 Y 2024</t>
  </si>
  <si>
    <t>CENTRO DE JARDINERIA VIVEROS GIMENO, S.L.</t>
  </si>
  <si>
    <t>PACHIRA / CIL.FARNESE 30 CM</t>
  </si>
  <si>
    <t>PISTOLA INSECTICIDA</t>
  </si>
  <si>
    <t>MATERIAL VARIO CONSTRUCCION // CENTRO CIVICO DELICIAS</t>
  </si>
  <si>
    <t>2023 07 1721 22103</t>
  </si>
  <si>
    <t>SUMINISTRO DE GASOLINA PARA LOS VEHÍCULOS DEL SERVICIO DE MEDIO AMBIENTE.</t>
  </si>
  <si>
    <t>2023 10 2412 22103</t>
  </si>
  <si>
    <t>CONTRATO SUMINISTRO DE GASOLINA PARA EL TRACTOR Y MAQUINARIA DE JARDINERIA DEL CENTRO DE FORMACIÓN DE EMPLEO 2023 Y 2024</t>
  </si>
  <si>
    <t>2023 01 9203 22103</t>
  </si>
  <si>
    <t>CONTRATO SUMINISTRO GASOLINA VEHICULOS R.I., AÑOS 2023 Y 2024</t>
  </si>
  <si>
    <t>ALBARAN: AV22/06912 F: 29/12/2022 / PARKA BOREAL MARINO T-M / PARKA BOREAL MARINO T-L / PANTALON TREKKING AZUL MARINO DA</t>
  </si>
  <si>
    <t>PÁGINA ENTREVISTA ALBERTO BUSTOS CAMPAÑA DE FOMENTO DE LA PARTICIPCIÓN CIUDADANA DIC 2022</t>
  </si>
  <si>
    <t>SUMINISTRO TIMBRE CAMPANA ESPACIO GALERIAS VALLADOLID</t>
  </si>
  <si>
    <t>048941 - DETECTOR PIR 360º EMPOTRAR LEGRAND / CC CASA CUNA</t>
  </si>
  <si>
    <t>USO TARJETA CEPSA // 4250-KFK / DICIEMBRE-22</t>
  </si>
  <si>
    <t>ID:0035048-CC. ZONA SUR / BISAGRA ESTANDAR EMBUTIR 70MM NEGRA DERECHA / BISAGRA ESTANDAR EMBUTIR/ CC ZONA SUR</t>
  </si>
  <si>
    <t>ID: 0034977-CC JOSE LUIS MOSQUERA / ANTIP. TESA CERRADURA CF50ASR9Z / ID: 0035037-CC PARQUESOL / ID: 0035291-CC ZONA SUR</t>
  </si>
  <si>
    <t>ID: 0034847-CIZE / ECO MANILLA CORTAFUEGO M1 NEGRO ( JGO ) CC ZONA ESTE</t>
  </si>
  <si>
    <t>VARIOS CENTROS CÍVICOS //CERRADURA TESA EMBUTIR 2010P 50 HL * Y OTROS MATERIALES</t>
  </si>
  <si>
    <t>MOLDE BIZCOCHO 30X18  COD. 188Y1430 / VASOS AGUA COD. 330Y181 / MANTA MARCA IGNIFUGA MODELO 238/ VARIOS CC</t>
  </si>
  <si>
    <t>VARIOS CENTROS CÍVICOS // MATERIALES REPARACIONES</t>
  </si>
  <si>
    <t>CERRADURA MCM 1650-21 EMBUTIR MET // COPIA LLAVE NORMAL / TORNI. DIN 7505 C/AVE.POZ</t>
  </si>
  <si>
    <t>GUIA COLLEL 840/ 406 MM JGO / SECRETARIO GENERAL// ACEITE WD-40 500ML DOB ACC / SECRETARIA GENERAL // FEIA DE MUESTRAS</t>
  </si>
  <si>
    <t>INSTALACIÓN Y DESINSTALACIÓN PANELES EXPO.""NI NUEVA, NI AJENA"" EN SAN BENITO, ACTIVIDADES DIA CONTRA DISC. RACIAL</t>
  </si>
  <si>
    <t>OBRAS DE ADAPTACIÓN EN VESTUARIO Y ZONAS DE ASEO EN DEPENDENCIAS DEL DISTRITO 4º. EXPTE. PM 1/2022.</t>
  </si>
  <si>
    <t>REMICA SA</t>
  </si>
  <si>
    <t>MANTENIMIENTO DE LOS SISTEMAS DE CLIMATIZACIÓN, LOTE 1</t>
  </si>
  <si>
    <t>3 SUSCRIPCIONES ANUALES A REVISTA TRIBUTOS LOCALES, AÑO 2023.</t>
  </si>
  <si>
    <t>CONTENEDORES HIGIENICOS DE CASA DEL BARCO. 2023</t>
  </si>
  <si>
    <t>CAJA P/ 1 ELEMENTO SUJECION MEDIANTE 2 GARRAS ENLAZABLE MEDIDAS: Ø65X40MM IP30 / PANEL CONVECTOR PM-1005</t>
  </si>
  <si>
    <t>MARCO 1E, LUMINA SOUL, BLANCO POLAR / TOMA SCHUKO, LUMINA, BLANCO POLAR / CLAVIJA 2P+T S/LATERAL BLANCA</t>
  </si>
  <si>
    <t>DOCUMENTACION TECNICA Y DIRECCION FACULTATIVA EJECUCION DE INSTALAC ELECTR -PLAZA DE LA SOLIDARIDAD</t>
  </si>
  <si>
    <t>HIDROBOMBA, S.L.</t>
  </si>
  <si>
    <t>Nº VALE 1278 ( DESTINO: MORERAS ) / GUIA HUSQ. T-540 TECHLITE 12"" 0.50 3/8"" 45 ESL</t>
  </si>
  <si>
    <t>SUSCRIPCIÓN ANUAL A REVISTA DERECHO URBANÍSTICO Y MEDIO AMBIENTE, AÑO 2023.</t>
  </si>
  <si>
    <t>CTTO SUMINISTRO 5 SUSCRIPCIONES ANUALES A LA ""REVISTA EMPRENDEDORES"" PARA BIBLIOTECAS PÚBLICAS//AÑO2023</t>
  </si>
  <si>
    <t>RIRECALMAR, S.L.</t>
  </si>
  <si>
    <t>FICHAS RELOJ  DEL CMPA</t>
  </si>
  <si>
    <t>ROBERTO  GUTIERREZ  HERGUEDAS</t>
  </si>
  <si>
    <t>EQUIPACION SONIDO E ILUMINACIÓN 8M / MARZO 2023</t>
  </si>
  <si>
    <t>EQUIPACION SONIDO E ILUMINACIÓN ""FESTIVAL HORA DEL PLANETA 25 MARZO""</t>
  </si>
  <si>
    <t>ROIG I FILLS ASSOCIATS, SL</t>
  </si>
  <si>
    <t>PORTA ETIQUETAS PARA LOS PEINES DEL CENTRO MARCELINA PONCELA</t>
  </si>
  <si>
    <t>HOSPITALET DE LLOBREGAT</t>
  </si>
  <si>
    <t>REVISIÓN 500 HORAS EN LOS EQUIPOS DE RECOGIDA LATERAL FARID MOD. FMOPLUS DE SEIS VEHÍCULOS RECOLECTORES DEL Sº LIMPIEZA</t>
  </si>
  <si>
    <t>TARREGA</t>
  </si>
  <si>
    <t>LERIDA</t>
  </si>
  <si>
    <t>JESÚS GUTIÉRREZ  SIERRA</t>
  </si>
  <si>
    <t>LAURUS NOBILIS C-10 L / ADELFA NANA C-3 L / POTINEA C-10 L / TEUCRIUM C-3 L / ESCALONIA C-3 L / BOJ C-3 L / MADROÑO  / G</t>
  </si>
  <si>
    <t>ELEAGNUS 80/100 / LONICERA NITIDA C-3 L / PASSIONARIA M-15 / ROSAL DE MACETA / COTTONEASTER LACTEA C-3 L / VERONICA VARI</t>
  </si>
  <si>
    <t>CASTAÑO SATIVA 18/20 CONT / LAVANDA C-3 L</t>
  </si>
  <si>
    <t>PRUNUS SERRULATA KANZAN 14/16 CEP</t>
  </si>
  <si>
    <t>CUPRESSO LEYLANDII C-5 L</t>
  </si>
  <si>
    <t>7487 SIKAFLEX 11 FC NEGRO CARTUCHO SIKA  (49885)</t>
  </si>
  <si>
    <t>CENTRO CIVICO PARQUESOL / XYLAZEL PATINA ANTICUARIO 250 / CERA EBANISTA 250ML / TACO DUOPOWER 8*40 UNIDAD 555008 / TIRAF</t>
  </si>
  <si>
    <t>9707-JVH  // 175/65R15 84H BLURESPONSE DUNLOP / NFU N2 / MONTAJE+EQUILIBRADO+VALVULA TURISMO / ALINEADO TURI</t>
  </si>
  <si>
    <t>RPERACIÓN DE CILINDRO ACTUADOR DEL SISTEMA ELEVACONTENEDORES RECOLECTOR VEHÍCULO 7334 LWL DEL Sº LIMPIEZA</t>
  </si>
  <si>
    <t>MATERIALES PARA CC ESGUEVA</t>
  </si>
  <si>
    <t>ROSA MARIA CONCA  PEREZ</t>
  </si>
  <si>
    <t>TALLER CENTRO MUNICIPAL DE LA IGUALDAD ""FEMINISMO Y DIVERSIDAD FUNCIONAL"" / MARZO 2023</t>
  </si>
  <si>
    <t>ONTINYENT</t>
  </si>
  <si>
    <t>ROTULOS TESEDO, SOCIEDAD LIMITADA</t>
  </si>
  <si>
    <t>Montaje de vinilos troquelados de señalización reflectante en vehículo VMC 13, matr 2958JVV; SEISYPC</t>
  </si>
  <si>
    <t>ROTUVALL 2009 S.L</t>
  </si>
  <si>
    <t>ELABORACION Y FABRICACION DE SIETE CARTELES EN ALUMINIO CON POSTE PARA IDENTIFICACION DE COLONIAS FELINAS</t>
  </si>
  <si>
    <t>DISEÑO Y MAQUETACIÓN MEMORIA SPC 2021</t>
  </si>
  <si>
    <t>SUSTITUCIÓN PLATO DE DUCHA ROTO EN VIVIENDA DE ALOJAMIENTOS PROVISIONALES SITA C/ GUARDERIA 6, BAJO D</t>
  </si>
  <si>
    <t>Adaptación del nuevo imagotipo a todos los centros de vida activa. INICIATIVAS SOCIALES-</t>
  </si>
  <si>
    <t>MANTENIMIENTO DEL ASCENSOR Y PLATAFORMA ELEVADORA INDUSTRIAL, LOTE 3</t>
  </si>
  <si>
    <t>AV.SISTEMAS AUDIOVISUALES, C.B.</t>
  </si>
  <si>
    <t>ALQUIER MICROFONOS TALLER CONMEMORACION DIA INTERNACIONAL DE LA MUJER</t>
  </si>
  <si>
    <t>CONTRATO DE SERVICIO DE MANTENIMIENTO DE ""VALLADOLID EN CIFRAS"" DEL OBSERVATORIO TURISTICO DURANTE EL MES DE MARZO 2023</t>
  </si>
  <si>
    <t>TEATRO DEL NAVEGANTE: REPRESENTACIÓN EN CENTRO PENITENCIARIO DE VILLANUBLA EL DÍA 11/03/2023</t>
  </si>
  <si>
    <t>DISEÑO DE IMAGEN PROGRAMACIÓN MFS</t>
  </si>
  <si>
    <t>ASOC FORO FEMINISTA</t>
  </si>
  <si>
    <t>COLABORACIÓN DE PART. CIUD. Y DEPORTES EN LA ORGANIZACIÓN CICLO CONFERENCIAS DEL COLECTIVO INDIGNADO</t>
  </si>
  <si>
    <t>ASOC.CULTURAL FORMATIVA Y DEPORTIVA TANDEM LIFE</t>
  </si>
  <si>
    <t>COLABORACIÓN DE PART. CIUD Y DEPORTES EN LA 8ª GYMVASIÓN POR LA EDUCACIÓN FÍSICA 06/05/23</t>
  </si>
  <si>
    <t>ASOCIACION CULTURAL PINCELART.OLID</t>
  </si>
  <si>
    <t>RENOVACION CESION DE DERECHOS IMAGEN ""MUJER POR LA IGUALDAD"" / DURANTE 2023</t>
  </si>
  <si>
    <t>ASOCIACION DE MEXICANOS DE CASTILLA Y LEÓN</t>
  </si>
  <si>
    <t>EXPO.FOTO.OBRA TEATRAL LOS NIÑOS DE MORELIA - NIÑOS Y NIÑAS VICTIMAS DE UN CONFLICTO BÉLICO- DIFICULTADES DE INTEGRACION</t>
  </si>
  <si>
    <t>ASOCIACIÓN PUNTO FLAMENCO</t>
  </si>
  <si>
    <t>ACT.MUSICAL DE ESTRELLA MENDOZA Y ACOMPAÑANTES EL DÍA 21 DE MARZO. ACTO DÍA CONTRA LA DISCRIMINACIÓN RACIAL Y ÉTNICA</t>
  </si>
  <si>
    <t>ACTUACIÓN EN CENTRO PENITENCIARIO VILLANUBLA EL DÍA 19/03/2023</t>
  </si>
  <si>
    <t>CTTO SUMINISTRO ARTICULOS REGALO PARTICIPANTES ACTIVIDADES EDUCATIVAS DE LA GUÍA  REALIZADAS POR EL CPE//AÑO 2023</t>
  </si>
  <si>
    <t>CASTELLANA DE AFILADOS, SOCIEDAD LIMITADA</t>
  </si>
  <si>
    <t>TRABAJOS DE AFILADOS DE HOJAS DE SIERRA EN TALLER DEL CMEI</t>
  </si>
  <si>
    <t>CHIQUIOCIO CULTURAL, S L</t>
  </si>
  <si>
    <t>PUBLICIDAD EN REVISTA DIGITAL Y WEB DEL PROGRAMA MENUDO FIN DE SEMANA</t>
  </si>
  <si>
    <t>SUMINISTRO DE REPUESTOS PARA CONTENEDORES 2.400 LITROS DESTINADOS A RECOGIDA DE RESIDUOS.</t>
  </si>
  <si>
    <t>SUM. DE CRISTALES PARA SUSTITUCIÓN ROTOS EN CIC CONDE ANSÚREZ</t>
  </si>
  <si>
    <t>2023 03 9241 22103</t>
  </si>
  <si>
    <t>SUMINISTRO DE GASÓLEO PARA LOCAL C/ CONDE ARTECHE (SERVIDO 07/02/2023)</t>
  </si>
  <si>
    <t>MAQUETACIÓN LIBROS JORNADAS V Y VI PATRIMONIO Y CIUDAD VILLA DEL PRADO</t>
  </si>
  <si>
    <t>DISEÑO IDENTIDAD VISUAL, MAQUETACIÓN Y PRODUCCION PIEZAS DISTINTOS SOPORTES PARA AGENCIA DE INNOVACIÓN</t>
  </si>
  <si>
    <t>DISEÑO Y MAQUETACIÓN DE CARTELES, MUPIS, BANNERS... PPTOS. PARTICIPATIVOS 2023 Y CAMBIOS EN MEMORIA 2021 PART. CIUD.</t>
  </si>
  <si>
    <t>IMPRESION, COLOCACION Y RETIRADA DE MUPIS. SEMANA TOUR DEL TALENTO EN VALLADOLID DEL 13 AL 18 DE MARZO DE 2023.</t>
  </si>
  <si>
    <t>ADJUDICA SUMINISTRO DIARIO PRENSA ESCRITA AÑO 2023 PARA ALCALDÍA, GABIENTE Y MEDIOS DE COMUNICACIÓN</t>
  </si>
  <si>
    <t>2023 05 4312 22199</t>
  </si>
  <si>
    <t>Reparación techo  placas escayola  oficina C/ Hostieros venta ambulante</t>
  </si>
  <si>
    <t>CTTO SUMINISTRO SUSCRIPCIÓN VARIAS REVISTAS PARA BIBLIOTECAS PÚBLICAS//AÑO 2023</t>
  </si>
  <si>
    <t>RUBICIN S.L.</t>
  </si>
  <si>
    <t>CTTO SUMINISTRO MINI-PUZZLES PARA PARTICIPANTES OLIMPIADAS MATEMÁTICAS 2023//FEBRERO-ABRIL 2023</t>
  </si>
  <si>
    <t>Regalos para los alumnos del colegio San Juan de Dios, celebración en sus instalaciones del día  nuestro Patrón;SEISYPC</t>
  </si>
  <si>
    <t>TROQUELADO + CORTE DEL CALENDARIO DE PROYECTO HOMBRE- PLAN DE DROGAS- DUR 1 DIA</t>
  </si>
  <si>
    <t>SUMINISTRO DE CARTULINAS ESPECIALES PARA BOLETINES DE DENUNCIA.</t>
  </si>
  <si>
    <t>ADJUDICA OTROS SUMINISTROS A IMPRENTA EN 2023: CARTONAJE Y TRABAJOS MANIPULACIÓN PROPIA DE ARTES GRÁFICAS</t>
  </si>
  <si>
    <t>ENCUADERNACIÓN LIBROS JORNADAS V Y VI PATRIMONIO Y CIUDAD VILLA DEL PRADO.</t>
  </si>
  <si>
    <t>FOLLETO PROGRAMAS, ACTIVIDADES Y RECURSOS DEL SPC</t>
  </si>
  <si>
    <t>TRAB. DE IMPRESION, GRAPADO, DOBLAJE, DE LAS PETICIONES REALIZADAS A LA IMPRENTA MUNICIPAL PARA EL SERVICIO DE INICIA. S</t>
  </si>
  <si>
    <t>GASTO DE ENCUADERNACIÓN DE PUBLICACIONES DEL ÁREA DE SERVICIOS SOCIALES Y MEDIACIÓN COMUNITARIA PARA EL AÑO 2023.</t>
  </si>
  <si>
    <t>PREPARACIÓN DE CARTULINAS PARA TRABAJOS REALIZADOS POR  LA IMPRENTA MUNICIPAL PARA POLICÍA.</t>
  </si>
  <si>
    <t>CORTE Y PLASTIFICADO MARCAPÁGINAS ESCUELA DE CIUDADANÍA</t>
  </si>
  <si>
    <t>S. COOP. ARTES ESCENICAS Y PLASTICAS DE EXTREMADURA</t>
  </si>
  <si>
    <t>GUILLERMO NATÁN: ACTUACIÓN EN CC ZONA ESTE EL DÍA 22/04/2023. MFS</t>
  </si>
  <si>
    <t>BADAJOZ</t>
  </si>
  <si>
    <t>PRORROGA ESTANCIAS DIURNAS-UC1 RONDILLA (16 PLAZAS) ENERO Y FEBRERO 2023-25,39 ¿/D/U + 4%IVAX40 DIAS</t>
  </si>
  <si>
    <t>CTTO SERVICIOS 2023 MTO Y REVISIÓN DE EQUIPOS PROTECCIÓN TRABAJOS ALTURA CEE A. MACHADO Y CEIP MACIAS PICAVEA//10 DIAS</t>
  </si>
  <si>
    <t>CONTRATO MANTENIMIENTO DE LA MÁQUINA PARA LIMPIEZA DE PIEZAS PARA LAS REPARACIONES DE VEHÍCULOS DEL SERVICIO DE LIMPIEZA</t>
  </si>
  <si>
    <t>SALTA CONMIGO PRODUCCIONES SL</t>
  </si>
  <si>
    <t>CUATRO CONCIERTOS EN CENTROS EDUCATIVOS DE PRIMARIA POR PARTE DEL GRUPO HAPPENING.</t>
  </si>
  <si>
    <t>REAJUSTE ANUALIDADES CONTRATO SERVICIOS LIMPIEZA INSTALACIONES Sº LIMPIEZA 1-1-2022 AL 31-8-2023 (EXP PR-S.E. 31/2020)</t>
  </si>
  <si>
    <t>PR-SE 43/2022 (PR-SE 31/2020PS5). 1ª PRORROGA CTO DE LIMPIEZA EDIFICIOS MUNICIPALES. AREA 06.BIBLI. PUBLICAS.LOTE 7.2023</t>
  </si>
  <si>
    <t>SE 11/2020 CTTO DE LIMPIEZA. MODIFICACIÓN LOTE 7 NUEVA EIM CASCABEL. AÑO 2023</t>
  </si>
  <si>
    <t>2023 06 3261 22700</t>
  </si>
  <si>
    <t>PR-SE 43/2022 (PR-SE31/2020PS5). 1ª PRORROGA CTO DE LIMPIEZA EDIFICIOS MUNICIPALES. AREA 06.E.M.M. LOTE 7. 2023</t>
  </si>
  <si>
    <t>2023 06 2315 22700</t>
  </si>
  <si>
    <t>PR-SE 43/2022 (PR-SE31/2020PS5). 1ª PRORROGA CTO DE LIMPIEZA EDIFICIOS MUNICIPALES. AREA 6. C.M.I. LOTE 7. 2023</t>
  </si>
  <si>
    <t>SERVICIO DE LIMPIEZA POR LA ACTUACIÓN TEATRO PARA LOS GRUPOS DE APRENDIZAJE A LO LARGO DE LA VIDA. 25 Y 26 ENERO</t>
  </si>
  <si>
    <t>PR-SE 43/2022 (PR-SE31/2020PS5). 1ª PROR CTTO LIMPIEZA  E.I.M.LOTE 7. 2023 . REAJUSTE A PROYECTO</t>
  </si>
  <si>
    <t>SERVICIO INGENIERIA ASISTENCIA TECNICA AREA CULTURA Y TURISMO EN MATERIA SEGURIDAD CIUDADANA ESPECTACULOS PUBLICOS 22/23</t>
  </si>
  <si>
    <t>SUMINISTRO DE OBJETOS DIVULGATIVOS CAMPAÑA PREVENCIÓN DE ADICCIONES Y VISITAS A POLICÍA CURSO 2023-24,</t>
  </si>
  <si>
    <t>SANTIAGO SIERRA LOPEZ</t>
  </si>
  <si>
    <t>CONCIERTO CHACHO CÓSMICO Y SU BANDA ""CHACHO MIX 22"" SEMANA TOUR DEL TALENTO EN VALLADOLID DEL 13 AL 18 DE MARZO DE 2023.</t>
  </si>
  <si>
    <t>TALLERES DE COCINA DIRIGIDOS A LA POBLACIÓN INFANTIL EN EL CENTRO MUNICIPAL DE LA IGUALDAD</t>
  </si>
  <si>
    <t>SAUL GARCIA GONZALEZ</t>
  </si>
  <si>
    <t>SERVICIO DE DESARROLLO DE LA ACTIVIDAD DENOMINADA PASEOS DE LA INNOVACIÓN EN EL MARCO DEL PLAN SMARTVA Y PLAN INTERREG E</t>
  </si>
  <si>
    <t>TRASLADO ARMARIO Y SILLAS AL CENTRO MARCELINA PONCELA</t>
  </si>
  <si>
    <t>SONIDO Y CYD ACTUACIÓN TEATRO PARA GRUPOS APRENDIZAJE A LO LARGO DE LA VIDA EN EL LAVA.  25 Y 26 DE ENERO</t>
  </si>
  <si>
    <t>CTTO SERVICIOS TRANSPORTE, MONTAJE Y DESMONTAJE DE MESAS Y  VALLAS ACTIVIDAD DE CARNAVAL DE LOS COLEGIOS//27-02-23</t>
  </si>
  <si>
    <t>TRANSPORTE, MONTAJE Y DESMONTAJE ESCENARIO DIA 8 DE MARZO</t>
  </si>
  <si>
    <t>TRANSPORTE, MONTAJE Y DESMONTAJE MESAS ACTIVIDAD MATEMATICAS EN LA CALLE PARA EL 12 DE MARZO</t>
  </si>
  <si>
    <t>EQUIPOS Y PERSONAL PARA CUPULA DEL MILENIO. SEMANA TOUR DEL TALENTO EN VALLADOLID DEL 13 AL 18 DE MARZO DE 2023.</t>
  </si>
  <si>
    <t>MATERIAL PARA EL LABORATORIO DE CONTAMINACION</t>
  </si>
  <si>
    <t>SENTMENAT</t>
  </si>
  <si>
    <t>ADJUDICA PUBLICIDAD REVISTA MÁS TRIBUNA, EDICIÓN PAPEL, NUEVOS PLANTEAMIENTOS VITALES PARA MEJORAR CALIDAD DE VIDA</t>
  </si>
  <si>
    <t>EXPTE SE-EIJI 10/2022 PS 11. PROR CTTO GESTION EIM EL TOBOGAN. L 6. AÑO 2023 Y 01/01 A 31/08/2024. REAJUSTE A PROYECTO</t>
  </si>
  <si>
    <t>ADQUISICIÓN BONOBUS PARTICIPANTES RUTA DIA DEL PLANETA / MARZO 2023</t>
  </si>
  <si>
    <t>ACUERDO MARCO. MANTENIMIENTO ELEVADOR CASCOS 2 COL. CASCOS C-3-5 / MANTNIMIENTO ELEVADOR MOTOS CASCOS /</t>
  </si>
  <si>
    <t>SUMINISTRO DE LICENCIAS Y SOPORTE TÉCNICO DE LOR PRODUCTOS ArcGIS, 68/2022, SEGUNDA PRÓRROGA</t>
  </si>
  <si>
    <t>ACRE, S.L.</t>
  </si>
  <si>
    <t>REPARACIÓN DE DRON PARA RECUPERAR LA OPERATIVIDAD DEL MISMO.</t>
  </si>
  <si>
    <t>ILLESCAS</t>
  </si>
  <si>
    <t>TOLEDO</t>
  </si>
  <si>
    <t>CONFERENCIA SOBRE MUJER, IGUALDAD Y VIOLENCIA DE GENERO A CARGO DE ALICIA MIYARES CON M DE MALVA / DURANTE 2023</t>
  </si>
  <si>
    <t>LA CISTERNIGA (VALLADOLID)</t>
  </si>
  <si>
    <t>ALQUILER  CASETA DE OBRA PARA VIGILANCIA DEPENDENCIAS DE POLICÍA DURANTE UN MES Y GASTOS RETIRADA.</t>
  </si>
  <si>
    <t>SUMINISTRO DE PERSIANAS Y STORES EN OFICINAS MUNICPALES (CASA CONSISTORIAL, SAN BENITO Y SANTA ANA)</t>
  </si>
  <si>
    <t>2941CBL/ MANO DE OBRA/ M.O. DETECTAR AVERIA/ COMPROBACIÓN DE INSTALACIÓN/ SPSC23-2020 / SERVICIO DE LIMPIEZA.</t>
  </si>
  <si>
    <t>INSPECCION OBLIGATORIA DEL ASCERSOR DEL CENTRO DE FORMACION PARA EL  EMPLEO EN OCT Y NOVIEMBRE DE 2023</t>
  </si>
  <si>
    <t>OBSEQUIO PARA ALUMNOS DE PRIMARIA DE 350 PORTADOCUMENTOS SERIGRAFIADOS A COLOR. PROYECTO ""CONOCE TU MERCADO""</t>
  </si>
  <si>
    <t>SERVICIO MANTENIMIENTO SISTEMA DE CONEXION A INTERNET MEDIANTE WIFI EN EL CENTRO GALERIAS VA. DEL 01-04-23 AL 31-03-2024</t>
  </si>
  <si>
    <t>2023 05 4331 22606</t>
  </si>
  <si>
    <t>COFFEE BREAK Y COORDINACION ALMUERZO JORNADAS PAPEL DE LAS CIUDADES EN LA INNOVACION</t>
  </si>
  <si>
    <t>DISEÑO DE IMAGEN PROGRAMACIÓN PRIMAVERA MFS PARA POSTER Y FOLLETOS DE MANO (PARTE CORRESPONDIENTE AL 15% IRPF)</t>
  </si>
  <si>
    <t>CTTO SERVICIOS DISEÑO Y MAQUETACIÓN PARA BIBLIOTECAS PÚBLICAS//AÑO 2023</t>
  </si>
  <si>
    <t>ASOCIACIÓN BATUCCADOS</t>
  </si>
  <si>
    <t>ACTUACION EN EL XVII SALON DEL COMIC Y MANGA</t>
  </si>
  <si>
    <t>2023 08 1532 22104</t>
  </si>
  <si>
    <t>Suministro de ropa de trabajo y calzado de protección, para completar la entrega de Vestuario y EPI'S a los eventuales.</t>
  </si>
  <si>
    <t>2023 11 1321 223</t>
  </si>
  <si>
    <t>GASTOS ENVIO ELECTRODOS PARA  DESFIBRILADORES.</t>
  </si>
  <si>
    <t>4 MANDOS A DISTANCIA DE CUATRO CANALES PARA  LA PUERTA NUEVA DEL CENTRO DE VIDA ACTIVA PUENTE COLGANTE-</t>
  </si>
  <si>
    <t>2023 10 2312 223</t>
  </si>
  <si>
    <t>CONTENEDOR PARA RECOGER ESCOMBROS DEL CENTRO DE VIDA ACTIVA ZONA ESTE</t>
  </si>
  <si>
    <t>SUMINISTRO DE VIDRIOS PARA SUSTITUCIÓN DE ROTOS EN CC ESGUEVA Y CC PARQUESOL</t>
  </si>
  <si>
    <t>2023 02 9332 214</t>
  </si>
  <si>
    <t>Adquisición de dos piezas para la Retro VA37960VE   del CMEI</t>
  </si>
  <si>
    <t>DAVID TORDABLE PEREZ</t>
  </si>
  <si>
    <t>SERVICIO DE DOCUMENTACIÓN GRAFICA EVENTO LEVEL UP RELATIVO A LA INDUSTRIA DEL VIDEOJUEGO RETRO</t>
  </si>
  <si>
    <t>SUM. DE PAPEL, SERVIDO EN IMPRENTA MUNICIPAL, PARA TRÍPTICOS MFS Y FLYERS AECC</t>
  </si>
  <si>
    <t>2023 03 9200 22699</t>
  </si>
  <si>
    <t>IMPRENTA M. SANDONIS, S.L.</t>
  </si>
  <si>
    <t>LIBRO ESCUELA DE CIUDADANÍA</t>
  </si>
  <si>
    <t>Recarga de una botella de oxígeno medicinal; Servicio de Extinción de Incendios, Salvamento y Protección Civil.</t>
  </si>
  <si>
    <t>PORTALAMP. FENOP 4980 GU10 CERAM. C/CAB / TUBO LED LDV ST8V 20W 1500MM 4000K EM     2200LM / TASA ECORAEE/ CC MOSQUERA</t>
  </si>
  <si>
    <t>Recarga periódica de botellas de O2 y Ar/ CO2 para los equipos de oxicorte del C.C.V.P.</t>
  </si>
  <si>
    <t>SECURITAS SEGURIDAD ESPAÑA S.A.</t>
  </si>
  <si>
    <t>MANTENIMIENTO SISTEMA SEGURIDAD EDIFICIO MARCELINA PONCELA (1 AÑO)</t>
  </si>
  <si>
    <t>EXPTE:V.36_2017; LOTE 4; PARQUE BOMBEROS //FUENTE A.DR-UTP-DC12-2A-D 12V AC/DC 2A SOBREM.</t>
  </si>
  <si>
    <t>MANTENIMIENTO DE ALARMAS DEL CENTRO DE VIDA ACTIVA PARQUESOL DE MARZO A DICIEMBRE DE 2023-INICIATIVAS SOCIALES</t>
  </si>
  <si>
    <t>SAN BENITO Y CASA CONSISTORIAL //MT CANAL LEGRAND 30008    20X12,5 / D.INTERR NIESSEN 8111 mecanismo / D.TECLA  NIESSEN</t>
  </si>
  <si>
    <t>CENTRO MANTENIMIEMTO // CABLE RV-K FLEX  3G2,5   0,6/1KV / CLAVIJA LEGRAND 50342 CAU IP44 (ANT.50321 / BASE 2P+2+LEGRAND</t>
  </si>
  <si>
    <t>MANT. SUMINISTRO DE MATERIAL PARA REPARACIONES DEL CPM RONDILLA 173,75 YCPM  PUENTE C.  120.36- DUR 1 DIA</t>
  </si>
  <si>
    <t>ACUERDO MARCO.  TUBO LED LDV ST8V  15W 1200MM 6500K EM   1700LM / TASA ECORAEE   (R.DECRETO 208/2005) / TUBO LED LDV</t>
  </si>
  <si>
    <t>MANT. SUMINISTRO PARA EL CENTRO DE FORMACIÓN , JACINTO BENAVENTE // MT CANAL LEGRAND 648905 ADHESIVA 20X12,5- DURA 1 DIA</t>
  </si>
  <si>
    <t>MANT. SUMINISTRO DE MATERIALPARA REPARACIONES DEL CENTRO DE VIDA ACTIVA ZONA SUR- DURA 1 DIA</t>
  </si>
  <si>
    <t>TOTAL TRABAJOS REPARACION MATRICULA 3856DDD / TOTAL PIEZAS / ANEXO DETALLE FTP000019971 Y VALE</t>
  </si>
  <si>
    <t>TA23 259 REPARACION 5729-KJK // KMS.22996 CAMBIAR ACEITE MOTOR Y FILTRO DE ACEITE REV. LUCES, NIVELES Y FRENOS / DESC</t>
  </si>
  <si>
    <t>TA23 258 REPARACION 5833-BZK //  KMS.234075 CAMBIAR DISCOS, PASTILLAS Y RETENES FRENO TRAS. D-M PINZA DCH Y CAMBIAR JGO</t>
  </si>
  <si>
    <t>TA23 132 REPARACION 5417-JJX KMS.39660 METER EASY PARA VER AVERIAS EN CENTRALITA DEL REMOLQUE, CAMBIAR FUSIBLE Y BORRAR</t>
  </si>
  <si>
    <t>TA23 208 REPARACION VA-2049-AH // KMS.129473 CAMBIAR DEPOSITO Y MOTOR DE LOS LIMPIAPARAB. / 7700308814 - DEPOSITO LAVA</t>
  </si>
  <si>
    <t>TA23 210 REPARACION VA-7568-AK KMS.115834  REV.PERDIDA DE ACEITE MOTOR, CAMBIAR BOMBIN DE ALIMENTACION DE GASOIL. / 0004</t>
  </si>
  <si>
    <t>TA22 2408 REPARACION 5667-CFT KMS.112090 CAMBIAR ACEITE MOTOR Y FILTRO DE ACEITE. REV.NIVELES, FRENOS Y LUCES. CAMBIAR L</t>
  </si>
  <si>
    <t>TA23 252 REPARACION VA-8042-T // KMS.170088 ECHAR ANTICONGELANTE Y VERIFICAR /001808839200 - ABRAZADERA FIJA / 05000421</t>
  </si>
  <si>
    <t>SEDICAL S.A.</t>
  </si>
  <si>
    <t>Mantenimiento correctivo del quemador Weishaupt WL5 de la caldera de asfalto fundido, limpieza, filtro, cables encendido</t>
  </si>
  <si>
    <t>SONDIKA</t>
  </si>
  <si>
    <t>MANTILLO / ESTIERCOL DE CABALLO. EIM CASCABEL. ENERO</t>
  </si>
  <si>
    <t>MATERIAL VARIO CONSTRUCCION COLEGIOS PEDRO GOMEZ BOSQUE Y MACIAS PICAVEA. FEBRERO</t>
  </si>
  <si>
    <t>MATERIAL VARIO CONSTRUCCION CC ZONA ESTE Y CIC SEGUNDO MONTES</t>
  </si>
  <si>
    <t>LIMPIADOR DESENGRASANTE / PRENSADO TL 1/2"" 1/2M / CASQUILLO OJAL ESFERICO 1/2"" MANG.1/2"" / MANGUERA PRESION 1/2"" SAE100</t>
  </si>
  <si>
    <t>BULON DE MUELLE / PACK PASADORES ""R"" 3x55 / Pasador rompible</t>
  </si>
  <si>
    <t>DONAL/SH74177 - SH747177=95521410 / HELLA/8GH007157121 - LAMPARA H-7 12V.-55W / HELLA/ V36-2017 / SERVICIO DE LIMPIEZA.</t>
  </si>
  <si>
    <t>SPRAY CRC MARKERPAINT BLANCO / SPRAY CRC MARKERPAINT VERDE / SPRAY CRC MARKERPAINT FUCSIA / BLISTER PILAS LR6 AA 4+2 ENE</t>
  </si>
  <si>
    <t>SUM. DE MATERIALES PARA TRABAJOS DE PINTURA EN CC JOSÉ LUIS MOSQUERA</t>
  </si>
  <si>
    <t>SUMINISTRO DE PINTURA Y OTROS MATERIALES PARA REPARACIONES EN COLEGIOS PÚBLICOS. AÑO 2023</t>
  </si>
  <si>
    <t>ADQUISICIÓN DE PINTURA PARA DEPENDENCIAS DE LA POLICÍA MUNICIPAL.</t>
  </si>
  <si>
    <t>CINTA MASTER AZUL PARA CC ZONA SUR</t>
  </si>
  <si>
    <t>SUMINISTRO DE MATERIAL DE PINTURA UTILIZADA PARA ELIMINACIÓN DE GRAFITIS POR PARTE DEL SERVICIO DE LIMPIEZA.</t>
  </si>
  <si>
    <t>SUMINISTRO DE MATERIAL DE PINTURA PARA LOS CENTROS DE PERSONAS MAYORES DURANTE 2023</t>
  </si>
  <si>
    <t>SUPLEMENTO ""DIA INTERNACIONAL DE LA MUJER"" 8M</t>
  </si>
  <si>
    <t>ALBARAN: AV23/01072 F: 28/02/2023 / CANDADO LINCE 300-50 IBO / CIC EL EMPECINADO / GE0003931 / ID: 35663</t>
  </si>
  <si>
    <t>ALBARAN: AV23/00601 F: 03/02/2023 / TACO ANCLADUBEL 10*47 / GE0012478 / C.P. NUESTRA SRA. DEL DUERO febrero</t>
  </si>
  <si>
    <t>ALBARAN: AV23/00461 F: 30/01/2023 / TENTERA CUADRADA CIEGA 20*40 / CONTERA ESCALERA 34*55 / MANTENIMIENTO</t>
  </si>
  <si>
    <t>ALBARAN: AV23/01073 F: 28/02/2023 / POLVO COLORANTE AZUL 1000 GRS. ALYCO / GE0011750 / MANTENIMIENTO / ALBARAN: AV23/006</t>
  </si>
  <si>
    <t>AM SECT 2021/37 ADJUDICA PRESENCIA AYTOVA EN PUBLICACIÓN ESPECIAL MUNICIPALISMO 2023 RETOS HORIZONTES Y FUTURO</t>
  </si>
  <si>
    <t>MANTENIMIENTO PINTURA ESPACIOS JOVENES</t>
  </si>
  <si>
    <t>PANEL LED 33W 4000K 600X600 UGR&lt;19 /  BIBLIOTECA ADOLFO MIAJA DE LA MUELA</t>
  </si>
  <si>
    <t>EXPTE:V.36_2017; LOTE 12;  PDLR03 - PILA ALCALINA DURACELL PLUSs LR03 AAA 1,5V BLISTER / PDLR06 - PILA;SEISYPC</t>
  </si>
  <si>
    <t>5550383 - DOWN LIGHT LED REDONDO 6W GRIS  4200K 650lm  ø120x / AGENCIA DE INNOVACIÓN</t>
  </si>
  <si>
    <t>PLR03 - PILA ALCALINA PANASONIC BRONCE LR03 AAA BLISTER 4  / PLR06 - PILA ALCALINA PANASONIC BRONCE LR06 AA BLISTER 4 U</t>
  </si>
  <si>
    <t>SUMINIS. DE LIBROS  SOBRE ATENCION SOCIOSANITARA PARA LOS PARTICIPANTES DEL PROGRMA MIXTO VALLADOLID CUIDA VI-1 FASE</t>
  </si>
  <si>
    <t>STIHL  ACEITE ADHESIVO P. CADENA FORESTPLUS 5 L 7815166002 / STIHL ACEITE HP SUPER 5L 7813198055 / HILO STIHL CORTE REDO</t>
  </si>
  <si>
    <t>MANO DE OBRA / STIHL BUJÍA NGK CMR6H 4007011 / STIHL  FILTRO 42371201800 / MANO DE OBRA / AFILADO CADENA MOTOSIERRA / MA</t>
  </si>
  <si>
    <t>STIHL CHAQUETA PROTECCIÓN PROTECT MS L 883260405 / STIHL BOTAS DE CUERO MS FUNCTION 42 885320442 / STIHL BOTAS DE CUERO</t>
  </si>
  <si>
    <t>ID: 0035560-CC PARQUESOL / MANILLA PRESION RODILLO NEGRA 423-ROD IZQ. / VECINO BARRIOS DELICIAS ID 35685 / BOMBILLO MCM</t>
  </si>
  <si>
    <t>COLEGIOS // ID: 0034551-CP MIGUEL DE CERVANTES / BOMBILLO MCM EAPN: 30-30 D-33212 / BOMBILLO MCM EAPN febrero</t>
  </si>
  <si>
    <t>SIN ID-MANTENIMIENTO / VENTOSA YAGUE YA-9702 200MM C/PULSADOR</t>
  </si>
  <si>
    <t>SUMINISTRO DE MATERIALES PARA TRABAJOS DE PINTURA EN EL LOCAL DE LA AV LA ISLA</t>
  </si>
  <si>
    <t>REAL DE LA FERIA // AMOLADORA 115 BOSCH GWS 880 /  / PERNIO SOLDAR 20x120 PALA</t>
  </si>
  <si>
    <t>SUMINISTRO DE MATERIALES Y ACCESORIOS DE PINTURA PARA TRABAJOS EN LOS EDIFICIOS MUNICIPALES DEL DEPENDIENTES DEL CMEI</t>
  </si>
  <si>
    <t>SUMINISTRO DE PINTURA Y HERRAMIENTAS DE PINTOR.-</t>
  </si>
  <si>
    <t>MANO DE OBRA / MANO DE OBRA / ACEITE MOTOR B&amp;S SAE-30   (LTS.)</t>
  </si>
  <si>
    <t>SIN ID-CERRAJERIA / ALARGA. CABLE 50MT 3x1,50MM+ DSS 1308263 WESSER / ESCUADRA BAHCO 300MM 9048-300 / NIVEL STANLEY ANTI</t>
  </si>
  <si>
    <t>MANO DE OBRA / STIHL  FILTRO DE AIRE 11451404404 / MANO DE OBRA / MANO DE OBRA / KUBOTA FILTRO ACEITE REF  W21ESO1500 -R</t>
  </si>
  <si>
    <t>CADENA STIHL MOTOSIERRA   36 RS RAPID SUPER ESLABON / AFILADO CADENA MOTOSIERRA / CADENA STIHL MOTOSIERRA  63 PS3 PICCO</t>
  </si>
  <si>
    <t>ID: 0034090-EIM CASCABEL / BOMBILLO MCM EAPN: 30-30 E-43351. febrero</t>
  </si>
  <si>
    <t>RASTRILLO OUTILS-WOLF   REF. DSM-19 / RASTRILLO OUTILS-WOLF   REF. DRM-30 / PODADERA OUTILS-WOLF REF. OS900T / RAEDERA O</t>
  </si>
  <si>
    <t>MANT. SUMINISTRO ETIQUETA BICAPA GRABADAS 2 LINEAS Y TALADRO / COPIA LLAVES MCM ESPECIALPARA EL JACINTO BENAVENTE- DUR 1</t>
  </si>
  <si>
    <t>MANO DE OBRA (SIN CARGO) / MANO DE OBRA</t>
  </si>
  <si>
    <t>SIN ID-GRADAS SEMANA SANTA / DISCO C/INOX 125x1,00 TYROLIT PREMIUM / DISCO C/INOX 115x1,00 TYROLIT PREMIUM / DISCO D/MET</t>
  </si>
  <si>
    <t>ID: 0034486-PARQUESOL / BOMBILLO TESA 5200 30x30 LN / CONTERA CUADRADA REF. 26  60x 60 NEGRO / CERRADURA MCM 1449 21-00</t>
  </si>
  <si>
    <t>LLAVES MECANIZADAS ACERO FAR 1 D/5277KWD/IMAN CIRC AVELLA. NDCV 50 MM NIQUEL NEODIMIO/ V36-2017 / SERVICIO DE LIMPIEZA.</t>
  </si>
  <si>
    <t>SUM. MATERIALES PARA TRABAJOS DE PINTURA EN CC RONDILLA</t>
  </si>
  <si>
    <t>COMPRA DE MATERIAL PARA PINTAR LA VIVIENDA MUNICIPAL SITA EN C/ CENTRO Nº 12, 1º C.</t>
  </si>
  <si>
    <t>VEHÍCULO 0515KFV // MANTENIMIENTO ANUAL. CAMBIO ACEITE, FILTRO ACEITE, FILTRO POLEN Y BUJIAS/ 2 SMOIL5W40 - ACEITE 5W40</t>
  </si>
  <si>
    <t>CENTRO CIVICO ZONA SUR ++ / PERFIL KLEIN ACERO SENDZIMIR K.40/75 5M / JGO ACCES. KLEIN K. 75 / COMMENT... VARIOS CENTROS</t>
  </si>
  <si>
    <t>Z CARCOMAS PLUS INYECCION 0,250 L.  COLEGIOS FEBRERO</t>
  </si>
  <si>
    <t>LIJA BOSCH RED WOOD GR 80 X5UDS 93x6 / LIJA BOSCH  WOOD GR 60 X5 UDS 93X6 / AFILADO CADENA MOTOSIERRA / CADENA STIHL MOT</t>
  </si>
  <si>
    <t>COMPRA DE MATERIAL PARA PINTAR LA VIVIENDA MUNICIPAL SITA EN C/ PORTILLO DEL PRADO Nº 20, 1º C.</t>
  </si>
  <si>
    <t>SUMINISTRO DE PINTURA Y OTROS MATERIALES PARA REPARACIONES EN LAS ESCUELAS INFANTILES MUNICIPALES. AÑO 2023</t>
  </si>
  <si>
    <t>MANTENIMIENTO DE EDIFICIOS E INSTALACIONES / CERRADURA TESA 2030</t>
  </si>
  <si>
    <t>REPOSAPIES FELLOWES AJUSTABLE ERGO</t>
  </si>
  <si>
    <t>MANT. SUMINISTRO DE / BL ARANDELA PLANA ANCHA M5 CINC 20U EHL, GANCHO INGLET COLGADOR PEQ. 4 KG (2UD) DEL CPM VICTORIA</t>
  </si>
  <si>
    <t>EXPERT SDS PLUS-7X (ARMADO): 4 X 50 X 115 / BARRA ASLAK EXTENS FLEXIB 150 MM / CONTERA RED INTERIOR PLASTICO 48 / febrer</t>
  </si>
  <si>
    <t>SUMINISTRO DIVERSO MATERIAL PARA EL CENTRO MARCELINA PONCELA</t>
  </si>
  <si>
    <t>2023 02 1501 224</t>
  </si>
  <si>
    <t>W.R.BERKLEY EUROPE AG, SUCURSAL EN ESPAÑA</t>
  </si>
  <si>
    <t>ADJ. EXPTE.CONTRATO SEGUROS DE RESPONSABILIDAD CIVIL TECNICOS DEL AREA 1.05 A 31.10.22 Y 1.11.22 A 30.04.23</t>
  </si>
  <si>
    <t>SUMINISTRO DE MATERIALES PARA TRABAJOS DE PINTURA EN EL CC JOSÉ LUIS MOSQUERA</t>
  </si>
  <si>
    <t>CONTRATO DE SERVICIOS DE DIRECCION DE LA OBRA: SISTEMAS URBANOS DE DRENAJE SOSTENIBLE SUDS - URBAN GREENUP G.A. N 7304</t>
  </si>
  <si>
    <t>COPIA LLAVE NORMAL / *CINTA MIARCO PVC TRAN 48MMX132M / COPIA LLAVE NORMAL / V36-2017 / LIMPIEZA VIARIA.</t>
  </si>
  <si>
    <t>SEMCAL, S.A.</t>
  </si>
  <si>
    <t>COMPRA DE AGUA PARA ACTIVIDADES FORMATIVAS DE LA ACADEMIA DE POLICÍA MUNICIPAL.</t>
  </si>
  <si>
    <t>SERELEVA,S.L.</t>
  </si>
  <si>
    <t>ADJUDICA REPARACIÓN MÁQUINAS Y EQUIPOS IMPRENTA MUNICIPAL AÑO 2023</t>
  </si>
  <si>
    <t>VALADOLID</t>
  </si>
  <si>
    <t>COLEGIO LEON FELIPE (  ID 34782 ) / 2 CHAPA LAGRIMADA 2000X1000X3/5 S235JR / 1 CHAPA L. CALIENTE 2000X1000X3,0  S 235 JR</t>
  </si>
  <si>
    <t>SERGIO MORENO EGIDO</t>
  </si>
  <si>
    <t>Trabajos de vinilado de 18 vehículos del SEPI según diseño ganador de concurso ideas de diseño identidad corporativa.</t>
  </si>
  <si>
    <t>SERINZA SOLUTIONS S.L.</t>
  </si>
  <si>
    <t>PRORROGA 1 AÑO DEL CONTRATO SERVICIO MANTENIMIENTO PORTALES WEB DE CULTURA Y TURISMO LOTE 1. (01-05-2022 AL 30-04-2023)</t>
  </si>
  <si>
    <t>2023 06 2314 212</t>
  </si>
  <si>
    <t>ALB: 23-200679 PED: 23-001150-1020 S/PED: ESPACIO JOVEN / CODO 87º SANITARIO H-H DN 40 / CODO 45º SANITARIO M-H DN  40 /</t>
  </si>
  <si>
    <t>EXPTE:V.36_2017; LOTE 2; ALB: 23-203879 PED: 23-006164-1001 S/STIHL TUERCA DE TAPA HEXAGONAL M-8 (HT,MS)</t>
  </si>
  <si>
    <t>ALB: 23-203128 PED: 23-005031-1001 S/PED: PARQUE / BOTE AGLOMERADO ASFALTICO EN FRIO 25KG</t>
  </si>
  <si>
    <t>ALB: 23-200879 PED: 22-059597-1005 S/PED: PARQUE SEPI / REPARACION DE:MARTILLO PICADOR MARCA:BOSCH MODELO:GBH 11 DE NS:N</t>
  </si>
  <si>
    <t>ALB: 23-202794 PED: 23-003771-1017 S/PED: PARQUE / REPARACION DE: GENERADOR   MARCA: MECCALTE  MODELO: HONDA GX270   NS:</t>
  </si>
  <si>
    <t>Mantenimiento preventivo y servicio correctivo placas solares y caldera de biomasa del CMPA</t>
  </si>
  <si>
    <t>REPARACION CALDERA SOLAR FOCUS DE PELLET DEL CENTRO MUNICIPAL DE PROTECCIÓN ANIMAL</t>
  </si>
  <si>
    <t>SUSTITUCIÓN PARRILLA DE COMBUSTIÓN EN CALDERA DEL CMPA, PARA SU CORRECTO FUNCIONAMIENTO</t>
  </si>
  <si>
    <t>TUBO LED T8 CRISTAL 18W 1850LM G13 1212MM /TUBO LED T8 CRISTAL 18W 1850LM G13/.../ VARIOS CC</t>
  </si>
  <si>
    <t>CLAVIJA 10/16A 250V PATA 4 ,8MM / PANEL CONVECTOR PM-1005 INSTALACION MURAL 1000W 230V BLANCO / BARRYFLEX RV-K 0,6/1KV 4</t>
  </si>
  <si>
    <t>CLAVIJA 10-16A-250V DIAMETRO 4,8 CON TT LATERAL DE COLOR BLANCO / BASE 5 TOMAS 16A-250V DE COLOR BLANCO / 26 BASE ADHESI</t>
  </si>
  <si>
    <t>TIJERA PARA CORTAR Y PELAR 16020-F1 / HT10   - DETECTOR DE TENSION MULTIFUNCION CAT IV IP64 / DOWLINGHT FINO 30W 2930LM</t>
  </si>
  <si>
    <t>BASE 5 TOMAS 16A 250V  POT .3600W / CLAVIJA 10/16A 250V PATA 4 ,8MM / LATIGUILLO RJ45 PoE LSZH-CAT.6A S/FTP 5.00M GRIS</t>
  </si>
  <si>
    <t>MANTENIMIENTO. SUMINISTRO DE MATERIAL ELECTRICO PARA REPARACIONES DEL JACINTO BENAVENTE- DUR 1 DIA</t>
  </si>
  <si>
    <t>TRABAJOS DE MANTENIMIENTO CALDERA CENTRO MUNICIPAL DE ACUSTICA</t>
  </si>
  <si>
    <t>MANT. SUMINISTRO DE PANELTECH HP A 1848 33W 4K CELL BLANCO UGR&lt;19, PARA EL CENTRO DE VIDA ACTIVA LA VICTORIA- DURACION 1</t>
  </si>
  <si>
    <t>LOTE 7: MANTENIMIENTO ALARMAS ANTI-INTRUSIÓN CON ASISTENCIA  24H EDIFICIOS SERV. PARTICIPACIÓN CIUDADANA</t>
  </si>
  <si>
    <t>2023 03 9241 223</t>
  </si>
  <si>
    <t>REPARTO Y COLOCACIÓN DE CARTELES PRESUPUESTOS PARTICIPATIVOS 2023 EN CENTROS DE PARTICIPACIÓN CIUDADANA</t>
  </si>
  <si>
    <t>CESPED FORMULA MULTIRUSTIC (10 Kgs)</t>
  </si>
  <si>
    <t>HIEDRA VERDE C-3 L</t>
  </si>
  <si>
    <t>ESTANCIAS DIURNAS-LOTE 2-COMIDAS EN UC1 CPM RONDILLA-EN 23 A NOV 25- 16 PLAZASx 4,5x1,04x248d en 23 y 24 y 229d en25</t>
  </si>
  <si>
    <t>ACUERDO MARCO. MATERIAL PARA MANTENIMIENTO DEPENDENCIAS DE POLICÍA MUNICIPAL.</t>
  </si>
  <si>
    <t>ACUERDO MARCO. SUMINISTRO DE MATERIAL PARA TALLER DE REPARACION DE VEHÍCULOS DE POLICÍA MUNICIPAL.</t>
  </si>
  <si>
    <t>ACUERDO MARCO. SUMINISTRO DE BISAGRA ACODADA Y SUPERACODADA HAFELE PARA  DISTRITO Nº1</t>
  </si>
  <si>
    <t>MATRÍCULA 1181BGY // AMAZON SEGADORA // 20X10.00-10 4PR LG3063E TL BKT / NFU N2 / MONTAJE TRACTOR DELANTERA</t>
  </si>
  <si>
    <t>RICARDO ALONSO MUÑOZ</t>
  </si>
  <si>
    <t>ALB A1-019960. MATERIAL ALBAÑILERIA. CEIP PEDRO GOMEZ BOSQUE</t>
  </si>
  <si>
    <t>ALBARANES 019751 Y 019821</t>
  </si>
  <si>
    <t>INSERCIÓN PUBLICITARIA EN EL SUPLEMENTO EL DÍA DE VALLADOLID-ESPECIAL VALLADOLID SOSTENIBLE.MISIÓN VA.CIUDAD INTELIGENTE</t>
  </si>
  <si>
    <t>REIN</t>
  </si>
  <si>
    <t>SERVICIO COMIDAS ENERO 2023 DE LAS ESTANCIAS DIURNAS, ROND 1 -Z.SUR,ARCA,Z.ESTE Y ROND 2</t>
  </si>
  <si>
    <t>891</t>
  </si>
  <si>
    <t>INSPECCIÓN PERIÓDICA OBLIGATORIA DEL ASCENSOR DEL CC CANAL DE CASTILLA</t>
  </si>
  <si>
    <t>SERVICIOS INFORMATICOS POLIEDRO, S.L.</t>
  </si>
  <si>
    <t>SERVICIOS DE HOSTING PARA EL DOMINIO INNVID. PLAZO DE 29/04/2023 A 28/04/2024 MEDIANTE PAGO DE CUOTA ÚNICA  AÑO 2023.</t>
  </si>
  <si>
    <t>PRORROGA DEL SERVICIO DE CELADURIA DEL CENTRO DE FORMACION PARA EL EMPLEO DEL 01/01/2023 AL 31/07/2023</t>
  </si>
  <si>
    <t>AJUSTE PRESUPUESTARIO DE LA CELADURIA DEL CENTRO DE FORMACION PARA ELEMPLEO DEL 01/01/23 A 31/07/2023- JACINTO BENAVENTE</t>
  </si>
  <si>
    <t>SAN  BENITO // MONOMANDO LAVABO VICTORIA PLUS</t>
  </si>
  <si>
    <t>Injeccio Amac, S.L.</t>
  </si>
  <si>
    <t>ACUERDO MARCO. REPARACIÓN  VEHÍCULO MATRÍCULA 3709KGD</t>
  </si>
  <si>
    <t>Montcada Reixac</t>
  </si>
  <si>
    <t>Barcelona</t>
  </si>
  <si>
    <t>ACUERDO MARCO. SUSTITUCIÓN RUEDAS VARIOS VEHÍCULOS DE POLICÍA.</t>
  </si>
  <si>
    <t>ACUERDO MARCO. REPARACIÓN VEHÍCULO 0672HHG:DESMONTAR Y LIMPIEZA DEL INYECTOR DE ESCAPE</t>
  </si>
  <si>
    <t>ACUERDO MARCO. REPARACIÓN VEHÍCULO VA7632AH:SONDA LAMBDA DELANTERA,DIAGNOSIS,REVISION FALLO GASES Y ESCPAE ,</t>
  </si>
  <si>
    <t>ACUERDO MARCO. REPARACIÓN VEHÍCULO 0649HHG:DESMONTAR Y LIMPIEZA INYECTOR ESCAPE,ACEITE 5W30,FILTRO D EACIETE</t>
  </si>
  <si>
    <t>TALLERES F. FERNANDEZ, SOCIEDAD LIMITADA</t>
  </si>
  <si>
    <t>REVISION TACOG. DIG.2756 LLV/ RESPALDO DATOS/ REVISION TACOG. ANA. 3511 BHT/ SPSC 23-2020 / SERVICIO DE LIMPIEZA.</t>
  </si>
  <si>
    <t>PRORROGA DEL SERVICIO DE CELADURIA DEL CENTRO DE FORMACION PARA EL EMPLEO DEL 01/01/2023 AL 31/07/2023- BARRADO</t>
  </si>
  <si>
    <t>Albarán OT/ 136154 de 13 y 5/02/2023 ( REPARACIÓN EN TALLER DE MOTOAZADA HONDA F500 REF.: VIVERO VALE Nº 1487 RETIRADA E</t>
  </si>
  <si>
    <t>ACUERDO MARCO. REPARACIÓN VEHÍCULO DE POLICÍA 2168HCN, 668100006R - GUARNIT.PARABRIS. / 1 054000001R - GRAPA</t>
  </si>
  <si>
    <t>ACUERDO MARCO. REPARACIÓN VEHÍCULO 4117JKP DE POLICÍA1 8200177718 - CONTACTOR</t>
  </si>
  <si>
    <t>ACUEREDO MARCO. REPARACION VEHÍCULO 3715KGD.1 265109646R - LUZ DE MATRICULA</t>
  </si>
  <si>
    <t>ACUERDO MARCO. REPARACIÓN VEHÍCULO DE POLICÍA MUNICIPAL.</t>
  </si>
  <si>
    <t>SERVICIOS TECNICOS LIM.MIGUEL ARIAS S.L. (STLIMA)</t>
  </si>
  <si>
    <t>DESASTASCO SUMIDERO ESPACIO JOVEN ZONA SUR</t>
  </si>
  <si>
    <t>GALAPAGAR</t>
  </si>
  <si>
    <t>SERVIOLID 2001, S.L.</t>
  </si>
  <si>
    <t>SERVICIO DE JARDINERÍA EN EL CENTRO ROSA CHACEL MANTENIMIENTO ZONA AJARDINADA DEL CENTRO Y PUESTA A PUNTO DESDE 1/8/2022</t>
  </si>
  <si>
    <t>CIERRE SEGURIDAD D5 ( MATRICULA 4746 FZF SEPI CONSERVACION )</t>
  </si>
  <si>
    <t>VINILOS Y LONA CUPULA DEL MILENIO. SEMANA TOUR DEL TALENTO EN VALLADOLID DEL 13 AL 18 DE MARZO DE 2023.</t>
  </si>
  <si>
    <t>CONTROL Y CRONOMETRAJE PRUEBAS FISICAS SUPERINTENDENTE, INTENDENTE Y MAYOR POLICIA LOCAL VALLADOLLID,24 DE ENERO DE 2023</t>
  </si>
  <si>
    <t>CONTROL Y CRONOMETRAJE PRUEBAS FISICAS BOMBEROS AYTO. VALLADOLID, DIAS 14 Y 15 DE FEBRERO DE 2023</t>
  </si>
  <si>
    <t>2023 01 9205 22104</t>
  </si>
  <si>
    <t>ADJUDICA SUMINISTRO VESTUARIO Y CALZADO PERSONAL IMPRENTA</t>
  </si>
  <si>
    <t>COLECTIVO FRESAS CON NATA, S.L.</t>
  </si>
  <si>
    <t>ESPECTACULO DE DANZA FRUTA FRESCA/15 GARDENIAS.SEMANA TOUR DEL TALENTO EN VALLADOLID DEL 13 AL 18 DE MARZO DE 2023.</t>
  </si>
  <si>
    <t>TALLERES DE EDUCACION SEXUAL Y ASESORIA SEXOLOGICA PARA JOVENES Y ADOLESCENTES</t>
  </si>
  <si>
    <t>CTTO SUMINISTRO PAPEL IMPRENTA MUNICIPAL PUBLICIDAD CON  CARTELES Y DÍPTICOS ACTIVIDADES DE BIBLIOTECAS PÚBLICAS//2023</t>
  </si>
  <si>
    <t>LIMPIEZA DIARIA CENTRO MARCELINA PONCELA. DEL 24 DE MARZO AL 31 DE DICIEMBRE</t>
  </si>
  <si>
    <t>SERVISECUR VIGILANCIA PRIVADA SL</t>
  </si>
  <si>
    <t>ADJUDICACION SERVICIO VIGILANCIA DE LAS INSTALACIONES Y NORMAL FUNCIONAMIENTO DE LA FERIA DEL LIBRO VA 2023. LOTE 4</t>
  </si>
  <si>
    <t>SILPA LA FAROLA, S.L.</t>
  </si>
  <si>
    <t>SUMINISTRO DE CARTUCHOS PARA IMPRESORAS FURGONETAS DE INVESTIGACIÓN DE ACCIDENTES.</t>
  </si>
  <si>
    <t>2023 10 2412 22706</t>
  </si>
  <si>
    <t>SIMON MORETON AUDITORES SL</t>
  </si>
  <si>
    <t>Contr. servicio de realiz de informes de auditoría de las subvenciones concedidaspara los cursos de formacion de empleo</t>
  </si>
  <si>
    <t>CONTRATO BASADO CUÑAS DE RADIO .SEMANA TOUR DEL TALENTO EN VALLADOLID DEL 13 AL 18 DE MARZO DE 2023.</t>
  </si>
  <si>
    <t>SINGULARGREEN, S.L.</t>
  </si>
  <si>
    <t>SERVICIO ANÁLISIS ALTERNATIVAS DE REUBICACIÓN DEL JARDÍN VERTICAL DEL ANTIGUO EDIFICIO EL CORTE INGLÉS C/ CONSTITUCION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</si>
  <si>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</si>
  <si>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</si>
  <si>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</si>
  <si>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REVISIÓN ANUAL DE LAS LINEAS DE VIDA DE LAS INSTALACIONES DEL SERVICIO DE LIMPIEZA</t>
  </si>
  <si>
    <t>INSERCIÓN DE PUBLICIDAD DIGITAL RELATIVA AL TOUR DEL TALENTO.</t>
  </si>
  <si>
    <t>INSERCIÓN DE ANUNCIOS PUBLICITARIOS DEL TOUR DEL TALENTO.</t>
  </si>
  <si>
    <t>DISEÑO, CREACIÓN Y MANTENIMIENTO PÁGINA WEB DEL CENTRO MUNICIPAL DE LA IGUALDAD / DURANTE 2023</t>
  </si>
  <si>
    <t>2023 07 1701 22706</t>
  </si>
  <si>
    <t>SM SISTEMAS MEDIOAMBIENTALES S.L.</t>
  </si>
  <si>
    <t>1ª PRÓRROGA. LOTE 1. CONTRATO PROGRAMAS EDUCACIÓN AMBIENTAL (HUERTOS URBANOS). PLAZO: 01/01/2023 AL 31/05/2023</t>
  </si>
  <si>
    <t>PRORROGA CONTRATO EXPLOTACIÓN PUNTO LIMPIO SITO EN C/ VALLE DE ARÁN (23-1-2022 AL 22-1-2023)</t>
  </si>
  <si>
    <t>RETIRADA DE RESIDUOS Y LIMPIEZA FOSA SÉPTICA VESTUARIOS MORERAS. SERVICIO DE LIMPIEZA.</t>
  </si>
  <si>
    <t>SOCEVALL HERMANOS VALLES, S.L.</t>
  </si>
  <si>
    <t>SUMINISTRO DE DOS CHAPAS PLEGADAS PARA LA PUERTA DEL CENTRO DE VIDA ACTIVA ZONA ESTE- DUR 1 DIA</t>
  </si>
  <si>
    <t>VISITAS GUIADAS RUTA 1 (SAN PABLO) Y RUTA 2 (SANTA CRUZ) PARA ESCOLARES DE CENTROS EDUCATIVOS DE VALLADOLID. CURSO 22-23</t>
  </si>
  <si>
    <t>VISITAS GUIADAS RUTAS 1 Y 2/ INMACULADA MISIONERAS(03.11.22), EL PINO-OBREGON (20.12.22), ST Mª LA REAL HUELGAS 13.12.22</t>
  </si>
  <si>
    <t>2023 02 1511 641</t>
  </si>
  <si>
    <t>ACTUALIZACIÓN Y MANTENIMIENTO SOLIBRI OFFICE AÑO 2022</t>
  </si>
  <si>
    <t>HELSINKI</t>
  </si>
  <si>
    <t>FINLANDIA</t>
  </si>
  <si>
    <t>1ERA.PRÓRROGA CONTRATO SUMINISTRO GASÓLEO AUTOMOCIÓN VEHÍCULOS MANTENIMIENTO EXP.PR-SE 37/2022 P.S.6 EX PR-SE 38/20.</t>
  </si>
  <si>
    <t>PRORROGA DE SUMINISTRO DE GASOLEO PARA EL CENTRO DE FORMACION PARA EL EMPLEO DURANTE 2023</t>
  </si>
  <si>
    <t>2023 06 3261 22103</t>
  </si>
  <si>
    <t>PRORROGA CTTO SUMINISTRO GASOLEO DE AUTOMOCIÓN PARA VEHÍCULOS DEPENDIENTES DEL SERVICIO DE EDUCACIÓN. AÑO 2023</t>
  </si>
  <si>
    <t>PRORROGA CONTRATO SUNMINISTRO GASOLEO AUTOMOCION VEHCULOS DEL Sº DE SALUD PUBLICA PARA EL AÑO 2023</t>
  </si>
  <si>
    <t>1ª PRORROGA CONTRATO SUINISTRO GASOLEO 1-01-2023 A 31-12-2023, REGIMEN INTERIOR</t>
  </si>
  <si>
    <t>GAS VEHICULO SALUD PUBLICA : TOYOTA PRIUS 0634 DHJ</t>
  </si>
  <si>
    <t>SUMINISTRO DE AUTOGAS (gas licuado de petróleo) en estación de servicio a los vehículos del SEPI - para  2023.-</t>
  </si>
  <si>
    <t>AJUSTE PRESUPUESTARIO DEL SUMINISTRI DE GASOLEO PARA EL CENTRO DE FORMACION PRA EL EMPLEO EN 2023</t>
  </si>
  <si>
    <t>ADJUDICA RENOVACIÓN UNA SUSCRIPCIÓN AL PERIÓDICO EL DÍA DE VALLADOLID - AÑO 2032 - MEDIOS DE COMUNICACIÓN</t>
  </si>
  <si>
    <t>ALKI-OLID S.L.</t>
  </si>
  <si>
    <t>CABLE BOWDEN / CABEZAL DE ASPIRACIÓN / BUJIA NGK CMR6H / GRASA UNIVERSAL40 GR.RED../ SPSC 23-2020 / SERVICIO DE LIMPIEZA</t>
  </si>
  <si>
    <t>(*) RELÉ INTERRUPTOR DOBLE SALIDA 2 / RELÉ INT 40A. 12V. S/SOP. S/RES *** / BATERIA.../ V36-2017 / SERVICIO DE LIMPIEZA.</t>
  </si>
  <si>
    <t>MANTENIMIENTO DEL SISTEMA DE DETECCIÓN Y EXTINCIÓN DE INCENDIOS, LOTE 4</t>
  </si>
  <si>
    <t>F - 1994 - TELEFONILLO TEGUI S.7 - PARA ALOJAMIENTO PROVISIONAL CALLE MISERICORDIA 3 BAJO D - 1 DIA</t>
  </si>
  <si>
    <t>MANT. SUMINISTRO DE MAGNETO  SE IK60N C 2P 20A  A9K17220PRA EL CENTRO DE PARQUESOL- INICITIVAS SOCIALES DURA 1 DIA</t>
  </si>
  <si>
    <t>TOTAL TRABAJOS REPARACION MATRICULA 2515FXC / TOTAL PIEZAS / ANEXO DETALLE FTP000020063/ SERVICIO DE LIMPIEZA.</t>
  </si>
  <si>
    <t>TOTAL TRABAJOS REPARACION MATRICULA 4224JCV / TOTAL PIEZAS / ANEXO DETALLE FTP000020078/ SERVICIO DE LIMPIEZA.</t>
  </si>
  <si>
    <t>ACUERDO MARCO.  TRABAJOS REPARACION MATRICULA 8831JXF / TOTAL PIEZAS / ANEXO DETALLE FTP000020044</t>
  </si>
  <si>
    <t>MATERIAL VARIO CONSTRUCCION</t>
  </si>
  <si>
    <t>MANT. SUMINISTRO DE TORNILLO SPAX-S BICROMATADO 4*20 MM.  PARA  CPM ZONA SUR- DURA 1 DIA</t>
  </si>
  <si>
    <t>MANT. SUMINISTRO DE MATERIAL  PARA EL CVA Z. SUR (1039,06) Y ARCA REAL (4.82) INICIATIVAS SOCIALES  DURA 1 DIA</t>
  </si>
  <si>
    <t>MANT. SUMINISTRO DE  ANTIP. TESA CIERRE 1910 908 VERDE,ANTIP. TESA MANILLA S1912 EXNE .PARA EL CPM PUENTE COLGANTE-D 1 D</t>
  </si>
  <si>
    <t>TAPON ADBLUE.C.LC/BOMBIN / CIERRE CON LLAV / MANDO FRENO MAN / BLOW BY ELEMENT.../ SPSC23-2020 / LIMPIEZA VIARIA.</t>
  </si>
  <si>
    <t>7380-ULS  5X25 TORNILLO 10.9 / 985-M- 5-080  TUERCA A.B. / 9021-M 5 ZN ARAND.PL.ALA ANCHA / 934-S2222     TUERCA 8.8 7/8</t>
  </si>
  <si>
    <t>7991- 8X50    TORNILLO ALLEN CABEZA AVELLANADA 10.9 / ROLL.6M3A CARRO ROLL M3 6 CAJO.../ V36-2017 / SERVICIO DE LIMPIEZA</t>
  </si>
  <si>
    <t>BONDERITE C-MC 3000 D2 JC20KG DESENGRASANTE MANTENIMIENTO LOCTITE 1290340/ V36-2017 / LIMPIEZA VIARIA.</t>
  </si>
  <si>
    <t>DISCO OMEGA 230X1.9X22.2 INOX / ALMOHADILLA PARA ARRODILLARSE / TORNILLO DIN 933 M-1.../ V36-2017 / SERVICIO DE LIMPIEZA</t>
  </si>
  <si>
    <t>FILTRO DE AIRE COMPLETO / PORTES MAF / PORTES MAF / MANTA TERMICA PARA MOTOR.../ EXP V36-2017 / SERVICIO DE LIMPIEZA.</t>
  </si>
  <si>
    <t>DYNAMIC-ANTICONGELANTE 3000 50% 185 K/ V36-2017 / SERVICIO DE LIMPIEZA.</t>
  </si>
  <si>
    <t>ASER SYNTHETIC 10W40 A3/B4 5L / Canon Gestion Aceite (RD679/2006) / SYNTIUM 5000 AV 5W30 5L. / Canon Gestion Aceite (RD6</t>
  </si>
  <si>
    <t>CARGADOR / ARRANCADOR 12/24V.../ EXP V36-2017 / LIMPIEZA VIARIA.</t>
  </si>
  <si>
    <t>RASCADOR PLACA EYECTORA FMO / CONECTOR FILTRO DEP.ACEITE OLY / RASCADOR PRENSA.../ V36-2017 / SERVICIO DE LIMPIEZA.</t>
  </si>
  <si>
    <t>PASADOR ALETA 3.2X45 DIN-94 ZINCADO / REMACHE ESTANDAR 4.8X25 DIN-7337 ALUMINIO / TO.../ V36-2017 / SERVICIO DE LIMPIEZA</t>
  </si>
  <si>
    <t>BARRENDERO ROJO 520 5/F 520X65MM  ART.00001505 / MANGO BARRENDERO MADERA GALLEGA.../ V36-2017 / LIMPIEZA VIARIA.</t>
  </si>
  <si>
    <t>F - 1174 - BOMBA ACELERADORA RADIADORES PARA CEAS BELEN-PILARICA - TAHE SL - 1 DIA</t>
  </si>
  <si>
    <t>INSERCION PUBLICIDAD EN TRIBUNAVALLADOLID.COM CAMPAÑA ESCUELA EL CASCABEL Y POLIDEPORTIVO DELICIAS.(AD aprobado en 2022)</t>
  </si>
  <si>
    <t>ACUERDO MARCO. REPARACIÓN VEHÍCULO 4078JKP.</t>
  </si>
  <si>
    <t>SUMINISTRO DE MAQUINARIA ESCABADORA, DUMPER Y LOS TRANSPORTES PARA REPARACIONES DE TUBERIAS Y SOLADOS. AÑO 2023</t>
  </si>
  <si>
    <t>DISAUTO S.A.</t>
  </si>
  <si>
    <t>ADQUISICIÓN 3 CABLES DE RECARGA DE V.E. EN TOMA DOMÉSTICA REFORMADO PARA TOMA EF.GU</t>
  </si>
  <si>
    <t>SOLUCIONES EMPRESARIALES Y AUDITORIA, S.L.</t>
  </si>
  <si>
    <t>CONTRATO DE SERVICIOS DE AUDITORIA Y CONTROL EXTERNO DEL PROYECTO EUROPEO- PGI05173_ PE4TRANS-INTERREG EUROPE</t>
  </si>
  <si>
    <t>SOLUCIONES PGV VALLADOLID SL</t>
  </si>
  <si>
    <t>SERVICIO CUIDADOR EN EL CENTRO MUNICIPAL DE LA IGUALDAD</t>
  </si>
  <si>
    <t>2023 04 9209 625</t>
  </si>
  <si>
    <t>ADQUISICIÓN DE MOBILIARIO CON DESTINO AL SERVICIO DE CARTOGRAFÍA E INFORMACIÓN URB. (ÁREA DE PLANEAMIENTO URBANÍSTICO).</t>
  </si>
  <si>
    <t>ADQUISICIÓN DE MOBILIARIO CON DESTINO AL DPTO. DE GESTIÓN DE RR.HH. (2 MESAS, 2 FALDONES, 2 CAJONERAS Y 1 ALA MESA).</t>
  </si>
  <si>
    <t>ADQUISICIÓN DE MOBILIARIO CON DESTINO AL SERVICIO DE PARQUES Y JARDINES.</t>
  </si>
  <si>
    <t>Suministro de contenedores para el tratamiento de residuos biológicos (agujas y jeringas). SALUD LABORAL</t>
  </si>
  <si>
    <t>SULO IBÉRICA ,S.A.</t>
  </si>
  <si>
    <t>SUMINISTRO DE REPUESTOS PARA CONTENEDORES 800 LITROS DESTINADOS A RECOGIDA DE RESIDUOS.</t>
  </si>
  <si>
    <t>ADJUDICACIÓN CONTRATO OBRAS REMODELACIÓN MERCADO RONDILLA STA TERESA</t>
  </si>
  <si>
    <t>Modificación 1 obra elevadores urbanos ladera este Parquesol (expediente 50/2021 PS nº 2)</t>
  </si>
  <si>
    <t>ADJ..EXPTE.46/21 REURBANIZACIÓN PLAZA DE LA COMUNICACIÓN (ANTIGUA AP25-1 ARIZA) EN CALLE ADOLFO SUAREZ.</t>
  </si>
  <si>
    <t>UTE ELEVADORES PARQUESOL NORTE</t>
  </si>
  <si>
    <t>CONTRATO DE OBRAS PARA LA INSTALACIÓN DE ELEVADORES MECÁNICOS EN LA LADERA NORTE DE PARQUESOL. EXP: 42/2021 SEMEU</t>
  </si>
  <si>
    <t>NARON</t>
  </si>
  <si>
    <t>LA CORUÑA</t>
  </si>
  <si>
    <t>ADJUDICA OTROS SUMINISTROS A IMPRENTA EN 2023: TINTAS, TÓNER Y OTRO MATERIAL TÉCNICO PARA IMPRESIÓN</t>
  </si>
  <si>
    <t>OBRA REHABILITACION ANTIGUO FRONTON DE LAS FLORES PARA CENTRO DOTACIONAL</t>
  </si>
  <si>
    <t>Modificación 1 Contrato obra de instalación elevedares urbanos ladera norte Parquesol. P.S 1.Exp 42/2021.</t>
  </si>
  <si>
    <t>VS 21/22 SISTEMA CONTROL ACCESOS ZBE FINANCIADO PRTR</t>
  </si>
  <si>
    <t>CHR EUROPA GESTION Y CONSTRUCCION, SL</t>
  </si>
  <si>
    <t>Ejercicio 2022. Traslado Parque Vías Públicas (Fase 2. Lote 1). Expte 30/2021   SEMEU.</t>
  </si>
  <si>
    <t>EXPT.6/22 ADJUDICACIÓN OBRAS FASE I REURBANIZACIÓN CALLES DANIEL DEL OLMO Y PRIMER TRAMO NORTE DE CASTILLA (POL.ARGALES)</t>
  </si>
  <si>
    <t>VS 21_22 SISTEMA CONTROL ACCESO ZONA BAJAS EMISIONES FONDOS PRTR</t>
  </si>
  <si>
    <t>2 PRÓRROGA LOTE 2 SEÑALIZACIÓN HORIZONTAL (Agosto-Diciembre'2022)</t>
  </si>
  <si>
    <t>APLICACIÓN INFORMÁTICA DE POLICÍA MUNICIPAL. LOTE 1. EXPTE. 041/2021.</t>
  </si>
  <si>
    <t>2023 08 1341 624</t>
  </si>
  <si>
    <t>AUTOS MARCOS, S.A.</t>
  </si>
  <si>
    <t>Adquisición de seis vehículos eléctricos para el Área de Movilidad y Espacio Urbano. lotes 1 y 3 (exp. 22/2022)</t>
  </si>
  <si>
    <t>ORIHUELA</t>
  </si>
  <si>
    <t>Exp. VS 6/22</t>
  </si>
  <si>
    <t>A.M. EXP. V.6-2020 ARREGLOS OBRA CIVIL DIVERSOS PARQUES GESTIÓN DIRECTA. LOTE 1 PS 38.</t>
  </si>
  <si>
    <t>UTE PAREDES PEDROSA-CONTEXTOS</t>
  </si>
  <si>
    <t>ADJ.EXP. SERVICIOS REDACCIÓN PROYECTO BÁSICO Y PROYECTO EJECUCIÓN OBRA DEL TEATRO LOPE DE VEGA(EXP.1-2022).</t>
  </si>
  <si>
    <t>2023 11 1631 634</t>
  </si>
  <si>
    <t>RECAPOL SA</t>
  </si>
  <si>
    <t>SUMINISTRO FURGÓN CON EQUIPO HIDROLIMPIADOR ELÉCTRICO CON AGUA CALIENTE S. DE LIMPIEZA VIARIA (LOTE 2)</t>
  </si>
  <si>
    <t>HUMANES DE MADRID</t>
  </si>
  <si>
    <t>MATRIZ DE COMUNICACIONES POLICÍA MUNICIPAL. LOTE Nº 2. EXPTE. 41/2021.</t>
  </si>
  <si>
    <t>INGENIERIA ROMANICA, S.L.</t>
  </si>
  <si>
    <t>OBRAS ADAPTACIÓN EDIFICIO JEFATURA DE POLICÍA MUNICIPAL- FASE II. ACTUACIÓN EN EL PATIO Y ENVOLVENTE DE FACHADAS.</t>
  </si>
  <si>
    <t>ADQUISICIÓN VEHÍCULO A GNC CON BASCULLANTE Y PLATAFORMA ELEVADORA TRASERA Sº LIMPIEZA (LOTE 3)</t>
  </si>
  <si>
    <t>BOLSKAN OBRA CIVIL Y FERROVIARIA, S.L.U.</t>
  </si>
  <si>
    <t>ADJ. EXPTE. 8/22 CONTRATO PILOTOS FERROVIARIOS TUNELES DELICIAS FASE 1</t>
  </si>
  <si>
    <t>ALCOLEA DE CINCA</t>
  </si>
  <si>
    <t>2023 09 3341 632</t>
  </si>
  <si>
    <t>JOSE IGNACIO LINAZASORO RODRIGUEZ</t>
  </si>
  <si>
    <t>CONTRATO REDACCION PROYECTO Y DIRECCION FACULTATIVA OBRA REHABILITACION NAVE LAVA 3ª FASE.</t>
  </si>
  <si>
    <t>ADJ.EXP.3-2022CONTR. DE SERVICIOS CONSUL. Y ASIST. PARA DESARROLLO E IMPLANTACIÓN DE PLATAFORMA INFORMAC. URBANISTICA.</t>
  </si>
  <si>
    <t>TRES CARROCEROS, S.L.</t>
  </si>
  <si>
    <t>SUMINISTRO VEHIUCLO CABINA SENCILLA, CAJA ABIERTA Y PLATAFORMA ELEVADORA TRASERA PARA S. LIMPIEZA VIARIA</t>
  </si>
  <si>
    <t>QUART DE POBLET</t>
  </si>
  <si>
    <t>SEGUNDA PRÓRROGA LOTE 1 SEÑALIZACIÓN VERTICAL  (Agosto a Diciembre de 2022)</t>
  </si>
  <si>
    <t>SUMINISTRO E INSTALACIÓN DE MATERIALES PARA EL ALUMBRADO PÚBLICO EN LA AVDA. SALAMANCA Y AVDA. DE BURGOS (exp 14/2022)</t>
  </si>
  <si>
    <t>CONTRATO SERVICIOS PARA PUESTA EN MARCHA Y OPERACION DE UNA PLATAFORMA ONLINE (MARKETPLACE) PARA EL COMERCIO VALLADOLID</t>
  </si>
  <si>
    <t>BIZKAIA</t>
  </si>
  <si>
    <t>Redacción Proy. Básico y ejecución y Direcc Facultativa  obras de rehabilitac , reforma y actualiz de Casa Consistorial</t>
  </si>
  <si>
    <t>2023 06 3232 633</t>
  </si>
  <si>
    <t>SE 25/22 SUMIN CALDERAS COLEGIOS: LOTE 3. CEIP NTRA SÑRA DUERO.</t>
  </si>
  <si>
    <t>FORAMEN S,L.</t>
  </si>
  <si>
    <t>OBRAS DE EXCAVACION ARQUEOLOGICA EN PATIO CENTRAL MONASTERIO DE SAN BENITO EL REAL</t>
  </si>
  <si>
    <t>Contratación de la impresión y presentación para su reparto de los recibos del IVTM y del IBI EJERCICIO 2023</t>
  </si>
  <si>
    <t>procedimiento abierto</t>
  </si>
  <si>
    <t>HARAL 12 SERVICIOS Y OBRAS, S.L.</t>
  </si>
  <si>
    <t>ADJUDICACIÓN OBRAS  LOTE II DEL ARU 29 DE OCTUBRE FASE II</t>
  </si>
  <si>
    <t>2023 05 4314 22706</t>
  </si>
  <si>
    <t>SYMBIOSIS STRATEGY MANAGEMENT CONSULTING S.L.L.</t>
  </si>
  <si>
    <t>SS DE REVISION Y ACTUALIZACION DEL PLAN INTEGRAL DE APOYO AL COMERCIO DE PROX DE VA 2019-21, PARA GENERAR PLAN 2023-26</t>
  </si>
  <si>
    <t>ASISTENCIA TECNICA PREPARACIÓN PROPUESTA AYUDAS FORTALECIMIENTO ACTIVIDAD COMERCIAL EN ZONAS TURISTICAS EN EL MARCO PRTR</t>
  </si>
  <si>
    <t>TAIFE SLU</t>
  </si>
  <si>
    <t>INYECCION Y SUMINISTRO DE ANTICONGELANTE AL CIRCUITO HIDRAULICO DE CALEFACCION Y ACS DE LA NAVE HUB INNOVACION</t>
  </si>
  <si>
    <t>2023 02 9331 623</t>
  </si>
  <si>
    <t>RAHER AUDIO VISUAL S.L.</t>
  </si>
  <si>
    <t>CONTRATO DE SUMINISTRO E INSTALACIÓN DE 2 PANTALLAS LED DE GRAN FORMATO EN ESPACIOS PÚBLICOS DE LA CIUDAD.(EXP.15/2022)</t>
  </si>
  <si>
    <t>2023 05 4331 633</t>
  </si>
  <si>
    <t>SUSTITUC PLACAS INTERCAMBIADOR UNIDAD AEROTERMIA E INSTALACION PROTECCIÓN. PARCELA MPAL CL VALLE DE ARAN 1</t>
  </si>
  <si>
    <t>MECANIZADO DE PIEZA PARA CAMINEOS RECOLECTORES Y BARREDORAS DEL SERVICIO DE LIMPIEZA.</t>
  </si>
  <si>
    <t>MEJORAS EN LAS MÁRGENES DEL RIO ESGUEVA.</t>
  </si>
  <si>
    <t>OBRA DE RENOVACIÓN Y MEJORA DE LOS ASEOS DEL CENTRO CÍVICO ZONA SUR</t>
  </si>
  <si>
    <t>TECNICAS PARA LA RESTAURACION Y CONSTRUCCIONES SA (TRYCSA)</t>
  </si>
  <si>
    <t>ADJ. EXPTE. 50/2021 ""CONTRATO OBRAS DE CONSOLIDACIÓN DE LAS CELDAS DEL CONVENTO DE STA. CATALINA"".</t>
  </si>
  <si>
    <t>TALLERES MALGON, S.L.</t>
  </si>
  <si>
    <t>Revisión pèriódica de vehículos equipados con GLP incluyendo revisión mecánica ordinaria y específica del sistema GLP.</t>
  </si>
  <si>
    <t>Contrato de redacción de proyecto de urbanización de la calle Madre de Dios (exp. 39/2021)</t>
  </si>
  <si>
    <t>PRÓRROGA LOTE 2 SEÑALIZACIÓN HORIZONTAL ""CONTRATO SEÑALIZACIÓN VIAL EN VALLADOLID"" EXP. 11/2018 (PS 1) enero-jul 2022</t>
  </si>
  <si>
    <t>2023 11 1621 204</t>
  </si>
  <si>
    <t>TALLERES RUBIO TRUCK S.L.</t>
  </si>
  <si>
    <t>ALQUILER CAMIÓN RECOLECTOR COMPACTADOR DE CARGA SUPERIOR PARA LA RECOGIDA SELECTIVA DE PAPEL Y CARTÓN</t>
  </si>
  <si>
    <t>ALGEMESI</t>
  </si>
  <si>
    <t>AITOR JIMÉNEZ BENEITEZ</t>
  </si>
  <si>
    <t>MATERIAL Y TALLER ACTIVIDADES HORA DEL PLANETA</t>
  </si>
  <si>
    <t>CONTRATO REDAC. PROYECTO Y DIREC.FACULTATIVA DE LAS OBRAS CONSOLIDAC.EDIFICIO CONVENTO STA.CATALINA DE SIENA</t>
  </si>
  <si>
    <t>AMILCAR CUBIERTAS Y PIZARRAS S.A.</t>
  </si>
  <si>
    <t>PROYECTO SIMPLIFICADO REPARACIÓN CUBIERTA TEMPLETE EN BARRIO SAN PEDRO REGALADO (PIRAMIDE)</t>
  </si>
  <si>
    <t>PONFERRADA</t>
  </si>
  <si>
    <t>ALFONSO CORRAL  BERMEJO</t>
  </si>
  <si>
    <t>ACTUACIÓN DE LA HUERTA SIN PUERTA EN CC PARQUESOL (07/03/23) CELEBRACIÓN DÍA INTERNACIONAL DE LA MUJER</t>
  </si>
  <si>
    <t>ARQUITECTURA E INGENIERIA IMAE, S.L.</t>
  </si>
  <si>
    <t>DIRECCIÓN DE OBRA EN LA OBRA: RECUPERACIÓN PATIO DELANTERO CASA CUNA</t>
  </si>
  <si>
    <t>DIRECCIÓN DE OBRA EN LA OBRA: PAVIMENTACIÓN PATIO DE LA OVERUELA</t>
  </si>
  <si>
    <t>DISEÑO Y MAQUETACIÓN DE LA MEMORIA 2022 DEL ÁREA DE SERVICIOS SOCIALES Y MEDIACIÓN COMUNITARIA</t>
  </si>
  <si>
    <t>REPARACIONES DEL ASCENSOR CPM RONDILLA- INICIATIVAS SOCIALES- 2023</t>
  </si>
  <si>
    <t>ALVAROMAN REGALOS PUBLICITARIOS, S.L.</t>
  </si>
  <si>
    <t>CTTO SUMINISTRO BOLÍGRAFOS PARA PUBLICITAR Y DIFUNDIR LA INAUGURACIÓN DE LA NUEVA BIBLIOTECA PARQUESOL//1 MES//2023</t>
  </si>
  <si>
    <t>CONCIERTO MUSICA JOAQUIN POSAC HORA DEL PLANETA DIA 25 DE MARZO</t>
  </si>
  <si>
    <t>ADQUISICIÓN DE MOBILIARIO CON DESTINO AL DEPARTAMENTO DE GESTIÓN DE RECURSOS HUMANOS (4 SILLAS TRABAJO).</t>
  </si>
  <si>
    <t>COMPRA DE 6 VALLAS DE OBRA, SUS SOPORTES DE DADOS DE HORMIGÓN, Y PUNTALES DE 5M PARA APEOS</t>
  </si>
  <si>
    <t>SUMINISTRO  DE ESLINGAS Y PINZA PORTAPALET- 20 PUNTALES DE 5M LONGITUD -VIBRADOR ELECTRICO</t>
  </si>
  <si>
    <t>Direccion de Obra - Obras de acondicionamiento del mercado de Rondilla de Santa Teresa</t>
  </si>
  <si>
    <t>2023 06 3231 622</t>
  </si>
  <si>
    <t>SE-EIJI 21/2021. PS 1. ASISTENCIA TÉCNICA EN CONTROL DE CALIDAD CONSTRUCCIÓN NUEVA E.I.M. SEPT A DIC DE 2021.</t>
  </si>
  <si>
    <t>ASOC ESTARIVEL, DESARROLLO SOCIAL Y ACTIVIDADES EDUCATIVAS</t>
  </si>
  <si>
    <t>CONCIERTO MUSICA REGGAELIZ DE PALO HORA DEL PLANETA DIA 25 DE MARZO</t>
  </si>
  <si>
    <t>2023 05 4331 622</t>
  </si>
  <si>
    <t>A.M. Control de calidad de las obras de adecuación de la Nave ubicada en la calle Valle de Arán nº 1 para Hub de Innovac</t>
  </si>
  <si>
    <t>COLABORACIÓN DE PART. CIUD. Y DEPORTES EN EL XVII SALÓN DEL CÓMIC Y MANGA DE CYL. 11 Y 12 DE MARZO DE 2023 FERIA DE VA</t>
  </si>
  <si>
    <t>CALLE UNDERGROUND SL</t>
  </si>
  <si>
    <t>ESPECTACULOS SIN DATOS NO HAY PARAISO Y SANTA SALUT.SEMANA TOUR DEL TALENTO EN VALLADOLID DEL 13 AL 18 DE MARZO DE 2023.</t>
  </si>
  <si>
    <t>ADQUISICIÓN DE MATERIAL DIVULGATIVO DE MERCHANDISING  PARA LA CAMPAÑA DE EDUCACIÓN VIAL.</t>
  </si>
  <si>
    <t>mant. inst.proteccion contra incendios C.FORM.EMPLO JAC.BENAV.AÑO 22, 23 Y 24- BARRADO</t>
  </si>
  <si>
    <t>SE-EIJI 21/2021. PS 1. ASISTENCIA TÉCNICA EN CONTROL DE CALIDAD CONSTRUCCIÓN NUEVA E.I.M. ENE A AGOS DE 2022.</t>
  </si>
  <si>
    <t>CONTROL CALIDAD OBRAS INSTALACIÓN DE ELEVADORES EN LA LADERA NORTE DE PARQUESOL. (LOTE 2) EXP: 42/2021 SEMEU</t>
  </si>
  <si>
    <t>CONTROL CALIDAD_ lote 2 CDC obras Mfto tejados Sta Catalina</t>
  </si>
  <si>
    <t>CONTROL CALIDAD OBRA REHABILITACIÓN ANTIGUO FRONTÓN LAS FLORES (CONTRATO BASADO ACUERDO MARCO CALIDAD EXP:SEMEU 09/2020)</t>
  </si>
  <si>
    <t>RETEJADO CLAUSTRO CENTRAL SAN BENITO_CALIDAD</t>
  </si>
  <si>
    <t>ASISTENCIA TÉCNICA EN CONTROL DE CALIDAD OBRAS ADAPTACIÓN DISTRITO 4º.</t>
  </si>
  <si>
    <t>ASISTENCIA TÉCNICA CONTRATO OBRAS DE ADAPTACIÓN EDIFICIO DE JEFATURA DE LA POLICÍA MUNICIPAL II FASE.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</si>
  <si>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</si>
  <si>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</si>
  <si>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CONTROL DE CALIDAD (LOTE 2 ASISTENCIA TÉCNICA) EN LA OBRA RECUPERACIÓN PATIO DELANTERO CASA CUNA</t>
  </si>
  <si>
    <t>CONTROL DE CALIDAD (LOTE 2 ASISTENCIA TÉCNICA) EN LA OBRA DE REFORMA DE ASEOS DEL CC ZONA SUR</t>
  </si>
  <si>
    <t>CONTROL DE CALIDAD- OBRA REPARACION CUBIERTA SUROESTE MONASTERIO SAN BENITO</t>
  </si>
  <si>
    <t>Mejora de la eficiencia energética, hidráulica y lumínica de la fuente Azul. Contrato Basado P.S. 36. Control Calidad.</t>
  </si>
  <si>
    <t>A.M. ADECUACIÓN PLAZA DEL PARQUE DE LA CAMPIÑA DEL CARMEN. LOTE 2 CALIDAD.</t>
  </si>
  <si>
    <t>ADJ.C.CALIDAD LOTE 2 (ASIST.TECN.)REURBANIZ.PLAZA.DE LA COMUNICACIÓN (ANTIGUO AP25 ARIZA)CALLE ADOLFO SUAREZ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</si>
  <si>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</si>
  <si>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</si>
  <si>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</si>
  <si>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</si>
  <si>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</si>
  <si>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en la ejecución de las obras de reparac de la cubierta del Templete Piramidal del Barrio de San Pedro</t>
  </si>
  <si>
    <t>SE 46-2022 SUMINISTRO Y OBRA RENOVACION LUMINARIAS EN EL CEIP CRISTOBAL COLON (LOTE 2) PLZ EJ: 2 M. CONTROL DE CALIDAD</t>
  </si>
  <si>
    <t>2023 06 3261 632</t>
  </si>
  <si>
    <t>SE 46/22 SUMINISTRO Y OBRA RENOVACIÓN LUMINARIAS ANTIGUO COLEGIO MARIA DE MOLINA (L 1) PZ EJEC: 2 M. CONTROL DE CALIDAD</t>
  </si>
  <si>
    <t>RECUPERACIÓN PATIO DELANTERO CASA CUNA</t>
  </si>
  <si>
    <t>DANIEL ALONSO HIDALGO</t>
  </si>
  <si>
    <t>ILUMINACION TORRE DEL ESPACIO JOVEN ZONA SUR HORA DEL PLANETA DIA 25 DE MARZO</t>
  </si>
  <si>
    <t>FORMACIÓN PARA MANEJO Y SEGURIDAD DEL CAMIÓN ALQUILADO 8446LGW RECOL. COMPACT. CARGA SUPERIOR. SERVICIO DE LIMPIEZA.</t>
  </si>
  <si>
    <t>TAPICERIAS HERGUEDAS, C.B.</t>
  </si>
  <si>
    <t>TAPIZAR CON PVC CUATRO MESAS DEL DESPACHO DEL SECRETARIO GENERAL UBICADO EN CASA CONSISTORIAL</t>
  </si>
  <si>
    <t>MANTENIMIENTO Y ACT.  SEM. PRECEPT. DE SEGURIDAD EN SISTEMA SCANER  INSP. PAQUETERIA EDIFICIOS AYTO VALLADOLID.</t>
  </si>
  <si>
    <t>TECHFRIENDLY SL</t>
  </si>
  <si>
    <t>CONTRATO AM ASISTENCIA EN LA ELABORACION Y PRESENTACION DE PROYECTOS E INICIATIVAS. MECANISMOS DE FINANCIACION EUROPEOS</t>
  </si>
  <si>
    <t>BARACALDO</t>
  </si>
  <si>
    <t>Mantenimiento calefacción, climatización y  ACS centros del COMEDOR SOCIAL (PROY.F.A.). Del 1 enero a 31 diciembre 2023</t>
  </si>
  <si>
    <t>SUMINISTRO DE PIEZAS PARA LA CALEFACCION DEL CPM ZONA ESTE Y RIO ESGUEVA- INICITIVA SOCIALES- DURA 1 DIA</t>
  </si>
  <si>
    <t>TECNICAS DE CONTROL, PREVENCION Y GESTION AMBIENTAL, S.L (GEPRECON, S.L.)</t>
  </si>
  <si>
    <t>ADJUDICACION CONTRATO Sº DE LAVADO E HIGIENIZCAIÓN CONTENEDORES DEL Sº LIMPIEZA Y CONTROL EXTERNO CALIDAD AÑOS 2023 2024</t>
  </si>
  <si>
    <t>CONTRATO DE REVISION Y MANTENIMIENTO DE QUEMADORES - HORNO CREMATORIO CENTRO MUNICIPAL DE PROTECCION ANIMAL AÑO 2023</t>
  </si>
  <si>
    <t>MANTENIMIENTO 2023/Sistema de gestión de espera QSYSTEM instalado en Pz Santa Ana, 6,Bj</t>
  </si>
  <si>
    <t>TRAMPAS PARA HIDROCARBUROS DEL LABORATORIO DE CONTAMINACION</t>
  </si>
  <si>
    <t>SAN CUGAT DEL VALLES</t>
  </si>
  <si>
    <t>2023 11 1321 22200</t>
  </si>
  <si>
    <t>TELEFÓNICA MÓVILES ESPAÑA, S.A.</t>
  </si>
  <si>
    <t>COBERTURA MÓVIL EN PUENTE DUERO DURANTE CINCO MESES ( DE MARZO A JULIO DE 2023).</t>
  </si>
  <si>
    <t>SALIDA GRÚA PARA REMOLCAR LA RETRO VA37960VE (DEL CMEI)</t>
  </si>
  <si>
    <t>ADJUDICA RENOVACIÓN AÑO 2023 ACCESO PERIÓDICO DIGITAL ELCONFIDENCIAL.COM</t>
  </si>
  <si>
    <t>CONTRATO SERVICIOS TRABAJO INFORMES CARTOGRAFÍA Y TOPOGRAFÍA PARA EL ÁREA</t>
  </si>
  <si>
    <t>TRADESEGUR, S.A.</t>
  </si>
  <si>
    <t>SUMINISTRO  DE 75 TEST DE DROGAS CON LOS CORRESPONDIENTES TUBOS DE ENSAYO.</t>
  </si>
  <si>
    <t>TRAMA COMUNICACION Y DISEÑO S.L.</t>
  </si>
  <si>
    <t>DISEÑO Y MAQUETACION DIPTICO ZONA ZAS</t>
  </si>
  <si>
    <t>SE-EIJI 21/2021. PS 1. ENSAYOS CONTROL DE CALIDAD CONSTRUCCION NUEVA E.I.M. SEPTIEMBRE A DICIEMBRE DE 2021.</t>
  </si>
  <si>
    <t>CONTROL DE CALIDAD LOTE 1: ENSAYOS// OBRA REHABILITACION ANTIGUO FRONTON DE LAS FLORES PARA CENTRO DOTACIONAL</t>
  </si>
  <si>
    <t>mant. inst.proteccion contra incendios I de los CPM transferidos  y sin transferir para 2023</t>
  </si>
  <si>
    <t>CONTRATO CONTROL DE CALIDAD OBRAS REMODELACIÓN GALERIAS MUNICIPALES DE ALIMENTACIÓN RONDILLA STA.. TERESA (LOTE 1)</t>
  </si>
  <si>
    <t>ACUERDO MARCO. CONTROL DE CALIDAD OBRAS ADAPTACIÓN EDIFICIO DE JEFATURA POLICÍA  (AVDA. BURGOS) II FASE.</t>
  </si>
  <si>
    <t>ADJ.C. CALIDAD LOTE 1 (ENSAYOS MAT.)EXPTE. 50/2021 ""CTRA. OBRAS DE CONSOLIDACIÓN DE LAS CELDAS DEL C. DE STA. CATALINA"".</t>
  </si>
  <si>
    <t>CONTROL DE CALIDAD-ENSAYOS, ACTUACIONES EXPTE. V6/2020-LOTE 2.</t>
  </si>
  <si>
    <t>ADQUISICIÓN REPUESTOS PARA REPARACIONES CAJAS DE CAMBIO AUTOMÁTICAS MARCA ALISON DE VEHÍCULOS DEL SERVICIO DE LIMPIEZA.</t>
  </si>
  <si>
    <t>CONTROL DE CALIDAD-ENSAYOS, ACTUACIONES EXPTE. V6/2020-LOTE 1.</t>
  </si>
  <si>
    <t>CONCURSO CONTRATO SUMINISTRO VESTUARIO PERSONAL SERVICIO LIMPIEZA EJERCICIOS 2023, LOTES 4 Y 5</t>
  </si>
  <si>
    <t>CONTROL DE CALIDAD (LOTE 1 ENSAYOS) EN LA OBRA DE PAVIMENTACIÓN PATIO DE LA OVERUELA</t>
  </si>
  <si>
    <t>TRANSPORTES ALJAMI, S.L.</t>
  </si>
  <si>
    <t>TRANSPORTE DE PLANTAS DESDE SAN BENITO AL CVA PARQUESOL EN LA CALLE ENRIQUE CUBERO1, FEBRERO2023</t>
  </si>
  <si>
    <t>CONTROL DE CALIDAD (LOTE 1 ENSAYOS) EN LA OBRA DE RECUPERACIÓN PATIO DELANTERO CASA CUNA</t>
  </si>
  <si>
    <t>CONTROL DE CALIDAD (LOTE 1 ENSAYOS) EN LA OBRA DE REFORMA DE ASEOS DEL CC ZONA SUR</t>
  </si>
  <si>
    <t>ADJ.C.CALIDAD.LOTE 1(ENSAYOS MAT)EXPTE.46/21 REURBANIZACIÓN P. DE LA COMUNICACIÓN (ANTIGUA AP25-1 ARIZA)  ADOLFO SUAREZ.</t>
  </si>
  <si>
    <t>2023 06 2314 632</t>
  </si>
  <si>
    <t>ENSAYOS CTTO BASADO EN EL ACUERDO MARCO DEL SERVICIO DE CONTROL DE CALIDAD DE LAS OBRAS MUNICIP. / REFORMA ALBERGUE JUVE</t>
  </si>
  <si>
    <t>TRANSPORTES Y SERVICIOS A LA CONSTRUC.SL</t>
  </si>
  <si>
    <t>Remate para plantaciones de obras varias realizadas por el Servicio de Espacio Público en Infraestructuras. Ejerc. 2023.</t>
  </si>
  <si>
    <t>SUMINISTRO MATERIAL AMPLIACIÓN ILUMINACION EXISTENTE DESPACHO ARCHIVO MUNICIPAL</t>
  </si>
  <si>
    <t>ACUERDO MARCO(A.J.G. 19.05.2020) C.CALIDAD LOTE 1 (ENSAYOS) OBRAS PASOS INFERIORES LABRADORES Y PANADEROS CON AVDA.SEGOV</t>
  </si>
  <si>
    <t>Ensayos Control Calidad, LOTE 1 obra Traslado Instalaciones del SEPI,  Expte 30/2021  SEMEU Lote 1 EDIFICACIÓN.</t>
  </si>
  <si>
    <t>ADJ.C.CALIDA.LOTE 1(ENSAYO MAT).EXPT.6/22 O. FAS I REURB. CALLES DAN. DEL OLMO Y PRIMER TRAMO N. DE CASTILLA (POL.ARG.)</t>
  </si>
  <si>
    <t>CONTRATO DE SERVICIOS DE MENSAJERÍA DE TRASLADO DE LA DOCUMENTACIÓN NECESARIA A LA EMBAJADA DE LA INDIA EN MADRID</t>
  </si>
  <si>
    <t>2023 07 1721 223</t>
  </si>
  <si>
    <t>TRANSPORTE DE MATERIAL DE LA RED DE CONTAMINACION</t>
  </si>
  <si>
    <t>GASTOS DE ENVIO APARATOS PARA VERIFICACIÓN Y ENVÍO MUESTRAS.</t>
  </si>
  <si>
    <t>ACTUACIÓN TEATRAL EN CC CASA CUNA EL DÍA 11/03/2023. MFS</t>
  </si>
  <si>
    <t>LOTE 6: CONTROL DE PLAGAS, DESINSECTACIÓN EDIFICIOS DEPENDIENTES SERVICIO PARTICIPACIÓN CIUDADANA</t>
  </si>
  <si>
    <t>2023 04 9321 641</t>
  </si>
  <si>
    <t>Prórroga contrato mantenimiento  aplicaciones informáticas GTWIN para Gestión de Ingresos-Gestión Recaudatoria-2023</t>
  </si>
  <si>
    <t>TÜV SÜD ATISAE, S.A.U.</t>
  </si>
  <si>
    <t>SE 58-20 P.S.4 PRORROGA CTTO MANTENIMIENTO ASCENSORES. OCA COLEGIOS PUBLICOS. AÑOS 2023 Y 2024.</t>
  </si>
  <si>
    <t>REAJUSTE ANUALIDADES INSPECCIÓN ASCENSORES LOTE IV.</t>
  </si>
  <si>
    <t>SE 58-20 P.S.4 PRORROGA CTTO MANTENIMIENTO ASCENSORES. LOTE 4 OCAS ESCUELAS INFANTILES MUNICIPALES. AÑO 2023</t>
  </si>
  <si>
    <t>SE 58-20 P.S.4 PRORROGA CTTO MANTENIMIENTO ASCENSORES LOTE 4: OCA ESPACIO JOVEN NORTE Y SUR. AÑOS 2023 Y 2024</t>
  </si>
  <si>
    <t>INSPECCIÓN TÉCNICA DE ASCENSOR EN DEPENDENCIAS DE JEFATURA DE POLICÍA MUNICIPAL.</t>
  </si>
  <si>
    <t>mant. inst.proteccion contra incendios INICIATIVAS SOC.AÑO 22 (L4:3781-L5 1.270)-AÑO 23Y24 L4</t>
  </si>
  <si>
    <t>UNIFORMES COSTA DEL SOL SL</t>
  </si>
  <si>
    <t>CONCURSO CONTRATO SUMINISTRO VESTUARIO PERSONAL S. LIMPIEZA VIARIA EJERCICIO 2023, LORES 2 Y 3</t>
  </si>
  <si>
    <t>CONCURSO CONTRATO SUMINISTRO VESTUARIO PERSONAL SERVICIO LIMPIEZA EJERCICIO 2023, LOTES 2 Y 3</t>
  </si>
  <si>
    <t>PRÓRROGA CONTRATO SUMINISTRO DE VESTUARIO LOTE 2 (DE 1 ENERO A 14 JUNIO 2023)</t>
  </si>
  <si>
    <t>PRIMERA PRORROGA CONTRATO SUMINISTRO CALZADO PERSONAL ADSCRITO REGIMEN INTERIOR (16 DIC- 15 JUNIO 2023)</t>
  </si>
  <si>
    <t>SUMINISTRO DE CALZADO PARA VIGILANTES DE MERCADOS MUNICIPALES AÑO 2023</t>
  </si>
  <si>
    <t>GAFAS DE PROTECCIÓN PARA CUMPLIR LA INSTRUCCIÓN TÉCNICA DE OPERACIONES DE DESCARGA EN EL CTR. SERVICIO DE LIMPIEZA.</t>
  </si>
  <si>
    <t>CALIBRACION DEL TERMOHIGROMETRO Y DEL TERMOMETRO DIGITAL DEL LABORATORIO</t>
  </si>
  <si>
    <t>ANALISIS DE MUESTRAS DEL LABORATORIO DE CONTAMINACION</t>
  </si>
  <si>
    <t>GESTION-EXPLOTACION PUNTO LIMPIO M. DELICIAS , PAGO DEL 20% AL INICIO PRESTACION SERVICIO Y EL 80% A LA FINALIZACION</t>
  </si>
  <si>
    <t>UTE CMCYL - INTERCITY</t>
  </si>
  <si>
    <t>PRODUCCIÓN TRASERA INTEGRAL BUSES VALLADOLID PUBLICIDAD PPTOS. PARTICIPATIVOS 2023 (VOTACIONES)</t>
  </si>
  <si>
    <t>PRIMERA PRORROGA CONTRATO CENTRALIZADO LIMPIEZA DEPENDENCIAS MUNICIPALES. LOTE 15, CUPULA DEL MILENIO. AÑO 2023</t>
  </si>
  <si>
    <t>2023 04 9204 22700</t>
  </si>
  <si>
    <t>SERVICIO DE LIMPIEZA DEL CDIT, PRIMERA PRÓRROGA, (43/2022)</t>
  </si>
  <si>
    <t>mant. inst.proteccion contra incendios INICIATIVAS SOC.AÑO 22 (L4:3781-L5 1.270)-AÑO 23Y24 L4- barrado</t>
  </si>
  <si>
    <t>SEGURIDAD Y SALUD MANTENIMIENTO ALUMBRADO. EXP: 8/2021 SEMEU</t>
  </si>
  <si>
    <t>UTE SIFU BROCOLI LAVA</t>
  </si>
  <si>
    <t>JEFATURA DE SALA Y ACOMODACIÓN REPRESENTACIÓN TEATRAL ""LOBA"" 25 Y 26 DE ENERO</t>
  </si>
  <si>
    <t>VALENTI SONIDO, S.L.</t>
  </si>
  <si>
    <t>REVISION Y CONFIGURACION DE LIMITADOR DE SONIDO DE LA CUPULA DEL MILENIO</t>
  </si>
  <si>
    <t>VALLAOCIO, S.L.</t>
  </si>
  <si>
    <t>CONTRATO BANCO DEL TIEMPO (01/03/2020 A 28/02/2023)  2020: 29487,50 ¿; 2021: 35835 ¿:; 2022: 35385¿; 2023: 5897,50 ¿</t>
  </si>
  <si>
    <t>Prorroga contrato de servicios del programa Banco del Tiempo de 1 marzo 2023 a 28 feb 2024</t>
  </si>
  <si>
    <t>RESMAS DE PAPEL PARA FOLLETOS SOLICITUD DE SALA PARA CENTROS CIVICOS</t>
  </si>
  <si>
    <t>SUMINISTRO DE PAPEL PARA LA ELABORACIÓN DE IMPRESOS PARA POLICÍA MUNICIPAL POR PARTE DE LA IMPRENTA MUNICIPAL.</t>
  </si>
  <si>
    <t>ADJUDICA SUMINISTRO DE PAPEL Y SOBRES DIFERENTES FORMATOS Y TIPOS PARA TRABAJOS IMPRENTA EN 2023</t>
  </si>
  <si>
    <t>SUMINISTRO DE PAPEL PARA EL SERVICIO DE EDUCACIÓN ASÍ COMO PARA LA IMPRENTA MUNICIPAL PARA CARTELERIA. AÑO 2023</t>
  </si>
  <si>
    <t>IMPRESION  DE PETICIONES A  LA IMPRENTA MUNICIPAL EL SERVICIO DE INICIATIVAS SOCIALES DURANTE 2023</t>
  </si>
  <si>
    <t>MANTENIMIENTO PCI // ESCUELA DE FORMACIÓN PARA EMPLEO JACIENTO BENAVENTE // LOTE 4 // PERIODO DEL 01-01 AL 31-12-22</t>
  </si>
  <si>
    <t>MANTENIMIENTO PCI //CPM'S // (PERIODO DEL 01-01 AL 31-12-22) -INICIATIVAS SOCIALES</t>
  </si>
  <si>
    <t>MANTENIMIENTO PCI //RED DE CONTROL DE LA CONTAMINACIÓN Y CM ACÚSTICA // LOTE 4 // PERIODO DEL 01-01 AL 31-12-22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</si>
  <si>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</si>
  <si>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</si>
  <si>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VALTECSA</t>
  </si>
  <si>
    <t>ESTUDIO VALORACIÓN DEL SUELO PARCELA EN LA QUE ESTÁ UBICADO EN ESTADIO JOSÉ ZORRILLA.</t>
  </si>
  <si>
    <t>SE-EIJI 27/2021. MANTENIMIENTO INSTALACIONES DE PROTECCIÓN CONTRA INCENDIOS. EDIFICIOS MUNICIPALES. LOTE 2. ESCUELAS INF</t>
  </si>
  <si>
    <t>VDS SUMINISTROS GRÁFICOS Y DIGITALES, S.L.</t>
  </si>
  <si>
    <t>ADJUDICA SUMINISTRO PLANCHAS OFFSET DOS TIPOS PARA TRABAJOS IMPRENTA 2023</t>
  </si>
  <si>
    <t>VERSYS EDICIONES TECNICAS, S.L.</t>
  </si>
  <si>
    <t>SUSCRIPCIÓN ANUAL A REVISTA ""METALES Y METALURGIA"", AÑO 2023.</t>
  </si>
  <si>
    <t>VIAJES EL CORTE INGLES</t>
  </si>
  <si>
    <t>SERVICIO AGENCIAS DE VIAJE PARA DESPLAZAMIENTO, AJOJAMIENTO, RESTAURACION, AUTORES Y PARTICIP FERIA LIBRO VA 2023 LOTE 6</t>
  </si>
  <si>
    <t>VIAJES POR DIFERENTES LOCALIDADES DE LOS ALUMNOS DE PASATIAS- INICIATIVAS SOCIALES- DURACION FEBRERO 2023</t>
  </si>
  <si>
    <t>VIBRA EJERCICIO Y SALUD S.L.U.</t>
  </si>
  <si>
    <t>PASEOS SALUDABLES PARA PERSONAS DE 60 AÑOS EN ADELANTE</t>
  </si>
  <si>
    <t>SE-EIJI 27/2021. MANTENIMIENTO INSTALACIONES DE PROTECCIÓN CONTRA INCENDIOS. EDIFICIOS MUNICIPALES. LOTE 2.ESP JOVEN ZS</t>
  </si>
  <si>
    <t>UNICAJA BANCO S.A.U.</t>
  </si>
  <si>
    <t>COSTES 2023 DEL AVAL DEL AYUNTAMIENTO DE VALLADOLID ANTE LA TESORERIA GENERAL DE LA SEGURIDAD SOCIAL</t>
  </si>
  <si>
    <t>POLIZA DE SEGUROS - ACC COLECTIVOS L1-G-470000613 ///  RENOV 2022-2023</t>
  </si>
  <si>
    <t>KISS PUBLICIDAD VALLADOLID 2005, SOCIEDAD LIMITADA UNIPERSONAL</t>
  </si>
  <si>
    <t>CONTRATO BASADO PUBLICIDAD RADIO. SEMANA TOUR DEL TALENTO EN VALLADOLID DEL 13 AL 18 DE MARZO DE 2023.</t>
  </si>
  <si>
    <t>LABORATORIO DE CALIDAD DE MATERIALES, S.L.L.</t>
  </si>
  <si>
    <t>CONTROL DE CALIDAD OBRAS DE INSTALACIÓN DE ELEVADORES MECÁNICOS EN LA LADERA NORTE DE PARQUESOL.  (LOTE 1) EXP. 42/2021</t>
  </si>
  <si>
    <t>CASTELLANOS DE MORISCOS</t>
  </si>
  <si>
    <t>CONTROL CALILDAD OBRAS INSTALACIÓN DE ELEVADORES EN LA LADERA NORTE DE PARQUESOL. (LOTE 1)  EXP: 42/2021</t>
  </si>
  <si>
    <t>CONTRATO BASADO PUBLICIDAD RADIO.SEMANA TOUR DEL TALENTO EN VALLADOLID DEL 13 AL 18 DE MARZO DE 2023.</t>
  </si>
  <si>
    <t>CONTRATO BASADO PUBLICIDA RADIO. SEMANA TOUR DEL TALENTO EN VALLADOLID DEL 13 AL 18 DE MARZO DE 2023.</t>
  </si>
  <si>
    <t>2023 09 3341 619</t>
  </si>
  <si>
    <t>VICENTE MUÑOZ  PASCUAL</t>
  </si>
  <si>
    <t>REDACCIÓN DEL PROYECTO Y  DE EJECUCIÓN DE LA OBRA DE ADECUACIÓN TRAMO DE LA ESGUEVA PARA USO TURÍSTICO.</t>
  </si>
  <si>
    <t>VICTOR ANTON TOBAL</t>
  </si>
  <si>
    <t>ACOMPAÑAMIENTO GALA ENTREGA  PREMIOS FUNDACION TALENTO. SEMANA TOUR DEL TALENTO EN VALLADOLID</t>
  </si>
  <si>
    <t>VICTOR HUGO MARTIN CABALLERO</t>
  </si>
  <si>
    <t>REALIZACION DE REPORTAJE FOTOGRAFICO Y VIDEOS DE PRESENTACION PARA RESIDENTES DE GALERIAS VA</t>
  </si>
  <si>
    <t>MATERIAL FUNGIBLE PARA EL LABORATORIO</t>
  </si>
  <si>
    <t>SUMINISTRO BOMBAS ACHIQUE AGUA DESDE TERCER SÓTANO A CALLE EN ARCHIVO MUNICIPAL</t>
  </si>
  <si>
    <t>REAJ.  ANUALID. EXPTE SPSC-SE 034/2022. CONTRATO VIGILANCIA, CONTROL Y PROTEC. DIVERSAS DEPEND.  AYTO.VALLADOLID  2023.</t>
  </si>
  <si>
    <t>VIRGINIA RODRÍGUEZ MÁRQUEZ</t>
  </si>
  <si>
    <t>SUMINISTRO MATERIAL DIVERSO, TEJIDO POLIURETANO, PLANCHA ESPUMA,  PARA EL CENTRO MARCELINA PONCELA</t>
  </si>
  <si>
    <t>SUMINISTRO PLANCHA POLICARBONATO PARA PROTECCION PEINES DONDE VA COLGADA LA OBRA DE ARTE DEL CENTRO MARCELINA PONCELA</t>
  </si>
  <si>
    <t>REVISTA VIVE DISFRUTANDO , 6 EDICIONES  CON INFORMACION DE INTERES PARA LOS MAYORES DE VALLADOLID- INICITIVA SOCIALES</t>
  </si>
  <si>
    <t>MANTENIMIENTO RELOJ TORREON CASA CONSISTORIAL AÑO 2023</t>
  </si>
  <si>
    <t>SUMINISTRO DE REPUESTOS ELECTRÓNICOS REPARACIÓN VEHÍCULOS RECOLECTORES DEL SERVICIO DE LIMPIEZA.</t>
  </si>
  <si>
    <t>PAISAJE TRANSVERSAL, SLL</t>
  </si>
  <si>
    <t>PROPUESTA DISEÑO DE MEJORA DE ESPACIO URBANO COMERCIAL EN  ZONAS MARNTERIA Y TORRECILLA . ""VALLADOLID CIUDAD PROXIMA""</t>
  </si>
  <si>
    <t>CONTRATO BASADO. ENTREVISTA MAGAZINE MAS DE UNO. SEMANA TOUR DEL TALENTO EN VALLADOLID DEL 13 AL 18 DE MARZO DE 2023.</t>
  </si>
  <si>
    <t>2023 02 9332 624</t>
  </si>
  <si>
    <t>ADJUDICACIÓN  FURGON CENTRO DE MANTENIMIENTO (CARPINTERIA) EXPTE.12/22</t>
  </si>
  <si>
    <t>EXPTE.PAT-135/2020 PS2 PRIERA PRÓRROGA DEL S.DE RESPONSABILIDAD CIVIL DEL PERSONAL TÉC. (LOTE 3)DEL 1.05.2023 A 30.04.24</t>
  </si>
  <si>
    <t>2023 10 2412 224</t>
  </si>
  <si>
    <t>SEGURO PARA EL CURSO DE CURSO DE ATENCIÓN SOCIOSANITARIA -REALIZADO EN EL JACINTO BENAVENTE</t>
  </si>
  <si>
    <t>SEGURO CURSOS TEÓRIC PRÁCTSANIDAD, COCINA, VOLUNT., PELUQUERÍA,  RESTAURANTES Y LIMPIEZA REALIZADOS EN ELJACINTO BENAVEN</t>
  </si>
  <si>
    <t>SUMINISTRO DE MATERIAL, PARA EL CURSO DE PARQUES Y JARDINES DEL CENTRO DE FORMACION PARA ELEMPLEO EN 2023</t>
  </si>
  <si>
    <t>MAGNETO  SE IK60N C 2P 20A  A9K17220</t>
  </si>
  <si>
    <t>MT CANAL LEGRAND 30008    20X12,5 / ANGUL PL LEGRAND 30223</t>
  </si>
  <si>
    <t>ACUERDO MARCO. FLUORESCENTE PH TL5 HE 35W/840     63952355 / TASA ECORAEE   (R.DECRETO 208/2005)</t>
  </si>
  <si>
    <t>ACUERDO MARCO. REPARACIÓN VEHÍCULO 8673LZF 23 97 5548787-ALBARAN23 247 23/02/2023 ESPEJO EXT.IZQ.</t>
  </si>
  <si>
    <t>TA23 317 REPARACION 9992-FVL KMS.156600  D-M TUBERIAS, SOLTAR TACO MOTOR Y COMPRESOR PARA ACCEDER A CAMBIAR ALTERNADOR</t>
  </si>
  <si>
    <t>TA23 407 REPARACION VA-7568-AK KMS.116198 REVISAR PERDIDAS DE ACEITE POR LA JUNTA DEL CARTER Y POR LA TAPA DE BALANCINES</t>
  </si>
  <si>
    <t>SUMINISTRO DE SEM.FLORNOVA,SEM.HORTICOLA, SEM. HORTINOVA, BEGONIA, SUSTRATO 100LPARA EL CURSO DE PARQUES YJARDINES IV</t>
  </si>
  <si>
    <t>ACUERDO MARCO. SUMINISTRO DE MATERIAL PARA PERSONAL AUXILIAR DE GRUA DE LA POLICÍA MUNICIPAL.</t>
  </si>
  <si>
    <t>ENTREGAR EN:CENTRO MUNICIPAL DE PROTECCIÓN ANIMALC/ PADRE BERNARDO HOYOS. 6 / BOBINA RAFIA 600 1C 700GRS BLANCO / CAMISO</t>
  </si>
  <si>
    <t>Nº DE VALE 1393 / MANGO PICO MADERA 38X900 / TIJERA ROCUT 63 TC / PANTALLA AUTOGENA VERDE / VISOR DE REPUESTO FACY METAL</t>
  </si>
  <si>
    <t>ACUERDO MARCO. REPARACIÓN MOTOCICLETA DE POLICÍA MUNICIPAL.</t>
  </si>
  <si>
    <t>ACUERDO MARCO. REPARACIÓN MOTOCICLETA POLICÍA  9091JPW MÓDULO ABS / PORTE ENVIO Y DEVOLUCIÓN.</t>
  </si>
  <si>
    <t>ACUERDO MARCO. REPARACIÓN MOTOCICLETA DE POLICÍA.</t>
  </si>
  <si>
    <t>ID: 0033582-CP VICENTE ALEIXANDRE C/D.MORENO / BOMBILLO MCM EAEN: 10-35 B-43123 / BOMBILLO MCM EAEN: 10-35 B-43141 / ID:</t>
  </si>
  <si>
    <t>Renovación póliza colectivos (accidentes) seguro huertos urbanos. año 2023</t>
  </si>
  <si>
    <t>TUERCA SUJECIÓN SDS-CLICK: AMOLADORA//SERVICIO DE EXTINCION DE INCENDIOS</t>
  </si>
  <si>
    <t>DOGHER PORTAPUNTAS MAGNETICO ANILLO 200MM 443-200 / COPIA LLAVE NORMAL</t>
  </si>
  <si>
    <t>COMMENT|+++ CENTRO CIVICO JOSE LUIS MOSQUERA +++ / COMMENT|PEDIDO POR: Mª Ángeles / *TATAY ESCOBILLA WC STANDARD BLANCA</t>
  </si>
  <si>
    <t>CANDADO LINCE 200 40 BL COMBINACION</t>
  </si>
  <si>
    <t>1 PLETINA DE 80X20 S 275 JR ( CORTADA AL MEDIO ) / 1 PLETINA DE 40X15 S 275 JR ( CORTADA AL MEDIO )//EXTINCION INCENDIOS</t>
  </si>
  <si>
    <t>REF. PAVIMENTACION VIAS PUBLICAS / TUBO CUADRADO 60X60X2 DD11 / 7 PLACAS 150X150X10 / REF. PAVIMENTACION VIAS PUBLICAS</t>
  </si>
  <si>
    <t>ALBARAN: AV22/06648 F: 13/12/2022 / REPARACION MARTILLO GBH 11DE / TORNILLO BARRAQUERO DIN 571 8*80 / BATERIA DE LITIO L</t>
  </si>
  <si>
    <t>ROUNDUP ULTRA PLUS (20 L) / VALDOR FLEX (PISTOL FLEX) (500 Grs) / VALDOR FLEX (PISTOL FLEX) (500 Grs) / SIGFITO</t>
  </si>
  <si>
    <t>SUSTITUCION EN 2023 DE LAS UNIDADES HIGIENICAS AZULES EN C/ HOSTIEROS, S/N</t>
  </si>
  <si>
    <t>ALBARAN: AV23/00970 F: 22/02/2023 / BROCA SDS-PLUS MX4 6*100*165 / BARRITA ARREGLATODO BLANCA PATTEX / RASTRILLO 5 PUNTA</t>
  </si>
  <si>
    <t>CUBIERTA NUEVA (365/85R20 CONTINENTAL HCS MPT/ECO TASA/JUNTA TORICA MICHELIN 20""// MATR. 0095-DWZ//EXTINCION INCENDIOS</t>
  </si>
  <si>
    <t>ACUERDO MARCO. SUMINISTRO DE MATERIAL PARA TALLER DE REPARACIÓN DE VEHÍCULOS.</t>
  </si>
  <si>
    <t>MANT. SUMINISTRO DE  TIRAFONDO SPAX 4,5*20 L 150U.PARA EL CENTRO OCUPACIONAL- INICIATIVAS SOCIALES</t>
  </si>
  <si>
    <t>CIERRE DE PALANCA TLE.Z-15/52+R 420091 CINCADO / CIERRE DE PALANCA TLF.Z-24/138-150+R / REMACHE ALUMINIO 4.8X10</t>
  </si>
  <si>
    <t>2023 08 1532 204</t>
  </si>
  <si>
    <t>HORAS DE CAMION DUMPER RETIRANDO PODA Y ESCOMBROS EN CAMINO DE HORNILLOS</t>
  </si>
  <si>
    <t>2023 11 1621 641</t>
  </si>
  <si>
    <t>TICOMSA SISTEMAS S.L.</t>
  </si>
  <si>
    <t>CONTRATO SISTEMAS DE INFORMACIÓN Y GESTIÓN PARA EL SERVICIO DE LIMPIEZA</t>
  </si>
  <si>
    <t>2023 11 1621 640</t>
  </si>
  <si>
    <t>SERVICIOS DE CATERING Y SOPORTE EN LA PREPARACIÓN DE LA SALA Y MATERIAL. REUNION REVISION DEL PROYECTO URBAN GREEN UP</t>
  </si>
  <si>
    <t>CARLOS ARRIBAS PEREZ</t>
  </si>
  <si>
    <t>DISEÑO, MAQUETACIÓN INFORME SOBRE VIOLENCIA DE SUSTITUCIÓN / DURANTE 2023</t>
  </si>
  <si>
    <t>ADQUISICION MICROCHIPS, CERTIFICADOS, CARTILLAS Y DOCUMENTACION OFICIAL PARA LOS ANIMALES DEL C.M.P.A.</t>
  </si>
  <si>
    <t>WOENE STUDIO SOCIEDAD LIMITADA</t>
  </si>
  <si>
    <t>CREACIÓN IMAGEN ADAPTATIVA JORNADAS SOBRE DERECHOS HUMANOS, INMIGRACIÓN Y MINORÍAS. FEB A DIC  2023</t>
  </si>
  <si>
    <t>AM 2021/37 ADJUDICA PROMOCIÓN CONCIERTO MARCHAS PROCESIONES DE ESCUELA MÚSICA 'MARIANO DE LAS HERAS'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</si>
  <si>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</si>
  <si>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</si>
  <si>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DISEÑO Y MAQ. DIPTICOS Y ACTUALIZACION Y MAQ. PROGRAMACION - LEY IGUALDAD TRATO- JORNADAS CONTRA DISCRIMINACION 21 MARZO</t>
  </si>
  <si>
    <t>CREACIÓN CARTEL Y LEMA XX SEMANA INTERCULTURAL Y ADAPTACIONES A VARIOS FORMATOS. FOLLETOS CON LA IMAGEN PARA DIFUSIÓN.</t>
  </si>
  <si>
    <t>WOLTERS KLUWER ESPAÑA, S.A.</t>
  </si>
  <si>
    <t>SUSCRIPCIÓN ANUAL A VARIAS BASES DE DATOS Y REVISTAS DIGITALES (EL CONSULTOR Y LA LEY), AÑO 2023.</t>
  </si>
  <si>
    <t>COMPLEMENTO PARA SUSCRIPCIONES ANUALES BASES DE DATOS LA LEY, EL CONSULTOR Y PORTAL DE REVISTAS. AÑO 2023.</t>
  </si>
  <si>
    <t>X-TRAÑAS PRODUCCIONES S.L.</t>
  </si>
  <si>
    <t>ALQUILER, TRANSPORTE, MONTAJE Y DESMONTAJE ESCENARIO HORA DEL PLANETA DIA 25 DE MARZO</t>
  </si>
  <si>
    <t>ZANHE S.L.</t>
  </si>
  <si>
    <t>SUSTITUCIÓN PIEZAS Y REPARACIÓN MANGUERA, PISTOLAS, ETC. DE LAS HIDROLIMPIADORAS.</t>
  </si>
  <si>
    <t>PRÓRROGA CONTRATO MANTENIMIENTO ASCENSORES LOTE III.</t>
  </si>
  <si>
    <t>RENOVACIÓN PÓLIZA COLECTIVOS (ACCIDENTES) SEGURO HUERTOS URBANOS. AÑO 2023</t>
  </si>
  <si>
    <t>CTTO SERVICIOS DE ENVÍO Y REPARTO DE LIBROS A LAS BIBLIOTECAS MUNICIPALES//AÑO 2023</t>
  </si>
  <si>
    <t>CTTO SUMINISTRO SUSCRIPCIÓN VARIAS REVISTAS DE ZINET MEDIA GLOBAL S.L PARA BIBLIOTECAS PÚBLICAS//AÑO 2023</t>
  </si>
  <si>
    <t>ZTRAINING INNOVACIÓN CASTILLA Y LEÓN S.L.</t>
  </si>
  <si>
    <t>GESTIÓN TALLERES TECNOLÓGICOS CURSO 22/23, PERIODO DEL 1/1/23 AL 31/5/23</t>
  </si>
  <si>
    <t>2023 04 9202 641</t>
  </si>
  <si>
    <t>ZUCCHETTI SOFTWARE SPAIN, S.L.U.</t>
  </si>
  <si>
    <t>EXPEDIENTE DE APLICACION DE  GESTION INTEGRAL DE RECURSOS HUMANOS 2021/2024 - AÑOS 23/24.</t>
  </si>
  <si>
    <t>DERIO</t>
  </si>
  <si>
    <t>EXPEDIENTE DE APLICACION DE  GESTION INTEGRAL DE RECURSOS HUMANOS 2021/2024 - AÑOS 22/24.</t>
  </si>
  <si>
    <t>ZURICH INSURANCE PLC SUCURSAL EN ESPAÑA</t>
  </si>
  <si>
    <t>EXPTE.70/2021 PS1. PRÓRROGA SEGURO RESP. CIVIL DEL 01/02/2023 AL 31/07/2023. ACUERDO MARCO FEMP. AYTO VALLADOLID.</t>
  </si>
  <si>
    <t>ADJUDICA CONTRATO COLABORAR EN PROGRAMA RADIO NACIONAL POR CONGRESO DEPORTE INCLUSIVO - DIFUSION ACTIV. DEPORTE CIUDAD</t>
  </si>
  <si>
    <t>Segundo</t>
  </si>
  <si>
    <t>PRORROGA LOTE 1 SAD-DE ABRIL A AGOSTO- UTE SAD AYTO VALLADOLID</t>
  </si>
  <si>
    <t>2023 08 1651 22100</t>
  </si>
  <si>
    <t>Contrato de energía eléctrica para alumbrado público.</t>
  </si>
  <si>
    <t>LICUAS S.A.</t>
  </si>
  <si>
    <t>CONTRATACIÓN CONSERVACIÓN Y MEJORA INFRAESTRUCTURAS VERDES DE LAS ZONAS CENTRO Y NORTE. LOTE 2 (ZONA NORTE) V.34/2022.</t>
  </si>
  <si>
    <t>ACTUA SERVICIOS Y MEDIO AMBIENTE, S.L.</t>
  </si>
  <si>
    <t>CONTRATACIÓN CONSERVACIÓN Y MEJORA INFRAESTRUCTURAS VERDES DE LAS ZONAS CENTRO Y NORTE. LOTE 1 (ZONA CENTRO) V.34/2022.</t>
  </si>
  <si>
    <t>GECOCSA  GENERAL DE CONSTRUCCIONES CIVILES S.A.</t>
  </si>
  <si>
    <t>URBANIZACIÓN CAMINO VIEJO SIMANCAS (SOLO OBRA) -TRAMO 1 (EXPTE. 17/2022).</t>
  </si>
  <si>
    <t>CARBAJOSA DE LA SAGRADA</t>
  </si>
  <si>
    <t>Prórroga contrato mantenimiento aplicaciones informáticas GTWIN para GESTIÓN DE INGRESOS (13 mayo a 31 diciembre 2023)</t>
  </si>
  <si>
    <t>Adecuación instalación riego del PARQUE MEDIODIA en PARQUESOL, entorno del ascensor ladera este.-</t>
  </si>
  <si>
    <t>PUESTA EN MARCHA DE DOS PLATAFORMAS DE CONTENEDORES SOTERRADOS EN PLAZA SAN ANDRES. SERVICIO DE LIMPIEZA.</t>
  </si>
  <si>
    <t>PEDRO JAVIER VILLAR GARRIDO</t>
  </si>
  <si>
    <t>CTTO DE OBRAS PINTURA CEIP FEDERICO GARCÍA LORCA Y PLANTA 1º AULAS Y BAÑOS CEIP PONCE DE LEÓN. PLZ EJECUCIÓN: 30 DÍAS</t>
  </si>
  <si>
    <t>MODIFICACIÓN CONTRATO GESTIÓN ORA</t>
  </si>
  <si>
    <t>SEGURO FLOTA VEHÍCULOS - REGULARIZACIÓN PERÍODO: 05-02-2022 AL 05-08-2022</t>
  </si>
  <si>
    <t>PROYECTO DE DECORACIÓN, AMUEBLAMIENTO Y EQUIPAMIENTO DEL CENTRO DE PERSONAS MAYORES ""PARQUESOL"" VALLADOLID. FINALIZACIÓN</t>
  </si>
  <si>
    <t>2023 10 2312 625</t>
  </si>
  <si>
    <t>MUMECA S.A.</t>
  </si>
  <si>
    <t>Suministro equipamiento CPM Parquesol</t>
  </si>
  <si>
    <t>SUMINISTRO E IMPLANTACIÓN DEL SISTEMA DE GESTIÓN DE INGRESOS Y RECAUDACIÓN 2023-LOTE 1</t>
  </si>
  <si>
    <t>L1-ADJUDICACION-SIST.ACCESIBLE D GESTION ENVEJEC.ACTIVO EN CPMS-FONDOS RECUP.TRANSF.Y RESILIENCIA C22.I2.P5.-COTESA</t>
  </si>
  <si>
    <t>MODIFICADO DEL CONTRATO DE REMODELACION GALERIAS ALIMENTACION RONDILLA DE SANTA TERESA EXPT.SE_9_2021</t>
  </si>
  <si>
    <t>PRÓRROGA CONTRATO SERVICIO APOYO GESTIÓN ARCHIVO MUNICIPAL, EXPTE. AMVA 03/2023. DE 01/07/2023 A 31/12/2023.</t>
  </si>
  <si>
    <t>2023 10 2312 632</t>
  </si>
  <si>
    <t>REFORMA CARPINTERIA DE LOS TRES ACCESOS DEL CPM PUENTE COLGANTE</t>
  </si>
  <si>
    <t>E.SEGURIDAD Y SALUD PROY. REHABILITACIÓN ANTIGUA FÁBRICA AZUCARERA SANTA VICTORIA.</t>
  </si>
  <si>
    <t>ESTUDIOS PREVIOS DE SEGURIDAD Y SALUD PARA LA PRÓXIMA OBRA DE ASEOS PLANTA SÓTANO DEL CC JOSÉ LUIS MOSQUERA</t>
  </si>
  <si>
    <t>DISPOSITIVO FÍSICO CAPTURA HUELLA PARA FICHAJE EN EL AYUNTAMIENTO.</t>
  </si>
  <si>
    <t>ACLAD ATENCIÓN INTEGRAL A COLECTIVOS EN RIESGO</t>
  </si>
  <si>
    <t>prorroga  1/7 a 31/12-L 3 prog.reduccion  riesgos  colect.vulnerables-aclad</t>
  </si>
  <si>
    <t>PREVENCION CONSUMO DROGAS EL 23 DE JUNIO EN LA ZONA DE MORERAS, ROSALEDA, ETC....PLAN DE DROGAS</t>
  </si>
  <si>
    <t>ACTIVIDAD DE PREVENCION DE DROGAS  EN COLABORACIONCON EL CONSEJO DE LA JUVENTUD</t>
  </si>
  <si>
    <t>ACM TOOLS S.L.</t>
  </si>
  <si>
    <t>REVISIÓN ANUAL DE COLUMNAS DE ELEVACIÓN DE VEHÍCULOS FINKBEINER EHB. NÚMEROS DE SERIE: 40880 81 82 83. Sº DE LIMPIEZA</t>
  </si>
  <si>
    <t>TERRASSA</t>
  </si>
  <si>
    <t>ACTUACIONES PARA DESATRANQUE DESDE BAJANTE GENERAL EN VIVIENDA SOCIAL EN CALLE VILLANCICO 1º A.</t>
  </si>
  <si>
    <t>AGFOREST, S.L.</t>
  </si>
  <si>
    <t>Elaboración censo de edificaciones cubiertas de amianto en Valladolid. Plazo: 2 meses.</t>
  </si>
  <si>
    <t>AGUEDA SASTRE ZAMORA</t>
  </si>
  <si>
    <t>ACTUACIÓN DE ALICORNIO EL DÍA 14/06/23 DENTRO DEL PROGRAMA EN JUNIO LA ESGUEVA</t>
  </si>
  <si>
    <t>AIRCO2 FINTECH SL</t>
  </si>
  <si>
    <t>REALIZACION CALCULO DE HUELLA DE CO2 Y COMPENSACION DE 25 PYMES</t>
  </si>
  <si>
    <t>AKON FITNES S.L.</t>
  </si>
  <si>
    <t>REPOSICIÓN DE ELEMENTOS DEL GIMNASIO DE LA POLICÍA MUNICIPAL.</t>
  </si>
  <si>
    <t>GRIÑON</t>
  </si>
  <si>
    <t>SUMINISTRO MATERIAL PARA LOS BAÑOS Y COCINAS DE COLEGIOS PUBLICOS.</t>
  </si>
  <si>
    <t>SUMINISTRO DE MATERIAL PARA LOS BAÑOS Y LAS COCINAS DE LAS ESCUELAS INFANTILES MUNICIPALES. año 2023</t>
  </si>
  <si>
    <t>CONTROL CALIDAD OBRA ""EXCAVACIÓN ARQUEOLÓGICA EN PATIO CENTRAL DEL MONASTERIO SAN BENITO EN VALLADOLID"".</t>
  </si>
  <si>
    <t>Suministro de mecanismo válvula Fluxor para fuente a instalar en Casa Consistorial</t>
  </si>
  <si>
    <t>ALFATECO MADRID SA</t>
  </si>
  <si>
    <t>SUMINISTRO E INSTALACION DE PUERTA CORREDERA  CORTAFUEGOS DEL CPM ZONA ESTE</t>
  </si>
  <si>
    <t>BOADILLA DEL MONTE</t>
  </si>
  <si>
    <t>VIRTUAL DESK S.L.</t>
  </si>
  <si>
    <t>TRANSFORMACION DIGITAL DE LOS SERVICIOS DE ATENCION SOAL A LAS PERSONAS-convenio con JCYL financiado xFONDOS PRTR-</t>
  </si>
  <si>
    <t>ACTUACIÓN DE LA HUERTA SIN PUERTA EN CENTRO PENITENCIARIO VILLANUBLA EL 22/04/2023</t>
  </si>
  <si>
    <t>SUMINISTRO DE PINS METALICOS PARA ACTIVIDAD DEL PLAN DE DROGAS  QUE COLABORA  CON AR-VA EN SU  50 ANIVERSARIO EN 2023</t>
  </si>
  <si>
    <t>TRABAJO REPARACIÓN CUBIERTA DE ZINC EN ARCHIVO MUNICIPAL DETECT. TRAS INSPEC. DEL MISMO, A FINALES AÑO 2022.</t>
  </si>
  <si>
    <t>FERSITEC PROYECTOS Y TECNOLOGIAS SLL</t>
  </si>
  <si>
    <t>SUMINISTRO E INSTALACIÓN SISTEMA CLIMATIZACIÓN TEATRO CANTERAC CC DELICIAS</t>
  </si>
  <si>
    <t>BULLAS</t>
  </si>
  <si>
    <t>OPA - FRA. F/2023/24 - FECHA 03/01/2023 - OBRA PLAZA CAMPIÑA DEL CARMEN. CONTROL DE CALIDAD.</t>
  </si>
  <si>
    <t>L2-ADJUDID.TRANSF.DIGITAL GESTION Y AT.PERS.AL SIST.SERV.SOC.-FONDOS RECUP.TRANSF.Y RESILIENCIA- C22.I2.P5-GETRONICS</t>
  </si>
  <si>
    <t>GESTION DE EVENTO, CATERING Y VISITA TECNICOS EN EL MARCO CICLO CAPACITACION C2_TRANS1, DENTRO DEL PROYECTO PROSPECT+</t>
  </si>
  <si>
    <t>C.BASADO RED PYTO REHABILITACIÓN ENERGÉTICA CASA CONSISTORIAL Y REAJUSTE DE ANUALIDADES PYTO Y DIREC OBRA 2023.</t>
  </si>
  <si>
    <t>ANGEL  URUEÑA MIGUEL</t>
  </si>
  <si>
    <t>TALLER IMPRESIÓN 3D ESPACIO JOVEN NORTE / DURANTE 2023</t>
  </si>
  <si>
    <t>2023 10 2412 22106</t>
  </si>
  <si>
    <t>ANGEL DIEZ  RIVERA</t>
  </si>
  <si>
    <t>PRODUCTOS SOCIOSANITARIOS PARA EL CURSO DE VALLADOLID CUIDA VI DEL CENTRO DE FORMACION PARA EL EMPLEO EN 2023</t>
  </si>
  <si>
    <t>ANIBAL GOMEZ CORTIJO</t>
  </si>
  <si>
    <t>ACTUACION ZORRILLA¿S FEST 23 ANIBAL GOMEZ CORTIJO / 24 JUNIO</t>
  </si>
  <si>
    <t>VILLANUEVA DE LA JARA</t>
  </si>
  <si>
    <t>ANTONIO RODRIGUEZ ILUMINACIÓN Y SONIDO, S.L.</t>
  </si>
  <si>
    <t>ALQUILER DE MATERIAL Y ASISTENCIA TECNICA PREGON SEMANA SANTA 2023. R.I.</t>
  </si>
  <si>
    <t>ARCO CONTEMPORANEO &amp; ASOCIADOS S.L.L.</t>
  </si>
  <si>
    <t>ADQUISICIÓN DE MOBILIARIO CON DESTINO AL DEPARTAMENTO DE PATRIMONIO.</t>
  </si>
  <si>
    <t>ADQUISICIÓN DE MOBILIARIO CON DESTINO A LA SECCIÓN DE GOBIERNO Y ACTAS.</t>
  </si>
  <si>
    <t>Control de calidad de las obras de remodelación de la avenida Reyes Católicos en Valladolid (expediente 1/2022,LOTE 1)</t>
  </si>
  <si>
    <t>SACO SUBSTRATO BF4 70L EN ( Prop. 1    EIN )</t>
  </si>
  <si>
    <t>RACOR UNION 10MM / RACOR UNION 6 Y 8MM / ABRAZADERA 08 - 16 / LATIGUILLO SOBRE.../ EXP V36/2017 / LIMPIEZA VIARIA.</t>
  </si>
  <si>
    <t>VEHÍCULO VA-38306-VE // FILTRO ACEITE MANN*** / FILTRO COMBUSTIBLE MANN / FILTR.../ V36/2017 / SERVICIO DE LIMPIEZA.</t>
  </si>
  <si>
    <t>LAMPARA BOSCH 12V 1,2W S/CASQUILLO / BATERIA AD PLUS+ 12V 45/300AMP +DRE / (O) REGU.../ V36/2017 / SERVICIO DE LIMPIEZA.</t>
  </si>
  <si>
    <t>LAMPARA BOSCH 24V 5W S/CASQUILLO / MINIFUS PP 10A / RET.AUX. MB ATEGO-AXOR(04-10) TÚRM.///SEISPC</t>
  </si>
  <si>
    <t>FILTRO ACEITE MANN/FILTRO COMBUSTIBLE MANN/FILTRO COMBUSTIBLE MANN/FILTRO AIRE.../ EXP V36/2017 / SERVICIO DE LIMPIEZA.</t>
  </si>
  <si>
    <t>BATERIA AD 230/1150AMP CAMIÓN +IZQ / PERFIL PUERTA UNIVERSAL PVC / FILTRO.../ AM EXP V18/2022. SERVICIO DE LIMPIEZA.</t>
  </si>
  <si>
    <t>ARROYO, S.A.</t>
  </si>
  <si>
    <t>OA REVISION VEHICULO  MATRICULA 8775LWS / OS EX-RP FILTRO DEL HABITACULO / ......................... / 1 7711238974 - LA</t>
  </si>
  <si>
    <t>OA REVISION VEHICULO  MATRICULA 8235HST / OA DES-MT 2 NEUMATICO TRASEROS / OA SU BATERIA 12 V / OS CONS-DES CIRCUITO ALI</t>
  </si>
  <si>
    <t>CONTRATACIÓN CONSERVACIÓN Y MEJORA DE LAS INFRAESTRUCTURAS VERDES DE ZONAS CENTRO Y NORTE. LOTE 1 ZONA CENTRO V.34/2022.</t>
  </si>
  <si>
    <t>2023 08 1532 22706</t>
  </si>
  <si>
    <t>A.T. LOTE 2 para Estudio Geotécnico de implantación de ascensor urbano en la C/ Veleta de Valladolid.-</t>
  </si>
  <si>
    <t>2023 10 2312 631</t>
  </si>
  <si>
    <t>SERV.CONTROL CALIDAD.OBRAS DE REPARAC.Y REFORMA INFRAEST.ZONA AJARDINADAS CPM PARQUESOL-V.6/2020 PS42</t>
  </si>
  <si>
    <t>CONTROL DE CALIDAD OBRAS CPMS L1:Z.ESTE 163.16-L2:RONDILLA 325.07-L3: PTE.COLG 541.47-BUREAU VERITAS-CONTRATO BASADO AM</t>
  </si>
  <si>
    <t>CONTRATO SUMINISTRO MEDICAMENTOS Y MATERIAL FUJNGILE PARA CENTRO MUNICIPAL DE PROTECCION ANIMAL</t>
  </si>
  <si>
    <t>CONTRATACIÓN DE MAQUINARIA ESCABADORA, DUMPER Y LOS TRANSPORTES PARA REPARACIONES DE TUBERIAS Y SOLADOS. AMPLIACION</t>
  </si>
  <si>
    <t>SUM. MATERIALES DE CONSTRUCCIÓN PARA REPARACIÓN DE ESCALERAS CC JM LUELMO REALIZADA POR MANTENIMIENTO</t>
  </si>
  <si>
    <t>ARIJA SOLUCIONES, TERRITORIO Y CULTURA, S.L.</t>
  </si>
  <si>
    <t>DINAMIZACIÓN Y COMUNICACIÓN DE LA ACTIVIDAD MENSUAL DEL ECOMERCADO. PLAZO: 6 MESES</t>
  </si>
  <si>
    <t>HERNAN PÉREZ</t>
  </si>
  <si>
    <t>CACERES</t>
  </si>
  <si>
    <t>ANULACIÓN OPERACIÓN ANTERIOR.</t>
  </si>
  <si>
    <t>SUM. DE MATERIALES PARA REPARACIONES URGENTES EN ASCENSORES CC ZONA SUR, LAS FLORES Y LA OVERUELA</t>
  </si>
  <si>
    <t>REPARACION DEL ASCENSOR DEL CENTRO DE VIDA ACTIVA DE  DELICIAS EN 2023- INICITIVAS SOCIALES -</t>
  </si>
  <si>
    <t>SUMINISTRO  PARA REPARACION ( RELE ELCTRONICO) DEL ASCENSOR DEL CPM LA VICTORIA EN  2023- INICIATIVA SOCIALES</t>
  </si>
  <si>
    <t>VIVEROS FUENTEAMARGA, S.L.</t>
  </si>
  <si>
    <t>ACER CAMPESTRIS CT1L / ACER MONSPESSULANUM CT1,2L / ACER PSEUDOPLATANUS CT1L / AMYGDALUS COMMUNIS CT1,2L / BETULA ALBA C</t>
  </si>
  <si>
    <t>CABEZON</t>
  </si>
  <si>
    <t>SUMINISTRO DE PLAFON DE METACRILATO PARA EL ASCENSOR DEL CVA PUENTE COLGANTE- DURA 1 DIA</t>
  </si>
  <si>
    <t>LA FLOR DEL ROMERO, ACTUACIÓN EN CENTRO PENITENCIARIO VILLANUBLA 06/05/2023</t>
  </si>
  <si>
    <t>ASOC PAJARILLOS EDUCA</t>
  </si>
  <si>
    <t>ORGANIZACIÓN DE ACTIVIDADES RELACIONADAS CON EL MEDIO DE EL DÍA DE LA TIERRA. PLAZO: 1 SEMANA.</t>
  </si>
  <si>
    <t>ASOC. CULTURAL CINEMATOGRAFICA""LA FILA""</t>
  </si>
  <si>
    <t>PATROCINIO FESTIVAL DE CORTOMETRAJES ""LA FILA"" DEL 17 AL 22 DE ABRIL</t>
  </si>
  <si>
    <t>2023 10 2312 22612</t>
  </si>
  <si>
    <t>ASOCIACIÓN  AZACAN</t>
  </si>
  <si>
    <t>CHARLAS INFORMATIVAS Y CATAS DE CHOCOLATE DE COMERCIO JUSTO PARA LOS CVA- INICIATIVAS SOCIALES</t>
  </si>
  <si>
    <t>ASOCIACIÓN ARTÍSTICA Y MUSICAL EN CLAVE DE SON</t>
  </si>
  <si>
    <t>EN CLAVE DE SON: ACTUACIÓN EN CIC CONDE ANSÚREZ, EL DÍA 9/05/23</t>
  </si>
  <si>
    <t>ORGANIZACIÓN Y CELEBRACIÓN CONCIERTO DE MÚSICA TRAD.MEXICANA - GRUPO ALMA DE CUERDAS- 30-4-23-  XX SEMANA INTERCULTURAL.</t>
  </si>
  <si>
    <t>ANULAR// EL CALABACÍN ERRANTE: CUENTA CUENTOS EN CM LA OVERUELA EL DÍA 26/03/2023. MFS</t>
  </si>
  <si>
    <t>ASOCIACIÓN KIWI PARA LA PROMOCIÓN DE LA ILUSTRACIÓN Y LA EDUCACIÓN INFANTIL</t>
  </si>
  <si>
    <t>CTTO SUMINISTRO SUSCRIPCIÓN DOBLE REVISTA KIWI PARA BIBLIOTECAS PÚBLICAS//AÑO 2023</t>
  </si>
  <si>
    <t>ASOCIACION MUSICAL VOCES DEL PISUERGA</t>
  </si>
  <si>
    <t>VOCES DEL PISUERGA: ACTUACIONES EN EL CC PARQUESOL (19/05/23) Y EN EL CC BAILARÍN VICENTE ESCUDERO (29/06/23)</t>
  </si>
  <si>
    <t>ASOCIACION NIÑAS MALDITAS</t>
  </si>
  <si>
    <t>ESPECTACULO CIRCO INFANTIL EN EL CENTRO MUNICIPAL DE LA IGUALDAD</t>
  </si>
  <si>
    <t>ESTUDIO GEOTECNICO EN EL TEATRO LOPE DE VEGA (LOTE 2)</t>
  </si>
  <si>
    <t>ACUERDO BASADO C.CALIDAD(LOTE 2) PROY.REHABILITACIÓN ANTIGUA FÁBRICA AZUCARERA SANTA VICTORIA.</t>
  </si>
  <si>
    <t>CONTROL CALIDAD (LOTE 2) PADRE CLARET</t>
  </si>
  <si>
    <t>CONTROL CALIDAD (LOTE 1) PADRE CLARET</t>
  </si>
  <si>
    <t>STAND PARA XIV EDICION DE COLECCIONISMO DE VALLADOLID</t>
  </si>
  <si>
    <t>OLEA EUROPEA / QUERCUS ILEX / AMYGDALUS COMMUNIS</t>
  </si>
  <si>
    <t>ARAMARK SERVICIOS DE CATERING S.L.</t>
  </si>
  <si>
    <t>EXPTE. SE 20/2022 P.S. 1 PRORROGA CONTRATO PROGRAMA ""COMPARTIENDO EN VERANO 2022"" Julio y agosto 2023</t>
  </si>
  <si>
    <t>SUSTITUCIÓN EQUIPAMIENTO OBSOLETO ÁREAS WIFI Y REUNIFICACIÓN ACCESOS (67/2021) (PARA CONSUMIR REMANENTE INCORPORADO)</t>
  </si>
  <si>
    <t>OBRAS DE REPARACION Y REFORMA DE INFRAESTRUCTURAS EN ZONAS AJARDINADAS-CPM PARQUESOL (ACUERDO MARCO)-V.6/2020</t>
  </si>
  <si>
    <t>ASPAMA CONTROL DE PLAGAS,S.L.</t>
  </si>
  <si>
    <t>DESRATIZACIÓN DE LAS INSTALACIONES DEL SERVICIO DE LIMPIEZA.</t>
  </si>
  <si>
    <t>SUMINISTRO DE MATERIALES PARA REPARACIONES EN LOS COLEGIOS PUBLICOS. AÑO 2023</t>
  </si>
  <si>
    <t>SERVICIOS DE CELADURÍA EN LA AGENCIA DE INNOVACIÓN Y DESARROLLO ECONÓMICO DE 21 DE MARZO DE 2023 A 31 DE JULIO DE 2023.</t>
  </si>
  <si>
    <t>AUDECA S.L.U.</t>
  </si>
  <si>
    <t>CONTRATO MENOR DE OBRAS DE INSTALACIÓN DE FUENTE. CALLE PADRE JOSE ACOSTA A LA ALTURA PASARELA CERRO CONT</t>
  </si>
  <si>
    <t>SUMINISTRO Y TRANSPORTE DE LÁMPARAS PARA ELEMENTOS AUDIOVISUALES DE LOS CENTROS CÍVICOS</t>
  </si>
  <si>
    <t>SUMINISTRO DE BATERÍAS RECARGABLES PARA ELEMENTOS AUDIOVISUALES DE LOS CENTROS CÍVICOS</t>
  </si>
  <si>
    <t>2023 10 2312 622</t>
  </si>
  <si>
    <t>CONTRATAS Y OBRAS SAN GREGORIO, S.A.</t>
  </si>
  <si>
    <t>REVISION EXCEPCIONAL DE PRECIOS DE LA OBRA DEL CPM PARQUESOL-RDL 3/2022</t>
  </si>
  <si>
    <t>2023 10 2311 22699</t>
  </si>
  <si>
    <t>MATERIAL VARIO CONSTRUCCION. marzo</t>
  </si>
  <si>
    <t>AUTOCARES INTERBUS, S.L.</t>
  </si>
  <si>
    <t>TRANSPORTE PARA EL CERTAMEN NACIONAL DE BANDAS DE MUSICA ""VILLA DE OLIVARES"" (SEVILLA) DEL 30 DE JUNIO AL 2 DE JULIO.</t>
  </si>
  <si>
    <t>2023 10 2412 22699</t>
  </si>
  <si>
    <t>SALIDA FORMA. A ALLARIZ  PARA VISITAR EL XIII FESTIVAL INTERN.  DE JARDINES LOS ALUMNOS DEL C. DE P.Y J DEL JACINTO BENA</t>
  </si>
  <si>
    <t>FILTRO V.I MANN / FILTRO DIESEL BOSCH V.I / FILTRO V.I MANN*** / FILTRO HABITA.../ AM EXP V18/2022. SERVICIO DE LIMPIEZA</t>
  </si>
  <si>
    <t>2941CBL / M.O. REPARACIÓN DE INSTALACIÓN DE SENSOR DESGASTE PASTILLA DE FRE.../ SPSC 23/2020 / SERVICIO DE LIMPIEZA.</t>
  </si>
  <si>
    <t>1496DZM/DESMONTAR MONTAR BOMBAS  DE  DOS  VEHICULO  Y COLOCAR BOMBA EN MOTOR / SPSC/23/2020 / SERVICIO DE LIMPIEZA.</t>
  </si>
  <si>
    <t>FUNDA VOLANTE NEGRA 37-39CM///SERVICIO DE EXTINCION DE INCENDIOS</t>
  </si>
  <si>
    <t>CONTRATACIÓN AUTOCAR 63 PLAZAS PARA LA ESCUELA MUNICIPAL DE MUSICA: ENCUENTRO DE BANDAS UNIVERSIDAD DE LEÓN.14-MAYO</t>
  </si>
  <si>
    <t>VISITA  FORMATIVA A LA DEPURADORA Y C. DE TRATAMIEN DE  RESIDUOS LOS CURSOS DE PARQ. Y JARDINES Y P. DEC DEL C. F.EMPLEO</t>
  </si>
  <si>
    <t>AUTO-PALAS VALLADOLID, S.L.L.</t>
  </si>
  <si>
    <t>Reparación de cazo frontal (pala) de máquina JCB 3CX Turbo matrícula E3013GBL, reacondicionar soporte y cuchillas.-</t>
  </si>
  <si>
    <t>AVANZADA 7 SL</t>
  </si>
  <si>
    <t>SUMINISTRO DE UN GATEWAY, CON DESTINO EL  AYUNTAMIENTO DE VALLADOLID</t>
  </si>
  <si>
    <t>AZHERO PROYECTOS Y DESARROLLO S.L.</t>
  </si>
  <si>
    <t>ALQUILER, TRANSPORTE, MONTAJE Y DESMONTAJE DEL ESCENARIO DIA 15 DE ABRIL</t>
  </si>
  <si>
    <t>ALQUILER, TRANSPORTE, MONTAJE Y DESMONTAJE DEL ESCENARIO 23 Y 24 DE MAYO DE 2023</t>
  </si>
  <si>
    <t>TRANSPORTE, MONTAJE Y DESMONTAJE 10 MESAS CABALLETES SAN PEDRO REGALADO / 1 DIA</t>
  </si>
  <si>
    <t>ALQUILER, TRANSPORTE, MONTAJE-DESMONTAJE MESAS CON CABALLETES 17 DE MAYO</t>
  </si>
  <si>
    <t>ACTIVIDAD DEL DIA 15  DE JUNIO DISCOMOVIL  EN LA ZONA DE MEDINA DE RIOSECO LOS USUARIOS DE LOS CVA</t>
  </si>
  <si>
    <t>MATERIAL VARIO CONSTRUCCION: CC LUELMO, RONDILLA Y LOCAL AV PUENTE JARDIN</t>
  </si>
  <si>
    <t>SUSTITUCIÓN ARMARIO PUERTAS PERSIANA CC CANAL DE CASTILLA</t>
  </si>
  <si>
    <t>ADQUISICIÓN DE MOBILIARIO CON DESTINO AL DPTO. DE GESTIÓN DE RECURSOS HUMANOS (1 SILLA DE TRABAJO).</t>
  </si>
  <si>
    <t>SOPORTE, ESTABILIZADOR / LAMPARA BOSCH 12V 5W PLAFON / SELLADOR TUBO ESCAPE.../ AM EXP V18/2022. SERVICIO DE LIMPIEZA.</t>
  </si>
  <si>
    <t>AUTOMATIZACIÓN DE LA PUERTA DE LONA ACCESO A PATIO. SALIDA DE JEFATURA A LA AVDA. DE BURGOS.</t>
  </si>
  <si>
    <t>IVA REPERCUTIDO POR FACTUA F-4132.</t>
  </si>
  <si>
    <t>CONTROL CALIDAD (LOTE 2) OBRA SUSTITUCIÓN PARCIAL VENTANAS CEIP PEDRO GOMEZ BOSQUE.PL EJ: 44 D.</t>
  </si>
  <si>
    <t>2023 06 3231 632</t>
  </si>
  <si>
    <t>CONTROL CALIDAD (LOTE 2) OBRA SUSTITUCIÓN CARPINTERÍAS VARIAS DEPENDENCIAS EIM LA COMETA. PLZ EJE: 44 DIAS LABORABLES</t>
  </si>
  <si>
    <t>CONTROL DE CALIDAD, LOTE 2,  OBRA DE ADECUACIÓN ASEOS EN CASAS NIÑOS Y NIÑAS MAESTRO CLAUDIO Y PAJARILLOS PZ EJ:25 D</t>
  </si>
  <si>
    <t>CGB INFORMÁTICA S.L.</t>
  </si>
  <si>
    <t>SUMINISTRO E IMPLANTACIÓN DEL SISTEMA DE GESTIÓN DE INGRESOS Y RECAUDACIÓN 2023-LOTE 2</t>
  </si>
  <si>
    <t>ALDEATEJADA</t>
  </si>
  <si>
    <t>CONTROL DE CALIDAD (LOTE 2) OBRA DE REPARACIÓN GOTERAS EN TEJADOS DE VARIOS CEIPS. PLZ EJEC: 4 SEMANAS/CENTRO</t>
  </si>
  <si>
    <t>CONTROL DE CALIDAD (LOTE 2) OBRA DE REFORMA Y MEJORAS ASEOS 1ª PLANTA CEIP FEDERICO GARCIA LORCA. PLZ EJ: 40 D</t>
  </si>
  <si>
    <t>AVILA</t>
  </si>
  <si>
    <t>2ª PRORROGA CONTRATO TRANSPORTE DESDE Sº LIMPIEZA A CTR RESIDUOS DE LIMPIEZA MECÁNICA VIARIA DEL 25/07/23 AL 31/12/23.</t>
  </si>
  <si>
    <t>4848GZT // REPUESTOS // INYECTOR BOSCH INDUSTRIAL REPARADO/ SPSC 23/2020 / SERVICIO DE LIMPIEZA.</t>
  </si>
  <si>
    <t>REPARACIÓN BALLESTAS  / AM SPSC 23/2020. SERVICIO DE LIMPIEZA</t>
  </si>
  <si>
    <t>REPARACIÓN BALLESTAS / AM SPSC 23/2020. SERVICIO DE LIMPIEZA.</t>
  </si>
  <si>
    <t>MT CABLE H07V-K PVC FLEX  1X2,5 NEGRO / MT CABLE H07V-K PVC FLEX  1X2,5 ROJO / V36/2017 / SERVICIO DE LIMPIEZA.</t>
  </si>
  <si>
    <t>PULSADOR LEGRAND 69720   GRIS  PLEXO. CABALLITO BLANCO. MARZO</t>
  </si>
  <si>
    <t>REGULARIZACIÓN PRIMA SEGURO FLOTA VEHÍCULOS (LOTE 3) PERIODO 5 AGOSTO 2022 A 5 FEBRERO 2023 (EXP. 15/2020 PS 7)</t>
  </si>
  <si>
    <t>ADQUISICIÓN LAMPARAS Y FLUORESCENTES, CDIT</t>
  </si>
  <si>
    <t>OBRAS, MEJORAS DE ACCESIBILIDAD  DEL CPM RONDILLA-</t>
  </si>
  <si>
    <t>CIRCE PRODUCCIONES TEATRALES, S.L.</t>
  </si>
  <si>
    <t>REPRESENTACIÓN DE ¿TRAIDOR¿ DE TEATRO CORSARIO EN EL C. C. JOSÉ LUIS MOSQUERA (VALLADOLID) EL 30/12/2022</t>
  </si>
  <si>
    <t>CONTROL DE CALIDAD (ASISTENCIA TÉCNICA) OBRA SISTEMA CLIMATIZACIÓN TEATRO CANTERAC CC DELICIAS</t>
  </si>
  <si>
    <t>IVA REPERCUTIDO POR FACTURA F-4441.</t>
  </si>
  <si>
    <t>MONTAJE Y DESMONTAJE DE EQUIPOS TETRA ( AMPLIACIÓN NÚMERO DE VEHÍCULOS).</t>
  </si>
  <si>
    <t>Alquiler de maquinaria sin conductor (carretillas elevadora, mini-palas, mini-retros, etc.) a demanda según necesidades.</t>
  </si>
  <si>
    <t>Adquisición 74 Uds. de valla electrosoldada galvanizada tipo europeo, de 3,50x2,00 m y 77 ud de pies de sujeción hormigó</t>
  </si>
  <si>
    <t>MAGNETOT SE IC60N D 4P   25A  A9F75425. CP CARDENAL MENDOZA. MARZO</t>
  </si>
  <si>
    <t>ACUERDO MARCO. SUMINISTRO DE MATERIALES ELÉCTRICO PARA DEPENDENCIAS DE POLICÍA MUNICIPAL.</t>
  </si>
  <si>
    <t>DOWLN NORMALIT EE34B 23,8W 4000K PARA CC PARQUESOL</t>
  </si>
  <si>
    <t>SUMINISTRO DIVERSO MATERIAL, TUBO LED, TASA ECORAE. PARA GALERIAS VALLADOLID</t>
  </si>
  <si>
    <t>MANTENIMIENTO, SUMINISTRO MATERIALPARA REPARACIONES DEL CPM LA VICTORIA- DUR 1 DIA</t>
  </si>
  <si>
    <t>BASE VICTRON PORTAFUSIBLE MEGA-FUSE / CUERPO.P SE ZB4-BW0B31 LED 24V ""NA"" VE.../ EXP V36/2017 / SERVICIO DE LIMPIEZA.</t>
  </si>
  <si>
    <t>TUBO LED MZD 150CM 20W 865C G13 / TASA ECORAEE (REAL DECRETO 208/2005)</t>
  </si>
  <si>
    <t>CENTRO CÍVICO DELICIAS // D. BASE CIMA 50010472-030 BL TORN. RAPID LED / CAJA SUP CIMA 51000001-030 1MOD. BA</t>
  </si>
  <si>
    <t>TELÉFONO FERMAX 80447 CITYMAX BASIC BL. // CABALLITO BLANCO</t>
  </si>
  <si>
    <t>CMP DELICIAS -MANT. SUMINISTRO DE MARCO ARTS 71PANAC-MARESC32 ESCAY , PANEL DISANO ECO 34WPARA REPARACIONES- DUR  1 DIA</t>
  </si>
  <si>
    <t>Suministro de 5.000 m.l. de ""banderola"" (cinta señalizadora de obra) personalizada para el Ayuntamiento de Valladolid.</t>
  </si>
  <si>
    <t>ESTRUCTURA ROLL-UP CON LONA IMPRESA DÍA CONTRA LA HOMOFOBIA, TRANSFOBIA,  BIFOBIA  / MAYO 2023</t>
  </si>
  <si>
    <t>BRUMA S.A.</t>
  </si>
  <si>
    <t>REPARACIÓN URGENTE DE GOTERAS DEL CC PARQUESOL// SUM. E INST. EN CUBIERTA DE 90 M2 DE LÁMINA DE PVC TERMOSELLADA</t>
  </si>
  <si>
    <t>ABONO CD ATLETISMO CUATRO CANTONES PRUEBAS FÍSICAS PARA LA PROVISIÓN DE 8 PLAZAS DE OFICIAL DE LA PM.</t>
  </si>
  <si>
    <t>CONTROL CRONOMETRAJE PRUEBAS 7 SGTOS SEIS Y PC, REALIZADAS EL 21-3-23.</t>
  </si>
  <si>
    <t>CAMARA OFICIAL DE COMERCIO, INDUSTRIA Y SERVICIOS DE VALLADOLID</t>
  </si>
  <si>
    <t>TAPA DEL TALENTO CON CAMARA DE COMERCIO Y ESCUELA INTERNACIONAL DE COCINA</t>
  </si>
  <si>
    <t>CONTRATO DE SUMINISTRO DE PIENSOS Y ACCESORIOS PARA ALIMENTACION ANIMALES DEL C.M.P.A.</t>
  </si>
  <si>
    <t>CTTO SUMINISTRO COPIA LLAVE PARA BIBLIOTECA BARRIO BELÉN//1 DIA//2023</t>
  </si>
  <si>
    <t>EDICION DE UN LIBRO HOMENAJE A JUAN ANTONIO QUINTANA Y MARY MAROTO.</t>
  </si>
  <si>
    <t>PROMOCION Y DIFUSION DEL CENTRO MARCELINA PONCELA EN LA REVISTA ATTICUS</t>
  </si>
  <si>
    <t>SUMINISTRO DE ROPA DE TRABAJO DE SEGURIDAAD, CALZADO DE SEGURIDAD Y UNIFORMIDAD GENERAL.-</t>
  </si>
  <si>
    <t>POR ALZA EN LOS PRECIOS del Suministro de ropa de trabajo de seguridad, calzado de seguridad y uniformidad general.-</t>
  </si>
  <si>
    <t>SUMINISTRO POLOS MANGA LARGA PARA LIMPIEZA VIARIA.</t>
  </si>
  <si>
    <t>MODIFICADO DEL PROYECTO DE REHABILITACION GALERIAS MUNICIPALES DE ALIMENTACION RONDILLA DE SANTA TERESA</t>
  </si>
  <si>
    <t>CONTROL DE CALIDAD LOTE 1 (ENSAYOS) ADECUACIÓN ASEOS CASA NIÑOS Y NIÑAS MAESTRO CLAUDIO Y PAJARILLOS PZ EJE: 25 D</t>
  </si>
  <si>
    <t>DIRECCIÓN FACULTATIVA OBRAS CONSOLIDACIÓN TEATRO LOPE DE VEGA</t>
  </si>
  <si>
    <t>ADJUDICAR EXPTE. 4/23 CONTRATO ASISTENCIA TÉCNICA PILOTOS FERROVIARIOS TUNEL LABRADORES FASE II</t>
  </si>
  <si>
    <t>ALQUILER DE BRAZO ARTICULADO PARA TRABAJOS EN ALTURA EN CIC SEGUNDO MONTES</t>
  </si>
  <si>
    <t>CASTELAO PICTURES SL</t>
  </si>
  <si>
    <t>PRESTAMO DE LA PELICULA ALMA GITANA PARA SU PROYECCION DENTRO DE LA XX SEMANA INTERCULTURAL - MAYO 2023</t>
  </si>
  <si>
    <t>MONTAJE Y DESMONTAJE DE EQUIPACIÓN TETRA EN VEHÍCULOS POLICIALES.</t>
  </si>
  <si>
    <t>SUMINISTRO DE ESPEJO PARA CIC SANTIAGO LÓPEZ Y VIDRIOS CLIMALIT PARA KIOSCO PZA. CAÑO ARGALES</t>
  </si>
  <si>
    <t>ADJUDICA RENOVACIÓN ANUAL SUSCRIPCIÓN Nº 234295 PERIÓDICO ABC - MEDIOS DE COMUNICACIÓN - Del 01/05/2023 al 30/04/2024</t>
  </si>
  <si>
    <t>2023 04 9231 22705</t>
  </si>
  <si>
    <t>ANUNCIO EXPOSICION CENSO ELECTORAL 9 Y 10 ABRIL 2023 - EL MUNDO</t>
  </si>
  <si>
    <t>CASUAL MAGAZINES, S.L.U.</t>
  </si>
  <si>
    <t>CTTO SUSCRIPCIÓN REVISTA CLÍO PARA BIBLIOTECAS PÚBLICAS//AÑO 2023</t>
  </si>
  <si>
    <t>CHARCO MÚSICA S.L.</t>
  </si>
  <si>
    <t>FESTIVAL ZORRILLAS FEST 23 KUMBIA QUEERS / 24 MAYO</t>
  </si>
  <si>
    <t>CLAIRE MARTINE STEWART</t>
  </si>
  <si>
    <t>CTTO 2 SUSCRIPCIONES REVISTA PRIMICIAS NEWS PARA BIBLIOTECAS PÚBLICAS//AÑO 2023</t>
  </si>
  <si>
    <t>COLEGIO PERITOS E INGENIEROS TÉCNICOS INDUSTRIALES DE VALLADOLID</t>
  </si>
  <si>
    <t>PARTICIPACIÓN DEL AYUNTAMIENTO DE VALLADOLID EN LA VI EDICIÓN DEL PREMIO INGENIEROS DE VALLADOLID</t>
  </si>
  <si>
    <t>SERVICIO DE CONTENEDORES PARA RETIRADA DE ESCOMBROS OBRA REALIZADA POR EL SERVICIO DE MANTENIMIENTO EN CC J. M. LUELMO</t>
  </si>
  <si>
    <t>COMPRA PEGATINAS NO APARCAR PARA CONTENEDORES DEL SERVICIO DE LIMPIEZA.</t>
  </si>
  <si>
    <t>COORDINADORA O.N.G.D. CASTILLA Y</t>
  </si>
  <si>
    <t>IMPARTICION CHARLAS SOBRE COMERCIO JUSTO   EN 11 CENTROS DE VIDA ACTIVA( ANTES CPM) EN MAYO DE  2023</t>
  </si>
  <si>
    <t>CORPORACION DE RADIO Y TELEVISION ESPAÑOLA, S.A.</t>
  </si>
  <si>
    <t>REALIZACION DEL PROGRAMA EN DIRECTO DE RNE A MEDIA MAÑANA EL DIA 2 DE JUNIO CON MOTIVO DE LA FERIA DEL LIBRO DE VA</t>
  </si>
  <si>
    <t>CTTO TRABAJOS PRUEBA ESTANQUEIDAD DEL SISTEMA Y OTROS NO INCLUIDOS EN CTTO DE MANTENIMIENTO DE EIM//HASTA 31/12/2023</t>
  </si>
  <si>
    <t>Revisión, carga y timbrado de extintores de las instalaciones del SEPI, en C/ Títulos 51.-</t>
  </si>
  <si>
    <t>REVISION Y ACTUALIZACION DE EXTINTORES PARA CASA DEL BARCO Y CENTRO MUNICIPAL DE PROTECCION ANIMAL PARA EL AÑO 2023</t>
  </si>
  <si>
    <t>Revisión periódica de 4500 h. de máquina mixta  retrocargadora JCB  3CX Turbo.</t>
  </si>
  <si>
    <t>2023 10 2412 633</t>
  </si>
  <si>
    <t>TRANPALETA PARA EL CENTRO DE FORMACION PARA EL EMPLEO PARA EL DESPLAZAMIENTO DE MATERIALES</t>
  </si>
  <si>
    <t>CTTO SERVICIOS VISITA GUIADA INAUGURACIÓN NUEVA BIBLIOTECA PARQUESOL//2023</t>
  </si>
  <si>
    <t>PROMOCION Y GESTION EDUCATIVO SOCIAL,SL.</t>
  </si>
  <si>
    <t>4 CURSOS DE REF. CULTURALES, VALORES CONST. Y ESTATUT. DE CyL Y 1 CURSO DE HAB SOC PARA LA CONVIVENCIA PARA INMIGRANTES</t>
  </si>
  <si>
    <t>RECOGIDA, PLEGADO Y REPARTO DE CARPETAS MUESTRAS</t>
  </si>
  <si>
    <t>RENOVACIÓN DEL DOMINIO VALLANOCHE.ES</t>
  </si>
  <si>
    <t>2023 08 1651 22699</t>
  </si>
  <si>
    <t>Suministro de raticida, leuco bf bloque 100g parafinado 50ppmm lote nº 7 a 323063</t>
  </si>
  <si>
    <t>AGENCIA PÁSATE AL IMARKETING, S.L.</t>
  </si>
  <si>
    <t>SERVICIOS DE BENCHMARKING DE VENTA NO SEDENTARIA EN MERCADILLOS Y/O RASTROS.</t>
  </si>
  <si>
    <t>Campaña de comunicación sobre actuaciones de fomento de la movilidad activa y sostenible (tv)</t>
  </si>
  <si>
    <t>2023 08 1301 22602</t>
  </si>
  <si>
    <t>Campaña de difusión Metrominuto 2023.</t>
  </si>
  <si>
    <t>COMPENSACION BONO SOCIAL REMESA FACTURAS FOTOVOLTAICAS ABRIL 2023</t>
  </si>
  <si>
    <t>ANKARA CITY TRES, SL</t>
  </si>
  <si>
    <t>EXPTE.: SPSC 013_2021;PRIMERA PRÓRROGA CONTRATO SUMINISTRO VESTURIO; LOTE 5: EQUIPAMIENTO DEPORTIVO; SEISYPC.</t>
  </si>
  <si>
    <t>VILLAVICIOSA DE ODON</t>
  </si>
  <si>
    <t>COMPLEMENTARIO PARA HACER FRENTE A LA CERTIFICACION 7 Y FINAL ""MEJORA EFICIENCIA FUENTE PLAZA ZORRILLA"" EXP.V.6-20 PS.37</t>
  </si>
  <si>
    <t>CONTRATO RENTING VEHÍCULOS CAMUFLADOS PARA  POLICÍA MUNICIPAL. DE 1 DE JUNIO A 31 DE DIC DE 2023. EXPTE SPS- SE 03/2023.</t>
  </si>
  <si>
    <t>2023 0850 1301 22706</t>
  </si>
  <si>
    <t>Contrato basado para la redacción de proyecto de obras de implantación de ascensor en calle Veleta (exp. 26/2022)</t>
  </si>
  <si>
    <t>BRICOCEX S.L.</t>
  </si>
  <si>
    <t>SE 35-2023 CTTO OBRAS SUSTITUCIÓN PARCIAL VENTANAS CEIP PEDRO GOMEZ BOSQUE. PLZ EJ: 44 D LABORABLES</t>
  </si>
  <si>
    <t>Suministro de 2.700 L. de GASÓLEO C para la caldera del Parque de Conservación de la Vía Pública, C/ Títulos, 51.-</t>
  </si>
  <si>
    <t>GASTO COMPLEMENTARIO en el Suministro de 2.700 L. de GASÓLEO C para caldera del Parque Vias Públicas</t>
  </si>
  <si>
    <t>SUMINISTRO DE PAPEL PARA TRABAJOS ELABORADOS POR LA IMPRENTA MUNICIPAL PARA POLICÍA ( BOLET. DENUNCIA, SOLICITAS, ETC.)</t>
  </si>
  <si>
    <t>IMPRESIÓN DE SOPORTES PUBLICITARIOS A TRAVÉS DE IMPRENTA MUNICIPAL 2023: IGUALDAD E INFANCIA</t>
  </si>
  <si>
    <t>SUMINISTRO RESMAS PAPEL IMPRENTA MUNICIPAL PARA CARTELES Y FOLLETOS DE LA CAMPAÑA DE RECICLAJE. LIMPIEZA VIARIA.</t>
  </si>
  <si>
    <t>SUMINISTRO PAPEL NECESARIO PARA TRABAJOS A REALIZAR POR LA IMPRENTA MUNICIPAL PARA EL AREA DE CULTURA Y TURISMO</t>
  </si>
  <si>
    <t>SUMINISTRO DE PAPEL, SERVIDO EN IMPRENTA MUNICIPAL, PARA REVISTA EL PÁRAMO (COLAB. CON C.P. VILLANUBLA)</t>
  </si>
  <si>
    <t>SUMINISTRO DE PAPEL (SERVIDO EN IMPRENTA MUNICIPAL) PARA CARPETAS MUESTRAS (MTV Y MCT 2023)</t>
  </si>
  <si>
    <t>SUMINISTRO DE PAPEL SERVIDO EN IMPRENTA MUNICIPAL PARA CARTELES MUESTRAS DE TEATRO Y CULTURA TRADICIONAL 2023</t>
  </si>
  <si>
    <t>2023 05 4331 22199</t>
  </si>
  <si>
    <t>SUMINISTRO DE PAPEL PARA LA AGENCIA DE INNOVACIÓN Y PARA LA IMPRENTA MUNICIPAL PARA LA ELABORACIÓN CARTELES</t>
  </si>
  <si>
    <t>DISTRIBUCIONES PROFESIONALES PUERTO, S.L.</t>
  </si>
  <si>
    <t>CTTO SUMINISTRO ALCOHOL LIMPIEZA PARA BIBLIOTECAS PÚBLICAS//AÑO2023</t>
  </si>
  <si>
    <t>2023 05 4312 632</t>
  </si>
  <si>
    <t>DIUPA, S.L.</t>
  </si>
  <si>
    <t>SUMINISTRO E INSTALACION DE CALDERA IsoFast MA 35-CS/1-Sf MiPro Sense R, EN EDIFICIO  SITO EN  C/HOSTIEROS 1.</t>
  </si>
  <si>
    <t>DIVACEL,S.L.</t>
  </si>
  <si>
    <t>Adquisición de productos detergentes para el lavavajillas industrial; SEISYPC.</t>
  </si>
  <si>
    <t>SEGUNDA PRÓRROGA LOTE 2 CONTRATO PROGR. EDUCACIÓN AMBIENTAL (RED DE HUERTOS ESCOLARES). PLAZO: 01/09/2023 AL 31/12/2023</t>
  </si>
  <si>
    <t>EDICIONES EL PAIS, S.L.</t>
  </si>
  <si>
    <t>RENOVACIÓN DE DOS SUSCRIPCIONES ANUALES (215030/1 y 943643/1) AL PERIÓDICO EL PAÍS</t>
  </si>
  <si>
    <t>REPARACION FUGA DE AGUA EN MAQUINA EXTERIOR DE CLIMA EN SALA TECNICA DEL CENTRO MARCELINA PONCELA</t>
  </si>
  <si>
    <t>CTTO SUMINISTRO DIARIOS EL MUNDO, MARCA Y EXPANSIÓN PARA BIBLIOTECAS PÚBLICAS//AÑO 2023</t>
  </si>
  <si>
    <t>EL SILO CASA DE CULTURA,S.COOP.</t>
  </si>
  <si>
    <t>PROYECTO ""ÉRASE UNA VEZ EL BARRIO..."" A DESARROLLAR EN DISTINTOS BARRIOS DE LA CIUDAD, SEPT-DIC 2023</t>
  </si>
  <si>
    <t>SUMINISTRO E INSTALACION DE LUMINARIAS PARA CORREGIR DEFICIENCIAS SEGUN INSPECCION EN MERCADO LAS DELICIAS</t>
  </si>
  <si>
    <t>CTTO LOCALIZACIÓN AVERÍAS, ADECUACIÓN DE ALUMBRADO Y OTRAS ACTUACIONES EN COLEGIOS PÚBLICOS//HASTA 31/12/2023</t>
  </si>
  <si>
    <t>CONTRATO BASADO SERVICIOS PARA LA  ASISTENCIA TÉCNICA  A LA DIREC.FACULTAT.OBRAS DE LA CALLE PADRE CLARET(10 MESES).</t>
  </si>
  <si>
    <t>SUM. SUSTITUCIÓN Y ADAPTACIÓN DE BOMBA AGUAS RESIDUALES EN CC RONDILLA</t>
  </si>
  <si>
    <t>ELECTROSON CASTILLA S.A.</t>
  </si>
  <si>
    <t>ADQUISICIÓN DE RECPTORES PARA MANIOBRAR LAS PLATAFORMAS QUE ALOJAN CONTENEDORES SOTERRADOS PARA EL SERVICIO DE LIMPIEZA.</t>
  </si>
  <si>
    <t>ELENA  MARTIN FAZ</t>
  </si>
  <si>
    <t>CONGRESO INTERNACIONAL EL DESAFIO DE LA REPARACION / PRACTICUM-CONTRATOS PUBLICOS 2022 TOMSON REUTERS / CURSO DE CONTRAT</t>
  </si>
  <si>
    <t>TALLER DE ASERTIVIDAD Y GENERO EN EL CENTRO MUNICIPAL DE LA IGUALDAD MAYO - JUNIO</t>
  </si>
  <si>
    <t>LIQUIDACIÓN CONTRATO OBRAS SIST DRENAJE URBANO SOSTENIBLES(SUD´s). URBAN GreenUP G.A. nº 730426. EXPTE AI-13/2020.</t>
  </si>
  <si>
    <t>prorroga  1/7 a 31/12-L 1 y2  prog.prev.fam.moneo y ded-y otros en C.esc y entid.</t>
  </si>
  <si>
    <t>TALLER DE DESARROLLO PERSONAL, BIENESTAR EMOCIONAL Y EMPODERAMIENTO OCTUBRE - DICIEMBRE</t>
  </si>
  <si>
    <t>ELIANA ENCARNACION CANO VILLARROEL</t>
  </si>
  <si>
    <t>TALLER SOBRE INTRODUCCIÓN DE PERSPECTIVA DE GENERO / ABRIL 2023</t>
  </si>
  <si>
    <t>ELIAS JADRAQUE S.A.</t>
  </si>
  <si>
    <t>MANTENIMIENTO Y REPARACIÓN DE MAQUINARIA DE JARDINERIA EN GARANTIA.</t>
  </si>
  <si>
    <t>EMPRESA CABRERO, S.A.</t>
  </si>
  <si>
    <t>SERVICIO TRANSPORTE ALUMNOS PARA TALLER MUSICAL IMUSICART / 23 Y 24 MAYO</t>
  </si>
  <si>
    <t>Café para la sesión de cierre del mandato del Consejo Municipal de Servicios Sociales.-4/5/23-1 DIA</t>
  </si>
  <si>
    <t>ACTO DEL FALLO DEL 70 PREMIO DE NOVELA ATENEO CIUDAD DE VALLADOLID EL DIA 12 DE ABRIL DE 2023</t>
  </si>
  <si>
    <t>ETIQUETAS VALLADOLID S.L.L.</t>
  </si>
  <si>
    <t>CTTO SUMINISTRO ETIQUETAS SEÑALIZACIÓN ZONA JOVEN PARA BIBLIOTECAS PÚBLICAS//1 MES//2023</t>
  </si>
  <si>
    <t>VILLANUBLA (VALLADOLID)</t>
  </si>
  <si>
    <t>CTTO AMPLIACIÓN SUMINISTRO ETIQUETAS ZONA JOVEN NUEVA BIBLIOTECA PARQUESOL//1 MES//2023</t>
  </si>
  <si>
    <t>SUMINISTRO E INSTALACIÓN CAJAS DE PROTECCIÓN TERMOSTATOS DEL CENTRO INTEGRADO.</t>
  </si>
  <si>
    <t>MANTENIMIENTO DE FILTROS PARA CLIMATIZADOR ESPACIO JOVEN NORTE / DURANTE 2023</t>
  </si>
  <si>
    <t>SUM DE DOS CRISTALES BIE PARA SUSTITUCIÓN EN SIST. INCENDIOS DEL CC JL MOSQUERA</t>
  </si>
  <si>
    <t>PRESTACION SERVICIO DE ASISTENCIA Y COORDINACION DE SERVICIOS AUXILIARES CUPULA DEL MILENIO DURANTE 2 MESES</t>
  </si>
  <si>
    <t>2023 11 1631 219</t>
  </si>
  <si>
    <t>FABRICANTES DE MENAJE S.L.</t>
  </si>
  <si>
    <t>CUBOS 90L PARA CARRITOS DE PEONES DESTINADOS A LIMPIEZA VIARIA.</t>
  </si>
  <si>
    <t>CADRETE</t>
  </si>
  <si>
    <t>FACTURA EASY, S.R.L.</t>
  </si>
  <si>
    <t>TALLER TOTEBAG EN EL CENTRO MUNICIPAL DE LA IGUALDAD MAYO</t>
  </si>
  <si>
    <t>TALLER COLLAGISTAS EN CC CASA CUNA JUNIO 2023</t>
  </si>
  <si>
    <t>RETIRADA DE LODOS DEL ARENERO DE LA NAVE DEL LAVADERO DE VEHÍCULOS DEL SERVICIO DE LIMPIEZA.</t>
  </si>
  <si>
    <t>FEDERACIONI TAURINA DE VALLADOLID</t>
  </si>
  <si>
    <t>ADJ,UDICA INSERTAR PUBLICIDAD EN ANUARIO TAURINO 2022 (se publica en primavera de 2023) - GOBIERNO Y RELACIONES</t>
  </si>
  <si>
    <t>TALA DE ARBUSTOS, DESBROCE MANUAL Y ELIMINACIÓN RESTOS ZONA LATERAL NAVE DEL SERVICIO DE LIMPIEZA</t>
  </si>
  <si>
    <t>FERNANDO JOSÉ FUENTES  SANTAMARTA</t>
  </si>
  <si>
    <t>DISEÑO,MAQUETACIÓN Y ARTE FINAL PARA LA PUBLICACIÓN EN HOMENAJE E.MUNICIPAL DE FRANCES ""NESTOR FERNANDEZ"" 1908-1936</t>
  </si>
  <si>
    <t>Contrato Campaña Valladolid se mueve 2023</t>
  </si>
  <si>
    <t>FERNANDO MARTINEZ  BERMEJO</t>
  </si>
  <si>
    <t>COMPLEMENTOS DE ARMERÍA PARA POLICÍA MUNICIPAL.</t>
  </si>
  <si>
    <t>A,M V. 18/2022 COMPRA CERRADURA MERCADO DELICIAS</t>
  </si>
  <si>
    <t>SE-PC 12/2023: PRÓRROGA CONTRATO DE MANTENIMIENTO DE ASCENSORES DE LOS CENTROS DE PARTICIPACIÓN CIUDADANA (4 MAY-31 DIC)</t>
  </si>
  <si>
    <t>2ª PRÓRROGA. LOTE 3. CONTRATO PROGRAMAS EDUCACIÓN AMBIENTAL (ACCIONES EDUCATIVAS). PLAZO: 01/09/2023 AL 31/12/2023</t>
  </si>
  <si>
    <t>COMPENSACION BONO SOCIAL REMESA FACTURAS FOTOVOLTAICAS MES DE MARZO 2023</t>
  </si>
  <si>
    <t>AMPLIACION POR SUBIDA DE PRECIOS RESPECTO AL AÑO ANTERIOR SEGUN INDICACIÓN DEL DPTO TECNOLOGIAS DE LA INFORMACION.</t>
  </si>
  <si>
    <t>FOIMA S.A.</t>
  </si>
  <si>
    <t>SUMINISTRO DE CONUMIBLES PARA GRUAS DE LA POLICÍA MUNICIPAL.</t>
  </si>
  <si>
    <t>INDUSTRIA 46</t>
  </si>
  <si>
    <t>FONESVALL INSTALACIONES, S.L.</t>
  </si>
  <si>
    <t>Subsanación deficiencias en instalación Gas Natural parque bomberos Canterac; SEISYPC.</t>
  </si>
  <si>
    <t>FRANCISCO JAVIER ORTEGA FLOREZ</t>
  </si>
  <si>
    <t>CONTRATO DE OBRAS PARA TRABAJOS DE ALBAÑILERIA EN COLEGIOS PUBLICOS. 8 MESES</t>
  </si>
  <si>
    <t>FUGOROBA INSTALACIONES Y SERVICIOS, S.L.</t>
  </si>
  <si>
    <t>DESMONTAJE Y ACOPIO DEL JARDÍN VERTICAL SITUADO EN LA CALLE CONSTITUCIÓN EN EL ANTIGUO EDIFICIO DE EL CORTE INGLÉS.</t>
  </si>
  <si>
    <t>CAMPAÑA DE PREVENCION DE ADICCIONES EN EL BARRIO DE LA VICTORIA-OVERUELA DENTRO DEL PLAN DE DROGAS DE 2023</t>
  </si>
  <si>
    <t>FUNDACION EME</t>
  </si>
  <si>
    <t>CONCIERTO DE PRIMAVERA PARA LAS P. MAYORES DE VALLADOLID QUE SE CELABRARA EL 22 DE ABRIL DE 2023 - INICIATIVAS SOCIALES</t>
  </si>
  <si>
    <t>ASISTENCIA PERSONAL EN EL PALACIO DE CONGRESOS CONDE ANSUREZ PARA ATENDER AL NUMEROSO PÚBLICO Y PONENTES TOUR DEL TALENT</t>
  </si>
  <si>
    <t>SERVICIOS DE CATERING EN EL PALACIO DE CONGRESOS CONDE ANSÚREZ DE LA UNIVERSIDAD DE VALLADOLID Y SERVICIO DE AUTOCARES</t>
  </si>
  <si>
    <t>CONTRATO AYUNTAMIENTO DE VALLADOLID Y FUNGE UVA. JORNADA DE APOYO AL TALENTO EN PALACIO DE CONGRESOS CONDE ANSUREZ</t>
  </si>
  <si>
    <t>CTTO SERVICIO CATERING INAUGURACIÓN NUEVA BIBLIOTECA PARQUESOL//31-03-2023</t>
  </si>
  <si>
    <t>ANUNCIO EXPOSICION CENSO ELECTORAL 9 Y 10 ABRIL 2023 - EL NORTE</t>
  </si>
  <si>
    <t>2023 05 4314 22699</t>
  </si>
  <si>
    <t>ALQUILER SALA CONCHA VELASCO 19 Y20 ABRIL 2023.CELEBRACION DE LA XIII SEMANA DE LA MODA ORGANIZADA POR AVADECO.</t>
  </si>
  <si>
    <t>CESION SALA CASA REVILLA FMC JORNADAS IGUALDAD ""CON M DE MALVA"" / MAYO 2023</t>
  </si>
  <si>
    <t>SUMINISTRO DE GAS ARCAL 1 PARA TRABAJOS DE SOLDADURA EN CIC SANTIAGO LÓPEZ</t>
  </si>
  <si>
    <t>SERVICIOS DE DINAMIZACIÓN Y ASISTENCIA AL VOTO EN LOS PRESUPUESTOS PARTICIPATIVOS 2023</t>
  </si>
  <si>
    <t>GPI  CARPAS Y SERVICIOS S.L.</t>
  </si>
  <si>
    <t>ALQUILER CARPA 10X15 CENTRO MUNICIPAL DE LA IGUALDAD / JULIO A SEPTIEMBRE 2023</t>
  </si>
  <si>
    <t>TRANSFORMACION DIGITAL DE LOS SERVICIOS DE ATENCION SOAL A LAS PERSONAS-convenio con JCYL financiado xFONDOS PRTR</t>
  </si>
  <si>
    <t>SOLICITUDES  DE INSCRIPCION EN LAS ACTIVIDADES DE ENVEJECIMIENTO ACTIVO DE LOS CVA EN 2023</t>
  </si>
  <si>
    <t>AJUSTE PRESUPUESTARIO DEL SUMINISTRO DE GAS PARA EL CENTRO DE FORMACION PARA EL EMPLEO  DEL 1/1 A 30/9/2023</t>
  </si>
  <si>
    <t>CTTO SUMINISTRO MARCAPÁGINAS PARA PUBLICITAR LA INAUGURACIÓN DE LA NUEVA BIBLIOTECA PARQUESOL//1 SEMANA//2023</t>
  </si>
  <si>
    <t>CARTELES A3 COLOR LASER PARA CC ESGUEVA</t>
  </si>
  <si>
    <t>ADQUISICION PLACAS Y PEANAS HOMENAJE ACTOS OFICIALES Y REPRESENTATIVOS, R.I.</t>
  </si>
  <si>
    <t>2023 02 1501 22602</t>
  </si>
  <si>
    <t>DAR A CONOCER LAS POLÍTICAS SOBRE VIVIENDA QUE DESARROLLA EL ÁREA ASI COMO LA DENÁMICA DEL SECTOR INMOBIL. EN VALLAD.</t>
  </si>
  <si>
    <t>1.000 PULSERAS COLORES COMUNIDAD GITANA - DÍA DEL PUEBLO GITANO - PLAN DE CONVIVENCIA CIUDADANA INTERCULTURAL</t>
  </si>
  <si>
    <t>GRUPO AMALGAMA, S.L.</t>
  </si>
  <si>
    <t>MATERIAL SENSIBILIZACION DIA 17 DE MAYO</t>
  </si>
  <si>
    <t>CTTO AMPLIACIÓN SUSCRIPCIÓN NORTE DE CASTILLA NUEVA  BIBLIOTECA PARQUESOL//31-03-2023 al  30-12-2023</t>
  </si>
  <si>
    <t>CIC NATIVIDAD ALVAREZ CHACÓN Y CC JL MOSQUERA/ MATERIALES VARIOS TRABAJOS ELÉCTRICOS</t>
  </si>
  <si>
    <t>CONTACTO SE ZBE-101 NA / CONTACTO SE ZBE-102 NC / INTERRUP NIESSEN 1.../ ACUERDO MARCO SUMINISTROS. SERVICIO DE LIMPIEZA</t>
  </si>
  <si>
    <t>MARCO 1E SE NU200218 BL. POLAR / INTERRUPT SE NU310118  ESTR. BL POLAR/ ACUERDO MARCO SUMINISTROS. LIMPIEZA VIARA.</t>
  </si>
  <si>
    <t>F - 5022 - INTERRUPTORES Y TAPAS - VVDA VINOS DE RUEDA 22 2ºB- CADIELSA SLU - 1 DIA</t>
  </si>
  <si>
    <t>TOTAL TRABAJOS REPARACION MATRICULA 0589GMF / TOTAL PIEZAS / ANEXO DETALLE FTP000020159 Y VALE</t>
  </si>
  <si>
    <t>TOTAL TRABAJOS REPARACION MATRICULA 4069KXH / TOTAL PIEZAS / SPSC 23/2020 / SERVICIO DE LIMPIEZA.</t>
  </si>
  <si>
    <t>ACUERDO MARCO. TRABAJOS REPARACION MATRICULA 8671JXF / TOTAL PIEZAS / ANEXO DETALLE FTP000020196</t>
  </si>
  <si>
    <t>ACUERDO MARCO.  TRABAJOS REPARACION MATRICULA 8671JXF / TOTAL PIEZAS / ANEXO DETALLE FTP000020196</t>
  </si>
  <si>
    <t>TOTAL TRABAJOS REPARACION MATRICULA 4042KXH / TOTAL PIEZAS / FTP000020269/ SPSC 23/2020 / SERVICIO DE LIMPIEZA.</t>
  </si>
  <si>
    <t>MANO DE OBRA INSTALACIÓN FUNDAS+ DES/MONTAJE DISPOSITIVO DE GEOLOCALIZACION / TRASLADO 2 VEHICULOS PARA CARROZAR  / FUND</t>
  </si>
  <si>
    <t>MANO DE OBRA DIAGNOSTICCO SUSTITUCION / POLEA ARBOL DE LEVAS / KIT DISTRIBUCION / CORREA DE ACCESORIOS  / OFICIA CONTABL</t>
  </si>
  <si>
    <t>TOTAL TRABAJOS REPARACION MATRICULA 4069KXH / ANEXO DETALLE FTP000020284 / AM SPSC 23/2020. SERVICIO DE LIMPIEZA.</t>
  </si>
  <si>
    <t>TOTAL TRABAJOS REPARACIÓN MATRICULA 3856DDD / TOTAL PIEZAS / ANEXO DETALLE FTM000008507</t>
  </si>
  <si>
    <t>TRABAJOS REPARACIÓN VEHÍCULO MATRICULA 8831JXF / ANEXO DETALLE FTP000020390</t>
  </si>
  <si>
    <t>TOTAL TRABAJOS REPARACIÓN MATRÍCULA 2568FZB / TOTAL PIEZAS / ANEXO DETALLE FTP.../ AM SPSC 23/2020. SERVICIO DE LIMPIEZA</t>
  </si>
  <si>
    <t>ALBARÁN 0026898 MATRÍCULA 2488FXC: 52,56¿ ALBARÁN 0027228 MATRÍCULA 4042KXH.../ AM SPSC 23/2020. SERVICIO DE LIMPIEZA.</t>
  </si>
  <si>
    <t>TOTAL TRABAJOS REPARACIÓN MATRÍCULA 4042KXH / TOTAL PIEZAS / ANEXO DETALLE FTP.../ AM SPSC 23/2020. SERVICIO DE LIMPIEZA</t>
  </si>
  <si>
    <t>CARROCERIAS Y GRUAS M. TORRE S.L.</t>
  </si>
  <si>
    <t>MATERIALES (ALBARAN 101W000036) DEL 27/01/2023 / SPSC 23/2020 / SERVICIO DE LIMPIEZA.</t>
  </si>
  <si>
    <t>MATRÍ.: 1273GKG //  MATERIALES Y MANO DE OBRA (FUGA DE ACEITE Y REVISIÓN ITV GRUA) / SPSC 23/2020 / SERVICIO DE LIMPIEZA</t>
  </si>
  <si>
    <t>5546213-ALBARAN23 185 14/02/2023 500025218L LITRO AD BLUE / 5546356-ALBARAN23 187 14/02/2023 0504096615 INTERRUPTOR / 55</t>
  </si>
  <si>
    <t>TA23 284 REPARACION 3687-FJM KMS.137822  D-M PIÑA DE LUCES, COMPROBAR INSTALACION Y REPARAR LA MISMA. / D-M PANEL DE PUE</t>
  </si>
  <si>
    <t>6616 LBZ / DONAL/SH63566 - FILTRO HIDRAULICO / (34565-BGW) / BOSCH/0001251006 - MOT.../ V36/2017 / SERVICIO DE LIMPIEZA.</t>
  </si>
  <si>
    <t>TA23 456 REPARACION 5833-BZK KMS.234076  REV.LUCES, REPARAR INSTALACIONES DE LOS 2 PILOTOS TRASEROS Y DE LAS LUCES DE MA</t>
  </si>
  <si>
    <t>7686-CZT D-M CAJA DE CAMBIOS PARA CAMBIAR EMBRAGUE Y RODAMIENTO DE PUNTA.... / 23/2020 / SERVICIO DE LIMPIEZA.</t>
  </si>
  <si>
    <t>3511-BHT KMS.606351 HACER PRUEBAS Y DIAG. AVERIA. CAMBIAR GOMAS DEL CILINDRO DE GAMA/ 23/2020 / SERVICIO DE LIMPIEZA.</t>
  </si>
  <si>
    <t>4459-KLP REV.DIRECCION INESTABLE, COMPROBAR SI TIENE HOLGURAS Y APRETAR ABARCONES .../ 23/2020 / SERVICIO DE LIMPIEZA.</t>
  </si>
  <si>
    <t>0838-KWH CAMBIAR ACEITE MOTOR, FILTROS DE ACEITE, GASOIL, AIRE, SECADOR, ADBLUE Y RE.../ 23/2020 / SERVICIO DE LIMPIEZA</t>
  </si>
  <si>
    <t>4178-JDZ CAMBIAR RADIADOR DE AGUA / METER EASY PARA VER AVERIAS, HACER SANITY REGENERACI/ 23/2020 / SERVICIO DE LIMPIEZA</t>
  </si>
  <si>
    <t>TA23 10 REPARACION 3816-GKW KMS.125332 CAMBIAR MOTOR Y FILTRO DE ACEITE  / D-M ACCESORIOS DE CALEFACCION PARA CAMBIAR MO</t>
  </si>
  <si>
    <t>TA23 32 REPARACION 8367-JKB KMS.39161 CAMBIAR BATERIA  / 64A BATERIA 64AH</t>
  </si>
  <si>
    <t>TA23 324 REPARACION 3883-FMN KMS.89640 REVISAR FUGA DE GASES DE ESCAPE, HACER PRUEBA MANUAL DE INYECTORES, D-M INYECTOR</t>
  </si>
  <si>
    <t>TA23 373 REPARACION 0044-GJV KMS.369694 REVISAR RUIDO EN CAJA CAMBIOS D-M CAJA D.../ SPSC 23/2020 / SERVICIO DE LIMPIEZA</t>
  </si>
  <si>
    <t>TA23 581 REPARACION 5689-CFT // KMS.122253  CAMBIAR TIRANTES Y CASQUILLOS DE LA BARRA ESTABILZIADORA / 081252 - SOPORTE</t>
  </si>
  <si>
    <t>R23 159  5552681-ALBARÁN 23 290 06/03/2023 0504096596 INTERRUPTOR / 0504096615 INTERRUPTOR</t>
  </si>
  <si>
    <t>TA23 479 REPARACION VA-9532-X KMS.80954  REV.PERDIDA DE ACEITE, SOLTAR TRANSMISION,  D-M TOMA DE FUERZA DEL VEHICULO D-M</t>
  </si>
  <si>
    <t>TA23 534 REPARACION 3687-FJM // KMS.136221 REVISAR, SE CALIENTA D-M RADIADORES DE LA UNIDAD PARA LIMPIAR, CAMBIAR TESMOS</t>
  </si>
  <si>
    <t>TA23 618 REPARACIÓN 7535-LLT KMS.15630 REV. INSTALACIÓN DEL MOTOR DEL BASCULANTE, NO CIERRA EL CIRCUITO, REPARAR ELECTRO</t>
  </si>
  <si>
    <t>2023 07 1711 22699</t>
  </si>
  <si>
    <t>OPA 220220076995 - ALBARÁN Nº 301V070070 DEL 18/07/2022 // REVISION 500 H. 3CX SERVO PLUS</t>
  </si>
  <si>
    <t>REPARACION 8831-JXF KMS.77358 D-M ACCESORIOS PARA D-M CATALIZADOR Y  REPARACION DE CATALIZADOR.</t>
  </si>
  <si>
    <t>TA23 494 REPARACION 0838-KWH // KMS.104762 METER EASY PARA VER AVERIAS, HACER.../ AM SPSC 23/2020. SERVICIO DE LIMPIEZA.</t>
  </si>
  <si>
    <t>R23 161  5553594-ALBARÁN 23 313 09/03/2023 500025218L LITRO AD BLUE / 5560285-ALBARÁN 23 375 31/03/2023 500025218L LITRO</t>
  </si>
  <si>
    <t>0838-KWH // CAMBIAR FILTRO DE PARTICULAS / 1 580202036900 - FILTRO / 1 580.../ AM SPSC 23/2020. SERVICIO DE LIMPIEZA.</t>
  </si>
  <si>
    <t>TA23 634 REPARACIÓN 0838-KWH // KMS.104590 D-M VALVULA 4 VIAS, SUSTITUIR LA MI.../ AM SPSC 23/2020. SERVICIO DE LIMPIEZA</t>
  </si>
  <si>
    <t>TA23 641 REPARAR 0838-KWH// KMS.105464 // REV.NO ENTRAN LAS VELOCIDADES.../ AM SPSC 23/2020. SERVICIO DE LIMPIEZA.</t>
  </si>
  <si>
    <t>LIMPIEZA Y REFORMA DE LA ZONA AJARDINADA DEL CC JOSÉ MARÍA LUELMO</t>
  </si>
  <si>
    <t>TA23 642 REPARACION 6671-KWD // KMS.110733 // REV.PERDIDA DE ACEITE POR.../ AM SPSC 23/2020. SERVICIO DE LIMPIEZA.</t>
  </si>
  <si>
    <t>TA23 661 REPARACION 7334-LWL //  KMS.24653 // REPARAR GOLPE SUPERIOR DE CAJA.../ AM SPSC 23/2020. SERVICIO DE LIMPIEZA.</t>
  </si>
  <si>
    <t>TA23 690 REPARACIÓN 6616-LBZ KMS.108576 METER EASY PARA VER AVERIAS, HACER PR.../ AM SPSC 23/2020. SERVICIO DE LIMPIEZA.</t>
  </si>
  <si>
    <t>EVANGELINA MARTIN LOZANO</t>
  </si>
  <si>
    <t>9788409204038 1220 PREGUNTAS ESTATÚTO BÁSICO EP 3ª ED / 9788470528804 PRÁCTICA TRIBUTARIA PRESUPUESTARIA Y FINANCIERA</t>
  </si>
  <si>
    <t>VILLANUEVA DE SAN MANCIO</t>
  </si>
  <si>
    <t>LIBRERIA MAXTOR, SOCIEDAD LIMITADA</t>
  </si>
  <si>
    <t>CÓDIGO DE RÉGIMEN LOCAL ( Corresponde a N/E  4 ) / ED.2022 SUPUESTOS PRÁCTICOS DE RÉGIMEN LOCAL  ( Corresponde a N/E  3</t>
  </si>
  <si>
    <t>REPARACIÓN PUERTA CON CAMBIO DE BISAGRAS. LIMPIEZA VIARIA.</t>
  </si>
  <si>
    <t>MACETA COMETA 22X21</t>
  </si>
  <si>
    <t>SUMINISTRO DE HORTICOLAS VARIADAS,FRESAS 4 UD,ANTIHORMIGAS CEBO PARA EL CURSO DE PARQUES Y JARDINES IVDEL C. DE F</t>
  </si>
  <si>
    <t>LAURUS NOBILIS / ROMERO POSTATUM / LAVANDA HYBRIDA / THYMUS VULGARIS / THYMUS CITRIODORUS</t>
  </si>
  <si>
    <t>MANTENIMIENTO, SUMINISTRO DE  MATERIAL VARIO CONSTRUCCION PRA EL CPM ZONA ESTE- DUR 1 DIA</t>
  </si>
  <si>
    <t>SUMINISTRO MATERIALES PARA TRABAJOS DE ALBAÑILERÍA REALIZADOS POR MANTENIMIENTO EN CC J.M. LUELMO Y CIC SEGUNDO MONTES</t>
  </si>
  <si>
    <t>TECHO 1 PLUS B7 6OO*600/40MM EUROCOUSTIC D, DE LA OFICINA DE VENTA AMBULANTE SITA EN LA C/ HOSTIEROS, 1</t>
  </si>
  <si>
    <t>MANTENIMINETO, SUMINISTRO DE MATERIAL VARIO CONSTRUCCION PRA EL CPM ZONA ESTE- DURA 1 DIA</t>
  </si>
  <si>
    <t>ACEITE MOTOR PLUS-50 LATA 5.Lts / SIGAUS / ARANDELA METAL GOMA M18 / PILOTO INTERMITENCIA/POSICION / TAPADERA / ANILLO T</t>
  </si>
  <si>
    <t>CEGUI/210600014 - RAVO CEPILLO LATERAL NYLON-ACERO TRENZADO / EXP. V36/2017 / SERVICIO DE LIMPIEZA.</t>
  </si>
  <si>
    <t>JCB/81190589 - PIVOT PIN 32x118mm' / JCB/13153419Z - BOLT M10X90' / JCB/13700303D - NUT M10 STD SELF LOCK'</t>
  </si>
  <si>
    <t>4042KXH / SWF/132651 - 2UD ESC.650 650 / 8875KMN / JURID/2925305390 - PASTILLAS V. J.../ V36/2017 / SERVICIO DE LIMPIEZA</t>
  </si>
  <si>
    <t>ASPOC/215200017-PILOTO POSICION BLANCO C/REFLECTANTE/RINDE/17100-LAT.AMBAR S/REF.../ EXP V36/2017 SERVICIO DE LIMPIEZA.</t>
  </si>
  <si>
    <t>8500LRN / ADAIC/0106047 - BRIDA SOPORTE ALETA ACERO CINCADO D.42 REGULABLE.../ AM EXP V36/2017. SERVICIO DE LIMPIEZA.</t>
  </si>
  <si>
    <t>KGS PLANCHA GOMA SBR C/TEJIDO 3PLY 8MMX1.40MTSX10MTS / EXP V36/2017 / SERVICIO DE LIMPIEZA.</t>
  </si>
  <si>
    <t>PULVERIZADOR 1000CC LUXE COLORES / ROLLO CINTA BALIZAMIENTO SINEX ROJO/BLANCA 200MX70MM 0.03MM / GUANTE PIEL T/FLOR BLAN</t>
  </si>
  <si>
    <t>ROLLO ALAMBRE GALVANIZADO BOBINA Nº4 0.9MMX60M / ROLLO ALAMBRE GALVANIZADO BOBINA Nº7 1.25MMX50M / PISTOLA SILICONA TAJI</t>
  </si>
  <si>
    <t>CRISTAL AUTO VALLADOLID S.L.</t>
  </si>
  <si>
    <t>PARABRISAS VERDE (E 1768 BGJ) / MONTAR PARABRISAS PEGADO CAMIONES PEQUEÑOS / AM SPSC 23/2020. LIMPIEZA VIARIA.</t>
  </si>
  <si>
    <t>BATERIA BTX7A-BS ( HR-II JOTA )</t>
  </si>
  <si>
    <t>MOTUL 710 MEZCAL MOTORES 2T</t>
  </si>
  <si>
    <t>ACUERDO MARCO. REPARACION MOTOCICLETA. MANETA DE FRENO DELANTERO ORIGINAL HONDA CB-500-X 1 DIS / MAN. FRENO DELANTERO</t>
  </si>
  <si>
    <t>NEUMÁTICO DELANTERO DUNLOP SCOOTSMART 90/90-14 52P (3391-KWN HR-I) / NEUMÁTICO TRASERO DUNLOP SCOOTSMART 100/90-14 57P</t>
  </si>
  <si>
    <t>NEUMATICO DELANTERO DUNLOP SCOOTSMART 90/90-14 52P ( 3391-KWN HR-I ) / NEUMATICO TRASERO DUNLOP SCOOTSMART 100/90-14 57P</t>
  </si>
  <si>
    <t>ACUERDO MARCO. REPARACIÓN DE MOTOCICLETAS DE POLICÍA.</t>
  </si>
  <si>
    <t>ACUEERDO MARCO. REPARACIÓN DE MOTOCICLETAS DE POLICÍA.</t>
  </si>
  <si>
    <t>2023 08 1651 22199</t>
  </si>
  <si>
    <t>PUNTA BAHCO 1/4HEX-4X25MM STAN / VASO 1/4 P. PH-1 23730 PROXXON / VASO 1/4 P. PH-2 23731 PROXXON / JGO PUNTAS Y ADAPTAD.</t>
  </si>
  <si>
    <t>ACUERDO MARCO. REPARACIÓN MOTOCICLETAS DE POLICÍA.</t>
  </si>
  <si>
    <t>REPARACIÓN MOTOCICLETA DE POLICÍA MATRÍCULA: 9096-JPW // REPARACIÓN MÓDULO ABS.</t>
  </si>
  <si>
    <t>DELTACINCO LINEA VERDE S.L.</t>
  </si>
  <si>
    <t>CORREA XPA 1600 / TORNILLO / CASQUILLO / TUERCA / PASADOR / ARANDELA / ARANDELA / RUEDA PROFIHOPPER PLATAFORMA /</t>
  </si>
  <si>
    <t>TUERCA / TORNILLO / CHAVETA / ARANDELA / TORNILLO M8X45 / CASQUILLO / CASQUILLO / Mano de obra a cliente</t>
  </si>
  <si>
    <t>TUBO COMBUSTIBLE / ANILL8 / KIT BOMBA AGUA / COOL-GARD II  TM / SIGAUS / LATA 5L.TOTAL TIR 8900 10W40 / SIGAUS / FILTRO</t>
  </si>
  <si>
    <t>SOPORTE A ROSCA / BULON ESPECIAL / TUERCA / TORNILLO / CHAVETA / ARANDELA / TORNILLO M8X45</t>
  </si>
  <si>
    <t>MANTENIMIENTOS/CAMBIAR BUJIAS X5/CAMBIAR ACEITE EJE TRASERO/KIT REPARACION.../ SPSC 23/2020 / SERVICIO DE LIMPIEZA.</t>
  </si>
  <si>
    <t>SELENOIDE / AM SPSC 23/2020 / SERVICIO DE LIMPIEZA.</t>
  </si>
  <si>
    <t>CAMBIAR VALVULA APS ( 10258000 ) / VALVULA APS ( 2310330 )/ AM SPSC 23/2020 / SERVICIO DE LIMPIEZA.</t>
  </si>
  <si>
    <t>OR: 11633 - MATRICULA: 0375LDD / MANTENIENTOS (00175129) / CAMBIAR BUJIAS (0.../ AM SPSC 23/2020. SERVICIO DE LIMPIEZA.</t>
  </si>
  <si>
    <t>OR: 11660 - MATRICULA: 0432KMP / LOCALIZACION DE AVERIAS ( 16005012 ).../ AM SPSC 23/2020. SERVICIO DE LIMIPIEZA.</t>
  </si>
  <si>
    <t>OR: 11773 - MATRICULA: 0432KMP / CAMBIAR VALVULA CAMBIO ( 05528000 ) / SELENOIDE/ AM SPSC 23/2020. SERVICIO DE LIMPIEZA.</t>
  </si>
  <si>
    <t>SUMINISTRO DE MATERIAL PARA EL CURSO DE  PINTURA DECORATIVA V DEL C. DE FORMACION PARA EL EMPLEO</t>
  </si>
  <si>
    <t>ALBARAN: AV23/01681 F: 28/03/2023 / LLAVE AJUSTABLE M/CENTRAL AISLADA 200MM / MINI ARCO DE SIERRA ALYCO / GE0011750 / EL</t>
  </si>
  <si>
    <t>ALBARÁN: AV23/00899 F: 20/02/2023 / CARTUCHO HP ORIGINAL HP 302 TRICOLOR / LTS.TALADRINA ECOCOOL MG 540. / TORNILLO AUTO</t>
  </si>
  <si>
    <t>ACUERDO MARCO REPARACION VEHICULO OFICIAL RENAULT LAGUNA 0901 GKZ, R.I.I</t>
  </si>
  <si>
    <t>MANT. SUMINISTRO DE  PACK ARO ARKOS LED 8W 3000K / ECO TASA BOMBILLAS, PARA REPARACION DEL JACINTO BENAVENTE.DUR 1 DIA</t>
  </si>
  <si>
    <t>LICENCIAS, MTO. Y ASISTENCIA TÉCNICA DEL GESTOR DOCUMENTAL ALFRESCO, SEGUNDA PRÓRROGA DEL 1/6/23 AL 31/5/24 (3/2023)</t>
  </si>
  <si>
    <t>CONTRATO PARA LA IMPRESION DE PAPELETAS ELECTORALES - ELECCIONES MUNICIPALES MAYO 2023</t>
  </si>
  <si>
    <t>SUMINISTRO DE MATERIAL PARA EL CURSO DE PINTURA DECORATIVA V DEL C. DE F. PARA EL EMPLEO- JACINTO BENAVENTE</t>
  </si>
  <si>
    <t>ALBARAN: AV23/01503 F: 20/03/2023 / BIDON C/CANULA 5LTS. REF.670008 / ELECTRODO CITOFIX 2,5MM / ELECTRODO CITOFIX 3,25MM</t>
  </si>
  <si>
    <t>ALBARAN: AV23/01915 F: 10/04/2023 / DISCO CORTE MADERA 125*2*22,2 / TORNILLO AUTOTAL.C/ARANDELA 5,5*38 7504K / PILA 4R25</t>
  </si>
  <si>
    <t>ALBARÁN: AV23/02029 F: 14/04/2023 / MTS.CADENA GALVANIZADA DE 4,00mm / GE0012478 / C.P. MIGUEL DELIBES / ID0036228 / ALB</t>
  </si>
  <si>
    <t>ALBARÁN: AV23/01643 F: 25/03/2023 / TIJERA WOLFPACK PODAR REF. 1172 60CM / FLE.../ AM EXP V36/2017. LIMPIEZA VIARIA.</t>
  </si>
  <si>
    <t>SUMINISTRO DE MATERIAL , COLGADOR 107*30*52MM 2088-2 INOFIX / CURSO PINTURA DECORATIVA V- JACINTO BENAVENTE- DUR 1 DIA</t>
  </si>
  <si>
    <t>SUMINISTRO DE MATERIAL ,  PERCHA MADERA / CURSO SOCIOSANITARIO VI- JACINTO BENAVENTE- DUR 1 DIA</t>
  </si>
  <si>
    <t>MATERIALES PARA CIC SEGUNDO MONTES Y CC J.M. LUELMO</t>
  </si>
  <si>
    <t>GRAU MAQUINARIA I SERVEI INTEGRAL, S.A.</t>
  </si>
  <si>
    <t>ADQUISICION DOS BARREDORAS ARTICULADAS DE PEQUEÑAS DIMENSIONES. LIMPIEZA VIARIA.</t>
  </si>
  <si>
    <t>GRANOLLERS</t>
  </si>
  <si>
    <t>SUMINISTRO DE MATERIAL,  CINTA SUJETAGAFAS PACK 10 UND,ETC....PARA EL CURSO PARQUES Y JARDINES IV DEL C. DE F.PARAEMPLEO</t>
  </si>
  <si>
    <t>SUMINISTRO MATERIAL PARA EL CURSO DE PARQUES Y JARDINES IV DEL C. DE F. PARA EL EMPLEO- INICIATIVAS SOCIALES- DURA 1 DIA</t>
  </si>
  <si>
    <t>SUMINISTRO MATERIAL,  BARBUQUEJO, CASCO, GUANTE, FILTROS DEL  CURSO PARQUES Y JARDINES IV - JACINTO BENAVENTE</t>
  </si>
  <si>
    <t>GRUPO MECANICA DEL VUELO SISTEMAS, S.A.</t>
  </si>
  <si>
    <t>SERVICIO ANUAL AÑO 2023 DE TRANSMISIÓN DE DATOS DE EQUIPOS GPS INSTALADOS EN VEHÍCULOS DEL SERVICIO DE LIMPIEZA.</t>
  </si>
  <si>
    <t>REPARACIONESPEQUEÑA  MAQUINARIA PARA EL CURSO PARQUES Y JARDINES IV  DEL C. DE F. PARA EL EMPLEO- JACINTO BENAVENTE</t>
  </si>
  <si>
    <t>LWR25BG-EU - FOCO DE TRABAJO 30W RECARGABLE 2500M 5000k</t>
  </si>
  <si>
    <t>2217291500 - DOWNLIGHT LED ECOLEX 2 1729 14W 4000K 1380LM CRI90</t>
  </si>
  <si>
    <t>COMPENSACION BONO SOCIAL REMESA FACTURAS FOTOVOLTAICAS MAYO 2023</t>
  </si>
  <si>
    <t>A.M. REPARACION VEHICULO OFICIAL RENAULT VEL SATIS 3161 GFG, R.I.</t>
  </si>
  <si>
    <t>A.M. REPARACION DE VEHICULO OFICIAL RENAULT LAGUNA 0908 GKZ, R.I.</t>
  </si>
  <si>
    <t>PDPLR06C10 - Pila alcalina Duracell-Procell AA LR06 1,5V (caja  / T - GE0003954 PREVENCION EXTINCION DE INCENDIOS</t>
  </si>
  <si>
    <t>F - 2913 - DETECTOR PIR 360 PARA ALBERGUE MUNICIPAL - ENERGINOBA SL. - 1 DIA</t>
  </si>
  <si>
    <t>MANTENIMIENTO, SUMINISTRO MATERIAL PARA REPARACIONES DEL CPM ZONA SUR- DUR 1 DIA</t>
  </si>
  <si>
    <t>NSYCRN345150 - Armario metálico puerta ciega 450x150x300 mm / REC36-12 - Batería Yuasa AGM 12V 36Ah C20 196x130x169 11,2</t>
  </si>
  <si>
    <t>MANT. SUMINT. DE  MATERIAL PARA REPARACIONES(Lámpara Osram F-6W L-20/640 T5)DEL CPM ZONA SUR-DUR 1 DIA</t>
  </si>
  <si>
    <t>AJJ STORES S.A.</t>
  </si>
  <si>
    <t>Mantenimiento y reparación de maquinaria de jardinería en garantía.</t>
  </si>
  <si>
    <t>LA BAÑEZA</t>
  </si>
  <si>
    <t>ACUERDO MARCO. SUMINISTRO DE MATERIAL ELECTRICO: CAJA DE RECARGA EHOME LINK T2S16 TRI / 13979 - CAJA ESTANCA MINIK. ETC.</t>
  </si>
  <si>
    <t>ACUERDO MARCO. SUMINISTRO DE MATERIAL PARA POLICÍA MUNICIPAL.</t>
  </si>
  <si>
    <t>SE-PC 14/2023: PRÓRROGA CONTRATO DE MANTENIMIENTO DE JARDINES DE LOS CENTROS DE PARTICIPACIÓN CIUDADANA (25 MAY-31 DIC)</t>
  </si>
  <si>
    <t>AJUSTE PRESUPUESTARIO SUMINISTRO DE ELECTRICIDAD DEL CENTRO DE FORMACION PARA EL EMPLEO EN 2023</t>
  </si>
  <si>
    <t>SERVICIO DE REPARTO DOCUMENTACION Y MENSAJERIA CEAS Y CPMS. 52 REPARTOS. DE 1/4/23 A 31/3/24  (39 EN 2023 Y 13 EN 2024)</t>
  </si>
  <si>
    <t>HARDTRONIC, S.L.</t>
  </si>
  <si>
    <t>SUMINISTRO DE LECTORES DE CÓDIGO DE BARRAS, CON DESTINO EL EXCMO. AYUNTAMIENTO DE VALLADOLID</t>
  </si>
  <si>
    <t>HEARST MAGAZINES, S.L.</t>
  </si>
  <si>
    <t>CTTO SUSCRIPCIÓN REVISTAS FOTOGRAMAS, ELLE, ELLE DECORACIÓN, HARPER´S BAZAAR Y COSMOPOLITAN PARA BIBLIOTECAS P//AÑO 2023</t>
  </si>
  <si>
    <t>F - 141 - GESTION DEL ALBERGUE MUNICIPAL - DICIEMBRE 2022 - FUNDACION INTRAS</t>
  </si>
  <si>
    <t>HOSTELERIA Y LAVANDERIA VALL, S.L.U.</t>
  </si>
  <si>
    <t>REPARACION ARMARIO DE FRIO DEL CVA DELICIAS- INICIATIVAS SOCIALES- ABRIL 2023</t>
  </si>
  <si>
    <t>PISTAS DE ATLETISMO ""CIUDAD DE VALLADOLID"" , EL GIMNASIO Y LA PISCINA H DEL REY 21/03/23 PRUEBAS SELECITVAS DEL S.E.I.S.</t>
  </si>
  <si>
    <t>IBERPATENT, S.L.</t>
  </si>
  <si>
    <t>TRAMITACIÓN DE LA PATENTE DEL LOGO AEMVA</t>
  </si>
  <si>
    <t>PISTAS DE ATLETISMO ""CIUDAD DE VALLADOLID"" Y PISCINA HUERTA DEL REY // 24-04-2023 // PRUEBAS FÍSICAS POLICIA LOCAL</t>
  </si>
  <si>
    <t>MANTENIMIETO DE LOS ELEVADORES DE LOS CVA  ZONA SUR, Z.ESTE, FRAY LUIS, RONDILL, DELIC,PTE.COLG Y VICTORIAEN 2023</t>
  </si>
  <si>
    <t>IBERSYS SEGURIDAD Y SALUD, S.L.</t>
  </si>
  <si>
    <t>Mediciones Higiénicas de humos de soldadura, humos de asfalto y polvo de madera. DPTO. DE PREVENCION Y SALUD LABORAL</t>
  </si>
  <si>
    <t>I-DE REDES ELECTRICAS INTELIGENTES S.A.</t>
  </si>
  <si>
    <t>ENTRONQUE CON RED DE DISTRIBUCIÓN/REFUERZO RED EXISTENTE PASEO JUAN CARLOS I 3 BAJO 5</t>
  </si>
  <si>
    <t>IDEAS INICIATIVAS DE ECONOMIA ALTERNATIVA  Y SOLIDARIA, S.C.A</t>
  </si>
  <si>
    <t>IMPARTICION DEL CURSO SOBRE COMERCIO JUSTO-HERRAMIENTA DE DESARROLLO Y AGENDA 2030, DIRIGUIDO A PERSONAL MUNICIPAL</t>
  </si>
  <si>
    <t>VILLAFRANCA DE CORDOBA</t>
  </si>
  <si>
    <t>CORDOBA</t>
  </si>
  <si>
    <t>DESARROLLO PLENO Y COMISIONES DEL CONSEJO MUNICIPAL DE LA INFANCIA MAYO 2023</t>
  </si>
  <si>
    <t>COLABORACIÓN 6ª MARCHA Y CARRERA DE LAS MUJERES / MAYO 2023</t>
  </si>
  <si>
    <t>SERVICIO DIFUSION Y DINAMIZACION DE LA ACTIVIDAD DE RESTAURACION Y PROTECION DEL PATRIMONIO EN CENTRO MARCELINA PONCELA</t>
  </si>
  <si>
    <t>APORTACION MUNICIPAL AL CONVENIO CON CAIXA PARA CIBERAULA - GASTOS DE LIMPIEZA</t>
  </si>
  <si>
    <t>PRÓRROGA CONV. ASESOR. JURÍDICO S/DCHO FAMILIA Y PENAL Y S/MECANIS. 2ª OPORTUNIDAD - DE 1/7 A 31/12</t>
  </si>
  <si>
    <t>Gastos comida con ponentes a la finalización del Festival de Cine ""Mirada gitana"", actividad de la XX Semana Intercultur</t>
  </si>
  <si>
    <t>Alojamiento/manutención ponente acción formativa Ley 8/2021 (17-mayo) para personal de serv/equipos familia-infancia.</t>
  </si>
  <si>
    <t>Alojamiento y desayuno de uno de los ponentes Festival Cine ""Mirada gitana"", actividad de la XX Semana Intercultural.</t>
  </si>
  <si>
    <t>2023 10 2312 22001</t>
  </si>
  <si>
    <t>SUSCRICIÓN DE DOS EJEMPLARES DEL 1 DE MAYO AL 17 DE OCTUBRE PARA EL CVA PARQUESOL- INICITIVAS SOCIALES</t>
  </si>
  <si>
    <t>IMPRESION 6.000 FOLLETOS DISCRI RACIAL Y ETNICA Y 20.000 GUIA RECURSOS INMIGRANTES CIUDAD VA</t>
  </si>
  <si>
    <t>VALVULAS RETENCIÓN SURTIDOR HIDROCARBUROS NORMATIVA IP-04 PARA EL SURTIDOR DEL SERVICIO DE LIMPIEZA.</t>
  </si>
  <si>
    <t>2023 11 1321 626</t>
  </si>
  <si>
    <t>INNOVACION TECNOLOGICA EN EDUCACION, S.L.</t>
  </si>
  <si>
    <t>ADQUISICIÓN DE DOS ORDENADORES PORTÁTILES  PARA GALERÍA DE TIRO E INFORMÁTICA DE LA POLICÍA MUNICIPAL.</t>
  </si>
  <si>
    <t>FESTIVAL 60+ACTIVOS EL 20 DE MAYO EN LA CUPULA DEL MILENIO- CENTROS DE VIDA ACTIVA</t>
  </si>
  <si>
    <t>REPOSICIÓN SOPORTES PANELES HORA DEL PLANETA / 1 DIA</t>
  </si>
  <si>
    <t>ELECTRIF. Y LEGALIZ. DE INSTALACIÓN ELÉC. 2 PLAFAFORMAS CONTENEDORES SOTERRADOS PLAZA SAN ANDRES. SERVICIO DE LIMPIEZA.</t>
  </si>
  <si>
    <t>ALQUILER CAMION CESTA PARA MONTAJE Y DESMONTAJE TELAS EN FACHADA SERMON DE LAS SIETE PALABRAS SEMANA SANTA 2023, R.I.</t>
  </si>
  <si>
    <t>INSTALACION ELECTRICA TEMPORAL DIA 15 DE ABRIL</t>
  </si>
  <si>
    <t>ALQUILER INST ELÉCT TEMPORAL CELEBRACIÓN FESTIVAL CULTURAS - XX SEMANA INTERCULTURAL - 30 DE ABRIL</t>
  </si>
  <si>
    <t>INSTALACIONES ELECTRICAS OLMEDO CACERES S.L.</t>
  </si>
  <si>
    <t>COLOCACIÓN CIRCUITO DE ALIMENTACIÓN  ELÉCTRICA  PARA CONECTAR HORNO DE REGENER. EN LAS E. DIURNAS DEL CVA PARQUESOL.2023</t>
  </si>
  <si>
    <t>Complementario para sustittucion de instalación que automatiza la gestión climática del invernadero de Renedo de Esgueva</t>
  </si>
  <si>
    <t>2023 10 2311 22606</t>
  </si>
  <si>
    <t>INSTITUCION FERIAL CASTILLA-LEON</t>
  </si>
  <si>
    <t>CONTRATACIÓN SALAS Y MONTAJE/DESMONTAJE EN FERIA DE VALL. PARA JORNADAS CONGRESO ""DEPORTE QUE TRANSFORMA"" (29-31 MARZO)</t>
  </si>
  <si>
    <t>MANTENIMIENTO SISTEMAS SEGURIDAD EN INST.Y CENTROS DEPENDIENTES DEL SERVICIO DE MANTENIMIENTO. (Expte.8/23).</t>
  </si>
  <si>
    <t>AMPLIACIÓN CONTRATO MANTENIMIENTO STMAS DE SEGURIDAD EMMVA EN EL ANTIGUO COMEDOR COLEGIO MARIA DE MOLINA. 2023.</t>
  </si>
  <si>
    <t>SEGURIDAD Y SALUD OBRA PADRE CLARET.</t>
  </si>
  <si>
    <t>SEGURIDAD Y SALUD OBRA URBANIZACIÓN CAMINO VIEJO SIMANCAS  -TRAMO 1 (EXPTE. 17/2022).</t>
  </si>
  <si>
    <t>Redacción Estudio Seguridad y Salud Proyecto Urbanización y carril bici en C/ Arca Real, entre Avda.Zamora y C/ Bronce.-</t>
  </si>
  <si>
    <t>REDAC ESTUDIO SEGURIDAD-SALUD PROYTO Y DE EJECUCIÓN OBRAS E INSTALACIÓN PARA IMPLANTACIÓN DE ASCENSOR URBANO C/ VELETA.</t>
  </si>
  <si>
    <t>J K VENTURES SL</t>
  </si>
  <si>
    <t>ELABORACION DISEÑO CARTEL IDENTIFICATIVO DE LA 56 EDICION DE LA FERIA DEL LIBRO DE VALLADOLID 2023</t>
  </si>
  <si>
    <t>SUSCRIPCION PERIODICOS EL NORTE DE CASTILLA</t>
  </si>
  <si>
    <t>REALIZACION DEL EVENTO FESTIVA EN EL METAVERSO DENTRO DEL PLAN SMARTVA EL DIA 19 DE MAYO DE 2023</t>
  </si>
  <si>
    <t>SUMINISTRO DE LIBROS , GUIA DE PLANTAS PARA EL CURSO DE PARQUES Y JARDINES IV DEL CENTRO DE FORMACION PARA EL EMPLEO-23</t>
  </si>
  <si>
    <t>COMPRA DE 70 EJEMPLARES DE CONSTITUCIÓN ESPAÑOLA PARA ENTREGAR EN CURSOS VALORES CONST. PARA INMIGRANTES</t>
  </si>
  <si>
    <t>GASTO SUMINISTRO ESCENARIO Y EQUIPO DE SONIDO PARA ESPECTACULO FESTIVAL JAIPUR EN FERIA DEL LIBRO VALLADOLID 2023</t>
  </si>
  <si>
    <t>ALQUILER SONIDO, ESCENARIO, PERSONAL COLOCACION SILLAS, Y PERSONAL TÉCNICO 22-MAYO -  MESA DIVERSIDAD RELIGIOSA</t>
  </si>
  <si>
    <t>JESUS MIGUEL PEREZ SAN JOSE</t>
  </si>
  <si>
    <t>CTTO SUMINISTRO FOTOGRAFÍA Y ENMARCADO DE BIBLIOTECA PARQUESOL ""SANTIAGO DE LOS MOZOS""//1 SEMANA//2023</t>
  </si>
  <si>
    <t>ALB. A23/176463 de 03/04/2023 / REPARACIÓN MANGUERA PRESIÓN / ALB. A23/176466 .../ AM EXP V18/2022. SERVICIO DE LIMPIEZA</t>
  </si>
  <si>
    <t>IBERICA DE SALES S.A.</t>
  </si>
  <si>
    <t>PRORROGA CONTRATO SUMINISTRO FUNDENTES LOTE 2 PARA VIALIDAD VÍAS PÚBLICAS OCTUBRE 2023 SEPTIEMBRE 2024 LIMPIEZA VIARIA.</t>
  </si>
  <si>
    <t>REMOLINOS</t>
  </si>
  <si>
    <t>CUENTACUENTOS INFANTIL 12-JUNIO. COLABORACIÓN CON EL PROYECTO ""EN JUNIO LA ESGUEVA 2023"".</t>
  </si>
  <si>
    <t>SUBSANACIÓN ANOMALÍAS SISTEMA PREV INCENDIOS EN COMEDOR Y ALBERGUE DETECTADAS POR CONCESIONARIA AL REALIZAR LA OCA</t>
  </si>
  <si>
    <t>CONEXION DE PUERTA A AUTOMATICA NUEVA CON EL SISTEMA DE PROTECCION DE INCENDIOS DEL CVA ZONA ESTE -2023</t>
  </si>
  <si>
    <t>CORRECTIVOS A REALIZAR EN EL C. DE FORMACION PARA EL EMPLEO, JAC. BENAVENTE   DE LOS SISTEMAS DE PROTECCIÓN DE INCENDIOS</t>
  </si>
  <si>
    <t>ADQUISICIÓN SET URINARIO, SERVICIO DE CABALLEROS PLANTA PRIMERA, CDIT</t>
  </si>
  <si>
    <t>LFP245B140F-03 - PROYECTOR GUARDIAN PRO 245W 4000K 28000 LM IP65 / AM EXP V18/2022. SERVICIO DE LIMPIEZA.</t>
  </si>
  <si>
    <t>2023 0650 3321 629</t>
  </si>
  <si>
    <t>ADQUISICIÓN FONDO BIBLIOGRÁFICO BIBLIOT DELICIAS ""BLAS PAJARERO"" NEXT GENERATION EU-RTR-C24.I2.P4 DOTACION BIBLIOTECAS</t>
  </si>
  <si>
    <t>EUROBOOK LIBRERIA DE IDIOMAS SL</t>
  </si>
  <si>
    <t>ADQUISICIÓN FONDO BIBLIOGRÁFICO BIBLI PARQUESOL ""S. DE LOS MOZOS""-NEXT GENERATION EU-RTR-C24.I2.P4-DOTACION BIBLIOTECAS</t>
  </si>
  <si>
    <t>ADQUISICION FONDO BIBLIOGRAFICO  BIBLI  HUERTA DEL REY ""FCO PINO""-NEXT GENERATION EU-RTR-C24.I2.P4-DOTACION BIBLIOTECAS</t>
  </si>
  <si>
    <t>ADQUISICION FONFO BIBLIOGRAFICO BIBLIO SAN JUAN ""B. V. ESCUDERO""-NEXT GENERATION EU-RTR-C24.I2.P4-DOTACION BIBLIOTECAS</t>
  </si>
  <si>
    <t>Conv.Gto.Insuf. AD 22022000145 PRESTACIÓN SERVICIO PÚBLICO REGULACIÓN ESTACIONAMIENTO VEHÍCULOS VIA PUBLICA DICIEMBRE-22</t>
  </si>
  <si>
    <t>REPARACION DE PUERTA RETENEDORA RF DEL CVA PUENTE COLGANTE- MAYO 2023</t>
  </si>
  <si>
    <t>JORGE SUAREZ  GONZALEZ</t>
  </si>
  <si>
    <t>PROMOCIONAR LA NUEVA MARCA DE LA AGENCIA Y CRECER EN CUANTO A COMUNIDAD EN LA RED PROFESIONAL DE LINKEDIN.</t>
  </si>
  <si>
    <t>JOSÉ MIGUEL VEGAS TOMÁS</t>
  </si>
  <si>
    <t>ADQUISICION CAMISETAS ENCUENTRO INTERCENTROS IMUSICAR 2023</t>
  </si>
  <si>
    <t>JUAN ANTONIO IGLESIAS  FIGUEROS</t>
  </si>
  <si>
    <t>Transporte de dos viajes de polvo asfáltico desde ASFALTOS DE MAESTU SA hasta el Parque Conserv.Vias Públicas.-</t>
  </si>
  <si>
    <t>JUAN CARLOS GOMEZ  POLA</t>
  </si>
  <si>
    <t>SUMINISTRO DE MATERIALES PARA ACTIVIDADES DE PINTURA A LA ACUARELA EN CIC CONDE ANSÚREZ</t>
  </si>
  <si>
    <t>KALFRISA, S.A.U.</t>
  </si>
  <si>
    <t>REVISION MANTENIMIENTO HORNO INCINERADOR C.M.P.A. INCLUYENDO PEQUEÑA REPARACION</t>
  </si>
  <si>
    <t>LA OTRA S. COOP. DE INICIATIVA SOCIAL</t>
  </si>
  <si>
    <t>TALLERES SOBRE LA DIVERSIDAD EN EL CENTRO MUNICIPAL DE LA IGUALDA MAYO - JUNIO</t>
  </si>
  <si>
    <t>2023 01 9206 22199</t>
  </si>
  <si>
    <t>MATERIAL DE ELECTRICIDAD REQUERDIO POR EL SERVICIO DE MANTENIMIENTO PARA REPARACIÓN EN ARCHIVO MUNICIPAL.</t>
  </si>
  <si>
    <t>SUMINISTRO DE DOS  CARRETILLOS, TRES ESCALERAS DE 8 PELDAÑOS  Y CINCO CUBOS DE 80 LT. PARA EL JACINTO BENAVENTE EN 2023</t>
  </si>
  <si>
    <t>A.M.  V. 36-2017.  COPIA LLAVES MERCADO DEL VAL Y DELICIAS</t>
  </si>
  <si>
    <t>LA REGIONAL VALLISOLETANA, S.AL</t>
  </si>
  <si>
    <t>SERVICIO DE TRASLADO DE LOS ALUMNOS QUE REALIZARAN EL VIDEO UNESCO DESDE PAJARILLOS A ACEIMAR</t>
  </si>
  <si>
    <t>TRASLADO ALUMNOS QUE REALIZAN VIDEO UNESCO A ACEIMAR UN DIA ADICIONAL, POR LO QUE SE HACE LA AMPLIACION DEL GASTO</t>
  </si>
  <si>
    <t>LIMPIEZAS ANTON, S.L.</t>
  </si>
  <si>
    <t>LIMPIEZA CERRAMIENTOS VERTICALES, LUCERNARIOS, LÁMPARAS Y AEROTERMOS CALEFACCIÓN DEL TALLER DEL SERVICIO DE LIMPIEZA.</t>
  </si>
  <si>
    <t>LINECAR, S.A.</t>
  </si>
  <si>
    <t>SEIS AUTOCARES PARA TRASPORTAR A LOS USUARIOS DE LOS CVA A MEDINA DE RIOSECO PARA REALIZAR UNA ACTIVIDAD EL 15 DEJUNIO23</t>
  </si>
  <si>
    <t>LUIS CARLOS GARCILLAN OTERO</t>
  </si>
  <si>
    <t>Suministro de 6 gafas de protección laboral monofocal y 6 gafas de protección laboral progresiva.-</t>
  </si>
  <si>
    <t>A. M . V 36-2017 COPIA LLAVE DOBLE ARCHIVADOR MERCADO DELICIAS.</t>
  </si>
  <si>
    <t>REPOSICION FUNGIBLES DE LOS NANOSENSORES DE LA ZONA DE BAJAS EMISIONES</t>
  </si>
  <si>
    <t>MANTENIMIENTO DE LOS NANOSENSORES DE LA ZONA DE BAJAS EMISIONES</t>
  </si>
  <si>
    <t>VINILO VELEDA BLANCO Y ESPÁTULAS FIELTRO PARA CC RONDILLA</t>
  </si>
  <si>
    <t>MACOSARFER S.L.</t>
  </si>
  <si>
    <t>SERVICIO DE RECOGIDA DE RESIDUOS DE FIBROCEMENTO ABANDO EN LA VÍA PÚBLICA PARA EL SERVICIO DE LIMPIEZA.</t>
  </si>
  <si>
    <t>TALLER UNA TAZA CON HISTORIA EN EL CENTRO MUNICIPAL DE LA IGUALDAD MAYO 2023</t>
  </si>
  <si>
    <t>MANPER SUMINISTROS INDUSTRIALES, C.B.</t>
  </si>
  <si>
    <t>Mantenimiento y reparación de maquinaria.</t>
  </si>
  <si>
    <t>2023 06 3231 22699</t>
  </si>
  <si>
    <t>MAQUINA TEATRAL TELONCILLO, S.L.</t>
  </si>
  <si>
    <t>11 REPRESENTACIONES ESPECTACULO TEATRAL ""LA GRANJA"" PARA LOS NIÑOS DE LAS ESCUELAS INFANTILES MUNICIPALES.MAYO-JUNIO 23</t>
  </si>
  <si>
    <t>MARÍA JESÚS IZQUIERDO GARCÍA</t>
  </si>
  <si>
    <t>CONFERENCIA EN CC ESGUEVA POR DIA INTERNACIONAL DE LA MUJER</t>
  </si>
  <si>
    <t>ACTIVIDADES DE ESCRITURA CREATIVA Y LECTURA EN EL CENTRO MUNICIPAL DE IGUALDAD / OCTUBRE A DICIEMBRE</t>
  </si>
  <si>
    <t>AM V 18/2022 CEYS MONTCK CINTA BLISTER CANALETA IMPRESORA PARA CABLES SERVICIO COMERCIO.</t>
  </si>
  <si>
    <t>TALLER LECTURA Y ESCRITURA CREATIVA ""HILAR PALABRAS"" / MAYO Y JUNIO 23</t>
  </si>
  <si>
    <t>ADQUISICIÓN FONDO BIBLIOGRÁFICO BIBLIOT LA VICTORIA ""GLORIA FUERTES""-NEXT GENERATION EU- RTR-C24.I2.P4-DOTACIÓN BIBLIOT</t>
  </si>
  <si>
    <t>HILO STIHL CORTE REDONDO Ø 2,7MM X 208,0M 9302227 / CADENA STIHL MOTOSIERRA 63 PM PICCO MICRO ESLABON / CADENA STIHL</t>
  </si>
  <si>
    <t>MANO DE OBRA / STIHL CINTA DE FRENO 11231605400 / STIHL  JUNTA DE SILENCIADOR 11371490601 / STIHL EMBRAGUE 11371602000 /</t>
  </si>
  <si>
    <t>SIN ID-MANTENIMIENTO PARQUE / COPIA LLAVE MCM 54 D-41125 / SIN ID-CERRAJERIA / REPARACION GRUPO SOLDAR POWERTEC 350C PRO</t>
  </si>
  <si>
    <t>ID: 0035332-CP JOSE ZORRILLA / BOMBILLO MCM EAN: 10-30 F-33152 / ID: 0035484-CP ENTRE RIOS / BOMBILLO MCM EAN: 30-30 F-3</t>
  </si>
  <si>
    <t>F.C. COGEDOR MANGO REF. 33401 METALICO / IMAN CIRCULAR MACHO M-6 32 MM NIQUEL NEODIMIO//Serv. Extincion de Incendios</t>
  </si>
  <si>
    <t>ID: 0034090-EIM CASCABEL / LOCTITE REF. 20,0 GR PROFESIONAL XXL / LLAVERO PORTAETIQUETAS AMIG 80 AZUL. MARZO</t>
  </si>
  <si>
    <t>ID 35421-FRANCISCO PINO / CERRADURA MCM 1301 2-50-00 S/BOMBILLO / ID 0035621-C.E.I.P PONCE DE LEON / BROCA SDS- marzo</t>
  </si>
  <si>
    <t>PILAR (MANTENIMIENTO) / MAARTILLO BOSCH GSH 5 ( QUITAR BROCA ROTA EN EL PORTABROCAS.  ) / -LIMPIEZA Y ENGRASE / -P.A.P.</t>
  </si>
  <si>
    <t>ID: 0035254-CC JOSE LUIS MOSQUERA / ANTIP. TESA CERRADURA CF60RSR9ZCE / SIN ID-CC JOSE MARIA LUENGO / DISCO DIA. BOSCH 2</t>
  </si>
  <si>
    <t>F - 2950 - TORNILLO INDEX INVIOLABLE - CALLE JR JIMENEZ ESQUINA DE BECQUER 9 - EXCLUSIVAS MAOR - 1 DIA</t>
  </si>
  <si>
    <t>CEPILLO BARB. MEXIL 1- 8 UNO 11x4 POLIP. / STIHL  GRASA PARA ENGRANAJE 7811201110 / STIHL GRASA PARA ENGRANAJE SUPERLUB</t>
  </si>
  <si>
    <t>MANO DE OBRA / KUBOTA ROTULA DIRECCION K125316604 / KUBOTA ROTULA DIRECCION 6K125316603 / MANO DE OBRA / STIHL  FILTRO 4</t>
  </si>
  <si>
    <t>ID 0035645-CAMPO GRANDE / ACEITE  WD-40  500ML D/ACCION CANULA FIJA</t>
  </si>
  <si>
    <t>GIL SOTO S.L.</t>
  </si>
  <si>
    <t>ADQUISICIÓN FONDO BIBLIOGRÁFICO EL PTO LECTURA PILARICA-NEXT GENERATION EU-RTR-C24.I2.P4-DOTACION BIBLIOTECAS</t>
  </si>
  <si>
    <t>CANTABRIA</t>
  </si>
  <si>
    <t>MANT. SUMINISTRO DE MASTERIAL PARA REPARACIONES DEL CVA PARQUESOL- DURA 1 DIA</t>
  </si>
  <si>
    <t>PROTECTOR AUDITIVO 3M OPTIME III H540A / M.S. LLAVE CONTACTO HONDA REF 55-4610.../ EXP V36/2017 / SERVICIO DE LIMPIEZA.</t>
  </si>
  <si>
    <t>ID: 0035351-LIMPIEZA C/TOPOCIO-63 / EGAÑA AMORTI. TOPE PROGRE. TP 70 M M-12 / BO.../ EXP V36/2017 / SERVICIO DE LIMPIEZA</t>
  </si>
  <si>
    <t>ID: 0036272 - CEIP CARDENAL MENDOZA / VINILO ROJO TROQUELADO ""USO EXCLUSIVO BOMBEROS""</t>
  </si>
  <si>
    <t>MANO DE OBRA / AUSA KIT FILTROS MOTOR KUBOTA 93403RE00 / KUBOTA FILTRO ACEITE W21ESO1530 / KUBOTA FILTRO AIRE INT. K3181</t>
  </si>
  <si>
    <t>HILO STIHL CORTE REDONDO Ø 2,7 MM X 208,0 M 9302227 / STIHL  PARTE INFERIOR 40027139708 / STIHL  BOBINA 40027133017 / ST</t>
  </si>
  <si>
    <t>ANDAMIO ZARGES PAXTOWER S-PLUS 1T REF. 53524 + REGULADOR DE ALTURA EN RUEDA / PILA VARTA 9V. INDUSTRIAL PRO / CUERDA DRI</t>
  </si>
  <si>
    <t>ID: 0036788 - CC JOSÉ MARÍA LUELMO / TAPA PLANA TF-502 A-316 43 / SOPORTE ARTICULADO SA-404 A-316 43 / TAPA PLANA TF-502</t>
  </si>
  <si>
    <t>ID: 0034090 - EIM CASCABEL / PLACA GRABADA 25x15 ADHESIVA ORO / NÚMERO NEGRO. marzo</t>
  </si>
  <si>
    <t>F - 4391 - CERRADURA BTV PARA VVDA VINOS DE RUEDA 22 3M - EXCLUSVAS MAOR. 1 DIA</t>
  </si>
  <si>
    <t>MANO DE OBRA / KUBOTA FILTRO ACEITE REF. W21TSHK700 -R / KUBOTA FILTRO ACEITE REF  W21ESO1500 / KUBOTA FILTRO AIRE REF.</t>
  </si>
  <si>
    <t>STIHL CABEZAL DE CORTE AUTOCUT 25-2 40027102108 / STIHL ACEITE HP SUPER 5L 7813198055 / STIHL ACEITE HP 5L 7813198433 /</t>
  </si>
  <si>
    <t>RODILLERA RUBI PROFESIONAL REF.81994 / GAVETA TAYG Nº 53 AZ 336x160x130 253027 / TRANSPLANTADOR OUTILS-WOLF REF. LP0</t>
  </si>
  <si>
    <t>MANT. SUMINISTRO MATERIAL PARA REPAR DEL  CPM PARQUESOL / PLACA GRABADA 25x15 ADHESIVA ORO / NÚMERO NEGRO-DUR 1 DIA</t>
  </si>
  <si>
    <t>MATERIALES VARIOS PARA CENTRO SEGUNDO MONTES, DELICIAS Y KIOSCO CAÑO ARGALES</t>
  </si>
  <si>
    <t>PROTECTOR AUDITIVO 3M OPTIME III H540A/ ACUERDO MARCO SUMINISTROS. SERVICIO DE LIMPIEZA.</t>
  </si>
  <si>
    <t>ID: 0036234-CUARTO VIGILANTES / MANILLA SOAL CHAPARRO M9005 NEGRA  (UND)/ ACUERDO MARCO SUMINISTROS. LIMPIEZA VIARIA.</t>
  </si>
  <si>
    <t>CUELGA ESCOBAS BRINOX 7064 BLANCO x1 / PERCHA BRINOX 7044 GRA. CROMO x2/ ACUERDO MARCO SUMINISTROS. SERVICIO DE LIMPIEZA</t>
  </si>
  <si>
    <t>SUMINISTRO MATERIALES BOMBILLOS Y COPIA DE LLAVES PARA EL CENTRO MARCELINA PONCELA</t>
  </si>
  <si>
    <t>VEHÍCULO 5969KFL // SUSTITUCION LAMPARA CRUCE DERECHO Y FRENO IZQUIERDO / 2 KE26089989 - BOMBILLA / 2 KE26289948</t>
  </si>
  <si>
    <t>3058DTC VERIFICACION AVERIA LIMPIAPARABRISAS. SUSTITUCION MOTOR LAVAPARABRISAS Y PILOTO TRASERO IZQUIERDO.ENCONTRANDO FA</t>
  </si>
  <si>
    <t>1617DTJ MANTENIMIENTO 180.000.SUSTITUCION ACEITE / 2 SMOIL5W40 - ACEITE 5W40 1L / 2 GAU - MANUAL / 2 1520800Q0D - FILTRO</t>
  </si>
  <si>
    <t>4272GHL MANTENIMIENTO 140.000 SUSTITUCION / 2 SMOIL5W40 - ACEITE 5W40 1L / 2 GAU - MANUAL / 2 15208BN30A - FILTRO ACEITE</t>
  </si>
  <si>
    <t>SUMINISTRO CUBO PEDAL CUBIK 23L, PARA EL CENTRO MARCELINA PONCELA</t>
  </si>
  <si>
    <t>COMMENT|++ SEMANA SANTA ++ / *CJ TUERCA DIN 6923 M8X125 CINC. (500UD) / CELESA BROCA DIN 338 HSS-CO RECT. Ø 05,00 MM / C</t>
  </si>
  <si>
    <t>MANGO AZADA DARMAN 900X33</t>
  </si>
  <si>
    <t>COPIA LLAVE NORMAL / PRECINTO MIARCO MARR. 48X132M</t>
  </si>
  <si>
    <t>ESCALERA 3 PELD. ANCHO C/GOMA 423.0 DISBUR / ARMARIO LLAVERO. 48 LLAVES. EHL. / *DUOBLADE FISCHER WH/6K NV-10 / PRECINTO</t>
  </si>
  <si>
    <t>SILICONA SOUDAL NEUTRA 300ML BLANCO / *BL FISCHER ESCARPIA 18X50 / *BL FISCHER ESCARPIA 19X60 / *BOMBILLA GARZA  9W E-27</t>
  </si>
  <si>
    <t>ARANDELA DIN 127 GROWER ZINCADA M- 6 / TORNI. DIN  912 8.8 ALLEN  6X 20MM. MARZO</t>
  </si>
  <si>
    <t>COPIA LLAVE NORMAL/CILINDRO SERRETA AMIG 60 (30-30) 4587/CILIND SEGU AMIG 9800 CROMO BRILL 70 (35-35) 6082 /ESCUDO/SEISP</t>
  </si>
  <si>
    <t>F - 2100 -CINTA ANT+TORN+UMBRAL EN CI -TORNILLOS  EN DELI-CANTERAC -CERRADURA+GOLPETE EN DELI-ARGALES - ORTIZ -1 DIA</t>
  </si>
  <si>
    <t>F - 3337 - RESBALON LINCE Y COPIA LLAVE SEGURIDAD - CALLE ALBACETE, 10 BAJO D - FERRETERIA ORTIZ - 1 DIA</t>
  </si>
  <si>
    <t>CENTRO CIVICO JOSÉ MARIA LUELMO / AFILADO DE CUCHILLO GRANDE / AFILADO DE CUCHILLO PEQUEÑO</t>
  </si>
  <si>
    <t>CERRADURA TESA 2030 50 HL RED. 1/2 / PATA REDONDA REI 100 CR MATE / TORNI. DIN  603 6.8 10X140MM</t>
  </si>
  <si>
    <t>CLAVO FSK 14 MM (CAJA 1000 PZAS) / GRAPA FSK REDONDA 12MM 500UD / GRAPA 530 DE 1000 DE 8 MM RATIO / CAJA MULTIUSO RATIO</t>
  </si>
  <si>
    <t>PILA LITIO CR2430 RENATA 3V</t>
  </si>
  <si>
    <t>MOD.CONT.GESTION ALBERGUE-CI ATENCION A PERSONAS SIN HOGAR-PLAZAS ADIC.EMERG.CLIMATICA</t>
  </si>
  <si>
    <t>SUMINISTRO DE FUNGIBLES COMPATIBLES Y  CINTAS MAGNÉTICAS, LOTE 2 (2/2023) PRIMERA PRÓRROGA</t>
  </si>
  <si>
    <t>CONTRATACIÓN CONSERVACIÓN Y MEJORA INFRAESTRUCTURAS VERDES DE LAS ZONAS CENTRO Y NORTE. LOTE 3. O. CIVIL. V.34/2022.</t>
  </si>
  <si>
    <t>SUMINISTROS DE IMPRESION DE2023 DEL CENTRO DE FORMACION PARA EL EMPLEO-JACINTO BENAVENTE</t>
  </si>
  <si>
    <t>2023 05 4312 623</t>
  </si>
  <si>
    <t>FRIGIKERN S.L.</t>
  </si>
  <si>
    <t>SUMINISTRO E INSTALACIÓN DE ""LOCKERS"" O TAQUILLAS INTELIGENTES PARA EL MERCADO MUNICIPAL DEL VAL.</t>
  </si>
  <si>
    <t>ORGANIZACIÓN, INFRAESTRUCTURA Y DESARROLLO FESTIVAL DE LAS CULTURAS. XX SEMANA INTERCULTURAL DEL 21 AL 30 DE ABRIL.</t>
  </si>
  <si>
    <t>2023 07 1721 22700</t>
  </si>
  <si>
    <t>EVA MARIA ALONSO ESTEBAN</t>
  </si>
  <si>
    <t>LIMPIEZA CENTRO DE ACUSTICA</t>
  </si>
  <si>
    <t>DISEÑO CAMPAÑA INSTITUCIONAL DÍA INTERNACIONAL CONTRA LA HOMOFOBIA, TRANSFOBIA Y BIFOBIA / MAYO 2023</t>
  </si>
  <si>
    <t>TALLER LA CREATIVIDAD NO TIENE GÉNERO: CREACIÓN DE MARCAPÁGINAS / DURANTE 2023</t>
  </si>
  <si>
    <t>ACUERDO MARCO. SUMINISTRO DE MATERIAL DE FERRETERIA PARA DEPENDENCIAS DE POLICÍA MUNICIPAL.</t>
  </si>
  <si>
    <t>F - 5004 - REPOSAPIES ERGO - CEAS DELICIAS-ARGALES - FERRETERIA ORTIZ. 1 DIA</t>
  </si>
  <si>
    <t>COMMENT|++ SAN BENITO ++ / PICAPORTE LINCE UNIF. LATON 70 MM / COPIA LLAVE NORMAL / COMMENT|++ COPIA DE LLAVE EDIFICIO S</t>
  </si>
  <si>
    <t>ADQUISICIÓN ENCHUFE, SALUD LABORAL</t>
  </si>
  <si>
    <t>TORNI. DIN  933 8.8 C/EXA.  8X100MM</t>
  </si>
  <si>
    <t>ALCOTANA BELLOTA 5932-0 / MANGO REDONDO 33CM FIBRA VIDRIO EHL / BRIDA NYLON INDEX 2.5X160 NEGRA (100UD) / COPIA LLAVE</t>
  </si>
  <si>
    <t>MANT. SUMINISTRO PARA CPM FAY LUIS DE LEON DE CERRADURA UCEM 5134 50 Y RESBALON LINCE 8890-50  PARA CPM D ARCA - DUR 1 D</t>
  </si>
  <si>
    <t>CERRADURA LINCE CORTAFUEGO 7770 CE/ ACUERDO MARCO DE SUMINISTROS. LIMPIEZA VIARIA.</t>
  </si>
  <si>
    <t>SE-PC 13/2023: PRÓRROGA CONTRATO DE MANTENIMIENTO DE EXTINTORES DE LOS CENTROS DE PARTICIPACIÓN CIUDADANA (4 MAY-31 DIC)</t>
  </si>
  <si>
    <t>TALLERES SERCOIN, S.L.</t>
  </si>
  <si>
    <t>EXPTE.: SPSC_SE 048_2022; SERVICIO DE REPARACIÓN DE LA AEA 10; SEISYPC</t>
  </si>
  <si>
    <t>PARACUELLOS DE JARAMA (MADRID)</t>
  </si>
  <si>
    <t>Reparaciones de prendas y materiales; Servicio de Extinción de Incendios, Salvamento y Protección Civil</t>
  </si>
  <si>
    <t>MARIA TERESA GARROTE VAZQUEZ</t>
  </si>
  <si>
    <t>SUMINISTRO DE CAMISETAS PARA CROSS DE POLICÍA MUNICIPAL.</t>
  </si>
  <si>
    <t>ADQUISICIÓN FONDO BIBLIOGRÁFICO  BIBLIOTECA Z.S ""ROSA CHACEL""- NEXT GENERATION EU-RTR-C24.I2.P4-DOTACION BIBLIOTECAS</t>
  </si>
  <si>
    <t>CONTRATO BASADO DE CONTROL CALIDAD (LOTE 2) OBRA URBAN.CAMINO VIEJO SIMANCAS (LOTE 1).</t>
  </si>
  <si>
    <t>SUMINISTRO Y MONTAJE NEUMÁTICOS NUEVOS Y RECAUCHUTADOS CAMIÓN, BARREDORA Y REPARACIÓN DE PINCHAZOS. SERVICIO DE LIMPIEZA</t>
  </si>
  <si>
    <t>SUMINISTRO MATERIAL PINTURA, PAPEL, BROCAS, PINTURA, LIJAS... PARA EL CURSO DE PINT. DECORATIVA V- JACINTO BNEVENTE</t>
  </si>
  <si>
    <t>PLACA COLGANTE ALUMINIO ORO 25mm Nº 1-92 / PLACA COLGANTE ALUMINIO AZUL 25mm Nº  1-92 / ANILLA INDUS LLAVERO AC. NIQUELA</t>
  </si>
  <si>
    <t>COMMENT| CENTRO CÍVICO JOSE LUIS MOSQUERA / PILA DURACELL IND AA LR06 (10UDS) OFERTA / PILA DURACELL IND AAA LR03 (10UDS</t>
  </si>
  <si>
    <t>COMMENT| CENTRO CÍVICO JOSE LUIS MOSQUERA / PILA DURACELL PLUS LR61 9V BULK OFERTA</t>
  </si>
  <si>
    <t>COMMENT| CENTRO CÍVICO ZONA SUR / MUELLE TELESCO 22 56T4 22 REPUESTO -</t>
  </si>
  <si>
    <t>CC PILARICA / TATAY ESCOBILLA WC STANDARD BLANCA 44314.01 / CINTA MIARCO KREPP 24MMX45M / WD-40 250ML DOBLE ACC</t>
  </si>
  <si>
    <t>COMMENT| CENTRO CÍVICO JUAN DE AUSTRIA / PROTEGE ESQUINAS BRINOX SILIC ADH BL4UN</t>
  </si>
  <si>
    <t>COMMENT| CENTRO CÍVICO ZONA SUR / PERFIL ARANIA RANUR. AR3.5 2.0M GRIS 1.6MM / PIE ARANIA PLAST. SENCILLO P/AR3.5 / ESCU</t>
  </si>
  <si>
    <t>COMMENT| C.C. CANAL DE CASTILLA Y C.C. LA OVERUELA / LIMPIA BARROS COCO 1MT ANCHO (MT) DISBUR / LIMPIA BARROS COCO 2MT A</t>
  </si>
  <si>
    <t>COMMENT| CENTRO CÍVICO DELICIAS / RUEDA 460/50 POL G ER M 50D 50K AFO</t>
  </si>
  <si>
    <t>COMMENT| CV CANAL DE CASTILLA / PILA DURACELL PLUS LR61 9V BULK OFERTA / RASCADOR EHLIS VITROC.CUCHILLA REC.10 UND / RAS</t>
  </si>
  <si>
    <t>COMMENT| CENTRO CÍVICO DELICIAS / TIRADOR REI  309 34 MM NEGRO / BISAGRA AMIG CAZOLETA 35MM RECTA NIQ. / CJ TORNI 7505 A</t>
  </si>
  <si>
    <t>CENTRO CÍVICO ZONA SUR / CERRADURA DORMA 281 FC-A 55/72/8/EPC 20R-304</t>
  </si>
  <si>
    <t>CENTRO CÍVICO ZONA SUR / TATAY ESCOBILLA WC STANDARD BLANCA 44314.01 / RASCAVIDRIOS FSK MET. / 258Y TAPA</t>
  </si>
  <si>
    <t>ROUNDUP ULTRA PLUS (20 L) / SIGFITO (TASA POR ENVASE DEL SISTEMA INTEGRADO DE GESTIÓN DE FITOSANITARIOS)</t>
  </si>
  <si>
    <t>TIDEX (500 cc)</t>
  </si>
  <si>
    <t>VALDOR FLEX (PISTOL FLEX) (500 GRS) / SIGFITO (TASA POR ENVASE DEL SISTEMA INTEGRADO DE GESTIÓN DE FITOSANITARIOS)</t>
  </si>
  <si>
    <t>SERGOMIL ECO SVL ESES (5 L) / PROTAMINAL PLUS (5 L) PREMIUM / TIDEX (5 L) / VALDOR FLEX (PISTOL FLEX) (500 GRS) / LIDAFO</t>
  </si>
  <si>
    <t>SUMINISTRO DE SULFATO HIERRO GRANULADO,ABONO CE, PREBEN LACA GRANDE, FESIL WG 80 PARA EL CURSO DE PARQ Y JARD IV DUR 1 D</t>
  </si>
  <si>
    <t>ALB: 23-206945 PED: 23-011111-1003 S/PED: ESCUELA CAMPANILLA / LLAVE DE CABINA APERTURA ARMARIOS DISTRIBUCIÓN. marzo</t>
  </si>
  <si>
    <t>ALB: 23-205790 PED: 23-009288-1001 S/PED/ MEDID FLEXOMETRO ESTUCHE ABS CROMADO 5MX25MM (1525) / VARTA PILA PLUS ALCA</t>
  </si>
  <si>
    <t>ALB: 23-205119 PED: 23-008223-1008 S/PED:  / TIPO 1 PASADOR-JUNTA-ARANDELA  / V36/2017 / SERVICIO DE LIMPIEZA.</t>
  </si>
  <si>
    <t>ALB: 23-206886 PED: 23-010993-1003 S/PED: CRISTOBAL COLON / CODO 45º SANITARIO H-H DN 110 / PEGAMENTO PVC GEL 250G / MAR</t>
  </si>
  <si>
    <t>ALB: 23-206903 PED: 23-005949-1001 S/PED: PARQUE VALE / REPARACION DE:COMPRESOR MARCA: ATLAS COPCO MODELO:  XAS36 REPUES</t>
  </si>
  <si>
    <t>ALB: 23-207216 PED: 23-011314-1001 S/PED: PARQUE / REPARACIÓN DE: GENERADOR MARCA:YERBE MODELO: 5000 NS:M-0041 / MANO DE</t>
  </si>
  <si>
    <t>ALB: 23-206902 PED: 23-009282-1017 S/PED: PARQUE / REPARACIÓN DE: GENERADOR MARCA: AYERBE MODELO: 5000 / MANO DE OBRA /</t>
  </si>
  <si>
    <t>CONTRATACIÓN CONSERVACIÓN Y MEJORA DE LAS INFRAESTRUCTURAS VERDES DE ZONAS CENTRO Y NORTE. LOTE 2. ZONA NORTE. V.34/2022</t>
  </si>
  <si>
    <t>SUMINISTRO DE VINILOS PARA COLOCACIÓN DE CARTELES EN APARCAMIENTOS PATIO DE JEFATURA DE POLICÍA MUNICIPAL.</t>
  </si>
  <si>
    <t>PRORROGA CTTO DE SERVICIOS DE GEST. Y DES. DE LAS ACT. INFANTILES EN EPOCA DE VACACIONES ESCOLARES / 19/06/23 A 18/06/24</t>
  </si>
  <si>
    <t>TALLERES EDUCATIVOS EN EL CENTRO MUNICIPAL DE LA IGUALDAD / MAYO 23</t>
  </si>
  <si>
    <t>ANUNCIO EXPOSICION CENSO ELECTORAL 9 Y 10 ABRIL 2023 - EL ESPAÑOL DIGITAL</t>
  </si>
  <si>
    <t>ACTIVIDADES FIESTA BIENVENIDA KIOSCO PZA. CAÑO ARGALES</t>
  </si>
  <si>
    <t>4 RUTAS INTERCULTURALES POR LA CIUDAD DEL 24 AL 30 DE ABRIL. ACTIVIDAD DENTRO XX SEMANA INTERCULTURAL</t>
  </si>
  <si>
    <t>CONTRATACION DE 2 RUTAS A MAYORES DEBIDO A LA GRAN DEMANDA SOBRE LAS 4 INICIALES. -  XX SEMANA INTERCULTURAL</t>
  </si>
  <si>
    <t>MARTINEZ CURIEL SL</t>
  </si>
  <si>
    <t>REPARACION LAVAVAJILLAS LABORATORIO RED DE CONTAMINACIÓN</t>
  </si>
  <si>
    <t>IMPRESIÓN Y ENCUADERNACIÓN DE 50 MEMORIAS REFERENTES A 2022 DEL SPC</t>
  </si>
  <si>
    <t>AMPLIACION MATERIAL DIFUSION ESTUDIO VIOLENCIA DE SUSTITUCION MAYO 2023</t>
  </si>
  <si>
    <t>MATERIAL DIFUSIÓN ESTUDIO VIOLENCIA DE SUSTITUCIÓN / MAYO 2023</t>
  </si>
  <si>
    <t>Impresión de MUPIS para la difusión del festival PUCELA FESTIVALL el día 21 de abril de 2023</t>
  </si>
  <si>
    <t>500 DÍPTICOS CON LA PROGRAMACIÓN DEL DÍA DEL PUEBLO GITANO - DENTRO DEL PLAN DE CONVIVENCIA CIUDADANA INTERCULTURAL</t>
  </si>
  <si>
    <t>SUMINISTRO MATERIAL DIFUSION ESPACIOS JOVENES / MAYO 2023</t>
  </si>
  <si>
    <t>IMPRESION DE 20 EJEMPLARES DE LA MEMORIA 2022 DEL AREA DE SERVICIOS SOCIALES Y MEDIACION COMUNITARIA-MATA DIGITAL-1 DIA</t>
  </si>
  <si>
    <t>MATERIAL PARA REPARACIÓN DE PUERTA DE MADERA EN ARCHVIO MUNICIPAL REQUERIDO POR EL SERVICIO DE MANTENIMIENTO.</t>
  </si>
  <si>
    <t>IMPRESION DIPTICOS DIA INTERNACIONAL CONTRA LA HOMOFOBIA, TRANSFOBIA Y BIFOBIA 17 DE MAYO</t>
  </si>
  <si>
    <t>IMPRESION DIPLOMAS ""PLAN DE INSERCION LABORAL"" Y CONSEJO MUNICIPAL DE LA INFANCIA""</t>
  </si>
  <si>
    <t>MATERIAL DIFUSIÓN PRESENTACIÓN LIBRO PERIODISMO FEMINISTA / MAYO 2023</t>
  </si>
  <si>
    <t>MENOSCUARTO EDICIONES S.L.</t>
  </si>
  <si>
    <t>ADQUISICION 200 EJEMPLARES LIBRO GANADOR DEL 70 PREMIO DE NOVELA ATENEO CIUDAD DE VALLADOLID</t>
  </si>
  <si>
    <t>EDICION Y ADQUISICION DE LIBROS DEL FINALISTA DEL PREMIO ATENEO CIUDAD DE VALLADOLID</t>
  </si>
  <si>
    <t>METTLER-TOLEDO, S.A.E.</t>
  </si>
  <si>
    <t>CALIBRACION Y MANTENIMIENTO DE LA BALANZA DEL LABORATORIO DE LA RED DE CONTAMINACION</t>
  </si>
  <si>
    <t>2023 11 1631 22106</t>
  </si>
  <si>
    <t>COMPRA CREMAS SOLARES PARA TRABAJOS EN VÍA PÚBLICA DEL PERSONAL DE LIMPIEZA VIARIA.</t>
  </si>
  <si>
    <t>SUMINISTRO MEDICAMENTOS PARA EL CENTRO MUNICIPAL DE PROTECCIÓN ANIMAL DURANTE EL AÑO 2023</t>
  </si>
  <si>
    <t>MIGUEL ANGEL ZAPATA ZAPATA</t>
  </si>
  <si>
    <t>REPARACIÓN BAÑO CÚPULA DEL MILENIO POR INCIDENCIA EN ACTIVIDAD DEL TOUR DEL TALENTO QUE HA ORGANIZADO LA AGENCIA</t>
  </si>
  <si>
    <t>2023 11 1321 206</t>
  </si>
  <si>
    <t>MOMENTUM GABINET D'ENGINYERIA SL</t>
  </si>
  <si>
    <t>ALQUILER DE SOFTWARE CROQUIZADOR PARA LA POLICÍA MUNICIPAL.</t>
  </si>
  <si>
    <t>SUMINISTRO DE PRODUCTOS PARA EVENTO PARTICIPATIVO EN CIC NATIVIDAD ÁLVAREZ CHACÓN</t>
  </si>
  <si>
    <t>CONTRATACION SERVICIO TRANSPORTE Y REPARTO DE MATERIAL ELECTORAL A LOS LOCALES ELECTORALES - ELECCIONES LOCALES 2023</t>
  </si>
  <si>
    <t>TRASLADO MUEBLES DESDE EL ESPACIO DE MAYORES PARQUESOL A LOS DIFERENTES CVA -</t>
  </si>
  <si>
    <t>2023 11 1321 623</t>
  </si>
  <si>
    <t>ADQUISICIÓN DE DOS DRONES  DJI MINI 3 PRO RC COMO EQUIPOS DE VIGILANCIA AÉREA Y TERRESTRE PARA POLICÍA MUNICIPAL.</t>
  </si>
  <si>
    <t>MATERIAL FONTANERÍA REQUERIDO POR SERVICIO DE MANTENIMIENTO PARA INSTALACIÓN DE FUENTE DE AGUA EN ARCHIVO MUNICIPAL.</t>
  </si>
  <si>
    <t>CTTO SUMINISTRO COPIAS FOTOS VARIOS TAMAÑOS PARA BIBLIOTECA PÚBLICA ""ROSA CHACEL""//1 DIA//2023</t>
  </si>
  <si>
    <t>NAVARCADE SL</t>
  </si>
  <si>
    <t>ORGANIZACIÓN EVENTO POP UP QUE REPRODUCE EL UNICO SALON RECREATIVO JAPONES OFICIAL EN FORMATO ARCADE.</t>
  </si>
  <si>
    <t>MURCHANTE</t>
  </si>
  <si>
    <t>SUMINISTRO DE MATERIALES (BALDOSAS) PARA CC JOSÉ MARÍA LUELMO</t>
  </si>
  <si>
    <t>SUM. DE 10 ML MÁS DE PELDAÑO PARA  REPARACIÓN ESCALERAS CC J. M. LUELMO</t>
  </si>
  <si>
    <t>SUMINISTRO DE MATERIAL, PINTURA BLANCA ,  PARA EL CURSO DE PINT. Y DECORACION V- JACINTO BENAVENTE</t>
  </si>
  <si>
    <t>IBERSAT BASE BL 750ML ( ID35219 FRANCISCO DE QUEVEDO C/GRANADA ) / UNO+BASE BL 750ML ( ID35219 FRANCISCO DE QUEVEDO C/GR</t>
  </si>
  <si>
    <t>CTTO SERVICIOS ADAPTACION TOMAS DE CORRIENTE EN BIBLIOTECA PARQUESOL//15 DÍAS//2023</t>
  </si>
  <si>
    <t>INSPECCION PERIODICA DE PROTECCION CONTRA INCENDIOS DEL CVA PARQUESOL EN 2023</t>
  </si>
  <si>
    <t>OCA-DIDO, S.L.</t>
  </si>
  <si>
    <t>CTTO SUMINISTRO MATERIAL REALIZACION DE ACTIVIDADES DE ANIMACION A LA LECTURA//BIBLIOTECAS PÚBLICAS//2023</t>
  </si>
  <si>
    <t>AMPLIACION DISEÑO, MAQUETACIÓN Y ARTE FINAL INVITACIÓN ACTO 10M MUJERES VALLISOLETANAS REPRESALIADAS</t>
  </si>
  <si>
    <t>OTARI INGENIERIA DEL AGUA S.L.</t>
  </si>
  <si>
    <t>LIMPIEZA Y DESINFECCIÓN TORRE EVAPORACIÓN INSTALACIÓN FRIO DEL EDIFICIO MUNICIPAL SAN BENITO</t>
  </si>
  <si>
    <t>IRUN</t>
  </si>
  <si>
    <t>GUIPUZKOA</t>
  </si>
  <si>
    <t>PATRICIA  GARCIA  BERRUGUETE</t>
  </si>
  <si>
    <t>CURSOS DE HIGUIENE ALIMENTARIA PARA LOS PARTICIPANTES DE LAS DOS FASES DEL CURSO DE VALLADOLID CUIDA VI-DEL C. DE F. EMP</t>
  </si>
  <si>
    <t>REALIZACIÓN DE PLACAS ROTULADORAS DE VÍAS PÚBLICAS PARA LA CIUDAD DE VALLADOLID. 2023</t>
  </si>
  <si>
    <t>ADQUISICION PLACAS HOMENAJE Y SEÑALIZACIÓN EDIFICIOS MUNICIPALES, R.I.</t>
  </si>
  <si>
    <t>ADQUISICION PLACAS INAUGURACIONES DIVERSOS EDIFICIOS MUNICIPALES, R.I.</t>
  </si>
  <si>
    <t>ROTULACIONES PARA SEÑALIZACIÓN DE ESPACIOS EN CC JL MOSQUERA</t>
  </si>
  <si>
    <t>SUMINISTRO DE MATERIALES PARA TRABAJOS DE FONTANERÍA, REALIZADOS POR MANTENIMIENTO, EN CIC CONDE ANSÚREZ Y CC DELICIAS</t>
  </si>
  <si>
    <t>ROTULACIÓN LOCAL SEDE AV LA RUBIA</t>
  </si>
  <si>
    <t>MATERIAL PARA REPARACIÓN URGENTE DUCHA (FLEXO, MONOMANDO, SOPORTE) EN VVDA SOCIAL EN C/ VINOS DE RUEDA 22, 3M</t>
  </si>
  <si>
    <t>VINILOS DE DIFERENTES COLORES Y FORMAS PARA LOS CRISTALES DE LAS VENTANAS DEL CVA HUERTA DEL REY-2023</t>
  </si>
  <si>
    <t>IDENTIFICADOR PUERTA DESPACHO ESCUELA MUNICIPAL DE MÚSICA / DURANTE 2023</t>
  </si>
  <si>
    <t>2023 01 9203 22602</t>
  </si>
  <si>
    <t>PLUSMARKA GLOBAL, S.L.U.</t>
  </si>
  <si>
    <t>ADQUISICION CAJAS MEDALLAS  REGALOS PUBLICITARIOS PARA ACTOS OFICIALES</t>
  </si>
  <si>
    <t>PRIETO MONTAJES DE CUBIERTAS S.L.</t>
  </si>
  <si>
    <t>TRABAJOS RETEJADO-REPARACIÓN GOTERAS 30-40 M2.ZONA CALLE JESÚS , JUNTO TORREON (CASA CONSISTORIAL).</t>
  </si>
  <si>
    <t>VIANA DE CEGA</t>
  </si>
  <si>
    <t>PRODUCCIONES VIGO S.L.</t>
  </si>
  <si>
    <t>MATERIAL AUDIOVISUAL PARA LA FORMACION DE ALUMNOS QUE REALIZARAN UNA PRODUCCION AUDIOVISUAL</t>
  </si>
  <si>
    <t>PROMETAL SECURITY SEALS SL</t>
  </si>
  <si>
    <t>COMPRA DE PRECINTOS DE PLACAS DE MATRICULA PARA HOSTELERIA</t>
  </si>
  <si>
    <t>XIRIVELLA</t>
  </si>
  <si>
    <t>30 HH FORMACION NORMAS CONVIVENCIA PERSONAS INMIGRANTES PROYECTO ""ACABO DE LLEGAR"" MAYO Y DIC 23 - PROGESTIA</t>
  </si>
  <si>
    <t>F - 4917 - PINTURA CINTA Y PAPEL PARA VVDA VINOS DE RUEDA 22 3M - DEC Y PINT JOSE HERRADOR. 1 DIA</t>
  </si>
  <si>
    <t>2023 04 9204 22699</t>
  </si>
  <si>
    <t>2023 03 9241 635</t>
  </si>
  <si>
    <t>OFICACERES  S.L.</t>
  </si>
  <si>
    <t>RENOVACIÓN MOBILIARIO CENTROS DE PARTICIPACIÓN CIUDADANA LOTE 1: CENTROS CÍVICOS</t>
  </si>
  <si>
    <t>ALB: 23-207682 PED: 23-011561-1017 S/PED: VALE Nº585 / REPARACION DE: DESBROZADORA MARCA: AS MODELO: 940 NS: 27420040008</t>
  </si>
  <si>
    <t>ALB: 23-206803 PED: 23-010790-1001 S/PED:/ OBRA ASOCIACIÓN DE VECINO SAN ISIDRO EL PARAMO / REGISTRO ALUMINIO ESTANCO NO</t>
  </si>
  <si>
    <t>ALB: 23-207623 PED: 23-012319-1018 S/PED: / LIMPIA-CRISTALES PROFESIONAL.../ AM EXP V36/2017. SERVICIO DE LIMPIEZA.</t>
  </si>
  <si>
    <t>SUMINISTRO DE MATERIAL PARA EL PROGRAMA MIXTO FORMACIÓN EMPLEO / PARQUES Y JARDINES IV - JACINTO BENAVENTE</t>
  </si>
  <si>
    <t>ALB: 23-202203 PED: 23-003572-1001 S/PED: 1364 / ENLACE ROSCA MACHO PE 50-11/2 / TE PE MIXTA ROSCA HEMBRA 50-11/2"" / MAC</t>
  </si>
  <si>
    <t>ALB: 23-205055 PED: 23-008096-1003 S/PED: 509 / UNION AUTOBLOCANTE REPARACION 9240 L-174 DN 90 / CONO POLIETILENO REFLEC</t>
  </si>
  <si>
    <t>ACUERDO MARCO V.18/2022   -   ELEMENTOS DE RIEGO</t>
  </si>
  <si>
    <t>PROGRAMA MIXTO PARA LA FORMACION Y EMPLEO/PARQUES Y JARDINES IV- C. JACINTO BENAVENTE , SUMINISTRO MATERIALES</t>
  </si>
  <si>
    <t>PROGRAMA MIXTO PARA LA FORMACION EMPLEO/PARQUES Y JARDINES IV-COLEGIO JACINTO BENAVEN-SUMINISTRO DE MATERIALES</t>
  </si>
  <si>
    <t>SUMINISTRO MATERIALES PARA EL PROGRAMA MIXTO PARA LA FORMACION EMPLEO/PARQUES Y JARDINES IV-COLEGIO JACINTO BENAVEN</t>
  </si>
  <si>
    <t>ALB: 23-212573 PED: 23-020799-1001 S/PED: C.P. PARQUE ALAMEDA / PB MANGUITO DN 22 / PB LLAVE DE PASO PARA EMPOTRAR DN 22</t>
  </si>
  <si>
    <t>SUMINISTRO MATERIAL PARA EL CURSO PARQUES Y JARDINES IV / JACINTO BENAVENTE- DURA 1 DIA</t>
  </si>
  <si>
    <t>SUMINISTRO MATERIALES PARA EL CURSO PARQUES Y JARDINES IV -JACINTO BENAVENTE- DURA 1 DIA</t>
  </si>
  <si>
    <t>SUMINISTRO MATERIALES PARA EL CURSO DE PARQUES Y JRDINES IV- JACINTO BENAVENTE- DURA 1 DIA</t>
  </si>
  <si>
    <t>SUMINISTRO DE MATERIALES PARA EL CURSO DE  PARQUES Y JARDINES IV - JACINTO BENAVENTE</t>
  </si>
  <si>
    <t>ALB: 23-211156 PED: 23-018374-1003 S/PED: PERRERA MUNICIPAL / BARRA 2 ML. COBRE DURO DN-22   (UNE-EN1057) / LATIGUILLO H</t>
  </si>
  <si>
    <t>ALB: 23-210868 PED: 23-017903-1003 S/PED: TERESA IÑIGO TORO / MONOMANDO PANAM CROMO (94697) BAÑO-DUCHA</t>
  </si>
  <si>
    <t>ALB: 23-211386 PED: 23-018769-1017 S/PED: IÑIGO DE TORO / MANGUITO ENCOLAR PRESION DN 63 / CODO 90º PVC PRESION DN  63 /</t>
  </si>
  <si>
    <t>ALB: 23-210361 PED: 23-016950-1003 S/PED: CEIP FCO PINO / CODO 87º SANITARIO M-H DN 100 / PB CODO 90º T-T DN 22 / PB MAN</t>
  </si>
  <si>
    <t>ALB: 23-208456 PED: 23-013775-1003 S/PED: ANTONIO  MACHADO / TUB.FLEXIBLE SPX FLEX ROLLO DE 30ML / BOLSA 10 CONEXION A P</t>
  </si>
  <si>
    <t>ALB: 23-210362 PED: 23-016950-1003 S/PED: CEIP FCO PINO / PB CASQUILLO PARA TUBO PB DN 22</t>
  </si>
  <si>
    <t>ALB: 23-208459 PED: 23-013775-1003 S/PED: ANTONIO  MACHADO / TUERCA REDUCIDA PE 3/4-1/2</t>
  </si>
  <si>
    <t>ALB: 23-209946 PED: 23-016382-1003 S/PED:  / ABRAZADERA SUPER I.../ ACUERDO MARCO DE SUMINISTROS. SERVICIO DE LIMPIEZA.</t>
  </si>
  <si>
    <t>SUMINISTRO MATERIAL,MICRO A ESTABILIZADOR CONTRAPESO HEMBRA DENTADO 15 CM, MICRO A VALVULA ANTPARA CUR. DE PARQ Y JARDIN</t>
  </si>
  <si>
    <t>SUMINISTRO MATERIAL PARA EL CURSO DE  PARQUES Y JARDINES IV- JACINTO BENAVENTE</t>
  </si>
  <si>
    <t>REPARACION DE: MOTOSIERRA   MARCA: HUSQVARNA  MODELO:338XP PARA EL CURSO DE PARQ Y JARDINESIV - JACINTO BENAVENTE</t>
  </si>
  <si>
    <t>FRANYAL, S.L.</t>
  </si>
  <si>
    <t>UD PINUS PINEA 3M ALTURA CONTAINER</t>
  </si>
  <si>
    <t>PEÑAFIEL</t>
  </si>
  <si>
    <t>UD CRATEAGUS PAUL-SCARLET CEPELLON 18/20 // UD MELIA CEPELLON 20/25</t>
  </si>
  <si>
    <t>UD CELTIS AUSTRALIS 30/35 CEPELLON // UD GINKGO BILOBA 20/25 EN CONTAINER</t>
  </si>
  <si>
    <t>2023 07 1711 203</t>
  </si>
  <si>
    <t>GRUAS Y TRANSPORTES EL MADRILEÑO, S.A.</t>
  </si>
  <si>
    <t>PARTE 9330 DEL 13-2-2023, Nº 28. / 705009 · ENTREGA EN AVDA. SALAMANCA, 15. / 705008 · ALQUILER DE BRAZO DIESEL</t>
  </si>
  <si>
    <t>PARTE 6490 DEL 18-4-2023, Nº 28. / 705009 · ENTREGA EN C/ MATEO SEOANE SOBRAL ---------------- / 705008 · ALQUILER DE BR</t>
  </si>
  <si>
    <t>SUMINISTRO VARIOS MATERIALES AGENCIA DE INNOVACIÓN</t>
  </si>
  <si>
    <t>F - 3436 - TERMOSTATO REGULACIÓN C. CADIZ Y C. LA VICTORIA - GRUPO ELECTRO STOCKS - 1 DIA</t>
  </si>
  <si>
    <t>MANT. SUMINISTRO DE MATERIAL PARA  REPARACIONES DEL CPM DELICIAS Y ZONA SUR- DURA 1 DIA</t>
  </si>
  <si>
    <t>Insuf.Saldo 0,01 cent - COOR. SS EJECUCIÓN PROYECTO INTEGRAL MOVILIDAD VERTICAL, ELEVADORES MEC. LAD-NORT PARQ-C-10/12</t>
  </si>
  <si>
    <t>IBERSAT BASE TR 4L (CIC NATIVIDAD ALVAREZ CHACON) / MAGNUM + BLANCO 15+2.5L (CIC NATIVIDAD ALVAREZ CHACO) / PINCEL CABO</t>
  </si>
  <si>
    <t>ORGANIZACIÓN, GESTIÓN Y DESARROLLO CAFÉ COLOQUIO DENTRO DE LA PROGRAMACIÓN DE LA XX SEMANA INTERCULTURAL - 27 DE ABRIL</t>
  </si>
  <si>
    <t>DISOLVENTE UNIVERSAL 1405 DE 5L (M) ( GE0012478 ID0034887 FRANCISCO QUEVEDO C/CABALLEROS ) / UNO+BLANCO 750ML ( GE001247</t>
  </si>
  <si>
    <t>PROMOTORA DE EMPRESAS HOTELERAS, S.A.</t>
  </si>
  <si>
    <t>COMIDA PONENTES JORNADA TECNICA DERECHOS HUMANOS- 21-4-23- XX SEMANA INTERCULTURAL.</t>
  </si>
  <si>
    <t>COLABORACIÓN SUMINISTRO REGALOS ANTIGUOS ALUMNOS Y PROFESORES POR EL 75 ANIVERSARIO CEIP SAN FERNANDO</t>
  </si>
  <si>
    <t>MATERIALES PARA REPARACIONES FONTANERÍA POR EL Sº DE MANTENIMIENTO DEL AYUNT. DE VALLADOLID PARA EL SERVICIO DE LIMPIEZA</t>
  </si>
  <si>
    <t>SUMINISTRO DE PIEZAS DE FONTANERIA PARA COLEGIOS PUBLICOS. AÑO 2023</t>
  </si>
  <si>
    <t>GESTIÓN DE ESCOMBROS PARA LIMPIEZA VIARIA.</t>
  </si>
  <si>
    <t>ASESORIA TECNICA PARA EL CVA ARCA REAL Y HUERTA DEL REY (ANTES CPM) INICIATIVAS SOCIALES JUNIO DE 2023</t>
  </si>
  <si>
    <t>EQUIPACION SONIDO E ILUMINACIÓN MANIFIESTO MANIFESTACIÓN FEMINISTA 15 ABRIL</t>
  </si>
  <si>
    <t>ELABORACION Y FABRICACION DE SIETE CARTELES EN ALUMINO CON POSTE PARA IDENTIFICACIÓN COLONIAS FELINAS.</t>
  </si>
  <si>
    <t>RENOVACIONL ROLLUP DE SMARTVA CON LA MARCA ANTIGUA DE ""VALLADOLID ADELANTE"" POR LA DE ""IDEVA"".</t>
  </si>
  <si>
    <t>BOLIGRAFOS, GORRAS Y CAMISETAS PUBLICITARIOS (CC ESGUEVA, CIC CONDE ANSÚREZ Y CC JOSÉ LUIS MOSQUERA)</t>
  </si>
  <si>
    <t>MATERIALES TRABAJOS ELÉCTRICOS EN CC CANAL DE CASTILLA Y EN CC RONDILLA</t>
  </si>
  <si>
    <t>MANTENIM. SUMINISTRO DE  LAMP. LED SPOT PAR16  9W, PORTALAMP HALOG. PARA ELC. DE FORMACIONDE EMPLEO- JACINTO BENAVENTE</t>
  </si>
  <si>
    <t>PROLONGADOR 220-240V 3 POLOS 16A///SERVICIO DE EXTINCIÓN DE INCENDIOS</t>
  </si>
  <si>
    <t>ACUERDO MARCO. SUMINISTRO DE MATERIAL ELÉCTRICO PARA VEHÍCULOS ELÉCTRICOS DE POLICÍA.</t>
  </si>
  <si>
    <t>CONT 9A 1NA 1NC 230V 50 60HZ / ELEMENTO DE CONTACTO NC</t>
  </si>
  <si>
    <t>CAMBIO EMERGENCIAS CIC EMPECINADO Y MATERIALES VARIOS CC DELICIAS Y KIOSCO CAÑO ARGALES</t>
  </si>
  <si>
    <t>MATRÍCULA VA37960VE //DESMONTAR Y MONTAR CARDILLA DELANTERA DERECHA Y SUSTITUIR RETEN. REPONER ACEITE / TORICA / RETEN /</t>
  </si>
  <si>
    <t>74418LDY // SUST. PASTILLAS 2 PINZAS FRENOS EJE ANT. / SUST. PASTILLAS 2 PINZAS.../ SPSC 23/2020 / SERVICIO DE LIMPIEZA.</t>
  </si>
  <si>
    <t>7337LWL // EO, CAMBIO DE ACEITE Y FILTRO DE ACEITE / EP2, SUST. FILTRO SECA.../ SPSC 23/2020 / SERVICIO DE LIMPIEZA.</t>
  </si>
  <si>
    <t>7334 LWL // SUST.PASTILLAS 2 PINZAS FRENOS EJE ANT. / SUST. PASTILLAS 2 PINZAS F.../ SPSC 23/2020 / SERVICIO DE LIMPIEZA</t>
  </si>
  <si>
    <t>7333LWL // H.M.O., REVISAR  INSTALACIÓN QUEMADA DE EQUIPO, SANEAR Y REC.../ SPSC 23/2020 / SERVICIO DE LIMPIEZA.</t>
  </si>
  <si>
    <t>8500 LRN // H.M.O., REV. AVERIAS, HACER PROCEDIMIENTO GUIADO, AJUSTAR SENSOR DEL.../ SPSC 23/2020/ SERVICIO DE LIMPIEZA.</t>
  </si>
  <si>
    <t>3185 LLB // H.M.O. DESM. SOPORTES Y DEPOSITO DE COMBUSTIBLE PARA SUST., SUST.../ SPSC 23/2020 / SERVICIO DE LIMPIEZA.</t>
  </si>
  <si>
    <t>MATRÍCULA 4894JLF//REVISAR CALEFACCION PARA DETERMINAR AVERIA /COMPROBAR COMPRESOR/SEISPC</t>
  </si>
  <si>
    <t>SUMINISTRO DE CAJA FIELTROS ANDREAE 1,00 10M BLANCO ECOFILTER PARA EL CURSO DE PINT. DECORATIVA V ( JACINTO BENAVENTE )</t>
  </si>
  <si>
    <t>DANPIN PACK 2 REC. VELOUR 11CM (ID0034899 FRANCISCO QUEVEDO C/GRANADOS) / DANPIN PACK 2 REC. ANTIGOTA EXTRA 6CM / DANPIN</t>
  </si>
  <si>
    <t>CYLSTAT, GESTION EMPRESARIAL ASESORAMIENTO ESTADISTICO, ECONOM. INFORMATICO, S.L.</t>
  </si>
  <si>
    <t>CONTRATO OBSERVATORIO URBANO - INFORMACION - AÑO 2023</t>
  </si>
  <si>
    <t>SUMINISTRO DE FUNGIBLES ORIGINALES, LOTE 1 (2/2023) PRIMERA PRÓRROGA</t>
  </si>
  <si>
    <t>IMPRESION DE SOPORTES PUBLICITARIOS A TRAVES DE IMPRENTA MUNICIPAL</t>
  </si>
  <si>
    <t>DESINSECTACION, DESRATIZACION, TRATAMIENTO PREVENCION Y CONTROL LEGIONELLA ESPACIO JOVEN PINAR</t>
  </si>
  <si>
    <t>PROYCO &amp; CAWAY, SOCIEDAD LIMITADA</t>
  </si>
  <si>
    <t>CATERING CHARLA // DÍA 27 DE OCTUBRE DE 2022. RELACIONADO CON AD 920220020982</t>
  </si>
  <si>
    <t>PCI (INSPECCION PERIODICA PROTECCION CONTRA INCENDIOS)  CEIP FEDERICO GARCÍA LORCA FECHA INSPECCIÓN: 31/10/22</t>
  </si>
  <si>
    <t>ADJUDICACION CONTRATO CENTRALIZADO PUBLICACION DATOS TURISMO EN EL OBSERVATORIO URBANO PARA EL AÑO 2023</t>
  </si>
  <si>
    <t>SUST. INTERRUPTOR DE FRENO/DESM-MONT GUARNECIDOS  DE CABINA PARA SUST.../ SPSC / 23/2020 / LIMPIEZA VIARIA.</t>
  </si>
  <si>
    <t>REVISAR NO  ENTRAN BIEN VELOCIDADES SUST. SERVOEMBRAGUE SUST. LIQ EMBRAG.../ SPSC 23/2020 / LIMPIEZA VIARIA.</t>
  </si>
  <si>
    <t>TAPA / INTERRUPTOR LETRAS CAMBIO / PERSIANA ANTISO / SENSOR NOX ANTERIOR / CE.../ AM SPSC 23/2020 / SERVICIO DE LIMPIEZA</t>
  </si>
  <si>
    <t>8612LRG //H.M.O.COMPROBAR  SE ENCIENDE ERROR SENSOR RADAR, HACER.../ AM SPSC 23/2020. SERVICIO DE LIMPIEZA.</t>
  </si>
  <si>
    <t>0984FGF // TAPIZADO ASIENTO CON GOMA NUEVA / TAPIZADO BAQUE 2 PLAZAS.../ AM SPSC 23/2020. LIMPIEZA VIARIA.</t>
  </si>
  <si>
    <t>2023 10 2412 214</t>
  </si>
  <si>
    <t>SUMINISTRO DE  PILOTO H.M.O.  CAMBIO DE ACEITE, FILTRO DE ACEITE Y AIRE,DE LA FURGONTE DEL C. F PARA EL EMPLEO 6817GJG</t>
  </si>
  <si>
    <t>7333LWL //  H.M.O. DETERMINAR  CORTO  EN EQUIPO DEL  VEHÍCULO, FUNDE  EL FUSIB.../ AM SPSC 23/2020. SERVICIO DE LIMPIEZA</t>
  </si>
  <si>
    <t>MANTENIMIENTO ASCENSOR DEL CENTRO DE FORMACION PARA EL EMPLEO- J. BENAVENTE DEL 1 DE ENERO AL 31 DE DICIEMBRE DE 2023</t>
  </si>
  <si>
    <t>F - 251 - COMIDAS COMEDOR SOCIAL - SUPL 80-COMIDAS 60-CENAS- DICIEMBRE 2022 - SCAS SL</t>
  </si>
  <si>
    <t>LIMPIEZA DE LAS INSTALACIONES DEL LAVA POR EL CONCIERTO  DE PREDIFEST- PLAN DE ACCESIBILIDAD-INICIATIVAS SOCIALES</t>
  </si>
  <si>
    <t>PLACA INTERMEDIA / PICAPORTE INTER.DERECH / SENSOR NOX POSTERIOR / DISCO DE.../ AM SPSC 23/2020. SERVICIO DE LIMPIEZA.</t>
  </si>
  <si>
    <t>Nº VALE 568 ( DESTINO: PARQUESOL ) / CORREA POLEA INTERMEDIA A DESBROZADOR RIDER 21AWD</t>
  </si>
  <si>
    <t>F - 325 - SERVICIO CELADURIAS CEAS Y COMEDOR SOCIAL-CAI - DICIEMBRE 2022 - SIFU MADRID</t>
  </si>
  <si>
    <t>REPARACIÓN FACHADA EDIFICIO C/ TOPACIO 63, SERVICIO DE LIMPIEZA.</t>
  </si>
  <si>
    <t>ACTUACION ZORRILLA'S FEST 23 SANTIAGO SIERRA / 24 JUNIO</t>
  </si>
  <si>
    <t>SARAH JANE MC LAUGHLIN</t>
  </si>
  <si>
    <t>SUMINISTRO DE DISTINTIVOS DE RECONOCIMIENTO POLICIAL.</t>
  </si>
  <si>
    <t>PERSONAL TECNICO PARA CONCIERTO DE PREDIFEST - PLAN DE ACCESIBILIDAD</t>
  </si>
  <si>
    <t>CTTO SERVICIO MANTENIMIENTO Y CONEXIÓN CRA DE LA ALARMA DE LA NUEVA BIBLIOTECA PARQUESOL//ABRIL-DICIEMBRE 2023</t>
  </si>
  <si>
    <t>MANTENIMIENTO PINTURA CENTRO MUNICIPAL DE LA IGUALDAD / DURANTE 2023</t>
  </si>
  <si>
    <t>SUM. MATERIALES PARA TRABAJOS DE PINTURA MANTENIMIENTO EN CC JOSÉ LUIS MOSQUERA Y LOCAL C/ ORIOL (AV SAN ISIDRO)</t>
  </si>
  <si>
    <t>SERIGRAFIA HERNANDEZ MURCIA, S.L.</t>
  </si>
  <si>
    <t>ADQUISICION REGALOS PUBLICITARIOS MEDALLAS PARA ACTOS OFICIALES</t>
  </si>
  <si>
    <t>SUM. RECAMBIOS WC CC DELICIAS</t>
  </si>
  <si>
    <t>SOPORTE Y MANTENIMIENTO PARA EL CORRECTO FUNCIONAMIENTO DE LOS PORTALES WEB DE CULTURA Y TURISMO, 5 MESES</t>
  </si>
  <si>
    <t>SERVICIOS DE LIMPIEZA Y SERVICIOS DE ASISTENCIA, S.L.U.</t>
  </si>
  <si>
    <t>LIMPIEZA, RETIRADA DE ENSERES Y DESINFECCIÓN VIVIENDA CALLE BECQUER 9, BAJO C</t>
  </si>
  <si>
    <t>SERVICIO DE CELADURIA CENTRO GALERIAS VALLADOLID DIA 5 DE MAYO 3 HORAS</t>
  </si>
  <si>
    <t>LIMPIEZA POSTERIOR A LA OBRA DEL EDIFICIO HUB INNOVACIÓN, SITO EN C/ VALLE DE ARÁN. ABRIL 2023</t>
  </si>
  <si>
    <t>SEGURIDAD DE LA SALA LAVA POR EL CONCIERTO DE PREDIFEST- PLAN DE ACCESIBILIDAD- INICIATIVAS SOCIALES</t>
  </si>
  <si>
    <t>SUMINISTRO DE CARTUCHOS PARA IMPRESORAS DE FURGONETAS DE INSPECCIÓN CENTRAL DE GUARDIA..</t>
  </si>
  <si>
    <t>SUMINISTRO E INSTALACIÓN DE RED ANTIPÁJAROS Y REVISIÓN LINEA VIDA VERTICAL NAVE ACOPIO DE SAL. LIMPIEZA VIARIA.</t>
  </si>
  <si>
    <t>SERVICIOS INFORMÁTICOS PARA EL MTO. DE IMPRESORAS TÉRMICAS Y PROVISIÓN CONTENIDOS PICCS DE LOS CENTROS DEL SPC</t>
  </si>
  <si>
    <t>SUMINISTRO DE PAPEL TÉRMICO DE COLORES PARA IMPRESORAS DE TICKETS DE LOS CENTROS CÍVICOS</t>
  </si>
  <si>
    <t>SLAPPY SKATESHOP, C.B.</t>
  </si>
  <si>
    <t>COLABORACIÓN PARA EL DESARROLLO ACTIVIDADES JUVENTUD FIESTAS SAN PEDRO REGALADO</t>
  </si>
  <si>
    <t>SEGUNDA PRÓRROGA LOTE 1 CONTRATO PROGRAMOS EDUCACIÓN AMBIENTAL (HUERTOS URBANOS). PLAZO: DEL 01/06/2023 AL 31/12/2023</t>
  </si>
  <si>
    <t>SOBRESIL, S.L.</t>
  </si>
  <si>
    <t>SUMINISTRO SOBRES IMPRESOS AYUNTAMIENTO VALLADOLID ALMACEN, R.I.</t>
  </si>
  <si>
    <t>IRURA</t>
  </si>
  <si>
    <t>SOCIEDAD ALAVESA DE INVERSIONES S.A. (SAINSA)</t>
  </si>
  <si>
    <t>SUMINISTRO DE 51.080 KGS. DE POLVO ASFÁLTICO  (2 VIAJES) .-</t>
  </si>
  <si>
    <t>VITORIA</t>
  </si>
  <si>
    <t>ALAVA</t>
  </si>
  <si>
    <t>CEPILLOS GUILLEM, S.L.</t>
  </si>
  <si>
    <t>RAVO LAT. NYLON ACERO / DESCUENTO 30% ACUERDO MARCO / RAVO LATERAL NYLON/ AM EXP V18/2022. LIMPIEZA VIARIA.</t>
  </si>
  <si>
    <t>Control de Calidad de las obras de la avda de los Reyes Católicos ( expte1/2022) LOTE 2</t>
  </si>
  <si>
    <t>ARBOLADO Y ARBUSTOS</t>
  </si>
  <si>
    <t>GAURA C-1 L / PEROVSKIA / CONVOLVULUS</t>
  </si>
  <si>
    <t>LAURO / EVONIMUS C-3 L / JUNIPERO C-3 L / ESCALONIA C-3 L / LOROPETALUM C-3 L</t>
  </si>
  <si>
    <t>COTTONEASTER C-3 L / ELEAGNUS C-3 L</t>
  </si>
  <si>
    <t>PRUNUS PISSARDII 14/16 CONT / EVONIMUS C-3 L / TEUCRIUM C-1 L / EVONIMUS PUCHELUS C-3 L / BUDLEIA DAVIDII C-3 L / ESCALO</t>
  </si>
  <si>
    <t>GAURA C-1 L / JUNIPERO C-3 L / VERONICA C-3 L</t>
  </si>
  <si>
    <t>SUMINISTRO DE MATERIALES PARA -EL CURSO DE  PARQUES Y JARDINES IV DEL C. DE F. PARA EL EMPLEO ( JACINTO BENAVENTE )</t>
  </si>
  <si>
    <t>AUERDO MARCO. MATERIAL PARA MANTENIMIENTO DE INSTALACIONES DE POLICÍA MUNICIPAL.</t>
  </si>
  <si>
    <t>GM-158625/B  FLEXOMETRO MEDICION BRICODY CON FRENO GOMA 05MT-25,0MM  (53883) / 401 BC 5G ADHESIVO INSTANTANEO USO GENERA</t>
  </si>
  <si>
    <t>CITY CAT  2000 CEPILLO LATERAL / DESCUENTO 30&amp; ACUERDO MARCO / RAVO LATERA.../ AM EXP V18/2022. LIMPIEZA VIARIA.</t>
  </si>
  <si>
    <t>LIBERAR CREDITO PRORROGA ESTANCIAS DIURNAS-UC1 RONDILLA (16 PLAZAS) EN Y FEB23-X ENT.VIGOR NUEVO CONTRATO EN ENERO</t>
  </si>
  <si>
    <t>ACUERDO MARCO. SUMINISTRO DE TONER IMPRESORAS GABINETE TÉCNICO.</t>
  </si>
  <si>
    <t>LIBERAR CRED.PRORROGA ESTANCIAS DIURNAS 7 UCS: UC2 ROND,Z.SUR,HTA.REY,D-ARCA Y Z.ESTE-EN Y FE23-X ENTRADA VIGOR CONT.NUE</t>
  </si>
  <si>
    <t>SERVICIOS DE AUDITORÍA PARA CONTROL EXTERNO DE PRIMER NIVEL DE LOS PROY.EUROPEOS URBAN GREENUP Y TRANSICIÓN VERDE CENCYL</t>
  </si>
  <si>
    <t>AJUSTE PRESUPUESTARIO SUMINISTRO MATERIAL OFICINA PARA EL CENTRO DE FORMACION PARA EL EMPLEO- CURSOS MIXTOS DURANTE 2023</t>
  </si>
  <si>
    <t>2023 05 4331 214</t>
  </si>
  <si>
    <t>REVISIÓN Y REPARACIÓN VEHÍCULO ZOE MATRICULA 6048JPN</t>
  </si>
  <si>
    <t>CONT DE SERVICIOS AUDITORIA Y CONTROL EXTERNO DEL PROYECTO EUROPEO- PGI05173_ PE4TRANS-INTERREG EUROPE.REF 920220014461</t>
  </si>
  <si>
    <t>SUM. MATERIALES TRABAJOS DE FONTANERÍA EN LOCAL AV SANTOS PILARICA</t>
  </si>
  <si>
    <t>SUMINISTRO DE MATERIAL DE SANEAMIENTO Y CALEFACCIÓN PARA LAS ESCUELAS INFANTILES MUNICIPALES. AÑO 2023.</t>
  </si>
  <si>
    <t>SOLYVEN INGENIERIA, S.L.</t>
  </si>
  <si>
    <t>CONTRATO DE SERVICIOS PARA LA MEJORA DE LOS CIRCUITOS ELECTRICOS Y DE FONTANERÍA EN LOS COLEGIOS PÚBLICOS. HASTA 31/12</t>
  </si>
  <si>
    <t>ESTORES MOTORIZADOS PARA CC ZONA SUR</t>
  </si>
  <si>
    <t>SUMINISTRO DE BOLSAS PARAGUAS PARA CC JL MOSQUERA</t>
  </si>
  <si>
    <t>GESTION DE RESIDUOS SANITARIOS BIOCONTAMINADOS Y MEDICAMENTOS CADUCADOS AÑO 2023</t>
  </si>
  <si>
    <t>ST2 SONIDO, S.L.</t>
  </si>
  <si>
    <t>SERVICIO DE SONIDO Y MEGAFONIA PARA CELEBRACION DIA DEL ALFABETO CIRILICO - 20-5-23</t>
  </si>
  <si>
    <t>CURSO DE USO DE REDES SOCIALES EN EL CENTRO MUNICIPAL DE LA IGUALDAD / MAYO 2023</t>
  </si>
  <si>
    <t>IMPRESION Y ENSOBRADO NOTIFICACIONES MIEMBROS MESAS ELECTORALES - ELECCIONES MUNICIPALES MAYO 2023</t>
  </si>
  <si>
    <t>SUMINISTROS SUMATEM, S.L.L.</t>
  </si>
  <si>
    <t>SUMINISTRO DE MATERIAL SOCIO-SANITARIO PARA EL CURSO DE V. CUIDA VI EN 2023 DEL C. DE F. PARA EL EMPLEO-</t>
  </si>
  <si>
    <t>SYNLAB DIAGNÓSTICOS GLOBALES, S.A.</t>
  </si>
  <si>
    <t>REAJUSTE DE ANUALIDADES DEL CONTRATO DE ANALISIS CLINICOS. DEPARTAMENTO DE PREVENCION Y SALUD LABORAL</t>
  </si>
  <si>
    <t>ESPLUGUES DE LLOBREGAT</t>
  </si>
  <si>
    <t>TALWAR TECHNOLOGIES, S.L.L.</t>
  </si>
  <si>
    <t>CTTO SUMINISTRO CINTAS TEJUELADO PROCESO TÉCNICO FONDOS Y ROTULACIÓN BIBLIOTECAS PÚBLICAS//AÑO 2023</t>
  </si>
  <si>
    <t>VALMOJADO 105</t>
  </si>
  <si>
    <t>TAU, COOPERACION Y DESARROLLO, S.L.</t>
  </si>
  <si>
    <t>Asistencia Técnica para la redacción de Informe de Capitalización de Jornada Misión ESPAÑA - PORTUGAL</t>
  </si>
  <si>
    <t>2023 10 2311 633</t>
  </si>
  <si>
    <t>SUMINISTRO E INSTALACIÓN DE CALDERA DE CONDENSACIÓN VAILLANT POR AVERIA</t>
  </si>
  <si>
    <t>TEATRO DEL AZAR, S.L.</t>
  </si>
  <si>
    <t>RUTA TEATRALIZADA SOBRE CERVANTES ACTIVIDAD DE DINAMIZACION DE LA FERIA DEL LIBRO DE VALLADOLID 2023</t>
  </si>
  <si>
    <t>TELECYL, S.A.</t>
  </si>
  <si>
    <t>CONTRATO PRESTACIÓN DE SERVICIOS DE GESTIÓN EVENTO: ENCUENTRO MISIÓN ESPAÑA-PORTUGAL:HACIA LA NEUTRALIDAD CLIMÁTICA 2030</t>
  </si>
  <si>
    <t>CONTRATO MENOR DE SERVICIOS GESTION EVENTO INTERNACIONAL URBAN GREENUP EL 29 DE MARZO DE 2023.</t>
  </si>
  <si>
    <t>GESTIÓN EVENTO JORNADA DE NETWORKING Y PUBLICIDAD ENCUENTRO AYUDAS DESCARBONIZACIÓN SOBRE LA CONCESIÓN DE SUBVENCIONES</t>
  </si>
  <si>
    <t>2023 04 9202 16204</t>
  </si>
  <si>
    <t>JOYERÍA MARTÍNEZ, C.B.</t>
  </si>
  <si>
    <t>RELOJES SEÑORA CELEBRACIÓN STA. RITA 2023.</t>
  </si>
  <si>
    <t>SALIDA GRUA REMOLCAR ( SALIDA GRUA DE REMOLCAR PARA LLEVAR MINI ESCAVADORA CON MATRICULA VA37960VE DESDE CALLE TOPACIO(V</t>
  </si>
  <si>
    <t>TONELERIA BURGOS ,S.L.</t>
  </si>
  <si>
    <t>FABRICACIÓN Y SUMINISTRO DE 50 CUBETOS DE MADERA ESTANCOS PARA ASFALTO FUNDIDO.</t>
  </si>
  <si>
    <t>NAVA DEL REY</t>
  </si>
  <si>
    <t>2023 11 1361 632</t>
  </si>
  <si>
    <t>TOTAL CONTROL BIONIC SL</t>
  </si>
  <si>
    <t>Reparación del Torreón del Parque Central de Bomberos; SEISYPC</t>
  </si>
  <si>
    <t>TOTAL SAFETY CLEAN, S.L.U.</t>
  </si>
  <si>
    <t>Reparaciones de 1 chaquetón y 4 cubrepantalones BRISTOL; SEISYPC.</t>
  </si>
  <si>
    <t>RUBÍ</t>
  </si>
  <si>
    <t>LIMPIEZA PLAYA MORERAS PERIODO ESTIVAL CON MAQUINARIA ESPECÍFICA DEL 24/06/23 AL 11/09/23 PARA LIMPIEZA VIARIA.</t>
  </si>
  <si>
    <t>TRADUCTORES E INTERPRETES EURO:TEXT, S.L.</t>
  </si>
  <si>
    <t>SERVICIO DE TRADUCCION SIMULTANEA FERIA DEL LIBRO VALLADOLID 2023</t>
  </si>
  <si>
    <t>DISEÑO CAMPAÑA DIFUSION DIA INTERNACIONAL DE LOS MUSEOS Y NOCHE EUROPEA DE LOS MUSEOS</t>
  </si>
  <si>
    <t>2023 10 2316 22699</t>
  </si>
  <si>
    <t>Traslado sillas a Cúpula Milenio para acto Convención iglesias evangélicas.Actividad diversidad relig. Plan Convivencia.</t>
  </si>
  <si>
    <t>2023 10 2311 632</t>
  </si>
  <si>
    <t>INSTALACION, PUESTA EN MARCHA Y EMISION BOLETINES CALDERA HERMAN EN VVDA CALLE MISERICORDIA 3, BAJO D</t>
  </si>
  <si>
    <t>SERVICIO DE RECOGIDA Y TRASLADO DE ENSERES EN CC DELICIAS</t>
  </si>
  <si>
    <t>TASA USO ESPACIO PÚBLICO, ESCUELA INGENIERÍA INFORMÁTICA, PARA 2 EJERCICIO DE 26 AUX.ADMVO.</t>
  </si>
  <si>
    <t>AULAS FACULTAD CIENCIAS ECONÓMICAS Y E. PARA PRIMER EJERCICIO 8 PLAZAS CONDUCTOR EL 6 DE MAYO DE 2023. PER-999/2022.</t>
  </si>
  <si>
    <t>URALA SOLUTIONS, S.L.</t>
  </si>
  <si>
    <t>Material antiincendios vario para equipamiento remolques NRBQ y BREC de nueva adquisición;SEISYPC.</t>
  </si>
  <si>
    <t>COMPRA TALONARIOS DE PARTES DE CONDUCTOR DIARIOS 1000x50x2. SERVICIO DE LIMPIEZA.</t>
  </si>
  <si>
    <t>ANUNCIO EXPOSICION CENSO ELECTORAL 9 Y 10 ABRIL 2023 - TRIBUNA DIGITAL</t>
  </si>
  <si>
    <t>RADIO MARCA: EMISIÓN EN DIRECTO DEL CONGRESO DE DEPORTE DESDE LA FERIA DE VALLADOLID</t>
  </si>
  <si>
    <t>SUMINISTRO DE RESMAS DE PAPEL A LA IMPRENTA MUNICIPAL PARA 100 TALONARIOS PETICIÓN Y AUTORIZACIÓN. SERVICIO DE LIMPIEZA</t>
  </si>
  <si>
    <t>VATEC VALLADOLID ASISTENCIA TECNICA, S.L.</t>
  </si>
  <si>
    <t>COMPROBACIÓN FUNCIONAMIENTO CALDERA DE VVDA EN VINOS DE RUEDA 22, 3M</t>
  </si>
  <si>
    <t>AVERIA EN LA CALDERA DE LA OFICINA DE VENTA AMBULANTE SITA CALLE HOSTIEROS.</t>
  </si>
  <si>
    <t>Gastos desplazamiento de uno de los ponentes del Festival de Cine Mirada gitana, actividad de la XX Semana Intercultural</t>
  </si>
  <si>
    <t>Desplazamiento ponente acción formativa Ley 8/2021 dirigido personal relacionado con servicios/equipos familia-infancia.</t>
  </si>
  <si>
    <t>WAGEN GROUP RETAIL ESPAÑA S.A.U.</t>
  </si>
  <si>
    <t>Revisión inspección de dos vehículos eléctricos 8111LPS y 8126LPS; SEISYPC</t>
  </si>
  <si>
    <t>Anulación operación anterior</t>
  </si>
  <si>
    <t>IMPRESION MATERIAL Y ROLL UP XX SEMANA INTERCULTURAL Y FESTIVAL CINE ""MIRADA GITANA"". MAYO 2023</t>
  </si>
  <si>
    <t>IMPRESIÓN DE 70 DÍPTICOS Y 5 CARTELES DE LA JORNADA DERECHO AL TRABAJO - XX SEMANA INTERCULTURAL</t>
  </si>
  <si>
    <t>K7801M-16 VASO DE IMPACTO CON CUADRADILLO DE 1/2 etc / 66253050276  MUELA NORTON 200X25X32  39C80K FILAD.CARB.</t>
  </si>
  <si>
    <t>610966 596/6A COTRAVARILLAS 600 UNIOR / 603979 231.7/4 ADAPTADOR 1/2 DE IMPACTO 1/2 3/4 UNIOR / SEISPC</t>
  </si>
  <si>
    <t>MT-503  7-100 ENGRASADOR RECTO / MT-508  7-100 ENGRASADOR 90 / 57.10X12.../ AM EXP V36/2017 / SERVICIO DE LIMPIEZA.</t>
  </si>
  <si>
    <t>BONDERITE C-MC 3000 D2 JC20KG DESENGRASANTE MANTENIMIENTO LOCTITE 1290340 / AM EXP V36/2017. LIMPIEZA VIARIA.</t>
  </si>
  <si>
    <t>ACUERDO MARCO. SUMINISTRO DE MATERIAL DE FERRETERIA Y FONTANERIA PARA DEPENDENCIAS POLICÍA MUNICIPAL.</t>
  </si>
  <si>
    <t>DIKINSON S.L.</t>
  </si>
  <si>
    <t>MEMENTO CONTRATO DE TRABAJO 2023-2024 / MEMENTO ADMINISTRATIVO 2023 / ADMINISTRACION LOCAL PRACTICA 5ª ED / TODO ADMINIS</t>
  </si>
  <si>
    <t>RÉGIMEN JURÍDICO ESTATAL Y AUTONÓMICO DEL PATRIMONIO MUNICIPAL DE SUELO / NUEVO DERECHO URBANISTICO CASTILLA LEON</t>
  </si>
  <si>
    <t>CASOS PRACTICOS SECRETARIOS TÉCNICOS ADMINISTRACIÓN LOCAL</t>
  </si>
  <si>
    <t>GUÍA DEL JARDÍN DE POLINIZADORES FERNANDO FUEYO / PLANTING DESIGN FOR DRY GARDENS : BEAUTIFUL, RESILIENT GROUNDCOVE</t>
  </si>
  <si>
    <t>MEMENTO MEMENTIX HACIENDA IMPUESTOS LOCALES 2023 // RENOVACIÓN 05/2023 A 05/2024</t>
  </si>
  <si>
    <t>608821  300/6B DESENCOFRADOR 1000   UNIOR / ACUERDO MARCO DE SUMINISTROS. SERVICIO DE LIMPIEZA.</t>
  </si>
  <si>
    <t>PINCHAZO ( TURISMO+EQUILIBRADO 8776LWS ) / 185/65R15 TRACMAX 92H 4EST ( 8367-JKB  ) / S.I. GESTION DE NFU  (  CAT. B  83</t>
  </si>
  <si>
    <t>ACUERDO MARCO. SUSTITUCIÓN DE NEUMÁTICOS VARIOS VEHÍCULOS DE POLICÍA MUNICIPAL.</t>
  </si>
  <si>
    <t>PINCHAZO (TURISMO + EQUILIBRADO 4173-LSL)</t>
  </si>
  <si>
    <t>ACUERDO MARCO. SUSTITUCIÓN RUEDAS VEHÍCULOS POLICÍA (2098-HCN) / S.I. GESTION DE NFU  (CAT. B 2098-HCN) /  (0649-HH</t>
  </si>
  <si>
    <t>PINCHAZO FURGÓN (MAS EQUILIBRADO 6989-MBW)</t>
  </si>
  <si>
    <t>CUBIERTA RECAUCHUTADA (315/80R22,5 XDY3 0999-FVN) / CUBIERTA NUEVA (315/80R22.../ AM EXP V18/2022. SERVICIO DE LIMPIEZA.</t>
  </si>
  <si>
    <t>PINCHAZO FURGON (MÁS EQUILIBRADO 1211-DPF) / AM EXP V18/2022. LIMPIEZA VIARIA.</t>
  </si>
  <si>
    <t>JOSE MANUEL  PEREZ MEDINA</t>
  </si>
  <si>
    <t>ADQUISICIÓN FONDO BIBLIOGRÁFICO BIBLIOT MARTIN ABRIL-NEXT GENERATION EU-RTR-C24.I2.P4-DOTACIÓN BIBLIOTECAS</t>
  </si>
  <si>
    <t>2023 06 3321 629</t>
  </si>
  <si>
    <t>SE-EIJI 19/2020 PS4. PRORROGA A.M SUMINISTRO FONDOS BIBLIOGRAFICOS  BIBLIOTECAS MUNICIPALES//LOTE1 LIBROS//2023</t>
  </si>
  <si>
    <t>ADQUISICIÓN DE FONDO  BIBLIOGRAFICO  PARA P. LECTURA-PUENTE DUERO- NEXT GENERATION EU-RTR-C24.I2.P4-DOTACIÓN BIBLIOTECAS</t>
  </si>
  <si>
    <t>ADQUISICIÓN DE FONDO BIBLIOGRÁFICO P. LECTURA OVERUELA-NEXT GENERATION EU-RTR-C24.I2.P4-DOTACIÓN BIBLIOTECAS</t>
  </si>
  <si>
    <t>ADQUISICIÓN FONDO BIBLIOGRÁFICO PUNTO  LECTURA  LAS FLORES- NEXT GENERATION EU-RTR-C24.I2.P4-DOTACIÓN BIBLIOTECAS</t>
  </si>
  <si>
    <t>ADQUISICION FONDO BIBLIOGRAFICO P.LECTURA S.PEDRO REGALADO-NEXT GENERATION EU-RTR-C24.I2.P4-DOTACION BIBLIOTECAS</t>
  </si>
  <si>
    <t>LIBRERIA OLETUM, SOCIEDAD LIMITADA</t>
  </si>
  <si>
    <t>ADQUISICIÓN FONDO BIBLIOGRÁFICO PUNTO LECTURA BELÉN-NEXT GENERATION EU-RTR-C24.I2.P4-DOTACION BIBLIOTECAS</t>
  </si>
  <si>
    <t>ADQUISICIÓN FONDO BIBLIOGRÁFICO BLIBLOT PARQUE ALAMEDA-NEXT GENERATION EU-RTR-C24.I2.P4-DOTACION BIBLIOTECAS</t>
  </si>
  <si>
    <t>ADBLUE A GRANEL / AM EXP V36/2017 / SERVICIO DE LIMPIEZA.</t>
  </si>
  <si>
    <t>AK-ADIGAS 6 CTN 25 L  / AM EXP V36/2017. SERVICIO DE LIMPIEZA.</t>
  </si>
  <si>
    <t>ADBLUE A GRANEL / ACUERDO MARCO SUMINISTROS. SERVICIO DE LIMPIEZA.</t>
  </si>
  <si>
    <t>ADBLUE A GRANEL / ACUERDO MARCO DE SUMINISTROS. SERVICIO DE LIMPIEZA.</t>
  </si>
  <si>
    <t>LUISA DE LAS MORAS ALAMO</t>
  </si>
  <si>
    <t>ADQUISICION FONDO BIBLIOGRÁFICO PTO LECTURA ARTURO EYRIES-NEXT GERNERATION EU-RTR-C24.I2.P4-DOTACION BIBLIOTECAS</t>
  </si>
  <si>
    <t>SE-EIJI 19/2020 PS4.PRORROGA A.M SUMIN FONDOS BIBLIOGRAFICOS BIBLIOT PÚBLICAS//LOTE1//LIBROS//2023</t>
  </si>
  <si>
    <t>MARGEN LIBROS, S.L.</t>
  </si>
  <si>
    <t>A.M SUMINISTRO FONDO BIBLIOGRAFICO BIBLIOTECAS MUNICIPALES//LOTE 1 LIBROS//2023</t>
  </si>
  <si>
    <t>ADQUISICIÓN FONDO BIBLIOGRÁFICO P. LECTURA ESGUEVA-UE NEXT GENERATION EU-PRTR-C24.I2.P4-DOTACIÓN BIBLIOTECAS</t>
  </si>
  <si>
    <t>ADQUISICIÓN FONDO BIBLIOGRÁFICO B.RONDILLA- FINANCIADA POR LA UE NEXT GENERATION EU-PRTR- C24.I2.P4-DOTACION BIBLIOTECAS</t>
  </si>
  <si>
    <t>MARIA LOBATO DE LAS MORAS</t>
  </si>
  <si>
    <t>ADQUISICIÓN FONDO BIBLIOGRÁFICO BIBLIOT PAJARILLOS ""A. MIAJA DE LA MUELA""-NEXT GENERATION EU-RTR-C.24.I2.P4-DOTAC BIBLIO</t>
  </si>
  <si>
    <t>MANGUERA ESPIRAL 9 M C/ENGANCHE RAPIDO / CARPINTERIA</t>
  </si>
  <si>
    <t>ACUERDO MARCO. MADERAS PARA GRUAS EN  DEPOSITO DE VEHICULOS EL PERAL / PINO NORTE V 50.</t>
  </si>
  <si>
    <t>PERFIL PINO 70 X 10 / SILICONA MADERA Y COLOR / RETIRADO POR CARLOS FRANCISCO</t>
  </si>
  <si>
    <t>PERFIL PINO LAMINADO 70x45 / TIRAFONDOS 5,0 x 90 / TIRAFONDOS 5,0*100 / TACO DUOPOWER 6*30 (100 U.) 555006/ CC ZONA SUR</t>
  </si>
  <si>
    <t>TRAVIESA PINO S.</t>
  </si>
  <si>
    <t>A.M. REPARACION VEHICULO OFICIAL RENAULT LAGUNA 1426DLN, R.I.</t>
  </si>
  <si>
    <t>MANT. SUMINISTRO DE MATERIAL PARA REPARACIONES DEL CPM DELICIAS 36.66 Y ARCA REAL 126.57- INICIATIVAS SOCIALES DUR 1 DIA</t>
  </si>
  <si>
    <t>CENTRO CIVICO ZONA SUR / MANILLON ROSETAS 15 / TORNILLO MANILLA 15900001 40106</t>
  </si>
  <si>
    <t>F - 5282 - TABLERO Y TORNILLOS - VVDA VINOS DE RUEDA 22 - MARINO DE LA FUENTE . 1 DIA</t>
  </si>
  <si>
    <t>DOBLE PULSADOR D.SENSO COMPACTO</t>
  </si>
  <si>
    <t>MATRÍCULA 3856DDD // 215/75R17.5 MULTI D MICHELIN / NFU N3 / MONTAJE RUEDA CAMION PEQUEÑO / SACAR Y COLOCAR CAMION</t>
  </si>
  <si>
    <t>MATRÍCULA 6747KLN // ALINEADO DE CAMIÓN / CONDUCCIÓN RECTA</t>
  </si>
  <si>
    <t>2023 08 1651 214</t>
  </si>
  <si>
    <t>MATRÍCULA: 1197MDS // REPARAR RUEDA FURGONETA / EQUILIBRAR RUEDA FURGONETA</t>
  </si>
  <si>
    <t>REPARAR RUEDA</t>
  </si>
  <si>
    <t>SPORMASTER CRF MINI 20-5-10+3CAO+2MGO ENVASE 25 KG</t>
  </si>
  <si>
    <t>RENOVACIÓN MOBILIARIO CENTROS DE PARTICIPACIÓN CIUDADANA LOTE 2: CENTROS MUNICIPALES Y DE INICIATIVAS</t>
  </si>
  <si>
    <t>PAPELERIA SOMAR, S.L.</t>
  </si>
  <si>
    <t>ADQUISICIÓN FONDO BIBLIOGRÁFICO BIBLIOTECA CAMPO GRANDE-NEXT GENERATIION EU-RTR-C24.I2.P4-DOTACION BIBLIOTECAS</t>
  </si>
  <si>
    <t>VILLANUEVA DE LOS INFANTES</t>
  </si>
  <si>
    <t>CIUDAD REAL</t>
  </si>
  <si>
    <t>OPA - FRA. F/2023/421 DEL 17/01/2023 - USO TARJETA CEPSA</t>
  </si>
  <si>
    <t>BOQUILLA AIRE/CARGADOR-ARRANCADOR/ PLACAS MATRICULAS EUROPEAS 0130-DWZ Y 0095-DWZ///SERV.  EXTINCION DE INCENDIOS</t>
  </si>
  <si>
    <t>SEPIOLITA 20KG. 15-30 / LIMPIEZA VIARIA.</t>
  </si>
  <si>
    <t>PATIN GUIAJE ELEVADOR UPC 2008 / SENS. MUTING, BARRERAS OPTICAS/ALTERNADOR/ CAS.../ EXP V36/2017 / SERVICIO DE LIMPIEZA.</t>
  </si>
  <si>
    <t>ACUERDO MARCO. SUMINISTRO DE MATERIAL PARA EL TALLER DE REPARACIÓN DE VEHÍCULOS DE POLICÍA .MUNICIPAL.</t>
  </si>
  <si>
    <t>IADBLUE 10L / ADAPTADOR 12V 13/7 / Porta fusible aéreo con tapa 30 A / SET DE 2 MINI VENTOSAS Ø 60MM / VENTOSA UNITARIA</t>
  </si>
  <si>
    <t>SENSOR IND M12,0,75M ESTRIBER / PERFIL CONTORNO CHAPA CON ANIMA MET.../ ACUERDO MARCO SUMINISTRO. SERVICIO DE LIMPIEZA.</t>
  </si>
  <si>
    <t>PARA REAJUSTE DE ANUALIDADES APLICACIÓN INFORMÁTICA DE POLICÍA MUNICIPAL. LOTE Nº 1, EXPTE. 41/2021.</t>
  </si>
  <si>
    <t>SOPORTE BARRA SEG FMO PLUS / LAMINA CIERRE IZQ FMO PLUS / LAMINA.../ ACUERDO MARCO SUMINISTROS LIMPIEZA VIARIA.</t>
  </si>
  <si>
    <t>ADPRO/15W405 - ACEITE 15W40 5L XTD D / TRA/TRA - TASA RECIL.ACEITE LUB.RD679-2006 / BOSCH/3397004629 - RAQUETA LIMPIA-CR</t>
  </si>
  <si>
    <t>BOBINA PAPEL INDUSTRIAL CIDAL PASTA GOFRADA (D5026) (PACK 2 UDS) / PILA DURACEL.../ EXP V36/2017 / SERVICIO DE LIMPIEZA.</t>
  </si>
  <si>
    <t>PILA DURACELL MN21 12V ALCALINA A23/K23A LRV08 / REMACHE ESTANDAR 4X.../ ACUERDO MARCO SUMINISTROS. SERVICIO DE LIMPIEZA</t>
  </si>
  <si>
    <t>ESCOBIJO BARRENDERO CON MANGO 90MM  00001450 / MANGO BARRENDERO MA.../ ACUERDO MARCO SUMINISTROS. LIMPIEZA VIARIA.</t>
  </si>
  <si>
    <t>ALB A1-020108</t>
  </si>
  <si>
    <t>ALBARÁN A1-020496</t>
  </si>
  <si>
    <t>ALB 01-020209</t>
  </si>
  <si>
    <t>SUMINISTROS MATERIALES, PROGRAMADORES RIEGO , VALVULA-SOLENOIDE PRA EL CURSO DE PARQ. Y JARDINES IV- JACINTO BENAVENTE</t>
  </si>
  <si>
    <t>SUMINISTRO DE DESATASCADOR ROSPI 8H+E PLUS 7,5M Ø8MM / PROGRAMA PINTURA DECORATIVA V MIXTO/22/VA/0012-JACINTO BENAVENTE</t>
  </si>
  <si>
    <t>C.P. MIGUEL DELIBES // CP PABLO PICASSO // CP CARDENAL MENDOZA // CP ALONSO BERRUGUETE // CP MACIAS PICABEA</t>
  </si>
  <si>
    <t>CP ENTRERIOS / CP ALONSO BERRUGUETE / CP PIO RIO ORTEGA / CENTRO DE AUTISTAS EL CORRO / CP GINES DE LOS RIOS ... MARZO</t>
  </si>
  <si>
    <t>CP MIGUEL DE CERVANTES / CP PABLO PICASSO / CP MARIA TERESA IÑOGO DE TORO / CP GINES DE LOS RIOS / CP NARCISO A. MARZO</t>
  </si>
  <si>
    <t>ESCUELA INFANTIL EL PRINCIPITO - JUNTA GOMA ANCHA ¾ / MONOMANDO VICTORIA FREG. PARED // ESCUELA INFANTIL PLATERO - marzo</t>
  </si>
  <si>
    <t>COLLAK-DESATASCADOR 1 LT ACIDO / SIFON BIDET S-69 BIDET 1 1/2 / VALVULA CON TAPON Y CADENA RIUVER / MASILLA POLIMERO TOT</t>
  </si>
  <si>
    <t>SUM. MATERIALES VARIOS PARA REPARACIONES CC JOSE LUIS MOSQUERA // CC BAILARIN VICENTE ESCUDERO // C.C. ESGUEVA</t>
  </si>
  <si>
    <t>MANTENIMIENTO, SUMINISTRO DE COLLAK-DESATASCADOR 1 LT ACIDOPARA EL  CVA DELICIAS-DURACION 1 DIA</t>
  </si>
  <si>
    <t>MANT. SUMINISTRO DE MATERIAL PARA  REPARACIONES DEL C.P.M VICTORIA  Y  RONDILLA- DURA 1 DIA- INICITIVAS SOCIALES</t>
  </si>
  <si>
    <t>F - 3298 - ASIENTO VICTORIA ACERO BLANCO - CENTRO INTEGRADO - SUMINISTROS GARCICHAO SL.- 1 DIA</t>
  </si>
  <si>
    <t>CC JOSE LUIS MOSQUERA - ASIENTO VICTORIA ACERO BLANCO // CIC CONDE ANSUREZ - MECANISMO UNIVERSAL COMPA E/LATER / MECANIS</t>
  </si>
  <si>
    <t>2023 08 1651 22606</t>
  </si>
  <si>
    <t>Curso de renovación para la formación de plataforma elevadora (4 operarios)</t>
  </si>
  <si>
    <t>CAMPO GRANDE / ENLACE TUBOS LISOS A-14 DE 11/4 / MANGUITO UNION PVC HH A-9 32 / CODO 90º HH A-1 32 / CODO 90º MH A-6 32</t>
  </si>
  <si>
    <t>PARA REAJUSTE DE ANUALIDADES. MATRIZ DE COMUNICACIONES POLICIA MUNICIPAL.  LOTE Nº 2. EXPTE. 41/2021.</t>
  </si>
  <si>
    <t>MANT. SUMINISTRO DE MATERIALPARA REPARACIONES DEL CPM ZONA SUR- DURA CION 1 DIA</t>
  </si>
  <si>
    <t>SERVICIO DE LIMPIEZA // C/TOPACIO - MONOMANDO FREG EXTRAIBLE K8 // PUNTO LIMPI.../ AM EXP V36/2017. SERVICIO DE LIMPIEZA</t>
  </si>
  <si>
    <t>PULPO CADENA 2 RAM-0,5MTS C/GANC-SEG</t>
  </si>
  <si>
    <t>SIFON LAVABO BIDET S-11 11/2  / SERVICIO DE LIMPIEZA.</t>
  </si>
  <si>
    <t>L01471868 ( PUNTO DE ENTREGA:   AYUNTAMIENTO DE VALLADOLID  CL  Nº 1  47001      VALLADOLID ) / CASA CONSISTORIAL ( PUNT</t>
  </si>
  <si>
    <t>E.I.M. MAFALDA Y GUILLE // CARRETE ESTAÑO PLATA 6% / DECAPANTE S-39 320 CULO ANCHO // CP SAN FERNANDO // MASILLA POLIMER</t>
  </si>
  <si>
    <t>F - 3939 - VARIOS FONT. C/VINOS DE RUEDA, C/CENTRO, CEAS DELICIAS-ARG, B.ESPAÑA Y CI-ALBERGUE-MARZO- SUM GARCICHAO-1 DIA</t>
  </si>
  <si>
    <t>PRESTO CABEZA URINARIO / FISCHER-MASILLA POLIMERO GRIS / PRESTO CABEZA URINARIO 1027 / VARIOS CENTROS</t>
  </si>
  <si>
    <t>MANT. SUMINISTRO DE MATERIAL PARA REPARACION DE FONTANERIA DEL CPM DELICIAS- DURACION  1 DIA</t>
  </si>
  <si>
    <t>F - 4499 - MONOMANDOS, JUNTA, PULSADOR,... PARA VVDAS C/ MISERICORDIA 3, P. BATALLAS 6 Y C.INTEGRADO - GARCICHAO - 1 DIA</t>
  </si>
  <si>
    <t>PRESTO CABEZA URINARIO 1027 / COLLAK-DESATASCADOR 1 LT ACIDO / ASIENTO VICTORIA ACERO BLANCO / VALVULA LAVABO BIDET ENER</t>
  </si>
  <si>
    <t>EIM CAMPANILLA:PRESTO PISTON 1000M / PRESTO MANETA FLUXOMETRO 1000 / DF-SIFON EXTENSIBLE 40-1 1/2 BL // E. INF CASCANUEC</t>
  </si>
  <si>
    <t>EIM EL PRINCIPITO - PRESTO MANETA FLUXOMETRO 1000M / PRESTO PRISTON 1000M // ESCUELA TALLER JACINTO BENAVENTE - TANQUE V</t>
  </si>
  <si>
    <t>GEBERIT LLENADO LATERAL IMPULS / MECANISMO Y TIRANTE DESCARGA T D4T VICTORIA CONJUNTO TIRADOR/SERV. EXTINCION INCENDIOS</t>
  </si>
  <si>
    <t>GASTOS POR TRANSFERENCIA BANCARIA  AL EXTERIOR - FUNDACION DEMUCA- CENTRO AMERICA Y REPUBLICA DOMINICANA- GASTOS SWIFT</t>
  </si>
  <si>
    <t>GASTOS POR TRANSF. BANCARIA  AL EXTERIOR - FUNDACION DEMUCA- CENTRO AMERICA Y REPUBLICA DOMINICANA- GASTO ADICIONAL OUR</t>
  </si>
  <si>
    <t>BIBLIOTECA PARQUESOL / DOSICO-DIPENS PAPEL ESTANDA INOX / DISOCO-DIPENS PAPEL ARES PURE BL / ESCOBILLERO COMPLETO BIG BL</t>
  </si>
  <si>
    <t>ACUERDO MARCO. SUMINISTRO DE MATERIAL DE FONTANERÍA PARA DEPENDENCIAS DE POLICÍA MUNICIPAL.</t>
  </si>
  <si>
    <t>PLAZA SANTA ANA - MECANISMO UNIVERSAL ROCA SIMPLE / MECANISMO UNIVERSAL COMPA E/LATER / KIT G FIJ. + JUNTA VICTORIA TZ /</t>
  </si>
  <si>
    <t>CENTRO OCUPACIONAL, MANTENIMIENTO- SUMINISTRO DE MECANISMO UNIVERSAL ROCA DOBLE- DUR 1 DIA</t>
  </si>
  <si>
    <t>MACROCREAM T-BOX 3000 ML C/DISPENSADOR</t>
  </si>
  <si>
    <t>ARNES CABLEADO MOTOR SERIE 5 EUS / PORTES MAF / RETEN 105-125-16 COMBI NBR CORT.../ V36/2017 / SERVICIO DE LIMPIEZA.</t>
  </si>
  <si>
    <t>ESLINGA 1TN LD30 2MT. / ENCIMERA NEGRA SNOW 3306 3600X620 / GRILLETES RE.../ V36/2017 / LIMPIEZA VIARIA.</t>
  </si>
  <si>
    <t>LAVAVAJILLAS MANUAL CIDASOL AMARILLO /// SERVICIO DE EXTINCION DE INCENDIOS, SALVAMENTO Y PROTECCION CIVIL</t>
  </si>
  <si>
    <t>2023 07 1721 22104</t>
  </si>
  <si>
    <t>PARKA SYLOW PLUMA REC Y CAP AMRO T.XL / PARKA SYLOW PLUMA REC Y CAP AMRO T.L / BORDADO LOGO</t>
  </si>
  <si>
    <t>JARRA CON TAPA PROTECTORA ANTIPOLVO, (5L) / ALMOHADILLA PARA ARRODILLARSE.../ EXP V36/2017 / SERVICIO DE LIMPIEZA.</t>
  </si>
  <si>
    <t>GASTOS POR TRANSFERENCIA BANCARIA  AL EXTERIOR - FUNDACION DEMUCA- CENTRO AMERICA Y REPUBLICA DOMINICANA-</t>
  </si>
  <si>
    <t>DUERO TERCER MILENIO S.L.</t>
  </si>
  <si>
    <t>SE 34-23 OBRA REFORMA Y MEJORAS DE LOS ASEOS 1ª PLANTA DEL CEIP FEDERICO GARCÍA LORCA. PLZ EJEC: 40 DIAS LABORALES</t>
  </si>
  <si>
    <t>MANTA TERMICA RAVO3 / COJINETE / RUEDA GUIA PARA CAMPAÑA DE ASPIRACION  / PORTES.../ EXP V36/2017 / SERVICIO DE LIMPIEZA</t>
  </si>
  <si>
    <t>BOLSA NEGRA 90X95 G-140 BDRPLTOTAL (1000 unid)  / EXP V36/2017 / LIMPIEZA VIARIA.</t>
  </si>
  <si>
    <t>ARNES CABLEADO ELECTRICO MOTOR TRACCION  / FARO / PLACA IZQUIERDA DE CIERRE BRA.../ EXP V36/2017 / LIMPIEZA VIARIA.</t>
  </si>
  <si>
    <t>MTRO PERFIL ESPONJOSO ADHES 10X20 / JARRA CON TAPA PROTECTORA AN.../ ACUERDO MARCO SUMINISTROS. SERVICIO DE LIMPIEZA.</t>
  </si>
  <si>
    <t>SENSOR PRESIÓN PARA EL DEPÓSITO AGUA  / VALVULA PARA EL SISTEMA AGUA / ACUERDO MARCO SUMINISTROS. LIMPIEZA VIARIA.</t>
  </si>
  <si>
    <t>BOLSA NEGRA 90X95 G-140 BDRPLTOTAL (1000 UNID) / BOLSA NEGRA 115X150/ ACUERDO MARCO SUMINISTROS. LIMPIEZA VIARIA.</t>
  </si>
  <si>
    <t>LA CASA POR EL TEJADO 2013</t>
  </si>
  <si>
    <t>SE 32-23 CTTO DE OBRAS PARA LA REPARACIÓN DE GOTERAS EN TEJADOS DE VARIOS CEIPS. PL EJ: 4 SEMANAS/CENTRO</t>
  </si>
  <si>
    <t>CARPETA CANGURO 4 ANILLAS 16MM A-4 / FUNDA GRAFOPLAS 11 TAL PP 80 M.../ ACUERDO MARCO SUMINITROS. SERVICIO DE LIMPIEZA.</t>
  </si>
  <si>
    <t>TUERCA AMOLADORA FIXTEC  / BROCA SDS PLUS 6X150/215MM RX4 / TORNILLO DIN.../ ACUERDO MARCO SUMINISTROS. LIMPIEZA VIARIA.</t>
  </si>
  <si>
    <t>PORTE MAF / PORTES MAF / PORTES MAF / PUNTAL DE SEGURIDAD PORTON TRASERO / BOM.../ AM EXP V18/2022. LIMPIEZA VIARIA.</t>
  </si>
  <si>
    <t>SOPORTE AUDIOVISUAL Y REALIZACIÓN TÉCNICA PARA FESTIVAL PAJARILLOS EDUCA (DIA TIERRA) EN PZA. BIÓLOGO VALVERDE 21/04/23</t>
  </si>
  <si>
    <t>CONTRATO RENTING  VEHÍCULOS DE 1-1-2023 A 15-8-2027. LOTE Nº 3. EXPTE SPSC 06/2022. REAJUSTE COMIENZO CONTRATO 6-3-2023.</t>
  </si>
  <si>
    <t>SE 19-23.CTTO OBRAS:ADAPTACIÓN ASEO ACCESIBLE+ASEO AULA 1-2 AÑOS CASAS NIÑ@S MAESTRO CLAUDIO Y PAJARILLOS. 25 DÍAS LABOR</t>
  </si>
  <si>
    <t>ACUERDO MARCO_VA2712U:CLAUSOR;8367JKB:REVISAR FALLO Y SUSTITUIR CALENTADORES;4558LKC:DISCO CHAPA,MONTAJE Y EQUILIBRADO;0</t>
  </si>
  <si>
    <t>GESTIÓN ESTANCIAS DIURNAS AYTO // ENERO 2023 / HUERTA / SUR / RONDILLA / DELICIAS / ESTE / PARQUESOL</t>
  </si>
  <si>
    <t>ACUERDO MARCO_1426CDC:REVISAR FUGA ACEITE,SUSTITUIR JUNTA Y REAPRIETE CARTERES Y TAPAS Y LIMPIEZA MOTOR///SEISPC</t>
  </si>
  <si>
    <t>SUSTITUYE F/2023/ 5315 // TN. RECOGIDA RESIDUOS VOLUMINOSOS MARZO 2023 (PRECIOS/ORDENANZA REGULADORA) CTR. MES DE MARZO</t>
  </si>
  <si>
    <t>TN. RECOGIDA RESIDUOS VOLUMINOSOS ABRIL 2023 (PRECIOS/ORDENANZA REGULADORA). CTR. MES DE ABRIL</t>
  </si>
  <si>
    <t>F - 238 - LUCHA EXCLUSION BARRIADAS VULNERABLES - DICIEMBRE 2022 - UTE ESTE BARRIO</t>
  </si>
  <si>
    <t>ACUERDO MARCO. REPARACIÓN VEHÍCULO POLICÍA 5193DTL:COPIA LLAVE Y CODIFICACION</t>
  </si>
  <si>
    <t>ACUERDO MARCO. REPARACIÓN VEHÍCULO 4078JKP:CALENTADOR Nº2,SENSOR PRESION Y ABRAZADERAS, LECTURA Y BORRADO DE</t>
  </si>
  <si>
    <t>ACUERDO MARCO. REPARACIÓN VEHÍCULO 2098HCN:KIT EMBRAGUE BIMASA,KIT DISTRIBUCION CON BOMBA</t>
  </si>
  <si>
    <t>ACUERDO MARCO:5901LFX:REVISION 3ª AÑO Y FILTRO DE POLEN ADH386, Y 0020LFY:REVISION 3ªAÑO Y SUSTITUIR FILTRO DE POLEN ADH</t>
  </si>
  <si>
    <t>REVISION TAC. DIGITAL 9049 KVH / PILA RESPALDO DATOS / REVISION ANALOGICA 08.../ SPSC 23/2020 / SERVICIO DE LIMPIEZA.</t>
  </si>
  <si>
    <t>REVISION TACOGRAFO 1211 DPF / CARATULA FRONTAL / SUSTITUIR CARATULA / RE.../ AM SPSC 23/2020. SERVICIO DE LIMPIEZA.</t>
  </si>
  <si>
    <t>ALBARÁN OT/ 136513 DE 6 y 7/03/2023 (REPARACIÓN EN TALLER DE CORTACÉSPED HONDA HRH 536 K4 REF: HUERTA DEL REY 2ª FASE V</t>
  </si>
  <si>
    <t>ALBARÁN OT/136696 DE 14/03/2023 / REPARACIÓN EN TALLER DE CORTACÉSPED HONDA IZY 53 PREMIUM VALE Nº: 558 HUERTA DEL REY</t>
  </si>
  <si>
    <t>ALB OT/136794 DE 22/03/2023 /REPARACIÓN PERFILADORA ELIET GX 120//ALB OT/ 136795 DE 22/03/2023 REPARACIÓN GENERADOR BENZ</t>
  </si>
  <si>
    <t>ALBARÁN OT/136860 DE 24/03/2023 (REPARACIÓN EN TALLER DE CORTACÉSPED HONDA HRH 536 REF. MORERAS VALE Nº: 580 RETIRADO EL</t>
  </si>
  <si>
    <t>Albarán OT/ 137131 de 14/04/2023 ( REPARACIÓN EN TALLER DE CORTACÉSPED FLOTANTE ELIET REF.: HUERTA DEL REY FASE 1 VALE N</t>
  </si>
  <si>
    <t>F - 4835 -  PLACA ELECTRONICA PARA REPARACION CALDERA CEAS BELEN. 17 MARZO- TAHE SL - 1 DIA</t>
  </si>
  <si>
    <t>SUSTITUYE F/2023/4071 (ERROR FECHA) // HORAS DE CAMIÓN BAÑERA TRANSPORTANDO RECICLADO AL PARQUE</t>
  </si>
  <si>
    <t>ACUERDO MARCO. REPRACIÓN VEHÍCULO 3997 JKP</t>
  </si>
  <si>
    <t>ACUERDO MARCO. REPRACIÓN VEHÍCULO DE POLICÍA 3999 JKP (ENGANCHE CINTURON).</t>
  </si>
  <si>
    <t>ALQUILER BATERIA - RENAULT TWIZY TECHNIC // VEHICULO MATRICULA: 8235HST // MESES: ENERO - MARZO</t>
  </si>
  <si>
    <t>ALQUILER BATERIA - RENAULT TWIZY URBAN // VEHICULO MATRICULA: 5891HTF // MESES: ENERO - MARZO</t>
  </si>
  <si>
    <t>ALQUILER BATERIA - RENAULT TWIZY TECNIC // VEHICULO MATRICULA: 9207HPX // MESES: ENERO - MARZO</t>
  </si>
  <si>
    <t>ALQUILER BATERIA - RENAULT TWIZY TECHNIC // VEHÍCULO MATRÍCULA 8235HST // DEL 1 AL 19 ABRIL</t>
  </si>
  <si>
    <t>ALQUILER BATERIA - RENAULT TWIZY URBAN // VEHÍCULO MATRÍCULA: 5891HTF // DEL 1 AL 19 ABRIL</t>
  </si>
  <si>
    <t>RENTING VEHÍCULOS DE 1-1-2023 A 15-8-2027 . LOTE Nº 2. EXPTE. SPSC 06/2022. REAJUSTE POR COMIENZO 17-4-2023.</t>
  </si>
  <si>
    <t>ALQUILER BATERIA - RENAULT TWIZY TECNIC // VEHÍCULO MATRÍCULA: 9207HPX // DEL 1 AL 19 ABRIL</t>
  </si>
  <si>
    <t>ACUERDO MARCO. REPARACIÓN VEHÍCULO DE POLICÍA  3998JKP</t>
  </si>
  <si>
    <t>ACUERDO MARCO. REPARACIÓN VEHÍCULO DE POLICÍA MUNICIPAL 4078JKP.</t>
  </si>
  <si>
    <t>MANO DE OBRA / BATERIA  / UNIDAD TRAMITADORA GE0003927</t>
  </si>
  <si>
    <t>CORTAR CHAPA EN MAL ESTADO DE CAZO BASURERO PONER NUEVA/8875 KMN/ SPSC 23/2020 / SERVICIO DE LIMPIEZA .</t>
  </si>
  <si>
    <t>TAPON DESVAPORIZADOR DE 50 MM MARREL // PARQUES Y JARDINES //  Nº VALE 1298</t>
  </si>
  <si>
    <t>MATRICULA 7535 LLT // SUSTITUIR GRUPO ELECTROHIDRAULICO DE 12V 15 L ACEITE HIDRAULICO HM 6 ISO 9001 APORTACIÓN RECICLAJ</t>
  </si>
  <si>
    <t>2 BATERIAS COMPATIBLE HETRONIC Y PORTES (MATERIAL ENCARGADO SR ANGEL MECÁNICO) / AM SPSC 23/2020. LIMPIEZA VIARIA.</t>
  </si>
  <si>
    <t>M1406-MANIJA PLATAFORMA PVC/MV1521.B-GANCHO CERRADURA PLATAFORMA VO.07/PORTES MATE.../ AM SPSC 23/2020. LIMPIEZA VIARIA.</t>
  </si>
  <si>
    <t>CONTRATACIÓN CONSERVACIÓN Y MEJORA INFRAESTRUCTURAS VERDES DE LAS ZONAS CENTRO Y NORTE. LOTE 4. CALIDAD. V.34/2022.</t>
  </si>
  <si>
    <t>INTERVENCIÓN SISTEMA DE SEGURIDAD APARATO ELEVADOR DEL EDIFICIO MUNICIPAL SITO EN PLAZA STA.ANA.</t>
  </si>
  <si>
    <t>CTTO AMPLIACIÓN SERVICIO REPARTO LIBROS A BIBLIOTECAS PÚBLICAS//ABRIL-DICIEMBRE//2023</t>
  </si>
  <si>
    <t>Contrato basado servicio redacción de proyecto de obras de ascensor entre plaza Rafael Cano y calle Salud (exp. 25/2022)</t>
  </si>
  <si>
    <t>A Z INNOVACION SOCIAL S.L.</t>
  </si>
  <si>
    <t>LOTE 2 - SERVICIOS DE FORMACION Y SENSIBILIZACION EN T. DIGITAL Y ECONOMIA CIRCULAR PARA PYMES-FONDOS PRTR</t>
  </si>
  <si>
    <t>GRANADA</t>
  </si>
  <si>
    <t>SE-EIJI 11/2020 PS 2. MODIFICACIÓN PRORROGA CONTRATO MANTENIMIENTO BIBLIOTECAS PUBLICAS. LOTE 1. 1-7 AL 31-12-23</t>
  </si>
  <si>
    <t>CONTRATO PREST SERV MANT CONSERV MÁQUINAS, EQUIPOS, HERRAM Y MATER 7 ; LOTE 3: MANT CORREC PUERTAS SECC Y CORRED;SEISYPC</t>
  </si>
  <si>
    <t>SUMINISTRO MATERIAL , SACA PUZOLANA VOLCANICA  PARA EL CURSO DE PAQ. Y JARDINES IV- JACINTO BENAVENTE 2023</t>
  </si>
  <si>
    <t>SUMINISTRO DE SACA MANTILLO ,SACO SUBSTRATO  PARA EL CURSO DE PARQUES Y JARDINES IV DEL C. DE F. PARA EL EMPLEO</t>
  </si>
  <si>
    <t>103705780 - SACO SUBSTRATO BF4 70L EN ( Prop. 1    EIN ) / SASU - SACA SUBSTRATO 1,5 M3 ( Prop. 1</t>
  </si>
  <si>
    <t>MARA8*13           BANDEJA RECU 8X12 ( Prop. 1    BALA )</t>
  </si>
  <si>
    <t>CONTRATO PREST SERV MANT CONSERV MÁQUINAS, EQUIPOS, HERRAM Y MATER 7 ; LOTE 7: MANT CORREC EXTINT PORTÁTILES;SEISYPC</t>
  </si>
  <si>
    <t>SERVICIOS POLITECNICOS AEREOS,S.A. (SPASA)</t>
  </si>
  <si>
    <t>EJECUCIÓN VUELO FOTOGRAMÉTRICO EN ZONA DEL TÉRMINO MUNICIPAL DE VALLADOLID.</t>
  </si>
  <si>
    <t>35 cascos de protección individual craneal; Servicio de Extinción de Incendios, Salvamento y Protección Civil.</t>
  </si>
  <si>
    <t>CONTRATO MENOR DE LOS SERVICIOS DE CELADURÍA EN EL CENTRO MARCELINA PONCELA HASTA EL 31 DE DICIEMBRE DE 2023</t>
  </si>
  <si>
    <t>CONTRATO SERVICIO TRANSPORTE MATERIAL ELECTORAL - ELECCIONES GENERALES 23-7-2023</t>
  </si>
  <si>
    <t>TN. RECOGIDA RESIDUOS VOLUMINOSOS FEBRERO 2023 (PRECIOS/ORDENANZA REGULADORA DE LA PRESTACIÓN PATRIMONIAL DE CARÁCTER PÚ</t>
  </si>
  <si>
    <t>ENSAYOS DE CALIDAD (LOTE 1) OBRA REFORMA Y MEJORAS DE ASEOS 1ª PLANTA CEIP FEDERICO GARCIA LORCA. PZ EJ: 40 D</t>
  </si>
  <si>
    <t>CONTROL DE CALIDAD (ENSAYOS) OBRA SISTEMA CLIMATIZACIÓN TEATRO CANTERAC CC DELICIAS</t>
  </si>
  <si>
    <t>RAVO LATERAL NYLON-ACERO SILENCIOSO / RAVO LATERAL NYLON-ACERO SILENCIOSO.../ AM EXP V18/2022. LIMPIEZA VIARIA.</t>
  </si>
  <si>
    <t>PW ADVISOR &amp; CAPITAL SERVICES, S.L.</t>
  </si>
  <si>
    <t>AD 920220009220 EJERCICIO PASADO. CONSULTORÍA TÉCNICA REDACCIÓN ORDENANZA RECOGIDA DE RESIDUOS Y SERVICIO DE LIMPIEZA.</t>
  </si>
  <si>
    <t>2023 01 9121 22601</t>
  </si>
  <si>
    <t>J. FRANCISCO CONTRERAS  SANZ</t>
  </si>
  <si>
    <t>ADQUISICIÓN MEDALLAS NUEVA CORPORACIÓN LEGISLATURA 2023-2027</t>
  </si>
  <si>
    <t>DICAMPUS.SL.</t>
  </si>
  <si>
    <t>LOTE 1 - SERVICIOS DE FORMACION Y SENSIBILIZACION EN T. DIGITAL Y ECONOMIA CIRCULAR  PARA PYMES - FONDOS PRTR.</t>
  </si>
  <si>
    <t>CONTRATO PREST SERV MANT CONSERV MÁQUINAS, EQUIPOS, HERRAM Y MATER 7 ; LOTE 1: MANT CORREC EQUIPOS RESP AUTÓNOMA;SEISYPC</t>
  </si>
  <si>
    <t>SE-EIJI 11/2020 PS 2. MODIFICACIÓN PRORROGA CTTO MANTENIMIENTO ESCUELAS INFANTILES MUNICIPALES. LOTE 2. 1-7 A 31-12-23</t>
  </si>
  <si>
    <t>OA REVISI N VEHZCULO (MATRICULA: 8580LNR) / 1 1102601M02 - JUNTA / 1 152085758R - FILTRO ACEITE / 1 7711835978 - ACEITE</t>
  </si>
  <si>
    <t>REPARACIÓN TWIZY MATRICULA 2499HKJ</t>
  </si>
  <si>
    <t>Suministro de 28 pares de botas de intervención; SEISYPC</t>
  </si>
  <si>
    <t>MARUQUESA CONSTRUCCIONES Y SERVICIOS,S.L</t>
  </si>
  <si>
    <t>REPARACIÓN Y ACONDICIONAMIENTO DE BALDOSAS  DE LA RAMPA DE ACCESO AL P.I.T. SANEXOS DISTRITO  II.</t>
  </si>
  <si>
    <t>MANOVEL,S.A.</t>
  </si>
  <si>
    <t>2023 06 2314 625</t>
  </si>
  <si>
    <t>SERVEIS INTEGRALS DE FINQUES URBANES S.L.</t>
  </si>
  <si>
    <t>INSTALACION 3 MÓDULOS DE PARKING PARA PATINETES ELECTRICOS EN LOS ESPACIOS JOVENES</t>
  </si>
  <si>
    <t>L'HOSPITALET DE LLOBREGAT</t>
  </si>
  <si>
    <t>MATERIALES DE DIFUSIÓN DESTINADOS A IGUALDAD E INFANCIA / DURANTE 2023</t>
  </si>
  <si>
    <t>ASIST. TÉC. ESPECIALIZADA DEL SISTEMA DE INFORMACIÓN PRESUPUESTARIA, CONTABLE Y FINANCIERA - SICALWIN - DEL AYTO DE VALL</t>
  </si>
  <si>
    <t>MANO DE OBRA // M.O. D/M INYECTORES DE VEHÍCULO  / M.O D/M BOMBA D.../ AM SPSC 23/2020. SERVICIO DE LIMPIEZA.</t>
  </si>
  <si>
    <t>SISTEMA DE ALARMAS Y VIDEOVIGILANCIA PARA CC DELICIAS</t>
  </si>
  <si>
    <t>CONTRATO PREST SERV MANT CONSERV MÁQUINAS, EQUIPOS, HERRAM Y MATER 7 ; LOTE 6: MANT CORREC GIMNASIO;SEISYPC</t>
  </si>
  <si>
    <t>CTTO SERVICIOS PROYECTO USA EL ORDENADOR USA EL MÓVIL PARA BIBLIOTECAS PÚBLICAS//AÑO 2023</t>
  </si>
  <si>
    <t>PROYECTO REcircularRE"". ORGANIZACIÓN DE DOS JORNADAS (PRIMAVERA Y OTOÑO) Y UN CAMPAMENTO URBANO. JUNIO-OCTUBRE 2023</t>
  </si>
  <si>
    <t>REPARACION DEL ASCENSOR DEL CVA PUENTE COLGANTE, REPARACION DE CINTAS PLANAS DE TRACCION</t>
  </si>
  <si>
    <t>MTO Y ASIST. TÉCNICA DEL SISTEMA DE INFORMACIÓN PRESUPUESTARIA, CONTABLE Y FINANCIERA,(81/2022)</t>
  </si>
  <si>
    <t>P.COMPACTO 4MM</t>
  </si>
  <si>
    <t>CTTO SERVICIOS PROYECTO DE DECORACIÓN Y AMBIENTACIÓN BIBLIOTECA PARQUESOL""SANTIAGO DE LOS MOZOS""//2 MESES</t>
  </si>
  <si>
    <t>HERMANOS VELAZQUEZ GOMEZ, S.L.U.</t>
  </si>
  <si>
    <t>16 vehículos de desguace para realizar prácticas de nuevo ingreso rescate Vial; SEISYPC.</t>
  </si>
  <si>
    <t>CIGALES</t>
  </si>
  <si>
    <t>CBYA AUDITORES DE CUENTAS SLP</t>
  </si>
  <si>
    <t>CONTRATO AUDITORIA CONVENIO CAMARA COMERCIO, AVADECO, FECOSVA PARA DESARROLLO COMERCIO MINORISTA 2020-2021</t>
  </si>
  <si>
    <t>CTTO SUMINISTRO DIARIO EL PAIS PARA BIBLIOTECAS PÚBLICAS//AÑO 2023</t>
  </si>
  <si>
    <t>STEPHANIE MAYBELLE LLARYORA</t>
  </si>
  <si>
    <t>ACTUACION FEMINÍSSIMAS EN EL CENTRO BAILARIN VICENTE ESCUDERO / JUNIO 2023</t>
  </si>
  <si>
    <t>SUSTITUCIÓN BOMBA ACS PARA TENER AGUA CALIENTE SANITARIA EN EL EDIFICIO DEL SERVICIO DE LIMPIEZA.</t>
  </si>
  <si>
    <t>MULTIMETRO DIGITAL C-LOGIC 50002 / GARRAFA AGUA DESTILADA 5 L.//SERVICIO DE EXTINCION DE INCENDIOS</t>
  </si>
  <si>
    <t>2023 07 1711 22104</t>
  </si>
  <si>
    <t>PEDIDO POR JAVIER DAMIAN / PANTALON SNOW MARINO T-M / PANTALON SNOW MARINO T-L / PANTALON SNOW MARINO T-XL / PANTALON SN</t>
  </si>
  <si>
    <t>Nº DE VALE 701 / GUANTE DOBLE LATEX T-10 / GUANTE DOBLE LATEX T-9</t>
  </si>
  <si>
    <t>VALE Nº 536 / MASCARILLA 3M 4251+ FFA1P2 R D / BRIDA NYLON NEGRA 3.6X200 / LOCTITE SUPER-GLUE 3 C/PINCEL / LINTERNA EDM</t>
  </si>
  <si>
    <t>PEDIDO POR JAVIER DAMIAN / POLO ESTRELLA M.L. MARINO T-S / POLO ESTRELLA M.L. MARINO T-M / POLO ESTRELLA M.L. MARINO T-L</t>
  </si>
  <si>
    <t>Nº DE VALE 525 / BOTA SPINNING YOUTH S3 SRC Nº40</t>
  </si>
  <si>
    <t>SUMINISTRO MATERIALES PARA TRABAJOS REALIZADOS POR MATENIMIENTO EN CENTRO MARCELINA PONCELA Y GALERIAS VA</t>
  </si>
  <si>
    <t>MT CANAL LEGRAND 30008    20X12,5 / PANEL DISANO ECO 33W 4000K  60X60 UGR&lt;19 BL 3500LM /CC RONDILLA Y CIC EMPECINADO</t>
  </si>
  <si>
    <t>ACUERDO MARCO. SUMINISTRO DE MATERIAL DE ELECTRICIDAD PARA DEPENDENCIAS DE POLICÍA.</t>
  </si>
  <si>
    <t>MANT. SUMINISTRO DE MATERIAL ELECTRICO PARA EL CVA SAN JUAN 506,8, PTE. COLGANTE24,40 Y Z. SUR 62,22- DUR 1 DIA</t>
  </si>
  <si>
    <t>PULSADOR SE ZB4-BA6  AZUL / CAMARA C SE ZB4-BZ102    1NC / CAJA E... / ACUERDO MARCO SUMINISTROS. SERVICIO DE LIMPIEZA.</t>
  </si>
  <si>
    <t>F - 5872 - 6 TUBOS LED - CEAS BARRIO ESPAÑA - CADIELSA . 1 DIA</t>
  </si>
  <si>
    <t>BASE 4TO LEGRAND 2P+T CABLE 1,5MT BL 694552 / BASE 4TO  LEGRAND 694561  C/CABLE 3,0MT / BASE UNEX 1254 19MM ADHESIVA / B</t>
  </si>
  <si>
    <t>TIJERA ELEC  INTERCABLE 16020-F1 ±50MM / DESTORNILLADOR HAUPA 101872 PZ/FL M6 270MM</t>
  </si>
  <si>
    <t>MANT. SUMINISTRO DE LAMPARA LED PH CORELEDBUL 10-75W 840  E27 / TASA ECORAEE   (R.DECRETO 208/2005) CPM DELICIAS- DURA 1</t>
  </si>
  <si>
    <t>RZ1-K 1KV FLEX ZEROH 3G1,5 UNE.21123-4 / MANGUITO AISCAN ACERO PRESION  M20  Y MT TUBO//SERVICIO DE EXTINCIO INCENDIOS</t>
  </si>
  <si>
    <t>ACUERDO MARCO. SUMINISTRO DE PULSADOR LEGRAND 69722  LUMI. GRIS  PLEXO</t>
  </si>
  <si>
    <t>CONTRATO PREST SERV MANT CONSERV MAQ,EQUIPOS,HERRAM Y MATERIALES 7/LOTE 2:MANT CORRECTIVO BOTELLAS AIRE COMPRIMIDO/SEIS</t>
  </si>
  <si>
    <t>GESTIÓN TÉCNICA Y ADMINISTRATIVA DEL EXPEDIENTE DE AUDITORÍA DE RENOVACIÓN ISO-9001. SERVICIO DE LIMPIEZA.</t>
  </si>
  <si>
    <t>REPARACIÓN PUERTAS DE SEGURIDAD DEL CC DELICIAS</t>
  </si>
  <si>
    <t>ORGANIZACIÓN Y GESTIÓN DEL CONCURSO MUSICAL ""XI EDICION: DEMO EXPRESS 2023"" / DURANTE 2023</t>
  </si>
  <si>
    <t>FICEME SL</t>
  </si>
  <si>
    <t>OBTENCION CERTIFICADO MEDICO AERONAUTICO LAPL</t>
  </si>
  <si>
    <t>FACTURA 2023-04-27 ENTRONQUE CON RED DE DISTRIBUCION</t>
  </si>
  <si>
    <t>CONTRATO PREST SERV MANT CONSERV MÁQUINAS, EQUIPOS, HERRAM Y MATER 7 ; LOTE 5: MANT CORREC EQ Y HERR EXCARCEL;SEISYPC</t>
  </si>
  <si>
    <t>CONTRATO PUENTE SERVICIO DISTRIBUCION ALMACENAJE Y CUSTODIA DE LOS REMANENTES DE LAS PUBLICACIONES DEL AYTO. 5 MESES</t>
  </si>
  <si>
    <t>SE-PC 16/2023: PRÓRROGA CONTRATO DE MANTENIMIENTO DE ALARMAS DE LOS CENTROS DE PARTICIPACIÓN CIUDADANA (1 JUN-31 DIC)</t>
  </si>
  <si>
    <t>SUMINISTRO DE REPUESTOS PARA REPARACIONES MOBILIARIO CENTROS SPC. PEDIDO 2SSP-296</t>
  </si>
  <si>
    <t>AGRUPACION DE QUIMICOS INDUSTRIALES, S.A.</t>
  </si>
  <si>
    <t>SUMINISTRO DECAPANTES PARA LA ELIMINACIÓN DE PINTADAS POR EL SERVICIO DE LIMPIEZA.</t>
  </si>
  <si>
    <t>2023 06 2314 623</t>
  </si>
  <si>
    <t>MARIO DE JUAN FERNANDEZ</t>
  </si>
  <si>
    <t>INSTALACION AUTOCONSUMO EN CENTRO DE JUVENIL EL CALLEJON / DURANTE 2023</t>
  </si>
  <si>
    <t>BERLANAS</t>
  </si>
  <si>
    <t>2023 06 3321 623</t>
  </si>
  <si>
    <t>CTTO AMPLIACIÓN SISTEMAS DE SEGURIDAD PARA NUEVA BIBLIOTECA PARQUESOL //1 MES//2023</t>
  </si>
  <si>
    <t>VALE Nº 514 / VISOR FACY TRANSPARENTE 200X395</t>
  </si>
  <si>
    <t>TA23 721 REPARACIÓN 6415-DNY KMS.134857 REV. FALTA DE POTENCIA, COMPROBAR FILTRO DE GASOIL Y PURGAR INYECTORES. PONER TU</t>
  </si>
  <si>
    <t>TA23 689 REPARACIÓN 4746-FZF KMS.132241 REV. BATERIAS, SUSTITUIR LAS MISMAS. / 1 050004113100 - BATTERIA NP 110 ST</t>
  </si>
  <si>
    <t>TA23 746 REPARACIÓN 5297-FZF // KMS.472667 // D-M MANGUETA 3  EJE DCH, ENC.../ AM SPSC 23/2020. SERVICIO DE LIMPIEZA.</t>
  </si>
  <si>
    <t>ACUERDO MARCO.TA23 796 REPARACIÓN VEHÍCULO DE POLICÍA 8671-JXF KMS.137941 D-M ACCESORIOS PARA SACAR BOMBA</t>
  </si>
  <si>
    <t>R23 212  5566731-ALBARÁN23 416 13/04/23 500025218L LITRO AD BLUE</t>
  </si>
  <si>
    <t>TA23 753 REPARACION 4416-KJX // KMS.123274 REV.RUIDO DELANTERO, POSICIONAR ABARCON BALLESTA IZQ. CON PLETINA Y SUJETAR</t>
  </si>
  <si>
    <t>TA23 848 REPARACION 9049-KVH KMS.109168 D-M TAPAS DE BALANCINES Y DISTRIBUCION.../ AM SPSC 23/2020. SERVICIO DE LIMPIEZA</t>
  </si>
  <si>
    <t>TA23 817 REPARACIÓN 3883-FMN KMS.90847  CAMBIAR ACEITE MOTOR, FILTROS DE ACEITE, GASOIL, AIRE Y POLEN. REV. NIVELES, LUC</t>
  </si>
  <si>
    <t>ACUERDO MARCO. R23 254 5573412-ALBARAN23 501 10/05/2023 5801804152 TAPA ESP.RUEDA</t>
  </si>
  <si>
    <t>R23 258 5571740-ALBARAN23 488 04/05/2023 500025218L LITRO AD BLUE</t>
  </si>
  <si>
    <t>DESCALE S.L.</t>
  </si>
  <si>
    <t>REVISIÓN Y MANTEN.CEBOS SENTRITECH ANTITERMITAS INSTALADOS EN EL CONV.STA.CATALINA DE SIENA</t>
  </si>
  <si>
    <t>PEDIDO POR JAVIER DAMIAN / GORRA TORONTO MARINO SARGA / LOGO AYUNTAMIENTO DE VALLADOLID DTF PECHO</t>
  </si>
  <si>
    <t>LINTERNA NEBO LUXTREME RECARGABLE LARGO ALCANCE / MEDIDOR LASER MED50R</t>
  </si>
  <si>
    <t>PEDIDO POR JAVIER DAMIAN / ZAPATO LIBRA GTR400 GORE-TEX 588302 Nº36 / ZAPATO LIBRA GTR400 GORE-TEX 588302 Nº37 / ZAPATO</t>
  </si>
  <si>
    <t>ENTREGAR EN:CENTRO MUNICIPAL DE PROTECCIÓN ANIMALC/ PADRE BERNARDO HOYOS. 6 / MANGUERA TUBERIAS 20M 250 BAR / BOQUILLA T</t>
  </si>
  <si>
    <t>DISOLVENTE CLOROCAUCHO 1403 DE 5L (M) ( ID0031132 CEIP GONZALO DE CORDOBA ) / PAVIMONT AMAR. SEÑALIZACION  130 DE 4L ( I</t>
  </si>
  <si>
    <t>Mantenimiento del sistema de vigilancia y alarma de las instalaciones de alumbrado en Soto de Medinilla (naves de alumb)</t>
  </si>
  <si>
    <t>ANA CARCELLER MOURAZO</t>
  </si>
  <si>
    <t>COLABORACION EXPOSICION ANA CARCELLER MOURAZON EN EL PATIO HERRERIANO</t>
  </si>
  <si>
    <t>HELENA CABELLO MORENO</t>
  </si>
  <si>
    <t>COLABORACION EXPOSICION OBRA HELENA CABELLO MORENO EN EL PATIO HERRERIANO</t>
  </si>
  <si>
    <t>JGO.ANILLOS INYECTOR / GOMA INYECTOR GRANDE / GOMA INYECTOR PEQUEÑA / CONEXION TE INYECTOR  / KM / MANO DE OBRA (FUERA D</t>
  </si>
  <si>
    <t>BUJIA / BOTADOR / VARILLA DE EMPUJE / ENGRANAJE / PASADOR DE CENTRAJE / FILTRO DE ACEITE / RETEN / JUNTA / JUNTA / JUNTA</t>
  </si>
  <si>
    <t>BRAZO / RUEDINES PLATAFORMA CORTE / Kit de mantenimiento / MINI FUSIBLE 15A / TERMINAL FASTON HEMBR AZUL 6,4MM / Pasador</t>
  </si>
  <si>
    <t>CINTA KREP 29MMX45 (60 UDS CAJA) (ID0031132 CIP GONZALO DE CORDOBA) / PAVIMONT AMAR. SEÑALIZACION  130 DE 4L (ID0031132</t>
  </si>
  <si>
    <t>MONTO EFECTO PIZARRA NEGRO 500ML (ID31166 COLEGIO VICENTE ALEIXANDRE).</t>
  </si>
  <si>
    <t>PAVIMONT VERDE DE 128 DE 750ML (ID36626 CEIP GONZALO DE BERCEO) / PAVIMONT BLANCO DE 4L (ID36626 CEIP GONZALO DE BERC</t>
  </si>
  <si>
    <t>DISOLVENTE UNIVERSAL 1405 DE 5L (M) / SHOP PRIMER 40  GRIS 4L / BARNIZ SINTETICO BRILLANTE 4L. / DANPIN PACK 2 REC. ANTI</t>
  </si>
  <si>
    <t>CINTA KREP 24MM X45  ( CIP PIO DEL RIO HORTEGA ID0036047 ) / PAVIMONT BLANCO DE 4L ( CIP PIO DEL RIO HORTEGA ID0036047 )</t>
  </si>
  <si>
    <t>ANUNCIO EXPOSICION CENSO ELECTORAL 4 Y 5 JUNIO 2023 -  EL MUNDO</t>
  </si>
  <si>
    <t>SUMINISTRO MATERIALES PARA TRABAJOS REALIZADOS POR MATENIMIENTO EN CENTRO MARCELINA PONCELA</t>
  </si>
  <si>
    <t>ALBARAN: AV23/01022 F: 24/02/2023 / GUANTE PIEL FLOR VACUNO 2o RIBETE AMARILLO T-7 / GUANTE PIEL FLOR VACUNO 2o RIBETE A</t>
  </si>
  <si>
    <t>SUMINISTRO DE  FLEXOMETRO FLEXIBLE 5MTS ALYCO Y DE  8MTS ALYCO,  DISCO CORTE PIEDRA PARA EL JACINTO BENAVENTE</t>
  </si>
  <si>
    <t>SUMINISTRO MATERIAL  RUEDA COMPRESOR 10*1PARA EL  CURSO PINTURA DECORATIVA V DEL C. E F. PARA EL EMPLEO- JACINTO BENAVEN</t>
  </si>
  <si>
    <t>ALBARAN: AV23/02202 F: 21/04/2023 / CINTA DYMO LETRATAG 12*4MM / No VALE: 624 / ALBARAN: AV23/02050 F: 17/04/2023 / ROLL</t>
  </si>
  <si>
    <t>PROTEXVALL SOCIEDAD COOPERATIVA</t>
  </si>
  <si>
    <t>REVISIÓN Y MANTENIMIENTO DEL SISTEMA DE PROTECCIÓN DE INCENDIOS EDIFICIO DEL SERVICIO DE LIMPIEZA.</t>
  </si>
  <si>
    <t>PEDRO JOSÉ  MANZANO ORTEGA</t>
  </si>
  <si>
    <t>REALIZACIÓN DE 5 INFOGRAFÍAS DEL ENTORNO DE LOS PASOS FERROVIARIOS EN LA CALLE SALUD Y PASEO ARCO LADRILLO</t>
  </si>
  <si>
    <t>SUMINISTRO DE 50 CANDADOS CON LLAVE PARA PORTÁTIL DELL LATITUDE 3510</t>
  </si>
  <si>
    <t>Redacción de proyecto para mejora de la accesiblilidad en paradas de autobús urbano (exp. 33/2022)</t>
  </si>
  <si>
    <t>SUMINISTRO 300 CONTENEDORES 10L PARA RECOGIDA SELECTIVA PILAS. SERVICIO DE LIMPIEZA.</t>
  </si>
  <si>
    <t>CASCO TIPO JET CON PANTALLA LS2 GLOSS NEGRO T-L (HR-1)</t>
  </si>
  <si>
    <t>ACUERDO MARCO. REPARACIÓN DE MOTOCICLETA DE POLICÍA.</t>
  </si>
  <si>
    <t>CÁMARA MOTO 2.25X16 / PORTE PEDIR</t>
  </si>
  <si>
    <t>PLETINA SOPORTE MALETA / MANO DE OBRA ( REPARACIÓN ELÉCTRICA. )</t>
  </si>
  <si>
    <t>ACUERDO MARCO. REPARACIÓN MOTOCICLETA ( 9447-HMT TRABAJO DE TAPIZADO DE ASIENTOS ) / HACER RESPALDO / HACER ASIENTO.</t>
  </si>
  <si>
    <t>CTTO AMPLIACIÓN SERVICIOS INSTALACIÓN DE NUEVAS LÍNEAS ELÉCTRICAS PARA COLEGIOS PÚBLICOS//2023</t>
  </si>
  <si>
    <t>ALBARAN: AV23/02458 F: 04/05/2023 / CARTUCHO SILICONA BLANCO OLIVE / GE0012478 / C.P. PARQUE ALAMEDA / ALBARAN: AV23/024</t>
  </si>
  <si>
    <t>ALBARAN: AV23/02523 F: 08/05/2023 / PROTECTOR AUDITIVO PELTOR OPTIME III H540A 3M / TENAZA COBRA 250 KNIPEX / BROCA SDS-</t>
  </si>
  <si>
    <t>ALBARAN: AV23/02833 F: 23/05/2023 / ZAPATO ALICE S3 SRC T-39 / RETIRA.../ ACUERDO MARCO SUMINISTROS. LIMPIEZA VIARIA.</t>
  </si>
  <si>
    <t>SUMINISTRO DE  CARRACA 1/4 / CARTUCHO SILICONA BLANCO OLIVE PARA EL  CURSO PARQUES Y JARDINES IV- JACINTO BENAVENTE</t>
  </si>
  <si>
    <t>SUMINISTRO DE  IMAN 12 PZAS 6 KG FUERZA 16 x 5 mm  PARA EL   CURSO PINTURA DECORATIVA V- JACINTO BENAVENTE</t>
  </si>
  <si>
    <t>CORREA XPZ 1112 / DESPLAZAMIENTO FURGON/CAMIONETA  0,60 ¿ / KM. / MANO DE OBRA A CLIENTE (FUERA DE TALLER) - SUSTITUIR C</t>
  </si>
  <si>
    <t>RODAMIENTO UCFL204 / CUCHILLA VERTICUTT 2 MM. / DESPLAZAMIENTO FURGÓN / CAMIONETA  0,60 E/KM / RELLENAR Y TORNEAR 2 PUN</t>
  </si>
  <si>
    <t>ADQUISICIÓN DE PAPEL PARA LA REALIZACIÓN DE IMPRESOS DE POLICÍA MUNICIPAL POR PARTE DE LA IMPRENTA MUNICIPAL.</t>
  </si>
  <si>
    <t>Adquisición  montaje sist eyector autom vacío en bomba contraincendios primera interv MAGIRUS BUP 1 MATR 4894JLF;SEISYPC</t>
  </si>
  <si>
    <t>Adquisición montaje placa electrónica, caja conexiones arranque, parada grupo electrógeno en autoescala AEA 10; SEISYPC.</t>
  </si>
  <si>
    <t>236290/1 - BIBLIOTECA DELICIAS. Nº PEDIDO: 236290. Nº ALBARÁN: 236290/1. PUBLICACIÓN: DIARIO EL PAÍS. FECHA: 2022-12-09.</t>
  </si>
  <si>
    <t>LIMPIEZA DEL CENTRO GALERIAS VALLADOLID DEL 1 DE JULIO AL 31 DE DICIEMBRE DE 2023</t>
  </si>
  <si>
    <t>EXTREMO BIKE SL</t>
  </si>
  <si>
    <t>REVISIÓNDE MOTOCICLETAS DE POLICÍA MUNICIPAL (14 MOTOCICLETAS).</t>
  </si>
  <si>
    <t>CICLOS CUERVAS S.L.</t>
  </si>
  <si>
    <t>SUMINISTRO DE EQUIPAMIENTO PARA RENOVACIÓN DE UNIDAD CICLISTA DE LA POLICÍA MUNICIPAL.</t>
  </si>
  <si>
    <t>ACTIVIDAD DE LOS USUARIOS DE LOS  CENTROS DE VIDA ACTIVA ( ANTES CPM) EN MEDINA DE RIOSECO EL 15 DE JUNIO DE 2023-</t>
  </si>
  <si>
    <t>CTTO SERVICIOS TALLERES, CUENTOS Y DIVERTIMENTOS BIBLIOTECA CAMPO GRANDE//VERANO 2023</t>
  </si>
  <si>
    <t>CTTO REALIZACIÓN TALLER ILUSTRACIÓN BIBLIOTECA CAMPO GRANDE//VERANO 2023</t>
  </si>
  <si>
    <t>CTTO SERVICIOS VISITAS CENTROS ESCOLARES 56ª FERIA DEL LIBRO DE VALLADOLID//10 DIAS//2023</t>
  </si>
  <si>
    <t>ENRIQUE CUESTA GOMEZ</t>
  </si>
  <si>
    <t>CTTO SERVICIOS TALLER ROBÓTICA BIBLIOTECA CAMPO GRANDE//2023</t>
  </si>
  <si>
    <t>CTTO TALLER TENDERETE HISTORIAS Y SECRETOS DEL CAMPO GRANDE//BIBLIOTECA CAMPO GRANDE//VERANO 2023</t>
  </si>
  <si>
    <t>AD COMPLEMENTARIO PARA EL FESTIVAL 60+ACTIVOS REALIZADO EN MAYO EN LA CUPULA DEL MIULENIO- INICITIVAS SOCIALES</t>
  </si>
  <si>
    <t>ANUNCIO EXPOSICION CENSO ELECTORAL. 4 Y 5 JUNIO 2023 - EL NORTE DE CASTILLA</t>
  </si>
  <si>
    <t>FE3850M FE-3850.M ALTAVOZ 3. MYLAR /. SUMA DESCUENTOS LINEAS///SERVICIO DE EXTINCION DE INCENDIOS</t>
  </si>
  <si>
    <t>ACUERDO MARCO. PDPRECHR3B4 - PILA DURACELL PRE CARGADA ULTRA  AAA 1,2V 900MAH N / T</t>
  </si>
  <si>
    <t>PLR22 - PILA ALCALINA PANASONIC BRONCE LR22 9V BLISTER 1 UD///SERVICIO DE EXTINCION DE INCENDIOS</t>
  </si>
  <si>
    <t>Corresponde al albaran T23/844-03/05/2023 (VALE 729-JAVIER DAMIAN) / PANTALON STIHL  ADVANCE X-FLEX S NEGRO 883421203 /</t>
  </si>
  <si>
    <t>Corresponde al albaran T23/844-03/05/2023 (VALE 729 JAVIER DAMIAN) / MANGO PALOTE BELLOTA M5609 L ICONA / ADHESIVO MONTA</t>
  </si>
  <si>
    <t>STIHL BUJÍA NGK BPMR7A 4007000 / BISAGRA SOLDAR LIBRO BL 100x34x10//SERVICIO DE EXTINCIÓN DE INCENDIOS</t>
  </si>
  <si>
    <t>HILO STIHL CORTE REDONDO Ø 2,7 MM X 208,0 M 9302227 / STIHL  BOBINA 40027133017 / STIHL  PARTE INFERIOR 40027139708 / HI</t>
  </si>
  <si>
    <t>CASCO STIHL DYNAMIC ERGO  0000 888 0808 / SOUDAL SWIPEX SUPER CLEANING 100 UND TODAS SUPERFICIES</t>
  </si>
  <si>
    <t>CERRADURA AGA REF.671 M-31 C/LLAVE-CERRAD AGA REF.135  C-40 /CERRADURA AGA REF.671 M-30 C/ LLAVE / LLAVES MECANIZ/SEISPC</t>
  </si>
  <si>
    <t>SUMINISTRO Y PREPARACIÓN DE CARTULINAS PARA TRABAJOS REALIZADOS POR LA IMPRENTA MUNICIPAL.</t>
  </si>
  <si>
    <t>PRESTACION SERVICIO ASISTENCIA Y COORDINACION DE SERVICIOS AUXILIARES CUPULA DEL MILENIO. AMPLIACION PROPUESTA 1 MES</t>
  </si>
  <si>
    <t>TORNILLO TRACCIÓN ESPECIAL 4.2MM (50 UDS) , 4.8MM (50 UDS) , 5.4MM ///SERVICIO DE EXTINCION DE INCENDIOS</t>
  </si>
  <si>
    <t>CARTUCHO SILICONA QUIADSA ALUMINIO 300ML / PORTACANDADOS IFAM 410  75X25 * / CANDADO IFAM K40 LL.IGUAL / PORTACANDADOS I</t>
  </si>
  <si>
    <t>ACUERDO MARCO. SUMINISTRO DE MATERIAL DE FERRETERIA PARA DEPENDENCIA DE POLICÍA MUNICIPAL.</t>
  </si>
  <si>
    <t>Seguridad y Salud obras del contrato de conservación, reparación y reforma de las infraestructuras viarias, lote 2</t>
  </si>
  <si>
    <t>RECARGABLE DURACELL BLISTER 4UDS AAA 750mAh5 / OFERTA Nº 10603 / RELOJ FSK PARED CL108SIL 30Ø / RELOJ CASAR  PLATA  50Ø</t>
  </si>
  <si>
    <t>ADQUISICIÓN DE BATERÍAS PARA DRONES DE LA POLICÍA MUNICIPAL.</t>
  </si>
  <si>
    <t>AMPLIACIÓN TALLER RUTA FORMATIVA POR LA CIUDAD DE VALLADOLID / HASTA DICIEMBRE 2023</t>
  </si>
  <si>
    <t>SUMINISTRO DE 2 APARATOS DE AIRE ACONDICIONADO PORTATIL MERCADO DELICIAS.</t>
  </si>
  <si>
    <t>SUMINISTRO DE 2 RECAMBIOS  PARA DESFIBRILADORES SEMIAUTOMATICOS INSTALADOS EN MERCADOS MUNICIPALES.</t>
  </si>
  <si>
    <t>ALQUILER, TRANSPORTE Y MONTAJE-DESMONTAJE DEL ESCENARIO PARA LA MARCHA SOLIDARIA POR LA DIABETES EL DÍA 20-5-2023</t>
  </si>
  <si>
    <t>DOS ACTUACIONES COMPLEMENTARIAS DE CONTROL POBLACIONAL INTENSIVO DE ADULTOS DE PALOMAS TORCACES.</t>
  </si>
  <si>
    <t>PAPEL PARA IMPRIMIR EL LIBRO  DERECHO MUNICIPAL DE CENTROAMERICA Y REPUBLICA DOMINICANA- INICITIVAS SOCIALES</t>
  </si>
  <si>
    <t>CTTO SUMINISTRO ACCESORIOS DE BAÑO PARA LA NUEVA BIBLIOTECA PARQUESOL""SANTIAGO DE LOS MOZOS""//1 MES//2023</t>
  </si>
  <si>
    <t>CTTO SERVICIOS TRABAJOS REALIZADOS FUERA DEL CONTRATO DE MANTENIMIENTO DE ZONAS VERDES EN EIM//HASTA 31/12/2023</t>
  </si>
  <si>
    <t>SERV.COORD.SEGURIDAD Y SALUD.OBRAS DE REPARAC.Y REFORMA INFRAEST.ZONA AJARDINADAS CPM PARQUESOL-V.6/2020 PS42</t>
  </si>
  <si>
    <t>JAHOSVA, S.L.</t>
  </si>
  <si>
    <t>SERV.RESTAURACION EN CENTRO DE ESTANCIAS DIURNAS HTA.REY-(248 DIAS X 20 PLAZAS X 6,05E/C)</t>
  </si>
  <si>
    <t>SUMINISTRO MATERIALES BOMBILLOS Y COPIA DE LLAVES PARA EL CENTRO GALERIAS VALLADOLID</t>
  </si>
  <si>
    <t>MANT. SUMINISTROPARA REPARACIONES,  CIERRA.DORMA TS68 F2-4 PLATA, CARTUCHO RESINA PARA EL -JACINTO BENAVENTE- DUR 1 DIA</t>
  </si>
  <si>
    <t>MANTENIMIENTO, SUMINISTRO DE CARTEL CHAPA ACERO 600 X 300 M.M TEXTO ""EXCEPTO VEHICULOS AUTORIZADOS""- JACINTO BENAVENTE-</t>
  </si>
  <si>
    <t>MANTE. SUMINISTRO DE  ETIQUETA REDONDAS Y  RECTANGULAR BICAPA 70 X 25 M.M GRABADAS + LLAVE PARA EL JACINTO BENAVENTE-</t>
  </si>
  <si>
    <t>ID: 0036429-CENTRO SEGUNDO MONTES / CIERRA.TELESCO 33AT50PL PLATA C/RETENC. / BROCA HSS RECT. COBALTO 03,50</t>
  </si>
  <si>
    <t>ID: 0036497-CC ZONA SUR / LLAVE ALLEN BOLA  4.0 BONDHUS 15760 / ID 36496-CC ZONA SUR / LLAVERO PORTAETIQUETAS AMIG 80 AZ</t>
  </si>
  <si>
    <t>ID: 0035817-MAFALDA Y GUILLE / CERRADURA AGA REF.135  C-40 / CERRADURA KEYA 20.13.42 + 130013 CROMO CLICK 180º</t>
  </si>
  <si>
    <t>SIN ID-COLEGIOS / LLAVERO PORTAETIQUETAS AMIG 80 VERDE / ID: 0035696-CP MACIAS PICAVEA / BOMBILLO MCM MEAN: 30-30 F-4313</t>
  </si>
  <si>
    <t>COLEGIO PUBLICO ANTONIO MACHADO / HOJAS SIERRA SABLE BOSCH S1122 BF x5 / HOJAS SIERRA SABLE BOSCH S 922 BFx5 METAL RAP /</t>
  </si>
  <si>
    <t>MANO DE OBRA / MANO DE OBRA / STIHL CABEZAL DE ASPIRACIÓN 3503521 / MANO DE OBRA / STIHL BOTÓN GIRATORIO 41281829500 / C</t>
  </si>
  <si>
    <t>FILM EXTENSIBLE TRANS. 23 MICRAS 500MM  2,20 KGS / CEPILLO JAZ MANUAL VIP 1000Z INOX. / CEPILLO JAZ MANUAL VIP 1000F LAT</t>
  </si>
  <si>
    <t>CONECTOR NUDOS TENDER 5MM (2U) SC / CUERDA EHLIS PLAS TRENZ B/V 4X200MT</t>
  </si>
  <si>
    <t>TIRADOR AMIG 15 ABAT. BICRO 100X27 / CIERRE CAJA VILA 988  60 / COMMENT|+ SAN BENITO. BAÑOS 1º PLANTA + / CERRADURA TESA</t>
  </si>
  <si>
    <t>COPIA LLAVE NORMAL / *HTA MULTIUSO SEVEN 7 EN 1 OFERTA / *MASSO PREBEN LACA 230080 / COMMENT|**Nº DE PEDIDO 732** / COMM</t>
  </si>
  <si>
    <t>SUMINISTRO MATERIAL PARA TRABAJOS REALIZADOS POR MANTENIMIENTO EN CENTRO MARCELINA PONCELA</t>
  </si>
  <si>
    <t>MANO DE OBRA / STIHL CABEZAL DE ASPIRACIÓN 3503521 / STIHL FILTRO DE AIRE 41801410300 / STIHL  TORNILLO CILÍNDRICO IS-D5</t>
  </si>
  <si>
    <t>PUNTA BAHCO 45M-7.0 ALLEN DIN 7426  / SANTA ANA / CERRADURA KEYA 200024 CROM. 180º 130224 / TORNI. DIN  9338.8 C/EXA. 10</t>
  </si>
  <si>
    <t>CINTA (MIARCO PVC TRAN 48MMX132M) ADHESIVA PARA PRECINTAR PUERTA MERCADO DELICIAS</t>
  </si>
  <si>
    <t>F - 6122 - MATERIAL VARIO REPARACIONES - PARA CEAS RONDILLA-STA CLARA - FERRETERIA ORTIZ. - 1 DIA</t>
  </si>
  <si>
    <t>SIN ID-CERRAJERIA / CUERPO ANTORCHA TIG SR-17 DLEXIBLE / STIHL BIDON PARA GASOLINA 5 L TRANSPARENTES 8810202 / ALICATE U</t>
  </si>
  <si>
    <t>ID: 0036785-EIM CASCANUECES / ANTIP. TESA SOPORTE PRINCIPAL SOPOR1978 / ID: 0036785-EI CASCANUECES / ANTIP. TESA CERRADU</t>
  </si>
  <si>
    <t>ID: 0036331-CEIP EL PERAL / BROCA HSS RECT. COBALTO 03,00 / BROCA HSS RECT. COBALTO 04,00 / ID: 0036714-CP GABRIEL Y GAL</t>
  </si>
  <si>
    <t>CTTO SUMINISTRO MATERIAL, ACCESORIOS Y MECANISMOS PARA MONTAJE DE ESTORES EN BIBLIOTECAS PÚBLICAS//1MES//2023</t>
  </si>
  <si>
    <t>2 40224LC60A - TUERCA RUEDA / AM EXP V18/2022. SERVICIO DE LIMPIEZA.</t>
  </si>
  <si>
    <t>227279 FLUIDMATIC SYN T295 / T668 208L FLUIDO TRANSMISIONES AUTOM.../ ACUERDO MARCO DE SUMINISTROS. SERVICIO DE LIMPIEZA</t>
  </si>
  <si>
    <t>960008 ESLABON RAPIDO 8.0N GARRA / 933-10X100 // TORNILLO C/ HEXAGONAL LATON TODO ROSCA//SERV. EXTINCION DE INCENDIOS</t>
  </si>
  <si>
    <t>PACAJ, S.L.</t>
  </si>
  <si>
    <t>XVI ENCUENTRO DE UNIDADES DE IGUALDAD UNIVERSIDAD VALLADOLID / JUNIO 2023</t>
  </si>
  <si>
    <t>COPIA LLAVE/CORONA CELESA HSS CO 8% 35X100mm REF.-COB35X100/ USILLO CORONA CELESA 32-250 C/MUELLE REF.-B5547M/////SEISPC</t>
  </si>
  <si>
    <t>TUERCA DIN 6923 M8 ZN / TORNI. DIN  933 8.8 C/EXA.  8X100MM / --ARANDELA DIN 9021 ANCHA ZINCADA M- 8</t>
  </si>
  <si>
    <t>*ARALDIT STANDARD GRANDE CEYS / COMMENT|SAN BENITO / SOPORTE COFRE TESA 1978 / COMMENT|++ SAN BENITO ++ / CIERRAP. TELES</t>
  </si>
  <si>
    <t>FEROMONA CAMERARIA OHRIDIELLA (UNIDAD) / FEROMONA THAUMETOPEA PITYOCAMPA (Procesionaria) / FONDO ENGOMADO DELTA (UNIDAD)</t>
  </si>
  <si>
    <t>JABON FOSFORICO QUIMUR (5 L) / RATIBROM 2 CEBO FRESCO (1 KG) / BLINDAR (1 Kg) / RENOV SUPER 6 (5 L) / CURENOX 52 SC FLOW</t>
  </si>
  <si>
    <t>ALB: 23-211195  / BROCHA PALETINA ESMALTAR MANGO AZUL CERDA PURA Nº 15 //SERV. EXTINCION INCENDIOS</t>
  </si>
  <si>
    <t>SUMINISTRO DE MATERIAL PARA EL CURSO DE PARQUES Y JARDINES IV- JACINTO BENAVENTE MENOS FACTURA DE ABONON A88</t>
  </si>
  <si>
    <t>SUMINISTRO DE  BOLSA 25 UDS ESTACA PARA TUBERIA 16 MM, BOLSA 100 PARA EL CURSO PARQUES Y JARDINES IV- JACINTO BENAVE</t>
  </si>
  <si>
    <t>REPARACION DE: MOTOSIERRA   MARCA: STHIL  MODELO:MS192T NS265046335 PARA EL CURSO DE PARQUES Y JARDINES IV- JACINTO BENA</t>
  </si>
  <si>
    <t>ALB: 23-209103 PED: 23-012418-1017 S/PED: JACINTO BENAVENTE / REPARACION DE:   MOTOSIERRQA MARCA: STHIL  MODELO:   MS192</t>
  </si>
  <si>
    <t>ALB: 23-216551 PED: 23-027338-1102 S/PED:  / PANTALON MULTIBOLSILLOS DATOR AZUL MARINO ORION T-S / PANTALON MULTIBOLSILL</t>
  </si>
  <si>
    <t>ALB: 23-212844 PED: 23-017640-1017 S/PED: PARQUE / REPARACION DE: GENERADOR   MARCA:AYERBE    MODELO:  5000H  NS:16326 /</t>
  </si>
  <si>
    <t>UD LIQUIDAMBAR STYRACIFLUA 20/25 CONTENEDOR / UDE QUERCUS FAGINEA 20/25 CONTENEDOR / UD TITA TORMENTOSA 20/25 CEPELLON</t>
  </si>
  <si>
    <t>REMATE DE CHAPA 0,6X215 LAC. ROJO (9 UNIDADES DE 3000MM) / 6 IPN 120 A 6M S 275 JR / 6 UPN 120 A 6M S 275 JR / TUBO RECT</t>
  </si>
  <si>
    <t>ALBARÁN 1514 DE 11/08/2022/UPN 140 A 12 M S 275 JR (5 UDS 600mm) CHAPA LAM. CALIENTE/ANGULO/PLACAS ACERO S275JR/SEISPC</t>
  </si>
  <si>
    <t>CEIP EL PERAL (  ID 0035786 ) / CHAPA PERFORADA 2000X1000X1 R 5 T 7,5 DD11 / CHAPA PERFORADA 2000X1000X1,5  R 5 T 7,5 DD</t>
  </si>
  <si>
    <t>DESATASCO EN CAMERINOS Y BAÑOS DE LA CUPULA DEL MILENIO</t>
  </si>
  <si>
    <t>933-12X120-175 TORNILLO  C/ HEXAGONAL  8.8 TODO ROSCA / AT5.5x125 DESTORNILLADOR PLANO 5.5X125   FACOM / 113A.10C LLAVE</t>
  </si>
  <si>
    <t>UD BEGONIA BABARIENSIS BIB ROSE BRONZE</t>
  </si>
  <si>
    <t>UD TAGETE TEXANA HARMOMY / UD TAGERE TEXANA YELOW / UD TEGATE TEXANA MIX / UD TAGETE X PATULAA SOLERA RED / UD CATHARANT</t>
  </si>
  <si>
    <t>UD ANTIRRINUM MAJUS LEO ELITE MIX / UD BEGONIA SEMPERFLORENS DOUBLE ROSE / UD PELARGONIO XZONALE GRANDEUR CLASSIC PINK B</t>
  </si>
  <si>
    <t>PARTE 9350 DEL 8-5-2023, Nº 28. / 705009 · ENTREGA EN PLAZA DEL MILENIO --------------------- / 705008 · ALQUILER DE BRA</t>
  </si>
  <si>
    <t>Nº VALE 678 ( DESTINO: HR2 ) / CUCHILLA CORTACESPED HONDA HRH 536 HXE / CORREA HIDROSTATICO A MOTOR RIDER 21 AWD / vale</t>
  </si>
  <si>
    <t>ALB: 23-214990 PED: 23-024943-1003 S/PED: FRAY LUIS DE LEON / LATIGUILLO H-H 1/2-1/2   L- 300 / LATIGUILLO H-H 1/2-1/2</t>
  </si>
  <si>
    <t>ALB: 23-214288 PED: 23-023688-1003 S/PED: ALLUE MORE / PRESTO CABEZAL REPUESTO GRIFOS MOD 504,605,805 (1028) / MANGUETON</t>
  </si>
  <si>
    <t>ALB: 23-214115 PED: 23-023360-1003 S/PED: C.P. ENTRE RIOS / VALVULA FLOTADOR LATON 11/4 / BOYA PLASTICO DN200 11/4"" - 11</t>
  </si>
  <si>
    <t>ALB: 23-214114 PED: 23-023357-1003 S/PED: C / OBRA C.P. VICENTE ALEXANDER C/ DOCTOR MORENO / PRESTO GRIFO URINARIO TEMPO</t>
  </si>
  <si>
    <t>ALB: 23-214305 PED: 23-023694-1003 S/PED: MAFALDA Y GUILLE / JUEGO RACORES (2UD) CONTADOR H-M (40MM)  2-1-1/2""</t>
  </si>
  <si>
    <t>Nº VALE 685 (DESTINO: HR1) / RUEDA TRASERA CORTACESPED HONDA HRG415 C3 / CUBIERTA RUEDA TRASERA CORTACESPED HONDA HRG415</t>
  </si>
  <si>
    <t>nº vale 756 ( DESTINO: HR2 ) / RUEDA TRASERA CORTACESPED HONDA HRG536 / RUEDA DELANTERA CORTACESPED HONDA HRG536C7 / TEL</t>
  </si>
  <si>
    <t>nº vale 777 ( DESTINO: PARQUESOL ) / KIT MARTILLOS DESBROZADOR RIDER C/ TORNILLOS ( 112 UD )</t>
  </si>
  <si>
    <t>CTTO SERVICIOS: REVISIÓN Y OPTIMIZACION ESTRUCTURAL OBRA DE INSTALACIÓN DE PERGOLAS EN EL CEIP EL PERAL. 2 SEMANAS.</t>
  </si>
  <si>
    <t>ALB: 23-215872 PED: 23-026239-1003 S/PED: MAFALDA Y GUILLE / ARQUETA POLYPRO NEGRA RECTANGULAR MEDIANA 50X37XH30 / VALVU</t>
  </si>
  <si>
    <t>AD 920220019952 Y 920220021672 ESTUDIO MEJORAS ENERGÉTICAS TALLER MECÁNICO SEGÚN EXPT. SL01/2022. SERVICIO DE LIMPIEZA.</t>
  </si>
  <si>
    <t>CTTO AMPLIACIÓN DISEÑO Y MAQUETACIÓN PARA PUBLICITAR ACTIVIDADES DE BIBLIOTECAS PÚBLICAS//AÑO 2023</t>
  </si>
  <si>
    <t>DIRECCION FACULTATIVA DE OBRAS REPARACION Y SUBSANACION DE PATOLOGIAS Y MEJORAS MERCADO DELICIAS 2023</t>
  </si>
  <si>
    <t>CONVOLVULUS C-3 L / COTTONEASTER C-3 L</t>
  </si>
  <si>
    <t>CARROS / BANDEJAS DE CARRO</t>
  </si>
  <si>
    <t>SUMINISTRO DE SEMILLAS CESPED PARA EL PROGRAMA MIXTO PARQUES Y JARDINES IV DEL C.DE F. PARA EL EMPLEO- JACINTO BENAVENTE</t>
  </si>
  <si>
    <t>JUAN REPRESA MARCOS</t>
  </si>
  <si>
    <t>REDACCIÓN PLIEGO TECNICO OBRA DE SUSTITUCIÓN DE CALDERA CEIP MIGUEL DELIBES. PLAZO: 1 MES</t>
  </si>
  <si>
    <t>REPARACION ASCENSOR DEL CVA FRAY LUIS DE LEON, REPARACION DE CONTACTO FRENO, ACUMULADOR EMERGENCIA ....</t>
  </si>
  <si>
    <t>ROLLO CINTA BALIZAMIENTO 100 MM  X 250 MTS GALGA 300  IMPRESA 2 CARAS 1 TINTA POR CADA CARA PARA POLICÍA MUNICIPAL.</t>
  </si>
  <si>
    <t>ALEJANDRO MARTÍN CABO</t>
  </si>
  <si>
    <t>ACTIVIDADES DIFUSION OBJETIVOS DESARROLLO SOSTENIBLE (ODS) ESPACIO JOVEN NORTE</t>
  </si>
  <si>
    <t>ENCUADERNACION LIBRO DERECHO MUNICIPAL DE CENTROAMERICA Y REPUBLICA DOMINICANA- INICIATIVAS SOCIALES</t>
  </si>
  <si>
    <t>SUMINISTRO DE  PETUNIAS, SANTOLINAS,PORTULACA,TRADESCANTIA,LAURELPARA ELL CURSO DE PARQUES Y JARDINES IV- JACINTO BENAVE</t>
  </si>
  <si>
    <t>TUBO LED  24W/ RODA 2X 1785 LED 24W CLD S BLANCO / BOQUILLAS GK20/CONMUTADOR/CAJA DERIVACION/Serv. Extincion  Incendios</t>
  </si>
  <si>
    <t>SUMINISTRO MATERIALES PARA TRABAJOS REALIZADOS POR MANTENIMIENTO EN GALERIAS VALLADOLID</t>
  </si>
  <si>
    <t>SUMINISTRO BASE ENCHUFE</t>
  </si>
  <si>
    <t>93 CANAL 1 TAPA BLANCO RAL9010 50X80 U23X / 93 TAPA FINAL BLANCO RAL9010 50X80 U24X / 93 ADAPTADOR 1 MEC. ZENIT BLANCO R</t>
  </si>
  <si>
    <t>INTERRUPTOR MONOPOLAR</t>
  </si>
  <si>
    <t>SONDAFLEX NYLON D. 3 MM L. 5 M CABEZAL GUIA Y TERMINAL FIJO / SONDAFLEX CABLE DE ACERO D. 4 MM L. 10 M / FLUKE T150 COMP</t>
  </si>
  <si>
    <t>MANT. SUMINISTRO DE LAMP. LED SPOT PAR16 FROSTED 6W 500LM GU10 50MM  4000ºK CRI80 FP0,5 100º 15000H- CPM PTE. COLGANTE-</t>
  </si>
  <si>
    <t>22 BRIDA PARA USO EXTERIOR NEGRO 4,8X287 U61X / BASE 4 TOMAS 16A 250V POT. 3600W / CLAVIJA 10/16A 250V PATA 4 ,8MM</t>
  </si>
  <si>
    <t>RACORES PG-13 PA GRIS P/TUBO ELECTROFLEX-13 / CONTRATUERCAS""GADI""PG-13 PA GRIS(RAL7001)//SERV. EXTINCION DE INCENDIOS</t>
  </si>
  <si>
    <t>SUMINISTRO Y COLOCACION DE BARANDILLA EN EL CVA PARQUESOL- 2023-INICIATIVAS SOCIALES</t>
  </si>
  <si>
    <t>ABONO PRUEBA PSICOTÉCNICA PARA LA PROVISIÓN DE 8 PLAZAS DE OFICIAL DE LA PM. (mav)</t>
  </si>
  <si>
    <t>Reparación_sustitución sistema primatic y sus componentes en BUP_1, MATR 4894JLF; SEISYPC</t>
  </si>
  <si>
    <t>REALIZACIÓN DE CATA EN SOLERA DEL DISTRITO 1º PARA POSTERIOR REPARACIÓN.</t>
  </si>
  <si>
    <t>AMPLIACION CONTRATACION SERVICIO TRADUCCION SIMULTANEA FERIA LIBRO 2023 DIA 2 DE JUNIO EN CIRCULO DE RECREO</t>
  </si>
  <si>
    <t>TALLER DE DEBATE Y CREACION ARTISTICA EN EL CENTRO MUNICIPAL DE LA IGUALDAD</t>
  </si>
  <si>
    <t>M18ONEFHIWF34-502X LLAVE DE IMPACTO M18 FUEL ONEKEY SIN ESCOBILLAS 3/4 CON ANILLO 1627NM  DESAPRIETE 2034NM 4 MODOS CON</t>
  </si>
  <si>
    <t>7332 LWL // SERV MANTENIMIENTO EO / SERV MANTENIMIENTO PROGRAMADO EP1.../ AM SPSC 23/2020. SERVICIO DE LIMPIEZA.</t>
  </si>
  <si>
    <t>1231 LWY  // SER MANTENIMIENTO EO /SERVICIO MANTENIMIENTO PROGRAMA.../ AM SPSC 23/2020. SERVICIO DE LIMPIEZA.</t>
  </si>
  <si>
    <t>7338 LWL // SERV MANTENIMIENTO EO / SERV MANTENIMIENTO PROGRAMADO E.../ AM SPSC 23/2020. SERVICIO DE LIMPIEZA.</t>
  </si>
  <si>
    <t>REVISION 7418LDY / SERVICIO DE MANTENIMIENTO EO /PROGRAMADO EP1 // AM SPSC 23/2020. SERVICIO DE LIMPIEZA.</t>
  </si>
  <si>
    <t>REVISION 6442LPY // REVISION TIPO A / AM SPSC 23/2020. SERVICIO DE LIMPIEZA.</t>
  </si>
  <si>
    <t>REVISION 8500LRN // SERVICIO DE MANTENIMIENTO EO // AM SPSC 23/2020. SERVICIO DE LIMPIEZA.</t>
  </si>
  <si>
    <t>REVISION 6528LBJ // SERVICIO DE MANTENIMIENTO  //  AM SPSC 23/2020. LIMPIEZA VIARIA.</t>
  </si>
  <si>
    <t>REVISION 0984FGF // E6138BFR // 1410JNL //  AM SPSC 23/2020. LIMPIEZA VIARIA.</t>
  </si>
  <si>
    <t>VA37960VE // H.M.O.REV. AVERIAS DESMONTAR INYECTORES PARA COMPROBRA COMPRESION (MAL) DESMONTAR  CULATA PARA VER</t>
  </si>
  <si>
    <t>ANUNCIO EXPOSICION CENSO ELECTORAL. 4 Y 5 JUNIO 2023 - EL ESPAÑOL DIGITAL</t>
  </si>
  <si>
    <t>ACUERDO MARCO. SUMINISTRO DE MATERIALES PARA TALLER DE REPARACIÓN DE VEHÍCULOS</t>
  </si>
  <si>
    <t>ACUERDO MARCO. PELICULA LUBRICANTE 400 ML / WD-40 DOBLE ACCIÓN 500 ML. SUMINISTROS TALLER REPARACIONES POLICÍA.</t>
  </si>
  <si>
    <t>Suministro de 50 cinturones para pantalón de parque; SEISYPC.</t>
  </si>
  <si>
    <t>PROCOMAR VALLADOLID ACOGE PROMOC.COLECT.</t>
  </si>
  <si>
    <t>SERVICIO MAQUETACION Y TRADUCCION: BULG+RUM+ARAB+UKR. TABLAS SALARIALES, CONDIC.LAB+COTIZ.SOC.  EMPL. SERVICIO DOMESTICO</t>
  </si>
  <si>
    <t>71419 LLAVE DE GANCHO 80-90 MM ANTICHISPA  Al-Bron EGAMASTER///Servicio de Extincion de Incendios</t>
  </si>
  <si>
    <t>TETRAEDER.SOLAR GMBH</t>
  </si>
  <si>
    <t>ALOJAMIENTO DE LA WEB VALLADOLID SOLAR POR PARTE DE LA EMPRESA ALEMANA TETRAEDER SOLAR</t>
  </si>
  <si>
    <t>DORTMUND</t>
  </si>
  <si>
    <t>Revisión extintores</t>
  </si>
  <si>
    <t>DIRECCIÓN DE OBRA DESMONTAJE DEL JARDÍN VERTICAL DEL ANTIGUO EDIFICIO DE EL CORTE INGLÉS DE CALLE CONSTITUCIÓN</t>
  </si>
  <si>
    <t>STEEL DISCO CORTE EH 230-3,2 SG STEEL PFERD / 467B.19 LLAVE MIXTA CON TRINQUETE 19 MM  FACOM / Serv. Extincion Incendios</t>
  </si>
  <si>
    <t>ACUERDO MARCO. SUMINISTRO DE MATERIAL DE FERRETERIA PARA POLICÍA MUNICIPAL.</t>
  </si>
  <si>
    <t>¡¡S.O.S., ESTOY DE CAMPAMENTO!! / SANGRE NAZARENA Y OTROS RELATOS INESPERADOS</t>
  </si>
  <si>
    <t>TIRAFONDOS 4,5 x 80 / PERFIL PINO LAMINADO 90x45 / PERFIL PINO LAMINADO 90x35 / MAMPARAS TORREON DE GOBIERNO Y ACTAS / P</t>
  </si>
  <si>
    <t>SIKAFLEX 11 FC / TIRAFONDO SPAX 4*40 XL 400U. / AGLOMERADO 3660**19 / CORTES//Servicio de Extinción de Incendios</t>
  </si>
  <si>
    <t>4 UNIDADES PLETINAS LISAS ALUMINIO 40X2X1000MM//SERVICIO DE EXTINCIÓN DE INCENDIOS</t>
  </si>
  <si>
    <t>2023 11 1321 224</t>
  </si>
  <si>
    <t>RENOVACIÓN 2023/24 CDA22117308EUR AEROLINEAS. SEGURO DE DOS DRONES HASTA 6 DE ABRIL DE 2024.</t>
  </si>
  <si>
    <t>MARIA VICTORIA VARONA GARROSA</t>
  </si>
  <si>
    <t>GESTION Y COORDINACION PROYECTO ""CONOCE TU MERCADO"" PARA ALUMNOS DE EDUCACION PRIMARIA (VISITAS, TRANSPORTE, TALLER)</t>
  </si>
  <si>
    <t>MARSDIGITAL, S.L.</t>
  </si>
  <si>
    <t>adj.2 cursos  atención sociosanitara en inst. sociales-MARS DIGITAL-desde formaliz.hasta dic 2023</t>
  </si>
  <si>
    <t>JAVIER SACRISTAN PEREZ</t>
  </si>
  <si>
    <t>DISEÑO Y MAQUETACION DE LOS CARTELES DE LAS ACTIVIDADES DE PRIMAVERA DE LOS CVA EN 2023</t>
  </si>
  <si>
    <t>Adqusición de una tercera botella de oxígeno para repuesto de los equipos de oxicorte; SEISYPC</t>
  </si>
  <si>
    <t>MEDINAIR SISTEMAS SL</t>
  </si>
  <si>
    <t>HORAS REVISION CANTEADORA / HORAS REVISION ESCUADRADORA / DESPLAZAMIENTO / EQUIPO DE BARNIZAR MOD GR25 AIRMIX</t>
  </si>
  <si>
    <t>SUMINISTRO DE PAPEL A LA IMPRENTA MUNICIPAL PARA ELABORAR DIPTICOS Y CARTELES ENCARGADOS POR EL SERV. EDUC. AÑO 2023.</t>
  </si>
  <si>
    <t>ENCUADERNACION DE MATERIAL REALIZADO POR LA IMPRENTA MUNICIPAL. SERVICIO DE EDUCACIÓN. AÑO 2023.</t>
  </si>
  <si>
    <t>ROTULOS SOBRADILLO S.L.L.</t>
  </si>
  <si>
    <t>SUMINISTRO Y INSTALACION DE LOGOTIPO PA RA EL CVA APARQUESOL- MAYO 2023</t>
  </si>
  <si>
    <t>COORDINACIÓN DE SEGURIDAD Y SALUD EN OBRA SISTEMA CLIMATIZACIÓN TEATRO CANTERAC CC DELICIAS</t>
  </si>
  <si>
    <t>ACTUACIÓN DE LIBERA TEATRO EL 13 DE JUNIO EN EL PRADO DE LA MAGDALENA, PROGRAMA EN JUNIO LA ESGUEVA</t>
  </si>
  <si>
    <t>ISAAC PRIETO  CONDE</t>
  </si>
  <si>
    <t>TALLER DE RISOTERAPIA SOBRE LA IGUALDAD DE GENERO EN EL CENTRO MUNICIPAL DE LA IGUALDAD</t>
  </si>
  <si>
    <t>2023 09 4321 22700</t>
  </si>
  <si>
    <t>SERVICIO DE DESRATIZACION, DESINSECTACION Y DESINFECCION EN EL ALBERGUE DE PEREGRINOS</t>
  </si>
  <si>
    <t>PAULEON AUTOMOCION, S.L.</t>
  </si>
  <si>
    <t>COMPROBACIÓN Y LIMPIEZA UNIDAD CONTROL (CENTRALITA TARJETA) / EXP V18/2022. SERVICIO DE LIMPIEZA.</t>
  </si>
  <si>
    <t>AVISADOR M.A. 12/48V 110DB///SERVICIO DE EXTINCION DE INCENDIOS</t>
  </si>
  <si>
    <t>IADBLUE 10L / ANTICONGELANTE ASER 30% 5L / ASER SYNTHETIC 10W40 A3/B4 5L / CANON GESTIÓN ACEITE (RD679/2006)</t>
  </si>
  <si>
    <t>ACUERDO MARCO. SUMINISTRO DE MATERIAL PARA TALLER DE REPARACIONES DE POLICÍA.</t>
  </si>
  <si>
    <t>NOMMON SOLUTIONS AND TECHNOLOGIES SL</t>
  </si>
  <si>
    <t>VS 28/23 ANALISIS VULNERABILIDAD ZONA BAJAS EMISIONES</t>
  </si>
  <si>
    <t>Adquisición extintores de prácticas de agua y CO2, y precintos de plástico para formación; SEISYPC</t>
  </si>
  <si>
    <t>ASOC CULTURAL LA COLMENA VALLADOLID</t>
  </si>
  <si>
    <t>ANIMACIÓN INAUGURACIÓN QUIOSCO CAÑO ARGALES</t>
  </si>
  <si>
    <t>ASISTENCIA TÉCNICA ESPECTACULO EN EL CENTRO CÍVICO BAILARÍN VICENTE ESCUDERO / JUNIO 2023</t>
  </si>
  <si>
    <t>Complemento de vestuario y EPI'S para trabajadores, que fluctúan a lo largo del año, en el Servicio de Espacio Público.-</t>
  </si>
  <si>
    <t>CTTO SUMINISTRO CARTELES, ROLL UP, MUPIS Y OTROS SOPORTES PUBLICITARIOS PARA EIM//HASTA 31/12/2023</t>
  </si>
  <si>
    <t>REALIZACIÓN DE 4 TALLERES ADICIONALES A LOS 50 EN PREV.DE LA INTOLERANCIA Y DELITOS DE ODIO EN EL ÁMB.EDUCA. JUNIO 2023</t>
  </si>
  <si>
    <t>TRASLADO DEMAQUINARIA Y MATERIALES DEL C. DE F. PARA EL EMPLEO, CURSO PINT. DECORATIVA V Y PARQ .Y JARD IV- MAYO2023</t>
  </si>
  <si>
    <t>AMBULANCIAS NORTELEON S.L.</t>
  </si>
  <si>
    <t>LOS CVA VAN A REALIZAR UNA ACTIVIDAD EN MEDINA DE RIOSECO Y NECESITAN UNA  AMBULANCIA PARA EL DIA 15 DE JUNIO2023</t>
  </si>
  <si>
    <t>VALDEFRESNO</t>
  </si>
  <si>
    <t>CUBIERTA RECAUCHUTADA (315/80R22,5 XDY3 3511-BHT) / PINCHAZO CUBIERTA (CA.../ AM EXP V18/2022. SERVICIO DE LIMPIEZA.</t>
  </si>
  <si>
    <t>REPARAR PINCHAZO  (EQUILIBRADO 0701-DKW)</t>
  </si>
  <si>
    <t>RELOJES CABALLERO CELEBRACIÓN STA. RITA 2023.</t>
  </si>
  <si>
    <t>AIRCOMVA, SLL</t>
  </si>
  <si>
    <t>MANTENIMIENTO COMPRESOR PUSKA PKM20 CAI1321819 5402H</t>
  </si>
  <si>
    <t>BRONCE 7 ARGALES, S.L.</t>
  </si>
  <si>
    <t>ADQUISICIÓN PRODUCTOS DE DESINFECCION PARA EL C.M.P.A. PARA EL AÑO 2023</t>
  </si>
  <si>
    <t>2023 11 1321 16200</t>
  </si>
  <si>
    <t>LA LEY ELEARNING, S.A,</t>
  </si>
  <si>
    <t>REALIZACIÓN DE CURSO DE PROCEDIMIENTO SANCIONADOR EN MATERIA DE TRÁFICO.</t>
  </si>
  <si>
    <t>LINTERNA LED BOLSILLO RECAR.6W / CABLE DE ARRANQUE 35MMX2 / 3M / ANTICONGELANTE ASER 30% 5L / TUBO FLEXIBLE ESCAPE DE 40</t>
  </si>
  <si>
    <t>IMPRESION DE PETICIONES A LA IMPRENTA MUNICIPAL LOS CVA   EN 2023- INICIATIVAS SOCIALES</t>
  </si>
  <si>
    <t>ACUERDO MARCO. SUMINISTRO DE MATERIAL PARA TALLER DE REPARACIÓN DE VEHÍCULOS DE POLICÍA.</t>
  </si>
  <si>
    <t>KRAFF/14141 - LIMPIASALPICADEROS-TECHOS VINILO Y / 0/0 - ACEITE HIDRAULICO 5L / 0/0 - GRASA MOLYKOT. / PLACA/PLACA - PLA</t>
  </si>
  <si>
    <t>BOSCH/1987302071 - LAMPARA DE INCANDESCENCIA / BOSCH/1987302441 - LAMPARA DE INCANDESCENCIA / 0/0 - ROTATIVO LEDD 6-12-2</t>
  </si>
  <si>
    <t>RECAMBIOS RAF VALLADOLID, S.L.</t>
  </si>
  <si>
    <t>ROTATIVO LED 12/24V MECHERO PIVOTE / PILOTO LATERAL FLAT-POINT / ROTATIVO LED.../ AM EXP V18/2022. SERVICIO DE LIMPIEZA.</t>
  </si>
  <si>
    <t>EDICIÓN REVISTA ""EL PÁRAMO"" (CP VILLANUBLA): PLEGADO, GRAPADO, 8 PÁG MÁS CUBIERTA. 800 UDS</t>
  </si>
  <si>
    <t>SUMINIS. E INSTALACION DE CABLEADO Y CONEXION ENTRE LA PUERTA AUTOM.  NUEVA  Y LA CENTRAL DE INCENDIOS DEL CVA PTE.COLGA</t>
  </si>
  <si>
    <t>CASQUILLO BARRA ESTABILIZADORA RVI / CASQUILLO B.ESTAB. MAGMUN PREMIUM.../ AM EXP V18/2022. SERVICIO DE LIMPIEZA.</t>
  </si>
  <si>
    <t>PLEGADO DIPTICOS CAMPAÑA RECICLAJE. SERVICIO DE LIMPIEZA.</t>
  </si>
  <si>
    <t>EVA MARIA MARTIN CANCIO</t>
  </si>
  <si>
    <t>Suministro de 12 camisetas con dorsales para el equipo de fútbol de la Asociación Deportiva; SEISYPC.</t>
  </si>
  <si>
    <t>SE 58-2020 P.S.5 MODIFICACION CTTO MANTENIMIENTO ASCENSORES, LOTE 2. ASCENSORES CEE Nº 1. 1-6-2023 AL 31-12-2023</t>
  </si>
  <si>
    <t>PEDRO MONJE BARROS</t>
  </si>
  <si>
    <t>TRASLADO MUEBLES DESDE EL C DE MAYORES PARQUESOL A LOS CVA - ABRIL 2023- INICIATIVAS SOCIALES</t>
  </si>
  <si>
    <t>7334LWL // KIT SENS MAGNETOSTRIT FMO PLUS / AM EXP V18/2022. SERVICIO DE LIMPIEZA.</t>
  </si>
  <si>
    <t>4069KXH // SUMINISTRO DE MATERIAL / CTO. SOPORTE GIRATORIO ESTRIB. / BULÓN EST.../ AM EXP V18/2022. SERVICIO DE LIMPIEZA</t>
  </si>
  <si>
    <t>DESATRANQUE EN EL VESTUARIO SITO EN JARDÍN BOTÁNICO, DEL SERVICIO DE LIMPIEZA.</t>
  </si>
  <si>
    <t>VACODE, S.A.</t>
  </si>
  <si>
    <t>INSTALACIÓN Y PUESTA EN MARCHA DE VITROCERAMICA Y RETIRADA DE LA ANTERIOR. ALJ. PROV. VVDA PORTILLO PRADO 20, 1C</t>
  </si>
  <si>
    <t>Encuadernación de las 55 ""Guía rápida de actuación ante MMPP 2023""; SEISYPC</t>
  </si>
  <si>
    <t>PMUS CIVIL, S.L.</t>
  </si>
  <si>
    <t>ESTUDIO EN LA COMPETENCIA Y EN EL MERCADO DEL ESTABLECIMIENTO DE LA ZONA DE BAJAS EMISIONES</t>
  </si>
  <si>
    <t>2023 05 4331 632</t>
  </si>
  <si>
    <t>REVISION EXTRAORDINARIA DE PRECIOS OBRA AMPLIACION AGENCIA DE INNOVACIÓN</t>
  </si>
  <si>
    <t>Adquisición de 10set de cordones para botas de intervención; SEISYPC.</t>
  </si>
  <si>
    <t>ESTUDIO DE SEGURIDAD Y SALUD PARA EL PROYECTO DE REHABILITACIÓN Y MEJORA ENERGÉTICA DEL TALLER DEL SERVICIO DE LIMPIEZA.</t>
  </si>
  <si>
    <t>TEXT0: ( SUMINISTRO DE MATERIAL EFECTUADO POR JOSÉ ANTONIO MARTÍN BAJO PRESUP.../ AM EXP V18/2022. SERVICIO DE LIMPIEZA.</t>
  </si>
  <si>
    <t>MATRÍCULA 4416KJX // REPARAR RUEDA CAMIÓN / SACAR Y COLOCAR CAMIÓN / PARCHE</t>
  </si>
  <si>
    <t>REPARAR 24X12.00-12 / VALVULA TR412</t>
  </si>
  <si>
    <t>HERNAIZ GONZALEZ DECORACION SL</t>
  </si>
  <si>
    <t>MURAL DECORATIVO EN TEJIDO PARA EL CURSO DE PINTURA DECORATIVA V DEL C. DE FORMACION PARA EL EMPLEO -JACINTO BENAVENTE</t>
  </si>
  <si>
    <t>RECICLADOS SOSTENIBLES, S.L.</t>
  </si>
  <si>
    <t>Traslado y alquiler de contenedor de obra en el Rebollar; SEISYPC</t>
  </si>
  <si>
    <t>RECARGA BONOBUS ORDINARIO PARTICIPANTES PLAN DE INSERCIÓN LABORAL / DURANTE 2023</t>
  </si>
  <si>
    <t>REALIZACION MATERIAL DIFUSION CONCURSO LITERARIO MIGUEL DELIBES AVENTURA EN EL TREN</t>
  </si>
  <si>
    <t>TALLERES EDUCATIVOS CENTRO MUNICIPAL DE LA IGUALDAD JUNIO 2023</t>
  </si>
  <si>
    <t>Adquisición de dos lonas con infografías para actividades divulgativas del servicio; SEISYPC</t>
  </si>
  <si>
    <t>ESTUDIO+COORDINACIÓN SEGURIDAD-SALUD OBRA ADECUACIÓN ASEOS CASITAS NIÑ@S MAESTRO CLAUDIO Y PAJARILLOS-25 DIAS</t>
  </si>
  <si>
    <t>EBSS Y COORDINACION SEGURIDAD Y SALUD OBRA REFORMA Y MEJORAS ASEOS 1ª PLANTA CEIP FEDERICO GARCIA LORCA.PZ EJ: 40 D</t>
  </si>
  <si>
    <t>TEXT0: ( SUMINISTRO DE MATERIAL EFECTUADO POR JOSÉ ANTONIO MARTÍN BAJO.../ AM EXP V18/2022. SERVICIO DE LIMPIEZA.</t>
  </si>
  <si>
    <t>TEXT0: ( SUMINISTRO DE MATERIAL EFECTUADO POR JOSÉ ANTONIO MARTÍN BAJO PRESU.../ AM EXP V18/2022. SERVICIO DE LIMPIEZA.</t>
  </si>
  <si>
    <t>4459KLP // KIT ENCODER RETROFIT FMO PLUS / AM EXP V18/2022.  SERVICIO DE LIMPIEZA.</t>
  </si>
  <si>
    <t>0432KMP // PULS. MARCHA CICLO, CABL. AMP / AM EXP V18/2022. SERVICIO DE LIMPIEZA.</t>
  </si>
  <si>
    <t>REPARACIÓN DEL EQUIPO FMO PLUS MATRÍCULA 7333LWL BLOQUEADO POR AVERÍA ELÉCTRICA. SERVICIO DE LIMPIEZA.</t>
  </si>
  <si>
    <t>TEXT0: ( SUMINISTRO DE MATERIAL EFECTUADO POR JOSÉ ANTONIO MARTÍN 1UD. PARA E.../ AM EXP V18/2022. SERVICIO DE LIMPIEZA.</t>
  </si>
  <si>
    <t>SUMINISTRO DE TUERCA REDUCTORA ,DIFUSOR 1804,TOBERA MP3000 A 360º,TOBERA MP3000 AJUST.PARA EL CURSO PARQ Y JARDINES IV</t>
  </si>
  <si>
    <t>ROLLO MALLA ANTI-HIERBA 1 X50 M 100 GRAMOS. COLEGIOS</t>
  </si>
  <si>
    <t>EBSS Y COORDINACIÓN SEGURIDAD Y SALUD OBRA REPARACIÓN DE GOTERAS DE TEJADOS EN VARIOS CEIPS.PL EJ: 4 SEMANAS/CENTRO</t>
  </si>
  <si>
    <t>PROGRAMADOR HUNTER X-CORE 24V.INT.8 EST.C/T. / ARQUETA TRONCO PIRAMIDAL (520X390X330)</t>
  </si>
  <si>
    <t>Suministro de uso muy frecuente en gran número de trabajos tanto en taller como especialmente en vía pública..</t>
  </si>
  <si>
    <t>SUMINISTRO DE MATERIAL, ESPATULA ESPECIAL INOX 10CM UDPARA EL CURSO DE  PINT DECORATIVA V- ACINTO BENAVENTE</t>
  </si>
  <si>
    <t>DISOLVENTE P-10 1LT                                                         ( MANTENIMIENTO DE EDIFICIOS E INSTALACIONES</t>
  </si>
  <si>
    <t>DISOLVENTE UNIVERSAL SEGOPI N-25 5LT                                        ( MANTENIMIENTO DE EDIFICIOS E INSTALACIONES</t>
  </si>
  <si>
    <t>SUMINISTRO DE MATERIAL, ROLLO FIELTRO ABSORBENTE 180GR 1X25M ROL,CURSO DE    PINT. DECORATIVA V -JACINTO BENAVENTE</t>
  </si>
  <si>
    <t>EBSS Y COORDINACIÓN SEGURIDAD Y SALUD OBRA SUSTITUCIÓN PARCIAL VENTANAS CEIP P.G.BOSQUE.PLZ EJ: 44 D</t>
  </si>
  <si>
    <t>EBSS Y COORDINACIÓN SEGURIDAD Y SALUD OBRA SUSTITUCIÓN CARPINTERÍAS EN DIVERSAS DEPENDENCIAS EIM LA COMETA. PZ EJ: 44 D</t>
  </si>
  <si>
    <t>SUMINISTRO DE MATERIALES DE CARPINTERÍA PARA TRABAJOS EN CC ZONA SUR REALIZADOS POR EL SERVICIO DE MANTENIMIENTO</t>
  </si>
  <si>
    <t>DERECHOS DE EXTENSIÓN PARA SUMINISTRO ELÉCTRICO CONTENEDORES SOTERRADOS PLAZA SAN ANDRÉS. SERVICIO DE LIMPIEZA.</t>
  </si>
  <si>
    <t>SUMINISTRO DE REFRESCOS PARA EVENTO EN CC JL MOSQUERA</t>
  </si>
  <si>
    <t>Suministro de 1038 pegatinas de diversos tamaños para publicidad subvención JCyL; SEISYPC</t>
  </si>
  <si>
    <t>SUMINISTRO DE MATERIALES, FILTRO DE CARTON PLEGADO PARA EL CURSO DE  PINT. DECORATIVAV-  JACINTO BENAVENTE</t>
  </si>
  <si>
    <t>PIZARRAS ACRYLIC VERDE 0.75LT/( PARTICIPACION CIUDADANA - CENTRO CIVICO ZONA ESTE)</t>
  </si>
  <si>
    <t>TKROM M-60 PLASTICO MATE OCEANIC 1LT // CC PARQUESOL</t>
  </si>
  <si>
    <t>Coordinación Seg y Salud Reparación del Torreón del Parque Central de Bomberos; SEISYPC</t>
  </si>
  <si>
    <t>PAPEL CON CINTA 10cmx20m SEGOPI ROL                                         ( ARCHIVO MUNICIPAL - FRA ORIGEN 23F-16.  )</t>
  </si>
  <si>
    <t>ADQUISICIÓN DE MATERIAL PARA TRABAJOS DE PINTURA EN EL ARCHIVO MUNICIPAL POR PARTE DEL SERVICIO DE MANTENIMIENTO.</t>
  </si>
  <si>
    <t>ACUERDO MARCO. SUMINISTRO DE PINTURA PARA APARCAMIENTO PATIO DE JEFATURA.</t>
  </si>
  <si>
    <t>SUMINISTRO DE BROCHA VIROLA NEGRA TODO PINT.Nº12 UD PARA EL CURSO DE  PINT DECORATIVA  V- JACINTO BENAVENTE</t>
  </si>
  <si>
    <t>SUMINISTRO DE ARDEX A46 25KG  PRA EL CURSO DE  PINT. DECORATIVA  V- JACINTO BENAVENTE</t>
  </si>
  <si>
    <t>SUMINISTRO DE REVESTIMIENTO LISO ALBERO 4LT PRA EL CURSO DE   PINT. DECORATIVA V-  JACINTO BENAVENTE</t>
  </si>
  <si>
    <t>SUMINISTRO DE AGUAMARINA BASE 1LT  PRA EL CURSO DE  PINT. DECORATIVA V- JACINTO BENAVENTE</t>
  </si>
  <si>
    <t>SUMINISTRO DE COLORANTE   PARA EL CURSO DE   PINT. DECORATIVA V- JACINTO BENAVENTE</t>
  </si>
  <si>
    <t>SUMINISTRO DE TKROM BASE PLASTICO SATINADO EXCELENT TR 1LT PRA EL CURSO DE   PINT DECORATIVA-  JACINTO BENAVENTE</t>
  </si>
  <si>
    <t>SUMINISTRO DE TKROM ACRILICO PISTAS DEPORTIVAS GRIS 12LT PARA EL CURSO DE PINT DECORATIVA- JACINTO BENAVENTE</t>
  </si>
  <si>
    <t>SUMINISTRO DE PINCEL UNIVERSAL PLANO Nº12 UD PARA EL CURSO DE  PINT DECORATIVA-  JACINTO BENAVENTE</t>
  </si>
  <si>
    <t>SUMINISTRO DE TKROM MATE FORTUNA 15LT   PARA EL CURSO DE  PINT. DECORATIVA V-  JACINTO BENAVENTE</t>
  </si>
  <si>
    <t>ACUERDO MARCO. SUMINISTRO DE PINTURA APARCAMIENTO TKROM SPORT BLANCO 4LT.</t>
  </si>
  <si>
    <t>LOTE 3 - SERVICIOS DE FORMACION Y SENSIBILIZACION EN T.DIGITAL Y ECONOMIA  CIRCULAR PARA PYMES -FONDOS PRTR</t>
  </si>
  <si>
    <t>MANTENIMIENTO, SUMINISTRO DE MECANISMO UNIVERSAL ROCA DOBLE PRA REPARACIONES DEL CVA ZONA SUR- DURACION 1 DIA</t>
  </si>
  <si>
    <t>SUMINISTRO DE MATERIALES DE FONTANERÍA PARA TRABAJOS EN CC DELICIAS REALIZADOS POR EL SERVICIO DE MANTENIMIENTO</t>
  </si>
  <si>
    <t>ADQUISICIÓN Y SUSTITUCIÓN DE CERRADURA PARA LA PUERTA DE ENTRADA PRINCIPAL DEL ARCHIVO MUNICIPAL, 2023.</t>
  </si>
  <si>
    <t>SISTEMAS Y VEHICULOS DE ALTA TECNOLOGIA, S.A.</t>
  </si>
  <si>
    <t>FACTURACIÓN DE REPUESTOS SEGÚN PEDIDO DE VENTA Nº 2023/PV121/195 ALBARÁN 17.../ AM EXP V18/2022. LIMPIEZA VIARIA.</t>
  </si>
  <si>
    <t>Recarga de bootella de oxígeno para equipo oxicorte de Canterac;SEISYPC</t>
  </si>
  <si>
    <t>REPARACION CAMARA FRIGORÍFICA DEL CENTRO MUNICIPAL DE PROTECCION ANIMAL.</t>
  </si>
  <si>
    <t>MANTENIMIENTO, SUMINISTRO DE SIFÓN BOTELLA LATON CR 11/4 DFLEX PARA REPARACIONES DEL JACINTO BENAVENTE- DURA 1 DIA</t>
  </si>
  <si>
    <t>AD COMPLEMENTARIO POR REALIZAR UNA CATA MAS DEL DÍA DEL COMERCIO JUSTO EN LOS CVA- INICIATIVAS SOCIALES.</t>
  </si>
  <si>
    <t>SUPLEMENTO 1 CDA22117308EUR AEROLINEAS/AERONAVES 05/06/2023 06/04/2024 COVERDRONE EU B.V</t>
  </si>
  <si>
    <t>COORDINACIÓN EN SEGURIDAD Y SALUD PARA LA PUESTA EN MARCHA DE PLATAFORMAS EN PL SAN ANDRÉS. SERVICIO DE LIMPIEZA.</t>
  </si>
  <si>
    <t>EL LEÓN DE EL ESPAÑOL PUBLICACIONES, S.A.</t>
  </si>
  <si>
    <t>ADJUDICA ACCESO SUSCRIPCIÓN PERIÓDICO DIGITAL EL ESPAÑOL.COM - MEDIOS DE COMUNICACIÓN (junio 2023 a junio 2024)</t>
  </si>
  <si>
    <t>2023 01 9206 22000</t>
  </si>
  <si>
    <t>PAPELERIA DE LA OFICINA, S.L.</t>
  </si>
  <si>
    <t>ADQUISICIÓN DE 20 PAQUETES DE BOLSAS DE CELOFÁN CIERRE AUTOADHESIVO 12X18 CM. ARCHIVO MUNICIPAL.</t>
  </si>
  <si>
    <t>MASILLA POLIMERO TOT-MS 15 TRANSP / METRO TUBO COBRE BARRA 12 /</t>
  </si>
  <si>
    <t>AD COMPLEMENTARIO A 920230007360. LIMPIEZA POSTERIOR A LA OBRA DEL EDIFICIO HUB INNOVACIÓN</t>
  </si>
  <si>
    <t>CONTRATO SERVICIO MANTENIMIENTO DE VALLADOLID EN CIFRAS DEL OBSERVATORIO TURISTICO DEL 01-04-23 AL 11-04-2023</t>
  </si>
  <si>
    <t>F - 6044 - CONJUNTO TIRADOR DESCARGA - ALBARAN 26-1-23 - CEAS DELICIAS-ARGALES -  SUMINISTROS GARCICHAO - 1 DIA</t>
  </si>
  <si>
    <t>ARRENDAMIENTO CAMIÓN CARGA SUPERIOR MÁS DE 13m3 LOTE 2, AÑO 2023. SERVICIO DE LIMPIEZA.</t>
  </si>
  <si>
    <t>PLETINA RECTA MONT JUNTA ESTANQUEIDAD PORTON TRASERO / GOMA VERTICA.../ AM EXP V18/2022. LIMPIEZA VIARIA.</t>
  </si>
  <si>
    <t>TRANSPALETA 1500 PB - PERFIL BAJO / AM EXP V18/2022. SERVICIO DE LIMPIEZA.</t>
  </si>
  <si>
    <t>BOLSA NEGRA 90X95 G-140 BDRPLTOTAL (1000 UNID) / AM EXP V18/2022. LIMPIEZA VIARIA.</t>
  </si>
  <si>
    <t>PARKA SYLOW PLUMA AMRO T.XXL / CAZADORA LEXE MUJER PLUMA ANT T.M / PARKA SYLOW PLUMA REC Y CAP AMRO T.L / BORDADO LOGO</t>
  </si>
  <si>
    <t>ACUERDO MARC. REPARACIÓN DE VEHÍCULO 4117JKP DE POLICÍA .SUSTITUIR ACEITE FITLRO DE ACEITE,LIQUIDO LIMPIADOR FAP,</t>
  </si>
  <si>
    <t>ACUERDO MARCO. REPARACIÓN VEHÍCULO 3999JKP:SUSITUTIR EMBRAGUE CON BIMASA Y CAJA CAMBIOS,VALVULINA,DISCO Y MAZ</t>
  </si>
  <si>
    <t>ACUERDO MARCO. REPARACIÓN VEHÍCULO 3715KGD:LLANTA ALUMINIO TRASEAS</t>
  </si>
  <si>
    <t>Adquisición de 4 botellas de gas propano de 11 kg para formación en extinción de incendios;SEISYPC</t>
  </si>
  <si>
    <t>TALLERES Y GRUAS AVILA S.L.</t>
  </si>
  <si>
    <t>Adquisición de seis vehículos eléctricos para el Área de Movilidad y Espacio Urbano. lote 2 (exp. 22/2022)</t>
  </si>
  <si>
    <t>IMPRESIÓN CARTELES A3 COLOR PARA CC ESGUEVA</t>
  </si>
  <si>
    <t>Albarán OT/137241 de 21/04/2023 ( REPARACIÓN EN TALLER DE CORTACÉSPED HONDA IZZY REF.: PARQUESOL VALE Nº: 662 RETIRADA E</t>
  </si>
  <si>
    <t>REPARACIÓN EN TALLER DE BOMBA EBARA ÓPTIMA MS SEGÚN PRESUPUESTO VERBAL (HUERTA DEL REY 1 VALE Nº 670 / 26-04-2023)</t>
  </si>
  <si>
    <t>ALBARÁN OT/137482 DE 8/05/2023 (SUSTITUCIÓN RUEDAS TRASERAS EN CORTACÉSPED HONDA IZY 41S REF: HUERTA DEL REY 1 VALE Nº</t>
  </si>
  <si>
    <t>ALBARÁN OT/ 137506 DE 9 y 12/05/2023 (REPARACIÓN EN TALLER DE MOTOSIERRA HUSQVARNA T540 XP REF.: MORERAS VALE Nº: 698 R</t>
  </si>
  <si>
    <t>Albarán OT/ 137628 de 18 y 19/05/2023 ( REPARACIÓN EN TALLER DE TRACTOR CORTACÉSPED RIDER REF.: PARQUESOL VALE Nº 764 RE</t>
  </si>
  <si>
    <t>REPARACION DE FANCOIL DE LAS E. DIURNAS DEL CVA ZONA ESTE- INICIATIVAS SOCIALES</t>
  </si>
  <si>
    <t>ANGEL JAVIER LINARES ARRANZ</t>
  </si>
  <si>
    <t>Reparación sistema de sirena electrónica de vehículo BFP 18, matr 0130 DWZ; SEISYPC</t>
  </si>
  <si>
    <t>REPARACION ASCENSOR, SUMINISTRO E BATERIAS ENLACE GSM DEL CVA FRAY LUIS DE LEON- INICIATIVAS SOCIALES</t>
  </si>
  <si>
    <t>COORDINACIÓN DE SEGURIDAD Y SALUD OBRA DESMONTAJE DEL JARDÍN VERTICAL DEL ANTIGUO EDIFICIO DE EL CORTE INGLÉS CONSTITUCI</t>
  </si>
  <si>
    <t>TRAMIT.EXPTE.CERT.8 Y FINAL DE LA OBRA CELDAS SANTA CATALINA (INST.INTERVENTOR).</t>
  </si>
  <si>
    <t>COORDINACIÓN DE SEGURIDAD Y SALUD REPARACIÓN DE BALDOSAS RAMPA DISTRITO 2º.</t>
  </si>
  <si>
    <t>ANUNCIO EXPOSICION CENSO ELECTORAL. 4 Y 5 JUNIO 2023 - TRIBUNA DIGITAL</t>
  </si>
  <si>
    <t>SE-PC 15/2023: PRÓRROGA CONTRATO DE CONTROL DE PLAGAS DE LOS CENTROS DE PARTICIPACIÓN CIUDADANA (1 MAY-31 DIC)</t>
  </si>
  <si>
    <t>ACTIVIDADES Y OT.GASTOS VINCULADOS AL CONT.PROY. LUCHA CONTRA EXCL.SOC.ZONAS VULNERABLES .Z.ESTE- 9/3 A 31/12/23</t>
  </si>
  <si>
    <t>COMPLEMENTARIO PARA HACER FRENTE A LA CERTIF. 8 Y FINAL ""MEJORA EFICIENCIA ENERGETICA FUENTE AZUL"" EXP. V6-20 PS. 36</t>
  </si>
  <si>
    <t>MODIFICACION LOTE 6 FERIA DEL LIBRO VALLADOLID 2023 POR LA CELEBRACION DEL JAIPUR LITERATURE FESTIVAL</t>
  </si>
  <si>
    <t>CIERRE ALEMAN GRANDE COMPLETO ( MATRICULA 5682 MDL CIERRE ALEMAN GRANDE.../ AM SPSC 23/2020. LIMPIEZA VIARIA.</t>
  </si>
  <si>
    <t>WASTERENT S.L.</t>
  </si>
  <si>
    <t>CONTRATO ARRENDAMIENTO CAMIÓN CARGA SUPERIOR MÁS 13m3 LOTE 1, AÑO 2023. SERVICIO DE LIMPIEZA.</t>
  </si>
  <si>
    <t>RIBA-ROJA DE TURIA</t>
  </si>
  <si>
    <t>ANULACIÓN DE ADQUISICIÓN DE DOS ORDENADORES PORTÁTILES  PARA GALERÍA DE TIRO E INFORMÁTICA DE POLICÍA MUNICIPAL.</t>
  </si>
  <si>
    <t>YOLANDA DOMINGUEZ MAGDALENO</t>
  </si>
  <si>
    <t>Trabajos Dirección de Obra Reparación del Torreón del Parque Central de Bomberos; SEISYPC</t>
  </si>
  <si>
    <t>CONTRATACION MENOR / SERVICIOS / PRIMER SEMESTRE 2023</t>
  </si>
  <si>
    <t>CONTRATACION MENOR / SUMINISTROS / PRIMER SEMESTRE 2023</t>
  </si>
  <si>
    <t>CONTRATACION MENOR / OBRAS / PRIMER SEMESTRE 2023</t>
  </si>
  <si>
    <t>CONTRATACION MENOR / MIXTOS / PRIMR SEMESTRE 2023</t>
  </si>
  <si>
    <t>CONTRATACION MENOR / OTROS / PRIMER SEMESTRE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</si>
</sst>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" fontId="11" fillId="0" borderId="0" xfId="0" applyNumberFormat="1" applyFont="1" applyAlignment="1">
      <alignment horizontal="right"/>
    </xf>
    <xf numFmtId="14" fontId="11" fillId="0" borderId="0" xfId="0" applyNumberFormat="1" applyFont="1"/>
    <xf numFmtId="4" fontId="11" fillId="0" borderId="0" xfId="0" applyNumberFormat="1" applyFont="1"/>
    <xf numFmtId="0" fontId="4" fillId="0" borderId="0" xfId="0" applyFont="1" applyAlignment="1">
      <alignment horizontal="left" vertical="center" wrapText="1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721"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217.407423263889" createdVersion="6" refreshedVersion="6" minRefreshableVersion="3" recordCount="3765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30032556"/>
    </cacheField>
    <cacheField name="Fase" numFmtId="49">
      <sharedItems/>
    </cacheField>
    <cacheField name="Fecha" numFmtId="14">
      <sharedItems containsSemiMixedTypes="0" containsNonDate="0" containsDate="1" containsString="0" minDate="2023-01-01T00:00:00" maxDate="2023-07-01T00:00:00"/>
    </cacheField>
    <cacheField name="Referencia" numFmtId="1">
      <sharedItems containsSemiMixedTypes="0" containsString="0" containsNumber="1" containsInteger="1" minValue="22020002100" maxValue="22023005369"/>
    </cacheField>
    <cacheField name="Aplicación" numFmtId="49">
      <sharedItems/>
    </cacheField>
    <cacheField name="Importe" numFmtId="4">
      <sharedItems containsSemiMixedTypes="0" containsString="0" containsNumber="1" minValue="-538340" maxValue="6855250.46"/>
    </cacheField>
    <cacheField name="Nombre Ter." numFmtId="49">
      <sharedItems count="2222">
        <s v="DORNIER S.A."/>
        <s v="CLECE SA-ONET IBERIA SOLUCIONES SA (UTE SAD AYUNTAMIENTO DE VALLADOLID. LOTE 1)"/>
        <s v="ILUNION LIMPIEZA Y MEDIO AMBIENTE, S.A."/>
        <s v="COTODISA OBRAS Y SERVICIOS S.A"/>
        <s v="ACCIONA MEDIO AMBIENTE, S.A."/>
        <s v="KAPSCH TRAFFICOM TRANSPORTATION SA"/>
        <s v="SOCIEDAD ESTATAL CORREOS TELEGRAFOS, S.A"/>
        <s v="SACYR SOCIAL SL"/>
        <s v="VIGILANTES ASOCIADOS AL SERVICIO DE BANCA Y EMPRESAS VASBE SL"/>
        <s v="ZARZUELA S.A. - EMPRESA CONSTRUCTORA"/>
        <s v="IVECO ESPAÑA, S.L."/>
        <s v="SCANIA HISPANIA, S.A."/>
        <s v="DISCOMTES ENERGÍA, S.L."/>
        <s v="ELECTRICIDAD PASCUAL DE DIEGO, S.L."/>
        <s v="UTE ELEVADORES PARQUESOL ESTE"/>
        <s v="OESIA NETWORKS S.L."/>
        <s v="FUNDACION INTRAS"/>
        <s v="SERVICIOS COMIDAS Y ACTIVIDADES SOCIALES, S.L."/>
        <s v="URBASER SA"/>
        <s v="CLECE, S.A."/>
        <s v="ARMAISMA, S.L."/>
        <s v="KOALA SOLUCIONES EDUCATIVAS, S.A."/>
        <s v="TOYR S.A"/>
        <s v="IBERDROLA CLIENTES S.A.U"/>
        <s v="ALPA COPIADORAS, S.L."/>
        <s v="VODAFONE ESPAÑA, S.A.U."/>
        <s v="GRUPO LINCE ASPRONA S.L."/>
        <s v="EDEBEI INFANTIL S.L."/>
        <s v="TRANS-ASISTENCIA DE LA CHICA SL"/>
        <s v="MAINTENANCE DEVELOPMENT ,S.A -MDTEL TELECOMUNICACIONES"/>
        <s v="ENVIRA SOSTENIBLE, S.A."/>
        <s v="API MOVILIDAD, S.A"/>
        <s v="ATOS IT SOLUTIONS AND SERVICES IBERIA S.L."/>
        <s v="ESIMPLA, S.L."/>
        <s v="GUADALTEL, S.A."/>
        <s v="CONNECTIS ICT SERVICES, S.A."/>
        <s v="SERRAL ORGANIZACION Y GESTION DE ARCHIVOS Y BIBLIOTECAS, SL"/>
        <s v="FEDERACION DE COLECTIVOS EDUCACION DE ADULTOS"/>
        <s v="SOCAMEX, S.A."/>
        <s v="UTE ESTE BARRIO"/>
        <s v="TECNOLOGIA VIALES APLICADAS TEVA S.L."/>
        <s v="HISPAPOST S.A"/>
        <s v="CENTRO DE OBSERVACION Y TELEDETECCION ESPACIAL, S.A.U."/>
        <s v="ARASTI BARCA M.A., S.L."/>
        <s v="SAMYL FACILITY SERVICES, S.L."/>
        <s v="ALPHABET ESPAÑA FLEET MANAGEMENT, S.A."/>
        <s v="CENTRO DE INNOVACIÓN DE SERVICIOS GESTIONADOS AVANZADOS, S.L."/>
        <s v="UTE MEJORA RIO PISUERGA"/>
        <s v="FACTIBLE S COOP."/>
        <s v="ALLENDE ACTIVIDADES DE OCIO Y TIEMPO LIBRE,  S.L."/>
        <s v="ELSAMEX GESTIÓN DE INFRAESTRUCTURAS, S.L."/>
        <s v="SCIVOLO-ROSSO,S.L."/>
        <s v="INFOREST MEDIO AMBIENTE, S.L."/>
        <s v="EULEN SERVICIOS SOCIOSANITARIOS, S.A."/>
        <s v="AMBAR TELECOMUNICACIONES, S.L."/>
        <s v="U.T.E. SIFU MADRID BROCOLI AVA CENTROS CIVICOS Y MUNICIPALES"/>
        <s v="BILBAO C.A. SEGUROS Y REASEGUROS"/>
        <s v="HOP UBIQUITOUS S.L."/>
        <s v="FORMACAL S.L."/>
        <s v="PROYECON GALICIA S.A."/>
        <s v="IMESAPI, S.A."/>
        <s v="IBERMATICA"/>
        <s v="ALVALOP SERVICIOS XXI SL"/>
        <s v="T-SYSTEMS ITC IBERIA S.A."/>
        <s v="TEVASEÑAL S.A."/>
        <s v="SERVICIOS OSGA, S.L."/>
        <s v="SUITABLE SOFTWARE VINFOVAL S.L."/>
        <s v="CALIDAD DE AMBIENTE, S.L."/>
        <s v="TELEFONICA SOLUCIONES DE INFORMATICA Y COMUNICACIONES DE ESPAÑA S.A.U"/>
        <s v="SOLRED S.A."/>
        <s v="DIVISA IT S.A.U."/>
        <s v="UTE INETUM ESPAÑA VIRTUAL DESK EXPTE N10SS 55 22 LEY 18/1982"/>
        <s v="GAS NATURAL COMERCIALIZADORA, S.A."/>
        <s v="GLOBAL ROSETTA S.L.U."/>
        <s v="FCC MEDIO AMBIENTE SA"/>
        <s v="INDRA SOLUCIONES TECNOLOGICAS DE LA INFOMACION S.L.U."/>
        <s v="AUTOS IGLESIAS SL"/>
        <s v="CONSTRUCCIONES A M C, SA"/>
        <s v="INSTITUTO MINUSVALIDO ASTUR S.A.L."/>
        <s v="UTE LIMPIEZA DEPENDENCIAS AYUNTAMIENTO DE VALLADOLID"/>
        <s v="SHS  CONSULTORES S L"/>
        <s v="ANTON CENTRO ESPECIAL DE EMPLEO, S.L"/>
        <s v="SCHNEIDER ELECTRIC ESPAÑA, S.A."/>
        <s v="NEMOKINOS SLU"/>
        <s v="CAIXABANK S.A."/>
        <s v="SERVICIOS INTEGRALES BERZOSAS XXI S.L."/>
        <s v="SERVICIOS INTEGRALES DE FINCAS URBANAS DE MADRID"/>
        <s v="CONSORCIO DE MANIPULADO Y SERVICIOS POSTALES SL"/>
        <s v="ISABEL BENITO GARCIA"/>
        <s v="EMCO VIDEO INDUSTRIAL, S.L.U."/>
        <s v="TECNITRAN TELECOMUNICACIONES SL"/>
        <s v="SCAFO EVENTOS, S.L."/>
        <s v="LINEAS Y CABLES S.A."/>
        <s v="ZENIT INGENIERIA Y CONSULTORIA SLP"/>
        <s v="RED ESPAÑOLA DE SERVICIOS, S.A.U."/>
        <s v="1A INGENIEROS,  S.L.P."/>
        <s v="ENCLAVE FORMACIÓN, S.L.U."/>
        <s v="AIR CASTILLA, S.L."/>
        <s v="STRATEGIA INFINITA, S.L."/>
        <s v="NOVAELEC SISTEMAS, S.L."/>
        <s v="AUDIOVISUAL EXPERIENCE S.L."/>
        <s v="IPROGES CONSULTING, S.L."/>
        <s v="ARMERIA DEL CARMEN S.L"/>
        <s v="SONEPAR IBERICA SPAIN S.A.U."/>
        <s v="SISTEMAS INTEGRALES DE CASTILLA Y LEÓN, S.L."/>
        <s v="A. SAORIN MONTAJE DE STAND, S.L."/>
        <s v="DAVID ANDRÉS MORO"/>
        <s v="AYTOS SOLUCIONES INFORMATICAS, S.L.U."/>
        <s v="PROYMA, S.L."/>
        <s v="CONTENEDORES CASTRO, S.L."/>
        <s v="RECICLAJE DE CONSUMIBLES OFIMÁTICOS IBAIZABAL, S. L."/>
        <s v="AGORA ESTUDIOS DE MERCADO, S.L."/>
        <s v="INETUM ESPAÑA S.A."/>
        <s v="AGUSTIN TORRES MAÑUECO"/>
        <s v="TRANSDUERO S.L."/>
        <s v="IN PULSO MUSICAL SOCIEDAD COOPERATIVA"/>
        <s v="COMUNICACIONES Y OCIO INTERACTIVO, S.L."/>
        <s v="EIFFAGE ENERGIA S.L.U."/>
        <s v="VEOLIA SERVICIOS LECAM,S.A.U."/>
        <s v="ABACO C.E. INFORMATICOS, S.L."/>
        <s v="ABAST SYSTEMS &amp; SOLUTIONS SL"/>
        <s v="ACQUAJET SEMAE, S.L.U."/>
        <s v="ACTION SERVICE PLEITE VIEDMA S.L."/>
        <s v="AL AIR LIQUIDE ESPAÑA, S.A."/>
        <s v="ALBA PRIETO VILLARRAGUT"/>
        <s v="ALFE SUMINISTROS A LA CONSTRUCCION E INDUSTRIA"/>
        <s v="ALSINA I LLORCA S.L."/>
        <s v="ELENA FINAT SAEZ"/>
        <s v="ARCAL GESTIÓN DOCUMENTAL, S.A."/>
        <s v="ARCOVET PRODUCTOS VETERINARIOS SL"/>
        <s v="ASCENSORES ENOR S.L."/>
        <s v="ASCENSORES ZENER GRUPO ARMONIZA, S.L.U."/>
        <s v="BUREAU VERITAS INSPECCION Y TESTING, S.L.UNIPERSONAL"/>
        <s v="ASE-PSIKE, S.L."/>
        <s v="ASOC PARA LA PROMOCION Y GESTION DE SERVICIOS SOCIALES GENERALES Y ESPECIALIZADOS"/>
        <s v="ASTIBOT INGENIERIA INFORMATICA ROBOTICA Y DOMOTICA SL"/>
        <s v="AVENET IT SL"/>
        <s v="ANA MOYANO CANO"/>
        <s v="BAND SWEET, S.L."/>
        <s v="BERTA MONCLUS  ARRABAL"/>
        <s v="CALORVENT S.L."/>
        <s v="CANYCAT PETS, SL.L"/>
        <s v="CARLIBUR S.L."/>
        <s v="CARLOS BERNARDO  FERNANDEZ"/>
        <s v="CARRALAMATA, S.L."/>
        <s v="CASA AMBROSIO RODRIGUEZ, S.L."/>
        <s v="CASTILLA ASESORIA DE TURISMO SL"/>
        <s v="COMPAÑÍA DE REPROGRAFÍA Y SISTEMAS KONI-COPY S.L.L."/>
        <s v="CRESPO COMERCIAL ESPAÑOLA DE PROTECCION, S.L."/>
        <s v="DATAINFO CONSULTORES Y ASESORES SL"/>
        <s v="DAVID TUTOR DE LA IGLESIA"/>
        <s v="DEREOJO PRODUCCIONES, S.L."/>
        <s v="DIGITAL CARDIG, S.L.L."/>
        <s v="DIGITAL VALLADOLID S.L."/>
        <s v="INCOPE CONSULTORES, S.L"/>
        <s v="ESCUELA SUPERIOR DE DISEÑO DE VALLADOLID, S.L."/>
        <s v="INGENIA SOLUCIONES GRUPO ELECTRICAS HERMANOS CAMPOS, S.L."/>
        <s v="DISTRIBUIDORA DE GASES OLMAR, S.L."/>
        <s v="DISTROMEL, S.A."/>
        <s v="DRAGER SAFETY HISPANIA S.A."/>
        <s v="DROSOPHILA EDICIONES S.L"/>
        <s v="DS SMITH RECYCLING SPAIN S.A."/>
        <s v="DTS OABE, S.L."/>
        <s v="EZOS S.L."/>
        <s v="DUCAL EDICIONES SLU"/>
        <s v="DUOMO REGALOS, S.L."/>
        <s v="CENTRO DE ESTUDIOS DE MATERIALES Y CONTROL DE OBRAS, S.A. (CEMOSA)"/>
        <s v="DYNAMYCA SOSTENIBLE SL"/>
        <s v="DYNAQUA MEDIO AMBIEBNTE, S.L."/>
        <s v="eBOGA SOLUCIONES Y SERVICIOS DE SEGURIDAD INTEGRAL"/>
        <s v="COMERCIAL ULSA S.A."/>
        <s v="ECOLOGISTAS EN ACCION-CODA"/>
        <s v="EDICIONES CONDE NAST, S.L"/>
        <s v="EDICIONES LA MESETA, S.L."/>
        <s v="EDICIONES UNIVERSIDAD SALAMANCA"/>
        <s v="EDITORIAL CULTURA ACTIVA S.L."/>
        <s v="EDITORIAL TORRE DE PAPEL, S.L."/>
        <s v="ENERGINOBA BATERÍAS Y MANTENIMIENTOS, S.L."/>
        <s v="EDUARDO SÁNCHEZ BLANCO"/>
        <s v="EIC ESTUDIO DE INGENIERIA CIVIL S.L."/>
        <s v="EPTISA SERVICIOS DE INGENIERIA SL"/>
        <s v="EL ACCESORIO HERRANZ Y VELASCO S.L."/>
        <s v="EL CORTE INGLES, S.A."/>
        <s v="EL MUNDO-UNIDAD EDITORIAL S.A."/>
        <s v="ELECNOR SERVICIOS Y PROYECTOS,S.A.U"/>
        <s v="ELECTROCASTILLA 2000 S.L."/>
        <s v="ELECTRO-INDUX, S.L."/>
        <s v="ELECTROTECNIA CASTILLA Y LEON SL"/>
        <s v="ELENA TORIBIO  RODRIGUEZ"/>
        <s v="EMERGALIA S.L.U."/>
        <s v="EMMA GOMEZ  GOMEZ"/>
        <s v="EMPROSOFT S.A."/>
        <s v="ENSUMA EMPLEO SOCIAL, S.L."/>
        <s v="ENTIDAD DEPORTIVA MUJER DEFIENDETE"/>
        <s v="INCIDEC INGENIERÍA Y ARQUITECTURA, S.L."/>
        <s v="ENTREVECINOS SERVICIOS INTEGRALES S. COOP."/>
        <s v="EQUILIBRIO GOGAR, S.L."/>
        <s v="ER.ASSESSMENT CENTER SL"/>
        <s v="ESCOFET 1886, S.A."/>
        <s v="HERMENEUS WORLD SL"/>
        <s v="ESPASA CALPE, S.A."/>
        <s v="ESRI ESPAÑA SOLUCIONES GEOESPACIALES, S.L."/>
        <s v="ESTUDIO DE DISEÑO Y ARQUITECTURA WORLD DESIGN, S.L."/>
        <s v="ESTUDIOS Y CONTROLES BIOLOGICOS, S.L. (BIECON)"/>
        <s v="ESTUDIOS Y SISTEMAS ENERGETICOS RENOVABLES S.L."/>
        <s v="EULEN S.A."/>
        <s v="EUROPA PRESS DELEGACIONES, S.A."/>
        <s v="EUROVAL CONTROL,S.A."/>
        <s v="EVANGELINA VALDESPINO  HERRERO"/>
        <s v="GRUPO ELECTRO STOCKS, S.L."/>
        <s v="EVENTO ORGANIZACION SERVICIOS PLENOS, S.L"/>
        <s v="EVENTOS CONGRESOS Y COMUNICACION S.L."/>
        <s v="FACTORÍA, GESTIÓN Y CONSULTORÍA, S.L."/>
        <s v="FED.ASOC.PERSONAS SORDAS CASTILLA"/>
        <s v="FERNANDO BLANCO VAQUERO"/>
        <s v="FERNANDO DONCEL HERRERO"/>
        <s v="FERNANDO RINCON CHICHES"/>
        <s v="FERRETERIA ORTIZ VALLADOLID, S.L."/>
        <s v="FERRETERIA SANTIAGO RODRIGUEZ S.L."/>
        <s v="FICHERO DE CARGOS ESTIRADO, S.A."/>
        <s v="FITNESS PROJET CENTER S.L."/>
        <s v="FLOMEYCA, S.A."/>
        <s v="FIRMAPROFESIONAL,S.A."/>
        <s v="FRANK JAKOBSEN"/>
        <s v="FLORISTERIA YERBA, COMUNIDAD DE BIENES"/>
        <s v="MOTOS DE IMPORTACIÓN, S.L."/>
        <s v="FORJA CERRAJERIA ENRIQUE GONZALEZ S.L"/>
        <s v="FORMACION Y  TECNOLOGIA EDUCATIVA EN CASTILLA Y LEON, S.L."/>
        <s v="FORTUNATO GUTIERREZ CEA"/>
        <s v="FRANCISCO JOSÉ GOZALO ARRANZ"/>
        <s v="FRANCISCO SALVADOR PARRAVICINI, S.L.N.E."/>
        <s v="INFOPRODUCTS, S.L."/>
        <s v="FRASUR CONTROL, S.L."/>
        <s v="FRIGORIFICOS BENITO S.L."/>
        <s v="FRIHER, S.L."/>
        <s v="FUGATEC I mas D S.L"/>
        <s v="FUNDACION ALDABA"/>
        <s v="FUNDACION ASPAYM CASTILLA Y LEON"/>
        <s v="FUNDACION ENTRETANTOS"/>
        <s v="FUNDACION GENERAL DE LA UNIVERSIDAD VALLADOLID"/>
        <s v="FUNDACION JUAN SOÑADOR"/>
        <s v="FUNDACION MUNICIPAL DE CULTURA"/>
        <s v="FUNDACION MUNICIPAL DE DEPORTES"/>
        <s v="FUNDACION SIGLO PARA EL TURISMO Y LAS ARTES DE CASTILLA Y LEON"/>
        <s v="FUNDACION SPLORA"/>
        <s v="GABRIEL ALEJANDRO REYES GONZÁLEZ"/>
        <s v="GAMESYSTEM ESPAÑA, S.A."/>
        <s v="GASES Y SOLDADURA DE CASTILLA, S.L."/>
        <s v="TECNICAS DE AHORRO ENERGETICO, S.L."/>
        <s v="GEESINK NORBA SPAIN, S.L.U."/>
        <s v="GEMA POVEDA MONTES"/>
        <s v="GESTION DE SERVICIOS INTEGRALES, S.A."/>
        <s v="AGUAPURA AGUAVIVA, S.L."/>
        <s v="JOMAR SEGURIDAD, SL"/>
        <s v="ASOCIACIÓN CULTURAL TAHONA TRADICIONAL"/>
        <s v="SPACIO VALLADOLID, S.A."/>
        <s v="ACTIU BERBEGAL Y FORMAS S.A."/>
        <s v="BARCIMASTER, S.L."/>
        <s v="JOSE MANUEL CIMAS  ORDUÑA"/>
        <s v="DANIEL CEJUDO FERNANDEZ"/>
        <s v="MARIA ESTHER PEREZ  ARRIBAS"/>
        <s v="PILAR BORREGO MALMIERCA"/>
        <s v="TANIA DOMINGUEZ MAESTRO"/>
        <s v="GESTION Y ESTUDIOS AMBIENTALES, S. COOP."/>
        <s v="GILSON INTERNACIONAL BV SUCURSAL EN ESPAÑA"/>
        <s v="ACOVALL ACOMETIDAS Y SANEAMIENTOS DE VALLADOLID S.L."/>
        <s v="ALJOBAR S.L."/>
        <s v="ALEJANDRO  GARCIA  SANTANA"/>
        <s v="ALTIA CONSULTORES, S.A."/>
        <s v="ANTALIS IBERIA"/>
        <s v="AUDIOVISUAL ESPAÑOLA 2.000, S.A."/>
        <s v="ALFREDO JASO VILLA"/>
        <s v="AVILA ASISTENCIA S.L."/>
        <s v="ÁVORIS RETAIL DIVISION, S.L."/>
        <s v="BEATRICE FULCONIS MAROTO"/>
        <s v="BECEDAS EQUIPAMENTOS INTEGRALES, S.L."/>
        <s v="BENADOOR, S.L."/>
        <s v="BICICLETAS CARRIL BICI 2012, SOCIEDAD LIMITADA"/>
        <s v="BJS AUTOMATISMOS,S.L."/>
        <s v="CABORNERO BUS,S.L."/>
        <s v="CALEFACCION AUTOMATICA S.L."/>
        <s v="ASOC CULTURAL LA FLOR DE ROMERO"/>
        <s v="CARGRAF  ARTES GRAFICAS, S.L."/>
        <s v="CASTELLANA DE TELECOMUNICACIONES, S.L."/>
        <s v="CASTILLA-LEON INTERNATIONAL MOVERS, SL"/>
        <s v="CATENDA  AS"/>
        <s v="COLEGIO NACIONAL SECRETARIOS, INTERVENTORES Y TESOREROS ADMON. LOCAL"/>
        <s v="COM-PACTO SOLUCIONES Y PROYECTOS, S.L."/>
        <s v="CONTENEDORES LA FLECHA, S.L"/>
        <s v="CYDIMA, S.L."/>
        <s v="DAVID MARTINEZ ZAPATERO"/>
        <s v="DEANTE CERRAJERIA, S.L."/>
        <s v="DISTRIBUCION DE PAPEL CASTILLA Y LEON, S.A."/>
        <s v="GLAXOSMITHKLINE, S.A."/>
        <s v="GLOBAL PROJECTS &amp; SUPPLIES, S.L."/>
        <s v="GMM 2007 INGENIERIA Y ARQUITECTURA, S.L."/>
        <s v="GRAFICAS 81 S.L."/>
        <s v="GRAFICAS CELARAYN S.A."/>
        <s v="GRÁFICAS MALPICA, S.L."/>
        <s v="GRANDOURE,S.L."/>
        <s v="GRAÑEDA, S.A."/>
        <s v="GRUAS HOMANSER S.L."/>
        <s v="GRUPO DE TEATRO MUTIS"/>
        <s v="EDITORIAL CASTELLANA DE IMPRESIONES S.L."/>
        <s v="EL NORTE DE CASTILLA, S.A."/>
        <s v="GRUPO LIMPIATIN S.L.L."/>
        <s v="GRUPO LITERARIO TEATRO TÚ Y YO"/>
        <s v="GRUPO MANTENIMIENTO E INSTALACIONES GRUMAN, S.L."/>
        <s v="GRUPO SIFU CASTILLA Y LEON SL"/>
        <s v="GRUPO V, S.L."/>
        <s v="GRUPOGO EDICIONES, S.L."/>
        <s v="GUIL ACCESORIOS MUSICA S.L."/>
        <s v="HECTOR ANGEL PUENTE NIEBLA"/>
        <s v="HECTOR SIERRA  OCAÑA"/>
        <s v="HERA HOLDING Y HÁBITAT, ECOLOGÍA Y RESTAURACIÓN AMBIENTAL, S.L."/>
        <s v="HERMANOS SALGADO DE LA HERA CB"/>
        <s v="HIDRAULICA INDUSTRIAL S.A."/>
        <s v="HIJO DE CIRIACO SANCHEZ S.L."/>
        <s v="HISCOX SA SUCURSAL EN ESPAÑA"/>
        <s v="LEADER MEDIA,S.L."/>
        <s v="SERVICIOS DE PRENSA COMUNICAPLUS, S.A."/>
        <s v="HUELLAS VET PET, S.L."/>
        <s v="HYBRID CAR,S.A."/>
        <s v="IBEREXT, S.A."/>
        <s v="IDATEL NETWORKS, S.L."/>
        <s v="TALLERES ELECTROMECANICOS ARFER, S.L."/>
        <s v="IGLESIAS INSTALACIONES PETROLIFERAS S.A."/>
        <s v="IGNACIO BARCELÓ BLANCO-STEGER"/>
        <s v="IGNACIO GONZÁLEZ  TEJERO"/>
        <s v="IGNACIO PRADA ECHEVARRIETA"/>
        <s v="IGNACIO RODRIGUEZ, S.A."/>
        <s v="ILUSTRE COLEGIO DE ABOGADOS VALLADOLID"/>
        <s v="TRIBUNA CONTENIDOS DIGITALES, S.L."/>
        <s v="IMPERIAL DE EXPLOTACIONES HOTELERAS, S.L."/>
        <s v="IMPÚLSAME, CONSULTORÍA Y ESTRATEGIA S.L."/>
        <s v="A.C.TEATRO ARCON DE OLID"/>
        <s v="BRAVO INDIA SL"/>
        <s v="CERTIFICACIÓN Y CONFIANZA CÁMARA, S.L."/>
        <s v="CODISOIL, S.A."/>
        <s v="CRISTALERIA ZARATAN, S.L."/>
        <s v="INDRA SISTEMAS, S.A."/>
        <s v="INDUSTRIAS METALICAS VALLISOLETANAS, S.L."/>
        <s v="INGESER IBERICA 2010, S.L."/>
        <s v="INICIATIVAS-CSE S.COOP.MAD."/>
        <s v="INMEVA INFRAESTRUCTURAS, S.L."/>
        <s v="INNOVACIÓN Y SERVICIO ESI, S.L."/>
        <s v="INNOVATIVE SOLUTIONS IN CHEMISTRY, S.L."/>
        <s v="ATECH BPO SL"/>
        <s v="AGENCIA DE NOTICIAS ICAL, S.L"/>
        <s v="AGENCIA EFE, S.A"/>
        <s v="BETTINA ALEXANDRA GERTRUD GEISSELMANN"/>
        <s v="INSTALACIONES ELECTRICAS 2023 SERVILUX, S.L."/>
        <s v="UTE CONSERVACION VALLADOLID 2022"/>
        <s v="INSIGNA UNIFORMES, S.L."/>
        <s v="SAGRES S.L."/>
        <s v="ADC TIEMPO LIBRE SL"/>
        <s v="ALFONSO ARAMBURU PARDO"/>
        <s v="DAZA DISEÑO &amp; COMUNICACION, S.L."/>
        <s v="CADIELSA GRUPO, S.L.U."/>
        <s v="CAMIONES DEL PISUERGA, S.A."/>
        <s v="CASTILLA VEHICULOS INDUSTRIALES S.A."/>
        <s v="DAITONA MOTOS, S.L."/>
        <s v="EYLO MOTOR, S.L."/>
        <s v="INSTALACIONES ELECTRICAS SEOANE, SL"/>
        <s v="INTEGRAL DE AUTOMOCION 2000, S.A."/>
        <s v="ISFRAMY SECURITY SL"/>
        <s v="NEUMATICOS ESGUEVA, S.L."/>
        <s v="INVESTIGACION &amp; CONSULTING S.A."/>
        <s v="UNIPREX,S.A.U."/>
        <s v="ALTERNATIVAS ECONÓMICAS, S.C.C.L."/>
        <s v="AXEL SPRINGER ESPAÑA, S.A."/>
        <s v="ANTONIO DEL HOYO VENTURA"/>
        <s v="CARRETILLAS MAYOR, S.A."/>
        <s v="DIARIO ABC, S.L."/>
        <s v="SDAD. ESPAÑOLA CARBUROS METALICOS, S.A."/>
        <s v="SUMINISTROS TECNICOS GALICIA S.L."/>
        <s v="IDEOTUR, S.L.L."/>
        <s v="KEYCOES COMUNICACION S.L."/>
        <s v="CONSTRUCCIONES RAUL FERNANDEZ ALEGRE SL"/>
        <s v="CURENERGIA COMERCIALIZADOR DE ULTIMO RECURSO S.A.U."/>
        <s v="COMERCIAL AGRICOLA CASTELLANA,S.L"/>
        <s v="EXCLUSIVAS MAOR, S.L."/>
        <s v="TECNICA VALLISOLETANA DEL CLIMA, S.L."/>
        <s v="ALCASA SATURNO S.L."/>
        <s v="BIOTRAN GESTION DE RESIDUOS, S.L."/>
        <s v="BLAPE RENTA, S.L."/>
        <s v="PROCODIMA, S.L."/>
        <s v="IVAN PEREZ  TOMILLO"/>
        <s v="IVAN RODRIGUEZ  PALACIOS"/>
        <s v="J.M.B.ALCAÑIZ, S.L."/>
        <s v="JADE MUSICAL,S.L."/>
        <s v="JCDECAUX ESPAÑA SLU"/>
        <s v="JESUS ENRIQUE ROYUELA  CASAMAYOR"/>
        <s v="JESUS PUEBLA  SANZ"/>
        <s v="JESUS SILVERIO CAVIA CAMARERO"/>
        <s v="SERVICIO DE LIMPIEZA DOMESTICA COMODIN, S.L."/>
        <s v="TYPUS GRAFICAS Y PUBLICIDAD, S.L.U."/>
        <s v="INGENIA SOLUCIONES EN MOVILIDAD, S.L."/>
        <s v="ZARDOYA OTIS, S.A."/>
        <s v="ORONA S. COOP."/>
        <s v="SEGOPI S.L."/>
        <s v="LIMPIEZAS ELPERAL"/>
        <s v="INGENIERIA Y DESARROLLO SOSTENIBLE DEL SIGLO XXI, S.L."/>
        <s v="ALBERTO SANCHEZ  CALDERON"/>
        <s v="ARTISTAMENTE, SOCIEDAD LIMITADA"/>
        <s v="ANA BELEN DIEZ DE LA CALLE"/>
        <s v="AXIOMA ANALISIS ESTADISTICOS SL"/>
        <s v="AYUDAS TÉCNICAS A LA COOPERACIÓN, S.L."/>
        <s v="ASOC. CULTURAL MUSICAL LA TORZIDA"/>
        <s v="ASOC. CULTURAL RIBERA DEL PISUERGA"/>
        <s v="ASOCIACIÓN CULTURAL LA LUZ DE LAS DELICIAS"/>
        <s v="CERRAMIENTOS METALICOS ARTENOX SL"/>
        <s v="FUNDACION PARA EL FOMENTO DE LA INNOVACION INDUSTRIAL"/>
        <s v="JORGE FRANCISCO GOMEZ  VILLANUEVA"/>
        <s v="JOSE CARLOS CASTILLO GOMEZ"/>
        <s v="JOSE GARCIA GONZALEZ"/>
        <s v="SANCHEZ VILLARREAL S.L."/>
        <s v="JOSE RAMON FERNANDEZ  SUAREZ"/>
        <s v="ALMACEN DE RECAMBIOS PAHER, S.A."/>
        <s v="ANEK S-3, S.L."/>
        <s v="ALICIA SANZ RODRIGUEZ"/>
        <s v="BAYARD REVISTAS, S.A.U."/>
        <s v="BEATRIZ COELLO CAMPOS"/>
        <s v="JUAN GONZALEZ ROMERA"/>
        <s v="JUAN PEREZ CAPELLAN"/>
        <s v="JULIA ALTES MELGAR"/>
        <s v="KAIZEN STUDIOS S.C."/>
        <s v="DISTRIBUCIONES AMO, S.A."/>
        <s v="KOMBU DATA SERVICES S.L.U."/>
        <s v="LA CANDELA TEATRO Y COMUNIDAD"/>
        <s v="LA CLAVE SPORT, S.L."/>
        <s v="LABORATORIO DE IMPRESIÓN KIROLAB 3D, C.B."/>
        <s v="LAS CHAMANAS"/>
        <s v="LAURA  CASTRILLO  ROMÓN"/>
        <s v="LAURA LATORRE HERNANDO"/>
        <s v="LIFTISA, S.L."/>
        <s v="LINLAB SOLUCIONES DE LABORATORIO SL"/>
        <s v="LOCK SISTEMAS, S.L.L."/>
        <s v="FLUME S.L."/>
        <s v="LOCUS AVIS S.L."/>
        <s v="LUBERR,S.L"/>
        <s v="LUBRIDUERO, S.L."/>
        <s v="HERRERO Y NUÑEZ MOTOR, S.L."/>
        <s v="LUIS BLANCO  VICENTE"/>
        <s v="LUIS MIGUEL OLMEDO RODRIGUEZ"/>
        <s v="JESUS SUMINISTROS INDUSTRIALES, S.A."/>
        <s v="M.LUISA LOPEZ MUNICIO"/>
        <s v="SUMINISTROS INDUSTRIALES SYRESA, S.L."/>
        <s v="M2SENSORS, S.L."/>
        <s v="A.C. SOL Y REGGAE"/>
        <s v="ASOC. CAPO D'ASTRO"/>
        <s v="DIANA SANCHIS LOBATO"/>
        <s v="MACOGLASS, S.L."/>
        <s v="MACRODISCO TONY,S.L."/>
        <s v="MAFALDA ENTERTAINMENT, S.L."/>
        <s v="MAGALY YADRINA PAREDES ALCALÁ"/>
        <s v="MANTENIMIENTOS EURO-SARONI, S.L."/>
        <s v="MANUEL CARDEÑAS BELTRAN"/>
        <s v="MANUEL RAMOS MUÑIZ"/>
        <s v="ALVIBESA MOTOR, S.L."/>
        <s v="AUTO INYECCION VICENTE, S.A."/>
        <s v="BELLA PROPORZIONE, SL"/>
        <s v="MONCOBRA, S.A."/>
        <s v="CMD SALUD CALIDAD INTEGRAL S.L."/>
        <s v="JOSE CARLOS PUELLES DE LA CAL"/>
        <s v="LOMIMAR, S.L."/>
        <s v="LUBRICANTES LOMAR, S.L.U."/>
        <s v="MARINO DE LA FUENTE, S.A."/>
        <s v="RADIADORES PALACIOS S.A."/>
        <s v="SUMINISTROS GARCICHAO, S.L."/>
        <s v="VALLADOLID AUTOMOVIL S.A."/>
        <s v="BLAPE, S.L."/>
        <s v="BOBILLO Y ASOCIADOS ARQUITECTOS S.L."/>
        <s v="DECORACION Y PINTURAS JOSE HERRADOR S.L.U."/>
        <s v="MANUEL SANCHEZ  DEL RIO"/>
        <s v="MANUSA DOOR SYSTEMS SL U"/>
        <s v="MAPFRE ESPAÑA, COMPAÑIA DE SEGUROS Y REASEGUROS, S.A."/>
        <s v="MAPFRE VIDA S.A. DE SEGUROS Y REASEGUROS SOBRE LA VIDA HUMANA"/>
        <s v="MARCOS IGLESIAS MUÑOZ"/>
        <s v="CERAMICAS SANCHEZ, S L"/>
        <s v="MARIA BEGOÑA DIEZ  NIETO"/>
        <s v="EL EJIDILLO VIVEROS INTEGRALES S.L."/>
        <s v="MARIA CRISTINA CABRERO GARCIA"/>
        <s v="MARIA DEL MAR D.ESPINILLA GARCIA"/>
        <s v="MARIA DEL PILAR VICENTE DE FORONDA"/>
        <s v="FITOSANITARIA REGIONAL CASTELLANO-LEONESA, S.L"/>
        <s v="MARIA FELISA ALONSO ACUÑA"/>
        <s v="MARIA ISABEL SAN MIGUEL MUÑOZ"/>
        <s v="MARIA JESUS  GUTIERREZ PASTOR"/>
        <s v="MARIA JOSE ANDRES  CONDE"/>
        <s v="NUTRIPLANT Y FARMACAMP, S.L."/>
        <s v="SANE-RIEGO, S.A."/>
        <s v="MARIA JOSE LARENA  GOROSTIAGA"/>
        <s v="MARIA LUISA RODRIGUEZ  ALZOLA"/>
        <s v="MARIA PILAR  CARBAJO RODRIGUEZ"/>
        <s v="MARIA SOLEDAD CABALLERO SANCHEZ"/>
        <s v="MARIA SONIA SEVILLANO  TEJERA"/>
        <s v="ALONSO VENDING 1995, S.L."/>
        <s v="ASOC ADARTIA"/>
        <s v="ASOC. CULT. VIEJOS DESEOS"/>
        <s v="CRISTINA PEREZ TEJERA"/>
        <s v="MARÍA VANESA CALZADA RODRIGUEZ"/>
        <s v="MARTA HERRAN  MARTINEZ"/>
        <s v="MARTA MARÍA HERRARTE SANZ"/>
        <s v="MARTA VALDIVIELSO DONOSO"/>
        <s v="FARAHDIVA, S.L."/>
        <s v="MARTIN RODRIGO S.A."/>
        <s v="MATA DIGITAL, S.L."/>
        <s v="MERCK LIFE SCIENCE SLU"/>
        <s v="MIGUEL  SANABRIA MURCIEGO"/>
        <s v="MIGUEL ANGEL JURADO  NARANJO"/>
        <s v="MIL TRESCIENTOS GRAMOS, S.L."/>
        <s v="SOMHAIRLE WATSON"/>
        <s v="BALLESTAS HERNANDEZ VALLADOLID, S.L"/>
        <s v="COMERCIAL BOIZ, S.A."/>
        <s v="CAREN SAU"/>
        <s v="RADIADORES VALLADOLID, S.L."/>
        <s v="REPUESTOS SAENZ S.A."/>
        <s v="MORALES Y ABELLA, S.A."/>
        <s v="SUMINISTROS INDUSTRIALES VALLADOLID, S.L."/>
        <s v="VEHICULOS CALLEJA, S.L."/>
        <s v="VOLQUETES ESCALANTE, S.L"/>
        <s v="MOTORPRESS IBERICA, S.A. SOC.UNIPERSONAL"/>
        <s v="CASTILLA Y LEON RADIO, S.A."/>
        <s v="MOVIMIENTO CONTRA LA INTOLERANCIA"/>
        <s v="MOVIMIENTOS, OBRAS PUBLICAS, INDUSTRIALES Y SERVICIOS AGRICOLAS, S.L."/>
        <s v="MUDANZAS PMB, SL UNIPERSONAL"/>
        <s v="MULTICARTEL, C.B."/>
        <s v="MULTIPRENSA DE CASTILLA Y LEÓN, S.L."/>
        <s v="RADIO POPULAR S.A.-COPE"/>
        <s v="SOCIEDAD ESPAÑOLA DE RADIODIFUSION,S.L."/>
        <s v="WIELORYB SL"/>
        <s v="ALMACENES GONZALEZ BOMBIN, SOCIEDAD LIMITADA"/>
        <s v="AMAQ ELEVACION, S.L."/>
        <s v="BETON CATALAN, S.A."/>
        <s v="ASOCIACION CULTURAL &quot;&quot;PEONZA&quot;&quot;"/>
        <s v="MUNDO INDUSTRIA, S.L."/>
        <s v="NAMEN COLOR, S.L."/>
        <s v="NAVARRO APLIC.TERMICAS E HIDRAULICAS S.A"/>
        <s v="NEUMATICA HIDRAULICA BECO, S.A."/>
        <s v="NICOLAS LOPEZ VIVAS SL"/>
        <s v="NIETO VIAJES Y EVENTOS SL"/>
        <s v="NORMADAT, SA"/>
        <s v="NOUS LIVE SL"/>
        <s v="NURIA MARTIN  SANZ"/>
        <s v="NURIA MONTERO MARCOS"/>
        <s v="OBRAS HERGON, S.A."/>
        <s v="OCA INSPECCION CONTROL Y PREVENCION, S.A.U."/>
        <s v="OCU EDICIONES, S.A."/>
        <s v="OLMO MORALES ALBARRÁN"/>
        <s v="CENTRO ESPAÑOL DE METROLOGIA"/>
        <s v="OMEGA PERIPHERALS, S.L."/>
        <s v="OPEN ENERGY 2012 SL"/>
        <s v="EDIGRUP PRODUCCIONES TV, S.A."/>
        <s v="ORANGE ESPAGNE SA"/>
        <s v="OSCAR BARAJAS  SÁNCHEZ"/>
        <s v="OSCAR MANUEL DEL AMO  DE ANDRES"/>
        <s v="FERROINDUSTRIAS YUSTOS S.L"/>
        <s v="OSCARESCALANTE S.L.U."/>
        <s v="OXIGENO Y SOLDADURA, S.L."/>
        <s v="OXILID S.L."/>
        <s v="P.I.B. MEDIOAMBIENTAL S.L."/>
        <s v="PABLO LUIS GARCÍA ZAMORA"/>
        <s v="PABLO MANUEL SALVIEJO DELGADO"/>
        <s v="RECAMBIOS POMAUTO, S L"/>
        <s v="PENTAKILL STUDIOS S.L."/>
        <s v="PILAR SOLA  PIZARRO"/>
        <s v="PINTURAS Y SUMINISTROS PINMAHER S.L.L."/>
        <s v="PLACAS Y ROTULOS INDUSTRIALES, SOCIEDAD LIMITADA"/>
        <s v="PROTEC SOLANA,S.L."/>
        <s v="AGILENT TECHNOLOGIES SPAIN, S.L."/>
        <s v="AXATON, S.L."/>
        <s v="DIARIO DE PRENSA DIGITAL, S.L."/>
        <s v="PRODUCTOS CALTER,  S.L."/>
        <s v="DRAGER HISPANIA S.A.U."/>
        <s v="INCIPRESA, S.A."/>
        <s v="AUTOBUSES URBANOS VALLADOLID"/>
        <s v="ALLIANZ COMPANÍA DE SEGUROS Y REASEGUROS, S.A."/>
        <s v="PRODUCTOS Y EQUIPOS RESTAURACION S,L"/>
        <s v="PRODUCTOS Y MANGUERAS ESPECIALES S.A."/>
        <s v="PROIN-PINILLA S.L."/>
        <s v="PROXIMIA HAVAS, S.L."/>
        <s v="PROYECYL S.L.N.E."/>
        <s v="PUBLIGER IGLESIAS Y NAVARRO, S.L."/>
        <s v="PUERTAS SANZ MIGUEL, S.A.L."/>
        <s v="QUIMICA IINDUSTRIAL MEDITERRANEA, S.L.U"/>
        <s v="RADHANIL"/>
        <s v="RAFAEL BARRIO GONZALEZ"/>
        <s v="RAYUELA PRODUCCIONES TEATRALES, S.L."/>
        <s v="RBA REVISTAS, S.L."/>
        <s v="RECICLADOS PUCELANOS, S.L.U."/>
        <s v="ABONOS EMUPA, S.L.2020"/>
        <s v="UTE CTR VALLLADOLID"/>
        <s v="AMALIA TORRES  SALGADO"/>
        <s v="ANGÉLICA GAGO  BENITO"/>
        <s v="ASOCIACION EL CALABACIN ERRANTE COLECTIVO DE ARTE"/>
        <s v="ASOCIACION PARA ORGANIZACION DE FERIAS Y CERTAMENES DISCOGRAFIC0S"/>
        <s v="DIABLA TEATRO"/>
        <s v="MONTAJES ELECTRICOS SARMENTERO SL"/>
        <s v="CENTRO DE JARDINERIA VIVEROS GIMENO, S.L."/>
        <s v="RED PRODUCCIONES, S.L."/>
        <s v="REHABILITACION CONSTRUCCION PROMOCION NUCLEO, S.A."/>
        <s v="REMICA SA"/>
        <s v="RENTA GRUPO EDITORIAL, S.A."/>
        <s v="RENTOKIL INITIAL ESPAÑA, S.A."/>
        <s v="REUQAV INGENIEROS S.L."/>
        <s v="HIDROBOMBA, S.L."/>
        <s v="REVISTA DE DERECHO URBANISTICO"/>
        <s v="REVISTA EMPRENDEDORES S.L."/>
        <s v="RIRECALMAR, S.L."/>
        <s v="ROBERTO  GUTIERREZ  HERGUEDAS"/>
        <s v="ROIG I FILLS ASSOCIATS, SL"/>
        <s v="ROS ROCA, S.A."/>
        <s v="JESÚS GUTIÉRREZ  SIERRA"/>
        <s v="ROSA MARIA CONCA  PEREZ"/>
        <s v="ROTULOS TESEDO, SOCIEDAD LIMITADA"/>
        <s v="ROTUVALL 2009 S.L"/>
        <s v="RQR IMAGEN DE EMPRESA, S.L."/>
        <s v="AV.SISTEMAS AUDIOVISUALES, C.B."/>
        <s v="ASOC FORO FEMINISTA"/>
        <s v="ASOC.CULTURAL FORMATIVA Y DEPORTIVA TANDEM LIFE"/>
        <s v="ASOCIACION CULTURAL PINCELART.OLID"/>
        <s v="ASOCIACION DE MEXICANOS DE CASTILLA Y LEÓN"/>
        <s v="ASOCIACIÓN PUNTO FLAMENCO"/>
        <s v="AURUM REGALOS PUBLICITARIOS,S.L."/>
        <s v="CASTELLANA DE AFILADOS, SOCIEDAD LIMITADA"/>
        <s v="CHIQUIOCIO CULTURAL, S L"/>
        <s v="CONTENUR ESPAÑA, S.L."/>
        <s v="RUBEN HERRANZ  VILLACE"/>
        <s v="RUBICIN S.L."/>
        <s v="RUDELGRAF, S.L."/>
        <s v="S. COOP. ARTES ESCENICAS Y PLASTICAS DE EXTREMADURA"/>
        <s v="SAFETY METHS SEGURIDAD INDUSTRIAL S.L."/>
        <s v="SAFETY-KLEEN ESPAÑA, S.A.U."/>
        <s v="SALTA CONMIGO PRODUCCIONES SL"/>
        <s v="SANTIAGO CARRILLO GRACIA"/>
        <s v="SANTIAGO SIERRA LOPEZ"/>
        <s v="SARA BURGOS PANERO"/>
        <s v="SAUL GARCIA GONZALEZ"/>
        <s v="SCHARLAB, S.L."/>
        <s v="ACRE, S.L."/>
        <s v="ALACRAN S.L."/>
        <s v="ASOCIACIÓN BATUCCADOS"/>
        <s v="CENTRO MATERIAL SANITARIO, S.A."/>
        <s v="CONSTRUCCIONES SANCHEZ ROMERA, S.L."/>
        <s v="DAVID TORDABLE PEREZ"/>
        <s v="IMPRENTA M. SANDONIS, S.L."/>
        <s v="SECURITAS SEGURIDAD ESPAÑA S.A."/>
        <s v="SEDICAL S.A."/>
        <s v="W.R.BERKLEY EUROPE AG, SUCURSAL EN ESPAÑA"/>
        <s v="SEICER INGENIERÍA, S.L."/>
        <s v="SEMCAL, S.A."/>
        <s v="SERELEVA,S.L."/>
        <s v="SERGIO MORENO EGIDO"/>
        <s v="SERINZA SOLUTIONS S.L."/>
        <s v="SERMANINT HISPANIA, S.L. (SERVICIOS DE MNTO INTEGRAL)"/>
        <s v="RICARDO ALONSO MUÑOZ"/>
        <s v="SERVICIOS DE CONTROL E INSPECCION S.A"/>
        <s v="SERVICIOS INFORMATICOS POLIEDRO, S.L."/>
        <s v="Injeccio Amac, S.L."/>
        <s v="TALLERES F. FERNANDEZ, SOCIEDAD LIMITADA"/>
        <s v="SERVICIOS TECNICOS LIM.MIGUEL ARIAS S.L. (STLIMA)"/>
        <s v="SERVIOLID 2001, S.L."/>
        <s v="C.D. ATLETISMO CUATRO CANTONES"/>
        <s v="COLECTIVO FRESAS CON NATA, S.L."/>
        <s v="DIALOGASEX"/>
        <s v="SERVISECUR VIGILANCIA PRIVADA SL"/>
        <s v="SILPA LA FAROLA, S.L."/>
        <s v="SIMON MORETON AUDITORES SL"/>
        <s v="SINGULARGREEN, S.L."/>
        <s v="SISTEMAS DE INFORMACION INTELIGENTES PARA LA GESTION, S.L."/>
        <s v="SISTEMAS DE MANTENIMIENTO Y SEGURIDAD DE CUBIERTAS S.L."/>
        <s v="SKYNET INFORMATICA SL"/>
        <s v="SM SISTEMAS MEDIOAMBIENTALES S.L."/>
        <s v="SOCEVALL HERMANOS VALLES, S.L."/>
        <s v="SOCIEDAD MIXTA PARA PROMOCIÓN TURISMO S.L."/>
        <s v="SOLIBRI OY"/>
        <s v="ALKI-OLID S.L."/>
        <s v="ARIDOS GONZAL SL"/>
        <s v="DISAUTO S.A."/>
        <s v="SOLUCIONES EMPRESARIALES Y AUDITORIA, S.L."/>
        <s v="SOLUCIONES PGV VALLADOLID SL"/>
        <s v="SRCL CONSENUR, S.L.U."/>
        <s v="SULO IBÉRICA ,S.A."/>
        <s v="UTE ELEVADORES PARQUESOL NORTE"/>
        <s v="SUMINISTROS GRAFICOS POLGRAF, S.L."/>
        <s v="CHR EUROPA GESTION Y CONSTRUCCION, SL"/>
        <s v="AUTOS MARCOS, S.A."/>
        <s v="UTE PAREDES PEDROSA-CONTEXTOS"/>
        <s v="RECAPOL SA"/>
        <s v="INGENIERIA ROMANICA, S.L."/>
        <s v="BOLSKAN OBRA CIVIL Y FERROVIARIA, S.L.U."/>
        <s v="JOSE IGNACIO LINAZASORO RODRIGUEZ"/>
        <s v="TRES CARROCEROS, S.L."/>
        <s v="FORAMEN S,L."/>
        <s v="SUMINISTROS SEHICA, S.L."/>
        <s v="HARAL 12 SERVICIOS Y OBRAS, S.L."/>
        <s v="SYMBIOSIS STRATEGY MANAGEMENT CONSULTING S.L.L."/>
        <s v="TAIFE SLU"/>
        <s v="RAHER AUDIO VISUAL S.L."/>
        <s v="TALLERES GOCA,C.B."/>
        <s v="TECNICAS PARA LA RESTAURACION Y CONSTRUCCIONES SA (TRYCSA)"/>
        <s v="TALLERES MALGON, S.L."/>
        <s v="TALLERES RUBIO TRUCK S.L."/>
        <s v="AITOR JIMÉNEZ BENEITEZ"/>
        <s v="ALVAREZ Y MATEO ARQUITECTOS, SL"/>
        <s v="AMILCAR CUBIERTAS Y PIZARRAS S.A."/>
        <s v="ALFONSO CORRAL  BERMEJO"/>
        <s v="ARQUITECTURA E INGENIERIA IMAE, S.L."/>
        <s v="ALVAROMAN REGALOS PUBLICITARIOS, S.L."/>
        <s v="ASOC ESTARIVEL, DESARROLLO SOCIAL Y ACTIVIDADES EDUCATIVAS"/>
        <s v="CALLE UNDERGROUND SL"/>
        <s v="DANIEL ALONSO HIDALGO"/>
        <s v="TAPICERIAS HERGUEDAS, C.B."/>
        <s v="TARGET TECNOLOGIA, S.A."/>
        <s v="TECHFRIENDLY SL"/>
        <s v="TECNICAS DE CONTROL, PREVENCION Y GESTION AMBIENTAL, S.L (GEPRECON, S.L.)"/>
        <s v="TECNICAS DEL FUEL, S.L."/>
        <s v="TECNOLOGIA INFORMATICA 2000"/>
        <s v="TEKNOKROMA ANALITICA, S.A."/>
        <s v="TELEFÓNICA MÓVILES ESPAÑA, S.A."/>
        <s v="TINLOHI, S.L."/>
        <s v="TITANIA COMPAÑIA EDITORIAL, S.L."/>
        <s v="TOPODUERO, S.L. (TOPOGRAFÍA Y DRONES)"/>
        <s v="TRADESEGUR, S.A."/>
        <s v="TRAMA COMUNICACION Y DISEÑO S.L."/>
        <s v="TRANSDIESEL, S.L."/>
        <s v="TRANSPORTES ALJAMI, S.L."/>
        <s v="TRANSPORTES Y SERVICIOS A LA CONSTRUC.SL"/>
        <s v="TRANSVAPA, S.L."/>
        <s v="TRESBOLILLO TEATRO &amp; MAPPING"/>
        <s v="TRULYESPAÑA, S.L."/>
        <s v="TÜV SÜD ATISAE, S.A.U."/>
        <s v="UNIFORMES COSTA DEL SOL SL"/>
        <s v="UNIFORMES Y VESTUARIO LABORAL, S.L."/>
        <s v="UNIVERSIDAD DE VALLADOLID"/>
        <s v="UTE CMCYL - INTERCITY"/>
        <s v="UTE SIFU BROCOLI LAVA"/>
        <s v="VALENTI SONIDO, S.L."/>
        <s v="VALLAOCIO, S.L."/>
        <s v="VALLAPAPEL, S.L."/>
        <s v="VALTECSA"/>
        <s v="VDS SUMINISTROS GRÁFICOS Y DIGITALES, S.L."/>
        <s v="VERSYS EDICIONES TECNICAS, S.L."/>
        <s v="VIAJES EL CORTE INGLES"/>
        <s v="VIBRA EJERCICIO Y SALUD S.L.U."/>
        <s v="UNICAJA BANCO S.A.U."/>
        <s v="WILLIS IBERIA CORREDURIA DE SEGUROS Y REASEGUROS, S.A."/>
        <s v="KISS PUBLICIDAD VALLADOLID 2005, SOCIEDAD LIMITADA UNIPERSONAL"/>
        <s v="LABORATORIO DE CALIDAD DE MATERIALES, S.L.L."/>
        <s v="VICENTE MUÑOZ  PASCUAL"/>
        <s v="VICTOR ANTON TOBAL"/>
        <s v="VICTOR HUGO MARTIN CABALLERO"/>
        <s v="VIDRA FOC SA"/>
        <s v="VIRGINIA RODRÍGUEZ MÁRQUEZ"/>
        <s v="VIVE DISFRUTANDO, S.L.L."/>
        <s v="VIVES Y HERRERO S.L."/>
        <s v="V-TRES APLICACIONES INDUSTRIALES S.L."/>
        <s v="PAISAJE TRANSVERSAL, SLL"/>
        <s v="TRANSPORTES OLID Y CIA, S.L."/>
        <s v="TICOMSA SISTEMAS S.L."/>
        <s v="CARLOS ARRIBAS PEREZ"/>
        <s v="COLEGIO OFICIAL VETERINARIOS VALLADOLID"/>
        <s v="WOENE STUDIO SOCIEDAD LIMITADA"/>
        <s v="WOLTERS KLUWER ESPAÑA, S.A."/>
        <s v="X-TRAÑAS PRODUCCIONES S.L."/>
        <s v="ZANHE S.L."/>
        <s v="ZEPHYR MENSAJEROS, S.L."/>
        <s v="ZINET MEDIA GLOBAL S.L."/>
        <s v="ZTRAINING INNOVACIÓN CASTILLA Y LEÓN S.L."/>
        <s v="ZUCCHETTI SOFTWARE SPAIN, S.L.U."/>
        <s v="ZURICH INSURANCE PLC SUCURSAL EN ESPAÑA"/>
        <s v="LICUAS S.A."/>
        <s v="ACTUA SERVICIOS Y MEDIO AMBIENTE, S.L."/>
        <s v="GECOCSA  GENERAL DE CONSTRUCCIONES CIVILES S.A."/>
        <s v="PEDRO JAVIER VILLAR GARRIDO"/>
        <s v="MUMECA S.A."/>
        <s v="ACLAD ATENCIÓN INTEGRAL A COLECTIVOS EN RIESGO"/>
        <s v="ACM TOOLS S.L."/>
        <s v="AGFOREST, S.L."/>
        <s v="AGUEDA SASTRE ZAMORA"/>
        <s v="AIRCO2 FINTECH SL"/>
        <s v="AKON FITNES S.L."/>
        <s v="ALFATECO MADRID SA"/>
        <s v="VIRTUAL DESK S.L."/>
        <s v="FERSITEC PROYECTOS Y TECNOLOGIAS SLL"/>
        <s v="ANGEL  URUEÑA MIGUEL"/>
        <s v="ANGEL DIEZ  RIVERA"/>
        <s v="ANIBAL GOMEZ CORTIJO"/>
        <s v="ANTONIO RODRIGUEZ ILUMINACIÓN Y SONIDO, S.L."/>
        <s v="ARCO CONTEMPORANEO &amp; ASOCIADOS S.L.L."/>
        <s v="ARROYO, S.A."/>
        <s v="ARIJA SOLUCIONES, TERRITORIO Y CULTURA, S.L."/>
        <s v="VIVEROS FUENTEAMARGA, S.L."/>
        <s v="ASOC PAJARILLOS EDUCA"/>
        <s v="ASOC. CULTURAL CINEMATOGRAFICA&quot;&quot;LA FILA&quot;&quot;"/>
        <s v="ASOCIACIÓN  AZACAN"/>
        <s v="ASOCIACIÓN ARTÍSTICA Y MUSICAL EN CLAVE DE SON"/>
        <s v="ASOCIACIÓN KIWI PARA LA PROMOCIÓN DE LA ILUSTRACIÓN Y LA EDUCACIÓN INFANTIL"/>
        <s v="ASOCIACION MUSICAL VOCES DEL PISUERGA"/>
        <s v="ASOCIACION NIÑAS MALDITAS"/>
        <s v="ARAMARK SERVICIOS DE CATERING S.L."/>
        <s v="ASPAMA CONTROL DE PLAGAS,S.L."/>
        <s v="AUDECA S.L.U."/>
        <s v="CONTRATAS Y OBRAS SAN GREGORIO, S.A."/>
        <s v="AUTOCARES INTERBUS, S.L."/>
        <s v="AUTO-PALAS VALLADOLID, S.L.L."/>
        <s v="AVANZADA 7 SL"/>
        <s v="AZHERO PROYECTOS Y DESARROLLO S.L."/>
        <s v="CGB INFORMÁTICA S.L."/>
        <s v="CIRCE PRODUCCIONES TEATRALES, S.L."/>
        <s v="BRUMA S.A."/>
        <s v="CAMARA OFICIAL DE COMERCIO, INDUSTRIA Y SERVICIOS DE VALLADOLID"/>
        <s v="CASTELAO PICTURES SL"/>
        <s v="CASUAL MAGAZINES, S.L.U."/>
        <s v="CHARCO MÚSICA S.L."/>
        <s v="CLAIRE MARTINE STEWART"/>
        <s v="COLEGIO PERITOS E INGENIEROS TÉCNICOS INDUSTRIALES DE VALLADOLID"/>
        <s v="COORDINADORA O.N.G.D. CASTILLA Y"/>
        <s v="CORPORACION DE RADIO Y TELEVISION ESPAÑOLA, S.A."/>
        <s v="PROMOCION Y GESTION EDUCATIVO SOCIAL,SL."/>
        <s v="AGENCIA PÁSATE AL IMARKETING, S.L."/>
        <s v="ANKARA CITY TRES, SL"/>
        <s v="BRICOCEX S.L."/>
        <s v="DISTRIBUCIONES PROFESIONALES PUERTO, S.L."/>
        <s v="DIUPA, S.L."/>
        <s v="DIVACEL,S.L."/>
        <s v="EDICIONES EL PAIS, S.L."/>
        <s v="EL SILO CASA DE CULTURA,S.COOP."/>
        <s v="ELECTROSON CASTILLA S.A."/>
        <s v="ELENA  MARTIN FAZ"/>
        <s v="ELIANA ENCARNACION CANO VILLARROEL"/>
        <s v="ELIAS JADRAQUE S.A."/>
        <s v="EMPRESA CABRERO, S.A."/>
        <s v="ETIQUETAS VALLADOLID S.L.L."/>
        <s v="FABRICANTES DE MENAJE S.L."/>
        <s v="FACTURA EASY, S.R.L."/>
        <s v="FEDERACIONI TAURINA DE VALLADOLID"/>
        <s v="FERNANDO JOSÉ FUENTES  SANTAMARTA"/>
        <s v="FERNANDO MARTINEZ  BERMEJO"/>
        <s v="FOIMA S.A."/>
        <s v="FONESVALL INSTALACIONES, S.L."/>
        <s v="FRANCISCO JAVIER ORTEGA FLOREZ"/>
        <s v="FUGOROBA INSTALACIONES Y SERVICIOS, S.L."/>
        <s v="FUNDACION EME"/>
        <s v="GPI  CARPAS Y SERVICIOS S.L."/>
        <s v="GRUPO AMALGAMA, S.L."/>
        <s v="CARROCERIAS Y GRUAS M. TORRE S.L."/>
        <s v="EVANGELINA MARTIN LOZANO"/>
        <s v="LIBRERIA MAXTOR, SOCIEDAD LIMITADA"/>
        <s v="CRISTAL AUTO VALLADOLID S.L."/>
        <s v="DELTACINCO LINEA VERDE S.L."/>
        <s v="GRAU MAQUINARIA I SERVEI INTEGRAL, S.A."/>
        <s v="GRUPO MECANICA DEL VUELO SISTEMAS, S.A."/>
        <s v="AJJ STORES S.A."/>
        <s v="HARDTRONIC, S.L."/>
        <s v="HEARST MAGAZINES, S.L."/>
        <s v="HOSTELERIA Y LAVANDERIA VALL, S.L.U."/>
        <s v="IBERPATENT, S.L."/>
        <s v="IBERSYS SEGURIDAD Y SALUD, S.L."/>
        <s v="I-DE REDES ELECTRICAS INTELIGENTES S.A."/>
        <s v="IDEAS INICIATIVAS DE ECONOMIA ALTERNATIVA  Y SOLIDARIA, S.C.A"/>
        <s v="INNOVACION TECNOLOGICA EN EDUCACION, S.L."/>
        <s v="INSTALACIONES ELECTRICAS OLMEDO CACERES S.L."/>
        <s v="INSTITUCION FERIAL CASTILLA-LEON"/>
        <s v="J K VENTURES SL"/>
        <s v="JESUS MIGUEL PEREZ SAN JOSE"/>
        <s v="IBERICA DE SALES S.A."/>
        <s v="EUROBOOK LIBRERIA DE IDIOMAS SL"/>
        <s v="JORGE SUAREZ  GONZALEZ"/>
        <s v="JOSÉ MIGUEL VEGAS TOMÁS"/>
        <s v="JUAN ANTONIO IGLESIAS  FIGUEROS"/>
        <s v="JUAN CARLOS GOMEZ  POLA"/>
        <s v="KALFRISA, S.A.U."/>
        <s v="LA OTRA S. COOP. DE INICIATIVA SOCIAL"/>
        <s v="LA REGIONAL VALLISOLETANA, S.AL"/>
        <s v="LIMPIEZAS ANTON, S.L."/>
        <s v="LINECAR, S.A."/>
        <s v="LUIS CARLOS GARCILLAN OTERO"/>
        <s v="MACOSARFER S.L."/>
        <s v="MANPER SUMINISTROS INDUSTRIALES, C.B."/>
        <s v="MAQUINA TEATRAL TELONCILLO, S.L."/>
        <s v="MARÍA JESÚS IZQUIERDO GARCÍA"/>
        <s v="GIL SOTO S.L."/>
        <s v="FRIGIKERN S.L."/>
        <s v="EVA MARIA ALONSO ESTEBAN"/>
        <s v="TALLERES SERCOIN, S.L."/>
        <s v="MARIA TERESA GARROTE VAZQUEZ"/>
        <s v="MARTINEZ CURIEL SL"/>
        <s v="MENOSCUARTO EDICIONES S.L."/>
        <s v="METTLER-TOLEDO, S.A.E."/>
        <s v="MIGUEL ANGEL ZAPATA ZAPATA"/>
        <s v="MOMENTUM GABINET D'ENGINYERIA SL"/>
        <s v="NAVARCADE SL"/>
        <s v="OCA-DIDO, S.L."/>
        <s v="OTARI INGENIERIA DEL AGUA S.L."/>
        <s v="PATRICIA  GARCIA  BERRUGUETE"/>
        <s v="PLUSMARKA GLOBAL, S.L.U."/>
        <s v="PRIETO MONTAJES DE CUBIERTAS S.L."/>
        <s v="PRODUCCIONES VIGO S.L."/>
        <s v="PROMETAL SECURITY SEALS SL"/>
        <s v="OFICACERES  S.L."/>
        <s v="FRANYAL, S.L."/>
        <s v="GRUAS Y TRANSPORTES EL MADRILEÑO, S.A."/>
        <s v="PROMOTORA DE EMPRESAS HOTELERAS, S.A."/>
        <s v="CYLSTAT, GESTION EMPRESARIAL ASESORAMIENTO ESTADISTICO, ECONOM. INFORMATICO, S.L."/>
        <s v="PROYCO &amp; CAWAY, SOCIEDAD LIMITADA"/>
        <s v="SARAH JANE MC LAUGHLIN"/>
        <s v="SERIGRAFIA HERNANDEZ MURCIA, S.L."/>
        <s v="SERVICIOS DE LIMPIEZA Y SERVICIOS DE ASISTENCIA, S.L.U."/>
        <s v="SLAPPY SKATESHOP, C.B."/>
        <s v="SOBRESIL, S.L."/>
        <s v="SOCIEDAD ALAVESA DE INVERSIONES S.A. (SAINSA)"/>
        <s v="CEPILLOS GUILLEM, S.L."/>
        <s v="SOLYVEN INGENIERIA, S.L."/>
        <s v="ST2 SONIDO, S.L."/>
        <s v="SUMINISTROS SUMATEM, S.L.L."/>
        <s v="SYNLAB DIAGNÓSTICOS GLOBALES, S.A."/>
        <s v="TALWAR TECHNOLOGIES, S.L.L."/>
        <s v="TAU, COOPERACION Y DESARROLLO, S.L."/>
        <s v="TEATRO DEL AZAR, S.L."/>
        <s v="TELECYL, S.A."/>
        <s v="JOYERÍA MARTÍNEZ, C.B."/>
        <s v="TONELERIA BURGOS ,S.L."/>
        <s v="TOTAL CONTROL BIONIC SL"/>
        <s v="TOTAL SAFETY CLEAN, S.L.U."/>
        <s v="TRADUCTORES E INTERPRETES EURO:TEXT, S.L."/>
        <s v="URALA SOLUTIONS, S.L."/>
        <s v="VATEC VALLADOLID ASISTENCIA TECNICA, S.L."/>
        <s v="WAGEN GROUP RETAIL ESPAÑA S.A.U."/>
        <s v="DIKINSON S.L."/>
        <s v="JOSE MANUEL  PEREZ MEDINA"/>
        <s v="LIBRERIA OLETUM, SOCIEDAD LIMITADA"/>
        <s v="LUISA DE LAS MORAS ALAMO"/>
        <s v="MARGEN LIBROS, S.L."/>
        <s v="MARIA LOBATO DE LAS MORAS"/>
        <s v="PAPELERIA SOMAR, S.L."/>
        <s v="DUERO TERCER MILENIO S.L."/>
        <s v="LA CASA POR EL TEJADO 2013"/>
        <s v="A Z INNOVACION SOCIAL S.L."/>
        <s v="SERVICIOS POLITECNICOS AEREOS,S.A. (SPASA)"/>
        <s v="PW ADVISOR &amp; CAPITAL SERVICES, S.L."/>
        <s v="J. FRANCISCO CONTRERAS  SANZ"/>
        <s v="DICAMPUS.SL."/>
        <s v="MARUQUESA CONSTRUCCIONES Y SERVICIOS,S.L"/>
        <s v="MANOVEL,S.A."/>
        <s v="SERVEIS INTEGRALS DE FINQUES URBANES S.L."/>
        <s v="HERMANOS VELAZQUEZ GOMEZ, S.L.U."/>
        <s v="CBYA AUDITORES DE CUENTAS SLP"/>
        <s v="STEPHANIE MAYBELLE LLARYORA"/>
        <s v="FICEME SL"/>
        <s v="AGRUPACION DE QUIMICOS INDUSTRIALES, S.A."/>
        <s v="MARIO DE JUAN FERNANDEZ"/>
        <s v="DESCALE S.L."/>
        <s v="ANA CARCELLER MOURAZO"/>
        <s v="HELENA CABELLO MORENO"/>
        <s v="PROTEXVALL SOCIEDAD COOPERATIVA"/>
        <s v="PEDRO JOSÉ  MANZANO ORTEGA"/>
        <s v="EXTREMO BIKE SL"/>
        <s v="CICLOS CUERVAS S.L."/>
        <s v="ENRIQUE CUESTA GOMEZ"/>
        <s v="JAHOSVA, S.L."/>
        <s v="PACAJ, S.L."/>
        <s v="JUAN REPRESA MARCOS"/>
        <s v="ALEJANDRO MARTÍN CABO"/>
        <s v="PROCOMAR VALLADOLID ACOGE PROMOC.COLECT."/>
        <s v="TETRAEDER.SOLAR GMBH"/>
        <s v="MARIA VICTORIA VARONA GARROSA"/>
        <s v="MARSDIGITAL, S.L."/>
        <s v="JAVIER SACRISTAN PEREZ"/>
        <s v="MEDINAIR SISTEMAS SL"/>
        <s v="ROTULOS SOBRADILLO S.L.L."/>
        <s v="ISAAC PRIETO  CONDE"/>
        <s v="PAULEON AUTOMOCION, S.L."/>
        <s v="NOMMON SOLUTIONS AND TECHNOLOGIES SL"/>
        <s v="ASOC CULTURAL LA COLMENA VALLADOLID"/>
        <s v="AMBULANCIAS NORTELEON S.L."/>
        <s v="AIRCOMVA, SLL"/>
        <s v="BRONCE 7 ARGALES, S.L."/>
        <s v="LA LEY ELEARNING, S.A,"/>
        <s v="RECAMBIOS RAF VALLADOLID, S.L."/>
        <s v="EVA MARIA MARTIN CANCIO"/>
        <s v="PEDRO MONJE BARROS"/>
        <s v="VACODE, S.A."/>
        <s v="PMUS CIVIL, S.L."/>
        <s v="HERNAIZ GONZALEZ DECORACION SL"/>
        <s v="RECICLADOS SOSTENIBLES, S.L."/>
        <s v="SISTEMAS Y VEHICULOS DE ALTA TECNOLOGIA, S.A."/>
        <s v="EL LEÓN DE EL ESPAÑOL PUBLICACIONES, S.A."/>
        <s v="PAPELERIA DE LA OFICINA, S.L."/>
        <s v="TALLERES Y GRUAS AVILA S.L."/>
        <s v="ANGEL JAVIER LINARES ARRANZ"/>
        <s v="WASTERENT S.L."/>
        <s v="YOLANDA DOMINGUEZ MAGDALENO"/>
        <s v="ISELMA 2003, S.L." u="1"/>
        <s v="SUMINISTROS CARTAGENA S.L." u="1"/>
        <s v="FRANCISCO J. ARROYO RODRIGUEZ" u="1"/>
        <s v="ANDRES MARTIN  REBOLLO" u="1"/>
        <s v="DANIEL CASIMIRO RODRIGUEZ RODRIGUEZ" u="1"/>
        <s v="MUSICARIUM VALLADOLID SLL" u="1"/>
        <s v="JUAN ANTONIO HUIDOBRO PIRIZ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HIJOS DEL TERCER ACORDE" u="1"/>
        <s v="JESÚS CARLOS  ARRIBAS VILLÁN" u="1"/>
        <s v="DAITONA MOTOS, SL" u="1"/>
        <s v="SUMINISTROS JAVIER, S.L." u="1"/>
        <s v="ECCOLID,S.L." u="1"/>
        <s v="LUIS MIGUEL AVILA  MARTIN" u="1"/>
        <s v="NATALIA GRANDE RUA" u="1"/>
        <s v="EUROMASTER AUTOMOCION Y SERVICIOS, S.A." u="1"/>
        <s v="ACCIONA CONSTRUCCION S.A." u="1"/>
        <s v="ANDRES  PEREZ ORTEGA" u="1"/>
        <s v="ECOOLID,S.L." u="1"/>
        <s v="SETEX APARKI, S A" u="1"/>
        <s v="ASOC. JUGADORES PATOLOGICOS REHABILITADOS DE VALLADOLID" u="1"/>
        <s v="REIRES LOZANO CONSTRUCCIONES S.L." u="1"/>
        <s v="INGENIERIA DE GESTION INDUSTRIAL, S.L." u="1"/>
        <s v="IRON MOUNTAIN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INGENIERIA Y SERVICIOS DE EFICIENCIA ENERGÉTICA S.L." u="1"/>
        <s v="MARIA ASUNCION BOAL RIAÑO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OBRAS PAVIMENTOS E INSTALACIONES INDUSTRIALES" u="1"/>
        <s v="FUNDACION ALONSO QUIJANO" u="1"/>
        <s v="ARGAVALLADOLID, S.L.L." u="1"/>
        <s v="JUAN ANDRES CATALINA MORENO" u="1"/>
        <s v="IVAN SORIA ABON" u="1"/>
        <s v="ASOCIACIÓN DE INDUSTRIALES DEL MERCADO DEL VAL" u="1"/>
        <s v="MARCO ANTONIO BLANCO LOBATO" u="1"/>
        <s v="UTE PASEO DEL CAUCE VALLADOLID" u="1"/>
        <s v="MCV,S.A" u="1"/>
        <s v="FRANCISCO MIGUEL SANZ NORIEGA" u="1"/>
        <s v="PET´S WORLD, S.L." u="1"/>
        <s v="ASOCIACION CULTURAL &quot;&quot;PIMPINEJA&quot;&quot;" u="1"/>
        <s v="MARIA CRISTINA DELGADO HERRERO" u="1"/>
        <s v="VICENTE ALVAREZ, S.L" u="1"/>
        <s v="CASTILLA COMIC, S.L." u="1"/>
        <s v="KILLGERM, S.A." u="1"/>
        <s v="CARLOS  GUTIERREZ MARTIN" u="1"/>
        <s v="CONSTRUCCIONES Y OBRAS PUBLICAS CALLE DE LOS FRANCOS, S.L.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SERVIGRAMA INDUSTRIAL PUBLICIDAD S.L." u="1"/>
        <s v="BAUTA PRODUCCIONES, S.L." u="1"/>
        <s v="TRANSFORMADOS METALICOS FACIM S.L." u="1"/>
        <s v="WINNERS CARS S.L." u="1"/>
        <s v="BORIS  APARICIO TEJIDO" u="1"/>
        <s v="PAPELERIA SAN FERNANDO SL" u="1"/>
        <s v="FREEAUTONOMOS, S. COOP." u="1"/>
        <s v="FUNDACIÓN CARTIF" u="1"/>
        <s v="CADIELSA VALLADOLID, S.L.U." u="1"/>
        <s v="ANGEL GUERRA,S.L." u="1"/>
        <s v="JAVIER  MARCHENA ORTEGA" u="1"/>
        <s v="SISTEMAS TECNICOS INTERACTIVOS S.L." u="1"/>
        <s v="GASTROSENSACIONES, SOCIEDAD LIMITADA" u="1"/>
        <s v="ALINER CONSULTORES, S.L." u="1"/>
        <s v="ASOCIACION ATHENEA TEATRO" u="1"/>
        <s v="BARATZ SERVICIOS DE TELEDOCUMENTACION, S.A." u="1"/>
        <s v="AURELIO MARTIN  ARAGUZ" u="1"/>
        <s v="ASOCIACION CULTURAL AMIGOS DEL PISUERGA" u="1"/>
        <s v="ASOCIACION CULTURAL KINUNA TEATRO Y TERAPIAS ALTERNATIVAS" u="1"/>
        <s v="JOSE DANIEL MARTINEZ RUIZ" u="1"/>
        <s v="GESTORIA SAN MIGUEL MIERES, S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ADARO TECNOLOGIA , S.A" u="1"/>
        <s v="DESGUACES Y GRUAS CANO, S.L." u="1"/>
        <s v="FIOS PRODUCTIONS 360 SLU" u="1"/>
        <s v="GRAFICAS GERMINAL SDAD. COOP. LTDA." u="1"/>
        <s v="SERVICIOS AUXILIARES DE MANTENIMIENTO Y LIMPIEZA, S.L." u="1"/>
        <s v="JOSE ISIDRO TORRES, S.L." u="1"/>
        <s v="DEL VALLE MUEBLES DE COCINA,S.L" u="1"/>
        <s v="ZANFONA PROYECTOS S.L." u="1"/>
        <s v="MARIA BEGOÑA VELASCO GARCIA" u="1"/>
        <s v="INGERNOVA SOLUCIONES DE INGENIERÍA, S.L." u="1"/>
        <s v="MARIA RAQUEL ARRANZ VELEZ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GREDOS OBRAS Y SERVICIOS, SL" u="1"/>
        <s v="CESAR LAHOZ SERRANO" u="1"/>
        <s v="ALMA GARCIA REPISO" u="1"/>
        <s v="FECARDE SLU" u="1"/>
        <s v="KARCHER, S.A." u="1"/>
        <s v="DANIEL GUTIERREZ  SANZ" u="1"/>
        <s v="AQM LABORATORIOS,S.L" u="1"/>
        <s v="ARPAPE S.L." u="1"/>
        <s v="NUEVAS VENTAJAS, S.L." u="1"/>
        <s v="CADIELSA SOLAR VALLADOLID,S.L." u="1"/>
        <s v="HOTEL FELIPE IV" u="1"/>
        <s v="CAPITAN QUIMERA S.L.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JUAN PEREZ GARCIA" u="1"/>
        <s v="FERNANDO CEBRIAN ARNANZ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PINTURAS BROCH S.L." u="1"/>
        <s v="SORIGUÉ  S.A." u="1"/>
        <s v="INSTALACION Y MANTENIMIENTO DE FRIO Y CALOR, S.L." u="1"/>
        <s v="FONTCLYMA" u="1"/>
        <s v="VECTIA INGENIERIA" u="1"/>
        <s v="JOSE MARIA ROMERO GUIJO" u="1"/>
        <s v="ROAN MONTAJES INDUSTRIALES" u="1"/>
        <s v="INGENIERÍA DE OBRAS Y SERVICIOS, S.A." u="1"/>
        <s v="DAVID GONZALEZ HOLGADO" u="1"/>
        <s v="OKODIA S.L.U.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SILICON RADIO, S.L." u="1"/>
        <s v="GENERALI  ESPAÑA, S.A. DE SEGUROS Y REASEGUROS" u="1"/>
        <s v="CHIQUIOCIO CULTURAL, S.L" u="1"/>
        <s v="INVINET SISTEMAS 2003 SL" u="1"/>
        <s v="NECROPOLIS DE VALLADOLID, S.A." u="1"/>
        <s v="ALEJANDRA SANZ FERNADEZ-SOTO" u="1"/>
        <s v="NÁUTICA CÁDIZ, S.L." u="1"/>
        <s v="JAVIER IGELMO  HEREDERO" u="1"/>
        <s v="UTE CANTERAC VALLADOLID" u="1"/>
        <s v="TRABAJOS EN HORMIGÓN CASTILLA, S.L." u="1"/>
        <s v="MEZZO-PIANO, S.L." u="1"/>
        <s v="TINTORERIA LUCIMAR, C.B." u="1"/>
        <s v="STEFANIA LILIANA CIRLAN" u="1"/>
        <s v="NUEVO DIARIO DE VALLADOLID, S.A." u="1"/>
        <s v="ARTE DIGITAL 2012 S.L.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PUERTAS FAHER S.L.L.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GALERA PUBLICIDAD, S.L.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SUMINISTROS Y TECNOLOGIA PARA EL ALUMINIO S.L." u="1"/>
        <s v="AGROSELECTA S.A." u="1"/>
        <s v="MARÍA CAROLINA MORENO GIVAJA" u="1"/>
        <s v="GRUPO PUROCLOUD, S.L." u="1"/>
        <s v="LUIS FERNANDEZ MIERES, S.L.L." u="1"/>
        <s v="TOLDOLID S.L.U.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CONTROL SEGURIDAD Y DOMOTICA, S.L." u="1"/>
        <s v="MANTENIMIENTO Y SERVICIOS ASBYM, S.L." u="1"/>
        <s v="ENRIQUETA MOREJON  JIMENEZ" u="1"/>
        <s v="PALMIRA SOLER MONTOLIO" u="1"/>
        <s v="MARGARITA SANCHEZ ROMERO" u="1"/>
        <s v="VOLVO GROUP ESPAÑA S.A." u="1"/>
        <s v="MICRONET, S.A." u="1"/>
        <s v="OPT&amp;AUDIO LUIS E HIJOS SOCIEDAD LIMITADA" u="1"/>
        <s v="EDUARDO PÉREZ MELÉNDEZ" u="1"/>
        <s v="REANTEL,S.L." u="1"/>
        <s v="I G M, INGENIERIA Y GESTION MEDIOAMBIENTAL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LATAFORMAS BER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PABLO  NUÑEZ IZARD" u="1"/>
        <s v="HERMANOS GUTIERREZ MARCOS 1988, S.L." u="1"/>
        <s v="EDICIONES DEUSTO, S.A" u="1"/>
        <s v="RECAUCHUTADOS ANTONIO NIETO, S.L.U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LEOPOLDO ADIEGO SANZ" u="1"/>
        <s v="MARCO ANTONIO BLANCO  LOBATO" u="1"/>
        <s v="ESCID S.L." u="1"/>
        <s v="INSERTA INNOVACION SOCIAL,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PLAN CONSULTING ECONOMISTAS S.L.P." u="1"/>
        <s v="TABERNA OBREGON, S L" u="1"/>
        <s v="EXFOVA-2001, S.L." u="1"/>
        <s v="ESTRELLA RESCO LOPEZ" u="1"/>
        <s v="COTOVERDE OBRAS Y SERVICIOS S.A." u="1"/>
        <s v="3OES LEADING SOFTWARE, SL.L" u="1"/>
        <s v="THINK BRANDED CONTENT, S.L." u="1"/>
        <s v="COMERCIAL RENOIL,S.A." u="1"/>
        <s v="CRUZ ROJA ESPAÑOLA" u="1"/>
        <s v="GREGORIO HERNANDEZ  MARTIN" u="1"/>
        <s v="ASOCIACION MUSICAL YAMPARAMPAN" u="1"/>
        <s v="STEMAB RESTAURACION DOCUMENTAL, S.L." u="1"/>
        <s v="BOWE SYSTEC, S.A." u="1"/>
        <s v="SUPERCALOR S.A." u="1"/>
        <s v="MERCK CHEMICALS AND LIFE SCIENCE, S.A.U." u="1"/>
        <s v="GAM NOROESTE,S.L.U." u="1"/>
        <s v="ISCAR SOFTWARE DE ARQUITECTURA, S.L." u="1"/>
        <s v="RECACOR SA" u="1"/>
        <s v="ACINSE, S.L." u="1"/>
        <s v="LUEL DIGITAL C.B." u="1"/>
        <s v="ISMAEL J. SANZ  ALMOHALLA" u="1"/>
        <s v="RACCOON PLANET ESP J" u="1"/>
        <s v="GIM GEOMATICS, S.L.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CESNA PRODUCCIONES AUDIOVISUALES S.L." u="1"/>
        <s v="JOYERÍA RELOJERÍA ZURRO" u="1"/>
        <s v="PUBLICESA XXI, S.L." u="1"/>
        <s v="CLIMATIZACION MARTIN S.L." u="1"/>
        <s v="E. DE HOSTELERÍA Y CLIMATIZACIÓN VALLADOLID, S.L." u="1"/>
        <s v="ASOC CASA DE JUVENTUD ALESTE" u="1"/>
        <s v="PLAY GENERATION, SOCIEDAD LIMITAD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MEDICOS DEL MUNDO" u="1"/>
        <s v="FRIHER, S.L. (TERCERO NUEVO)" u="1"/>
        <s v="JFP TECNIGAS S.L." u="1"/>
        <s v="COOL AND CHIC ATELIER, S.L." u="1"/>
        <s v="MARIA ROSARIO GONZALEZ MUÑOZ" u="1"/>
        <s v="FUND.TUTELAR CASTE-LEONESA PERSONAS DISCAP.INTEL.O DESARROLLO - FUTUDIS" u="1"/>
        <s v="ABC DOMABRA S.L." u="1"/>
        <s v="ANGELA ORTEGA GONZALEZ" u="1"/>
        <s v="MARÍA TERESA VICENTE, S.A." u="1"/>
        <s v="ABONOS EMUPA, S.L." u="1"/>
        <s v="FUNDACION RONDILLA" u="1"/>
        <s v="AIRE ACONDICIONADO JESUS MARTIN E HIJOS, S.L." u="1"/>
        <s v="DISTRIVET S.L." u="1"/>
        <s v="BEATRIZ MARIA QUINTANA VEGA" u="1"/>
        <s v="PILAR TRIGUEROS  MARTIN" u="1"/>
        <s v="SERVICIOS MICROINFORMATICA, S.A.  (SEMIC)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PROCUMEDIA GESTIÓN DE CONFLICTOS, S.L.P." u="1"/>
        <s v="FENIKS CLEANING &amp; SAFETY, S.L." u="1"/>
        <s v="CENTRO DE ESTUDIOS CONSTITUCIONALES" u="1"/>
        <s v="ELITE BAGS" u="1"/>
        <s v="BSJ MARKETING Y COMUNICACION S.L.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CIRCULO DE RECREO DE VALLADOLID" u="1"/>
        <s v="META 4 SPAIN, S.A.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SISTEMAS METÁLICOS Y CURVADOS, S.L." u="1"/>
        <s v="PREFABRICADOS NAVA, S.A." u="1"/>
        <s v="MARIA LOURDES GONZALEZ MORRONDO" u="1"/>
        <s v="TRABAJOS OBRA CIVIL INGENIERIA S.L.L." u="1"/>
        <s v="CLIMATIZACION ALONSO, S.L." u="1"/>
        <s v="CARPET CLEANING CENTRO ESPECIAL DE EMPLEO, SOCIEDAD LIMITADA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LCOFER LOGÍSTICA, S.L." u="1"/>
        <s v="ASOCIACION POETA BULULU" u="1"/>
        <s v="A.C. TRADIBERICA MUSICAS TRADICIONALES" u="1"/>
        <s v="LAURA ASENSIO GONZALO" u="1"/>
        <s v="CODICE CARTOGRAFIA Y DISEÑO, S.L." u="1"/>
        <s v="OBRAS TABIUR,S.L." u="1"/>
        <s v="NUEVOS CLASTOS, S.L." u="1"/>
        <s v="JUAN CARLOS JIMENO  VELASCO" u="1"/>
        <s v="ASOCIACIÓN LECTURA FÁCIL" u="1"/>
        <s v="DEIMOS SPACE S.L.U." u="1"/>
        <s v="PARGROUP VALLADOLID, S.L" u="1"/>
        <s v="OSCAR PEREZ  MEDINA" u="1"/>
        <s v="CIA. DE ASFALTOS DE MAESTU S.A.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PERFECT PROJECT, S.L." u="1"/>
        <s v="KACHE DISEÑO GRAFICO, C.B" u="1"/>
        <s v="ATHENEA MUSICAL" u="1"/>
        <s v="HERMEX IBERICA S.L." u="1"/>
        <s v="INDUSTRIAS GONZALEZ HNOS, S.A." u="1"/>
        <s v="LAS ALDABAS PREMIUM, SOCIEDAD LIMITADA" u="1"/>
        <s v="JOSÉ MARÍA CEBRIÁN RUIZ" u="1"/>
        <s v="SALMA SUMINISTROS INTEGRALES, S.L." u="1"/>
        <s v="ACLAD, ASOCIACION DE AYUDA" u="1"/>
        <s v="IÑIGO GARCIA VILLAFRANCA" u="1"/>
        <s v="UTE PARQUE JUAN DE AUSTRIA" u="1"/>
        <s v="FEDERACIÓN ANDALUCÍA ACOGE" u="1"/>
        <s v="EXCAVACIONES Y CONTRATAS VILLAMAÑAN, SL" u="1"/>
        <s v="CONSULTING DE INGENIERIA CIVIL, S.L.P." u="1"/>
        <s v="GTS ELECTRONICA, S.L." u="1"/>
        <s v="ONSAZE INFRAESTRUCTURAS, S.L." u="1"/>
        <s v="QUIMICOS LOPEZ ESCUDERO,S.L" u="1"/>
        <s v="ASOCIACION CULTURAL D'PASO DANZA" u="1"/>
        <s v="MARGARITA GARCIA ALVAREZ" u="1"/>
        <s v="MOI INTERIORISMO Y EQUIPAMIENTO S.L." u="1"/>
        <s v="FEDERACIÓN DE BALONCESTO DE CASTILLA Y LEÓN" u="1"/>
        <s v="JESUS CARLOS ARRIBAS VILLAN" u="1"/>
        <s v="PRODUCCIONES CAVE CANEN S.L.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WILLIS TOWERS WATSON AG SUSCRIPCION SL" u="1"/>
        <s v="CLECE SA-ONET IBERIA SOLUCIONES SA" u="1"/>
        <s v="EQUIPOS Y SERVICIOS OFIMATICOS DE VALLADOLID, S.L." u="1"/>
        <s v="TURBAS MUÑOZ, S.L." u="1"/>
        <s v="TEIRLOG INGENIERIA SL" u="1"/>
        <s v="LUCIA VILLAR VAQUERO" u="1"/>
        <s v="MATERIAL DE OFICINA SAN CRISTOBAL SL" u="1"/>
        <s v="GRAFICAS LAFALPOO, S.A." u="1"/>
        <s v="MIGUEL ROMO HOSTELERA S.L." u="1"/>
        <s v="EUROPEAN GREEN PROTECTION, SL" u="1"/>
        <s v="UTE VARIOS CENTROS SOCIALES VALLADOLID" u="1"/>
        <s v="OBRAS HERZACO, S.L." u="1"/>
        <s v="JESUS CABRERO  PEREZ" u="1"/>
        <s v="3MC MACROCOPY S.L." u="1"/>
        <s v="CUALTIS, S.L.U." u="1"/>
        <s v="SOLUCIONES EN PINTURA Y RESINAS,S.L." u="1"/>
        <s v="RECAUCHUTADOS CASTILLA, S.A." u="1"/>
        <s v="MANUEL MONTERO GIL" u="1"/>
        <s v="FRANCISCO JAVIER PEREZ RODRIGUEZ" u="1"/>
        <s v="DIVISA INFORMATICA Y TELECOMUNICACIONES, S.A.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LABORES DE REPARACION Y REFORMA-7 S.L." u="1"/>
        <s v="GUERRO PAPELERIAS, S.L." u="1"/>
        <s v="JESÚS RODRÍGUEZ  SÁNCHEZ" u="1"/>
        <s v="OKARINO TRAPISONDA TEATRO TITERES, S.L." u="1"/>
        <s v="VIVESAN RESIDENCIAL PROMOCIONES S.L." u="1"/>
        <s v="Asociacion Musical Cucu Band" u="1"/>
        <s v="RDNEST, S.L" u="1"/>
        <s v="ACLAD ASOC DE AYUDA AL DROGODEPENDIENTE" u="1"/>
        <s v="DISCOUNT INFORMATICO S.L." u="1"/>
        <s v="BODYTONE INTERNATIONAL SPORT, S.L." u="1"/>
        <s v="TECNOLOGIA PLEXUS S.L" u="1"/>
        <s v="ITURRI S.A." u="1"/>
        <s v="FUNDACION RED INCOLA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JELENA DRAGAS" u="1"/>
        <s v="BAU INFLATABLES, S.L." u="1"/>
        <s v="OPQ SYSTEMS MAQUINARIA GRAFICA, S.L." u="1"/>
        <s v="CANON ESPAÑA S.A" u="1"/>
        <s v="MERCEDES PEREDA  RUIZ" u="1"/>
        <s v="CRIST-MAR DECORACION, S.L." u="1"/>
        <s v="MRBYTE TECH SOLUTIONS, S.L." u="1"/>
        <s v="SCIVOLO ROSSO, S.L." u="1"/>
        <s v="LA PARRILLA DE SAN LORENZO, S.A." u="1"/>
        <s v="TECNO VALLADOLID,S.L." u="1"/>
        <s v="HIJOS DE AMBROSIO PELAZ, S.A." u="1"/>
        <s v="IGNACIO GARCIA SEVILLANO" u="1"/>
        <s v="SANDRA YOLIMA GAMBOA HURTADO" u="1"/>
        <s v="TATARANA, S.L.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MARTA RUIZ DE VIÑASPRE RIPA" u="1"/>
        <s v="TALLERES ASISTENCIA MECÁNICA BARCELONA, S.L." u="1"/>
        <s v="MULTIPARK ESPECTACULOS, SOCIEDAD LIMITADA" u="1"/>
        <s v="MIGUEL ANGEL DEL POZO CACERES" u="1"/>
        <s v="JUEGOS KOMPAN, S.A." u="1"/>
        <s v="ASOCIACIÓN PARA EL PROGRESO DE LA DIRECCIÓN" u="1"/>
        <s v="CARTONLIFE SL" u="1"/>
        <s v="INDALO MILENIUM, S.L." u="1"/>
        <s v="GRAÑEDA S.A." u="1"/>
        <s v="DANIEL PRIETO REDONDO" u="1"/>
        <s v="ARTE &amp; MEMORIA, S.L." u="1"/>
        <s v="SUSTEC OUTSOURCING, S.L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INDUSMEC ORTIZ, S.L." u="1"/>
        <s v="AM47 OFICINA DE PROYECTOS  S.L." u="1"/>
        <s v="ASOCIACION DEPORTIVA LA VICTORIA CLUB DE FUTBOL" u="1"/>
        <s v="RED ARQUITECTURA E INTERIORISMO S.L." u="1"/>
        <s v="JOSE JAVIER VAZQUEZ  MINGUELA" u="1"/>
        <s v="MARMOLERA VALLISOLETANA, S.A." u="1"/>
        <s v="RECTIFICADOS CARRION, S.A." u="1"/>
        <s v="PLATAFORMA COMERCIAL DE RETAIL S.A.U." u="1"/>
        <s v="JOSE ANTONIO RODRIGUEZ SASTRE" u="1"/>
        <s v="EUROPEAN GREEN PROTECTION, S.L." u="1"/>
        <s v="IBERDROLA DISTRIBUCION ELECTRICA S.A.U." u="1"/>
        <s v="COMPAS MEDITERRANEO, S.L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CIBERGRAF, S.L." u="1"/>
        <s v="CUMULUS CITY, S.L." u="1"/>
        <s v="ROSENBAUER ESPAÑOLA, S.A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EDITORIAL FUNDAMENTOS" u="1"/>
        <s v="COMERCIAL CUATRO, S.L." u="1"/>
        <s v="MUNDANAL RUIDO TEATRO A.C." u="1"/>
        <s v="A.T. MEDTRA, S.L." u="1"/>
        <s v="MARIA OLIVA CACHAFEIRO  BERNAL" u="1"/>
        <s v="DIARIO AS, S.L." u="1"/>
        <s v="ROCIO DEL PILAR GALVEZ BARACALDO" u="1"/>
        <s v="FRAILE TELECOMUNICACIONES, S.L." u="1"/>
        <s v="ARKIPOLIS ARQUITECTURA Y URBANISMO, S.L.P." u="1"/>
        <s v="NORSOL ELÉCTRICA,S.L." u="1"/>
        <s v="FUTURO OPTIMISTA, S.L." u="1"/>
        <s v="GERONTOLOGIA Y AYUDAS TECNICAS S.L." u="1"/>
        <s v="INFO TECHNOLOGY SUPPLY LIMITED" u="1"/>
        <s v="SIRKUM INGENIEROS SL" u="1"/>
        <s v="ISABEL REVILLA  RODRIGUEZ" u="1"/>
        <s v="CERAMICAS SANCHEZ S.L." u="1"/>
        <s v="FRANCISCO JOSÉ VALLÉS MORATINOS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JAVIER CACHO GOMEZ" u="1"/>
        <s v="ILIONE, S.L." u="1"/>
        <s v="JOSE ANDRES ADAN ALEGRE" u="1"/>
        <s v="FORUM SPORT, S.A." u="1"/>
        <s v="ALPEX DIGITAL, S.L." u="1"/>
        <s v="JULIO GARCIA  FALAGAN" u="1"/>
        <s v="ESFERA OCHO PRODUCCIONES SL" u="1"/>
        <s v="SASEGUR, S.L." u="1"/>
        <s v="BEGOÑA TRILLO  MANZANO" u="1"/>
        <s v="METAFORA DE COMUNICACION SLL" u="1"/>
        <s v="IBECON 2003, S.L." u="1"/>
        <s v="LONGEMADERA, S.L." u="1"/>
        <s v="DIARIO CINCO DIAS SA" u="1"/>
        <s v="CLINIMARK, S.L.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HOTELERA ZENTRAL PARQUE, S.L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PIQL IBERIA" u="1"/>
        <s v="KISS PUBLICIDAD VALLADOLID 2005, S.L.U." u="1"/>
        <s v="HILARIO PRADOS VALLES" u="1"/>
        <s v="NATALIA DIEZ WIRTON" u="1"/>
        <s v="FUNDACION INTERMON OXFAM" u="1"/>
        <s v="A&amp;M ARTES GRÁFICAS S.L." u="1"/>
        <s v="AUTOREPARACIONES REYES Y DELGADO, S.L." u="1"/>
        <s v="FORMACAL, S.L." u="1"/>
        <s v="CONSUELO MARTÍN ESTEBAN" u="1"/>
        <s v="DISTRIASVY SOCIEDAD LIMITADA" u="1"/>
        <s v="AGRUPACIÓN VALLISOLETANA DE COMERCIO" u="1"/>
        <s v="AXA SEGUROS GENERALES, S.A. DE SEGUROS Y REASEGUROS" u="1"/>
        <s v="ASOCIACIÓN CULTURAL UNIÓN DE ARTISTAS" u="1"/>
        <s v="MARIA CRISTINA GOMEZ  GONZALO" u="1"/>
        <s v="RECEPCION Y CONTROL, S.A.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IMPRESOS ANGELMA S.A.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DITELVA VALLADOLID, S.L." u="1"/>
        <s v="EDUARDO LAMARCA PINTO" u="1"/>
        <s v="ÁLVARO TERRERO MOLINA" u="1"/>
        <s v="LIBRERIA OLETVM" u="1"/>
        <s v="AC CAMERFIRMA,S.A" u="1"/>
        <s v="NEXT MOTORBIKE, SL" u="1"/>
        <s v="JUAN ANTONIO MARIGIL MORENO" u="1"/>
        <s v="MOVICODERS, S.L." u="1"/>
        <s v="TECSIDEL, S,A" u="1"/>
        <s v="TRAZADOS VIALES, S.L." u="1"/>
        <s v="FUNDACION OBRA SOCIAL DE CASTILLA Y LEON (FUNDOS)" u="1"/>
        <s v="JOSE ALBERTO SANZ LOPEZ" u="1"/>
        <s v="LAURA GARCIA SERRANO" u="1"/>
        <s v="DUCO PROMOCION EMPRESARIAL,S.L." u="1"/>
        <s v="APLICACIONES Y PROYECTOS TIC, S.L." u="1"/>
        <s v="CARLOS HERRERO PEREZ" u="1"/>
        <s v="GRUPO SCORPIO, S.L." u="1"/>
        <s v="PEDRO DEL BOSQUE  ABRIL" u="1"/>
        <s v="OFI-SUTEMAN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VIAJES HALCON, S.A.U." u="1"/>
        <s v="ESERGUI DISTESER, S.L." u="1"/>
        <s v="CRONORENT, S.L." u="1"/>
        <s v="GONZÁLEZ HIGUERA E HIJOS, S.L." u="1"/>
        <s v="SEMIC S.A." u="1"/>
        <s v="EUROFINS MEGALAB SA" u="1"/>
        <s v="ASOCIACIÓN LATROVADORA" u="1"/>
        <s v="JAVIER NAVARRO  ORDOÑEZ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U.T.E. VODAFONE-ONO-AYUNTAMIENTO DE VALLADOLID" u="1"/>
        <s v="HORMIGONES ZARZUELA, S.L." u="1"/>
        <s v="AVIVA OBRAS INTEGRALES S.L." u="1"/>
        <s v="ASOCIACION PARA LA DEFENSA DEL PATRIMONIO INDUSTRIAL TICCIH - ESPAÑA" u="1"/>
        <s v="CUBIERTAS Y MONTAJES P. FERRERAS, SL" u="1"/>
        <s v="INGEOLID PROYECTOS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ENTIDAD NACIONAL DE ACREDITACION" u="1"/>
        <s v="REPARACIONES TÉCNICAS DE CONTENEDORES, S.L." u="1"/>
        <s v="DISPAL ASTUR SA (SOCIEDAD UNIPERSONAL)" u="1"/>
        <s v="JOSMAR SUMINISTROS, S.L." u="1"/>
        <s v="ASOCIACIÓN LUCIÉRNAGAS TEATRO" u="1"/>
        <s v="PARAMOTIONS FILMS, SRL" u="1"/>
        <s v="HISPAMAST, S.L." u="1"/>
        <s v="LUIS GONZALO SANCHEZ ROBLEDO" u="1"/>
        <s v="ANA BELEN PEREZ  SANZ" u="1"/>
        <s v="ANGEL MORETON S.L.U." u="1"/>
        <s v="INSTITUTO CONSTRUCCION DE CASTILLA-LEON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REPSOL BUTANO, S.A." u="1"/>
        <s v="CRISANTO VEGA  CALLEJA" u="1"/>
        <s v="PLENA INCLUSION CASTILLA Y LEON" u="1"/>
        <s v="CAROLINA NIETO RODRIGUEZ" u="1"/>
        <s v="ANGEL RODRIGUEZ  SAN JOSÉ" u="1"/>
        <s v="PRISA BRAND SOLUTIONS S.L." u="1"/>
        <s v="ENRIQUE ÁLVAREZ SÁNCHEZ" u="1"/>
        <s v="CULTURA &amp; COMUNICACION SERVICIOS ESPECIALIZADOS DE COMUNICACION, S.L." u="1"/>
        <s v="MIGUEL LOPEZ JEREZ" u="1"/>
        <s v="ADECCO FORMACION SA" u="1"/>
        <s v="TELLOCARDENALURRUCHI, ARQUITECTURA Y DISEÑO, S.L.P." u="1"/>
        <s v="LEICA GEOSYSTEMS,S.L" u="1"/>
        <s v="LAND ART STUDIO 2002, S.L." u="1"/>
        <s v="TATO IMPERMEABILIZACIONES, S.L." u="1"/>
        <s v="BABEL AG DIGITAL SLU" u="1"/>
        <s v="ZOYA BORISOVA IVOVA" u="1"/>
        <s v="IMASDEAS INNOVACION CULTURAL Y DESARROLLO TURISTICO S.L." u="1"/>
        <s v="TECNICAS REUNIDAS DE ARTES GRAFICAS S.L." u="1"/>
        <s v="OUTSIDE COMUNICACION INTEGRAL S,L" u="1"/>
        <s v="JUAN MANUEL PEREZ PEREZ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SOLUCIONES INTEGRALES VALIDAS, S.L. (SOINVA)" u="1"/>
        <s v="LUIS FERNANDO REGUERA" u="1"/>
        <s v="MAQUITER AUTOMOCION, S.L." u="1"/>
        <s v="ENGRANAJES CASTILLA S.L." u="1"/>
        <s v="NORTHMATIC INGENIERIA, S.L.U." u="1"/>
        <s v="GRUPO UNDANET S.L." u="1"/>
        <s v="FUNDACIÓN EMPRESA-UNIVERSIDAD GALLEGA (FEUGA)" u="1"/>
        <s v="CALORTER, S.L." u="1"/>
        <s v="ECOVISC PROTECCION TEXTIL SOSTENIBLE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LUIS TEÓFILO CARRERAS LOYAR" u="1"/>
        <s v="21 MERMIT, S.A." u="1"/>
        <s v="PREVENSAL INGENIEROS, S.L." u="1"/>
        <s v="MOI INTERIORISMO Y EQUIPAMIENTO SOCIEDAD LIMITADA" u="1"/>
        <s v="ESMERALDA MARUGAN GARCÍA" u="1"/>
        <s v="DELTA PRODUCCIONES S.L." u="1"/>
        <s v="HIJO DE CIRIACO SANCHEZ S.A." u="1"/>
        <s v="MARIA DEL ROSARIO JAULAR MARTÍN" u="1"/>
        <s v="JOSE MIGUEL SANCHEZ PIQUERO" u="1"/>
        <s v="PLASTIC HOME, S.L.L." u="1"/>
        <s v="MARS DIGITAL, S.L." u="1"/>
        <s v="ASOCIACION CULTURAL DANZ@BIERTA Y AMIGOS. VALLADOLID" u="1"/>
        <s v="DE DIEGO LOZANO,CB" u="1"/>
        <s v="SERESCO S.A." u="1"/>
        <s v="CVC DESINFECCION CASTILLA Y LEON, S.L" u="1"/>
        <s v="CENTRO DE FORMACIÓN RONDA DEL SUR S.L." u="1"/>
        <s v="MARÍA ROSARIO VALLEJO CRESPO" u="1"/>
        <s v="SAN CRISTOBAL ENCUADERNACIONES S.A." u="1"/>
        <s v="FAUSTINO GONZALEZ E HIJOS, S.L." u="1"/>
        <s v="FLORISTERÍA YERBA, C.B." u="1"/>
        <s v="ILUMINACIONES XIMENEZ, S.A." u="1"/>
        <s v="MEDELAND EVENTS S.L." u="1"/>
        <s v="HUNE RENTAL, S.L." u="1"/>
        <s v="TUKAN SOMOS IMPRESORES S.L.L" u="1"/>
        <s v="TEMA INGENIERIA, S.L." u="1"/>
        <s v="CONSTRUCCIÓN, ARTE Y RESTAURACIÓN GARSAN, S.L." u="1"/>
        <s v="ASOCIACION CULTURAL ARTESANO DE INSTRUMENTOS MUSICALES" u="1"/>
        <s v="RAINBOWWEAR, S.L." u="1"/>
        <s v="DAYTONA MOTOS,S.L." u="1"/>
        <s v="PAVIMENTOS TORDESILLAS, S.L." u="1"/>
        <s v="SOLAGUA S.L." u="1"/>
        <s v="ASCENSORES TRESA, S.A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SCHINDLER, S.A." u="1"/>
        <s v="BABEL AG DIGITAL S.L.U." u="1"/>
        <s v="SOFTWARE AG ESPAÑA, S.A." u="1"/>
        <s v="MAXYMAS SUMINISTROS HOSTELEROS, S.L." u="1"/>
        <s v="BEATRIZ MAJO TOME" u="1"/>
        <s v="WOENE STUDIO, S.L." u="1"/>
        <s v="LA GRANADA CULTURA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ABASTSPI S.A." u="1"/>
        <s v="CENTROLID, S.A." u="1"/>
        <s v="FRANCISCO JAVIER BARBERO IGLESIAS" u="1"/>
        <s v="PEGAMO PISUERGA, S.L." u="1"/>
        <s v="COMERCIAL DANIEL SASTRE, S.L." u="1"/>
        <s v="ROYAL CLEAN, S.L." u="1"/>
        <s v="CENTRO DE ESTUDIOS DE MATERIALES Y CONTROL DE OBRAS, S.A." u="1"/>
        <s v="ELISEO SACRISTAN NIELFA" u="1"/>
        <s v="ISABEL IMELDA GONZALEZ GUTIERREZ" u="1"/>
        <s v="FRAILE TELECOMUNICACIONES, S L." u="1"/>
        <s v="J·JIMENO, S.A." u="1"/>
        <s v="OFFICE DEPOT, S.L." u="1"/>
        <s v="MARIO CORREA PARDO" u="1"/>
        <s v="INNOCAN SISTEMAS S.L.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INTERCREATIVA COMUNICACION S.L." u="1"/>
        <s v="INGENIERIA INTEGRAL DE PROYECTOS ABCONSULTORES S.L." u="1"/>
        <s v="INDUSTRIAS TECNIPOL RENEDO,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UNDO INFORMÁTICO VALLADOLID, S.L." u="1"/>
        <s v="ADD4U SOLUCIONES PARA GESTION Y DESAROLLO SL" u="1"/>
        <s v="SERVICIOS TURISTICOS DE VALLADOLID SLU" u="1"/>
        <s v="EDUARDO DAROCA BELLO" u="1"/>
        <s v="TEODOSIO RODRIGUEZ  GONZALEZ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MONICA ALARIO GAVILÁN" u="1"/>
        <s v="CARLOS MARTIN NIETO" u="1"/>
        <s v="ARIAS GARRIDO ARQUITECTOS, S L P" u="1"/>
        <s v="EUROPAC RECICLA, S.A.U." u="1"/>
        <s v="FOMENTO DE CONSTRUCCIONES Y CONTRATAS, S.A." u="1"/>
        <s v="SERGIO NICOLAS CASTRO  MARTINEZ" u="1"/>
        <s v="SUITE 22 SL" u="1"/>
        <s v="ESGUEVA REFORMAS PINTURA Y CONSTRUCCION, S.L." u="1"/>
        <s v="CICLOS CUERVAS, C.B." u="1"/>
        <s v="ASOCIACIÓN CULTURAL GENEXT. ES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CABERO EDIFICACIONES, S.A." u="1"/>
        <s v="NAUTILUS OCEÁNICA S.L." u="1"/>
        <s v="GRUPO SOCIO CULTURAL TEATRO LORCA" u="1"/>
        <s v="PLAY 360 EQUIPAMIENTOS URBANOS, S.L." u="1"/>
        <s v="CONSULTING CASTILLA 21, S.L." u="1"/>
        <s v="AISLAMIENTOS Y REVESTIMIENTOS ARTECOVA, S.L." u="1"/>
        <s v="SOCIEDAD GENERAL DE AUTORES Y EDITORES" u="1"/>
        <s v="LIBNOVA, S.L." u="1"/>
        <s v="DAVID BELTRÁN PEROTE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RUBEN BORJAS ESCUDERO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CARLOS BURGOS  DIEZ" u="1"/>
        <s v="PEDRO DEL OLMO MARTIN" u="1"/>
        <s v="RICARDO FERNANDEZ  HERNANDO" u="1"/>
        <s v="ASOCIACIÓN DE PROFESIONALES DE LA DANZA, CYL" u="1"/>
        <s v="PROMOCION EDUCATIVA SDAD. COOPERATIVA" u="1"/>
        <s v="AGC AUTORENTING, S.L." u="1"/>
        <s v="INFORMATICA IMAZ &amp; MATE S.L." u="1"/>
        <s v="ANDACAR 2000, S.A." u="1"/>
        <s v="PAPELES Y PLASTICOS S.L." u="1"/>
        <s v="VICUÑA HERRAMIENTAS TECNICAS, S.L.U." u="1"/>
        <s v="MARCOS PASTOR  ALLUE" u="1"/>
        <s v="IMAGINA FUTURA ARTE VISUAL, S.L." u="1"/>
        <s v="CAMINO GOMEZ S.L." u="1"/>
        <s v="RODRIGO MACON  CHICO" u="1"/>
        <s v="LA FLECHA MOTOR, S.L." u="1"/>
        <s v="BM NEIRA AUDITORES S.L.P." u="1"/>
        <s v="FUNDACION DEMOCRACIA Y GOBIERNO LOCAL" u="1"/>
        <s v="EDICIONES DESNIVEL, S.L." u="1"/>
        <s v="CRECIMIENTO ENERGÉTICO SL" u="1"/>
        <s v="SEÑALIZACIÓN Y CONSERVACIÓN CASTILLA, S.L.U.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MAQUINAS PEREZ OTERO S.L." u="1"/>
        <s v="UTE HARAL 12 Servicios y Obras, S.L.Const.Prieto Sierra S.A." u="1"/>
        <s v="PRIA, S.A.U.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SANZ ROTULOS S.L." u="1"/>
        <s v="ASOCIACIÓN TODO CUENTA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URBAN TECHNOLOGY, S.L." u="1"/>
        <s v="REPROGRAFICAS OFTECO S.A." u="1"/>
        <s v="ASOC CULTURAL HISTORICA TORRE DEL HOMENAJE" u="1"/>
        <s v="ASOCIACION CULTURAL EXDEPA" u="1"/>
        <s v="INSTOP CATALUNYA SLU" u="1"/>
        <s v="ASAMBLEA DE COOPERACION POR LA PAZ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GOSA ELECTRICIDAD TELECOMUNICACIONES,  S.A" u="1"/>
        <s v="CARPAS ZARAGOZA S L" u="1"/>
        <s v="VICENTE QUERO  PARDO" u="1"/>
        <s v="ALTEN SOLUCIONES,PRODUCTOS,AUDITORIA E INGENIERIA S.A.U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GUILLERMO PUERTA GALVAN" u="1"/>
        <s v="UTILMAX CABELLO, S.L." u="1"/>
        <s v="SERVICIOS Y LOGISTICA DE RESCATE" u="1"/>
        <s v="INDRA SOLUCIONES TECNOLÓGICAS DE LA INFORMACIÓN S.L.U.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GESTION INTEGRAL DE PROYECTOS Y CONSTRUCCIONES DDR S.L." u="1"/>
        <s v="ROYALJUEZ S.L." u="1"/>
        <s v="FERROVIAL SERVICIOS, S.A." u="1"/>
        <s v="JUSTINO ASENJO PAREDES" u="1"/>
        <s v="APLICACIONES Y PÁGINAS WEB OCIOMERCADO, S.L." u="1"/>
        <s v="TICTAC SOLUCIONES INFORMATICAS, SL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IKEI RESEARCH &amp;CONSULTANCY, S.A." u="1"/>
        <s v="CESAR DIEZ RODRIGUEZ" u="1"/>
        <s v="MARÍA ISABEL BARRIENTOS PABLOS" u="1"/>
        <s v="ACCEM" u="1"/>
        <s v="SATARA SEGURIDAD S.L." u="1"/>
        <s v="JORDI SANCLEMENTE SANCHEZ" u="1"/>
        <s v="PROCESO DIGITAL DE AUDIO, S.L." u="1"/>
        <s v="RALI HIDRODINAMICA S.L." u="1"/>
        <s v="FELIX INGENIERÍA CULTURA, S.L." u="1"/>
        <s v="EXTEALDE DISTRIBUCIONES, S.L." u="1"/>
        <s v="S.I. PROTECNIS, S.L." u="1"/>
        <s v="FIRST STOP SOUTHWEST, S.A.U." u="1"/>
        <s v="ARCHTEAM, S.L.U." u="1"/>
        <s v="ASOCIACIÓN CULTURAL LA CORTE EN VALLADOLID" u="1"/>
        <s v="ABMA1977, S.L." u="1"/>
        <s v="HIGINIO LÓPEZ BURGUEÑO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BANDERAS PUERTA DE HIERRO" u="1"/>
        <s v="TECNICAS PANTRA, S.L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ALMACENES JAVIER, S.A." u="1"/>
        <s v="ALVAC S.A." u="1"/>
        <s v="AIG EUROPE SA SUCURSAL EN ESPAÑA" u="1"/>
        <s v="CARPET CLEANING CEE S.L." u="1"/>
        <s v="EVA GUTIERREZ GARCÍA" u="1"/>
        <s v="OKY MI CERRAJERO, S.L.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LBERTO GUERRA GOZALO" u="1"/>
        <s v="ALBERTO CORADA ALONSO" u="1"/>
        <s v="CARLOS ANDRÉS DEL RÍO  INGELMO" u="1"/>
        <s v="ERESMA AUDIOVISUALES, S.L.L." u="1"/>
        <s v="TODO DEPORTE VALLADOLID 2017, S.L.L." u="1"/>
        <s v="SEGURIDAD INDUSTRIAL, MEDIO AMBIENTE Y CALIDAD, S.L." u="1"/>
        <s v="TELEFONICA DE ESPAÑA, S.A.U." u="1"/>
        <s v="TEC CUATRO S.A." u="1"/>
        <s v="JORGE ESTEBAN, S.L." u="1"/>
        <s v="TALLERES OÑATE,S.L." u="1"/>
        <s v="TODO CATERING OLID S.L.L." u="1"/>
        <s v="LOYU 2000 SL" u="1"/>
        <s v="BEATRIZ FERNANDEZ MAGAZ" u="1"/>
        <s v="ESPECTÁCULOS MIGUEL, S.L." u="1"/>
        <s v="TELE ONDAS, S.L." u="1"/>
        <s v="JOSE LUIS DEL OLMO RESA" u="1"/>
        <s v="NICOLE NDONGALA NZOIWIDI" u="1"/>
        <s v="VIAJES DORAL, S.L." u="1"/>
        <s v="ANDOS ASESORES, S.L." u="1"/>
        <s v="ARTURO ACOSTA MARTINEZ" u="1"/>
        <s v="SOLUCIONES METALICAS  CERRINOX, S.L." u="1"/>
        <s v="ABUGEST SL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AVC DIGITAL MEDIA IBERIA, S.L.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FRIHER S.A. (TERCERO ANTIGUO)" u="1"/>
        <s v="JOSE ALBERTO BLANCO PARRA" u="1"/>
        <s v="CALCULO Y TRATAMIENTO INFORMACION CTI,SA" u="1"/>
        <s v="FIATC MUTUA SEGUROS" u="1"/>
        <s v="LACERA SERVICIOS Y MANTENIMIENTO, S.A." u="1"/>
        <s v="PATRICIA LÓPEZ VILLALÓN" u="1"/>
        <s v="ERNESTO DOMENECH  CENTELLES" u="1"/>
        <s v="PIANORENT, S.L." u="1"/>
        <s v="Prensa y Servicios de la Lengua SLU" u="1"/>
        <s v="A &amp; B LABORATORIOS DE BIOTECNOLOGÍA, S.A.U." u="1"/>
        <s v="DIEGO SANCHEZ MARISCAL RODRIGUEZ" u="1"/>
        <s v="INDUSTRIAS SALUDES, S.A." u="1"/>
        <s v="DAVID VILLEGAS RODRÍGUEZ" u="1"/>
        <s v="THYSSENKRUPP ELEVADORES, S.L.U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SOCIACION ESPAÑOLA DE AMIGOS DEL LIBRO" u="1"/>
        <s v="DAVID PARA CURIEL" u="1"/>
        <s v="ESTELA LLORENTE DEL RIO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MARIO GALLEGO DE DIOS" u="1"/>
        <s v="ASOCIACIÓN OTRO TIEMPO" u="1"/>
        <s v="OSVENTOS INNOVACION EN SERVIZOS S.L." u="1"/>
        <s v="CONSTRUCCIONES Y OBRAS LLORENTE, S.A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Publ - De gestión de servicios públicos"/>
        <s v="Servicios - De servicios"/>
        <s v="Obras - De Obras"/>
        <s v="Suministro - De suministro"/>
        <s v="Otros - Otros"/>
        <s v="Mixto - Mixto"/>
        <s v="ConcsOP - De concesion de obra publica"/>
        <s v="No contrato - No contractual" u="1"/>
        <s v="MIXto-Mixto" u="1"/>
        <s v="CarAdEsp - De caracter administrativo especial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1">
        <s v="Procedimiento abierto"/>
        <s v="Acuerdo marco"/>
        <s v="Procedimiento negociado sin publicidad"/>
        <s v="Contratación menor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Segundo"/>
        <s v="Tercero" u="1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8. Movilidad y espacio urbano"/>
        <s v="10. Servicios sociales y mediación comunitaria"/>
        <s v="06. Educación, infancia, juventud e igualdad"/>
        <s v="02. Planeamiento urbanístico y vivienda"/>
        <s v="07. Medio ambiente y desarrollo sostenible"/>
        <s v="04. Planificación y recursos"/>
        <s v="11. Salud pública y seguridad ciudadana"/>
        <s v="05. Innovación, desarrollo económico, empleo y comercio"/>
        <s v="01. Alcaldía"/>
        <s v="09. Cultura y turismo"/>
        <s v="03. Participación ciudadana y deportes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41" maxValue="9332"/>
    </cacheField>
    <cacheField name="PROGRAMA EN TEXTO" numFmtId="0">
      <sharedItems containsMixedTypes="1" containsNumber="1" containsInteger="1" minValue="1301" maxValue="9332"/>
    </cacheField>
    <cacheField name="ARTICULO" numFmtId="0">
      <sharedItems containsMixedTypes="1" containsNumber="1" containsInteger="1" minValue="6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5">
  <r>
    <n v="220230000012"/>
    <s v="AD"/>
    <d v="2023-01-01T00:00:00"/>
    <n v="22023000487"/>
    <s v="2023 08 1341 22799"/>
    <n v="3087691.92"/>
    <x v="0"/>
    <s v="AJUSTE ANUALIDADES CONTRATO GESTIÓN SERVICIO PÚBLICO REGULACIÓN ESTACIONAMIENTO VEHÍCULOS VÍA PÚBLICA EN VALLADOLID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09000369"/>
    <s v="AD"/>
    <d v="2023-01-01T00:00:00"/>
    <n v="22023003354"/>
    <s v="2023 10 2311 22799"/>
    <n v="2360255.54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714"/>
    <s v="AD"/>
    <d v="2023-01-01T00:00:00"/>
    <n v="22023001928"/>
    <s v="2023 06 3232 22700"/>
    <n v="1829885.98"/>
    <x v="2"/>
    <s v="PR-SE 43/2022 (PR-SE31/2020PS5) 1ª PRORROGA CTO LIMPIEZA EDIFICIOS MUNICIPALES. AREA 06. COLEGIOS PUBLICOS. LOTE 6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09000370"/>
    <s v="AD"/>
    <d v="2023-01-01T00:00:00"/>
    <n v="22023000504"/>
    <s v="2023 10 2311 22799"/>
    <n v="1810467"/>
    <x v="1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347"/>
    <s v="AD"/>
    <d v="2023-01-01T00:00:00"/>
    <n v="22023000448"/>
    <s v="2023 02 1511 619"/>
    <n v="1630314.31"/>
    <x v="3"/>
    <s v="EXPTE.6/22  ADJUDICACIÓN OBRAS FASE I REURBANIZACIÓN C. DANIEL DEL OLMO Y PRIMER TRAMO NORTE DE CASTILLA (POL. 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19000860"/>
    <s v="AD"/>
    <d v="2023-01-01T00:00:00"/>
    <n v="22023003356"/>
    <s v="2023 10 2311 22799"/>
    <n v="1482667"/>
    <x v="1"/>
    <s v="2ª AMPLIACION CONTRATO SERVICIO AYUDA A DOMICILIO-LOTE 1- MAYOR DEMANDA E INCREMENTO FINANCIACION-AÑO2022 Y ENE-AG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06"/>
    <s v="AD"/>
    <d v="2023-01-01T00:00:00"/>
    <n v="22023001177"/>
    <s v="2023 07 1711 610"/>
    <n v="1431847.4"/>
    <x v="4"/>
    <s v="2ª PRÓRROGA MANTENIMIENTO ZONAS VERDES SUR Y ESTE. EXP. V. 10-2019 P.S.3."/>
    <s v="220"/>
    <s v="ALCOBENDAS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19000880"/>
    <s v="AD"/>
    <d v="2023-01-01T00:00:00"/>
    <n v="22023002132"/>
    <s v="2023 08 1341 619"/>
    <n v="1312449.399999999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071"/>
    <s v="AD"/>
    <d v="2023-01-01T00:00:00"/>
    <n v="22023000293"/>
    <s v="2023 04 9231 22201"/>
    <n v="1050000"/>
    <x v="6"/>
    <s v="CONTRATO SERVICIOS POSTALES AYTO. VALLADOLID - AÑO 2023 -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814"/>
    <s v="AD"/>
    <d v="2023-01-01T00:00:00"/>
    <n v="22023001941"/>
    <s v="2023 10 2312 22799"/>
    <n v="956256"/>
    <x v="7"/>
    <s v="ESTANCIAS DIURNAS LOTE 1-GESTION 7 UC-EN23 A NOV25-PL: 11.384-UC IVA inc Z.SUR-H.REY-UC2 RON-D-ARCA-Z.ES-2 UCS PARQUESOL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36"/>
    <s v="AD"/>
    <d v="2023-01-01T00:00:00"/>
    <n v="22023001945"/>
    <s v="2023 11 1321 22701"/>
    <n v="900000"/>
    <x v="8"/>
    <s v="CONTRATO SERVICIO DE VIGILANCIA, CONTROL Y PROTECCIÓN DIVERSAS DEPENDENCIAS DEL  AYTO. DE VALLADOLID  2023 Y 2024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29000556"/>
    <s v="AD"/>
    <d v="2023-01-01T00:00:00"/>
    <n v="22023000462"/>
    <s v="2023 08 1532 619"/>
    <n v="877813.79"/>
    <x v="9"/>
    <s v="Contrato de obras de remodelación de la avenida Reyes Católicos en Valladolid (expediente 1/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252"/>
    <s v="AD"/>
    <d v="2023-01-01T00:00:00"/>
    <n v="22023000687"/>
    <s v="2023 11 1621 634"/>
    <n v="840421.23"/>
    <x v="10"/>
    <s v="ADQUISICIÓN TRES CAMIONES RECOLECTORES CARGA LATERAL IVECO MOD. AD260S34Y/PS ALLISON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831"/>
    <s v="AD"/>
    <d v="2023-01-01T00:00:00"/>
    <n v="22023001943"/>
    <s v="2023 11 1361 624"/>
    <n v="838196.04"/>
    <x v="11"/>
    <s v="Expte.: SPSC_SE 10_2022; Suministro de dos vehículos autobombas pesada BUP_3 y BUP_17; SEISYPC"/>
    <s v="220"/>
    <s v="SAN FERNANDO DE HENARES"/>
    <s v="MADRID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4"/>
  </r>
  <r>
    <n v="220229000368"/>
    <s v="AD"/>
    <d v="2023-01-01T00:00:00"/>
    <n v="22023001162"/>
    <s v="2023 11 1621 22103"/>
    <n v="800000"/>
    <x v="12"/>
    <s v="PRORROGA SUMINISTRO GASÓLEO PARA VEHÍCULOS DEL SERVICIO DE LIMPIEZ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3"/>
  </r>
  <r>
    <n v="220219000595"/>
    <s v="AD"/>
    <d v="2023-01-01T00:00:00"/>
    <n v="22023003340"/>
    <s v="2023 08 1651 619"/>
    <n v="713580.67"/>
    <x v="13"/>
    <s v="LOTE 1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19001261"/>
    <s v="AD"/>
    <d v="2023-01-01T00:00:00"/>
    <n v="22023003347"/>
    <s v="2023 0850 1341 609"/>
    <n v="698165.22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9000854"/>
    <s v="AD"/>
    <d v="2023-01-01T00:00:00"/>
    <n v="22023001950"/>
    <s v="2023 04 9204 216"/>
    <n v="681353.87"/>
    <x v="15"/>
    <s v="ASISTENCIA TÉCNICA, OPERACIÓN Y MTO. DEL SOFTWARE DE BASE (54/2022) LOTE 2 , LÍNEA BASE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00030"/>
    <s v="AD"/>
    <d v="2023-01-01T00:00:00"/>
    <n v="22023000517"/>
    <s v="2023 10 2311 22799"/>
    <n v="655780.19999999995"/>
    <x v="16"/>
    <s v="CONTRATO SERV. GESTION ALBERGUE MUNICIPAL  PARA ATENCIÓN A PERSONAS SIN HOGAR DE 1 ENERO 2022 A 31 MARZO 2024. COVID-19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367"/>
    <s v="AD"/>
    <d v="2023-01-01T00:00:00"/>
    <n v="22023003353"/>
    <s v="2023 10 2311 22799"/>
    <n v="629200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98"/>
    <s v="AD"/>
    <d v="2023-01-01T00:00:00"/>
    <n v="22023000466"/>
    <s v="2023 11 1621 22700"/>
    <n v="621438.75"/>
    <x v="18"/>
    <s v="CONTRATO SERVICIO DE LAVADO E HIGIENIZCAIÓN CONTENEDORES DEL Sº LIMPIEZA Y CONTROL EXTERNO CALIDAD, AÑOS 2023 Y 2024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265"/>
    <s v="AD"/>
    <d v="2023-01-01T00:00:00"/>
    <n v="22023001916"/>
    <s v="2023 10 2311 22799"/>
    <n v="551345"/>
    <x v="19"/>
    <s v="PRORROGA Y AMPLIACION CONTRATO DE PROYECTOS SOCIOEDUCATIVOS Y DESARROLLO COMUNITARIO EN CEAS- DE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167"/>
    <s v="AD"/>
    <d v="2023-01-01T00:00:00"/>
    <n v="22023000912"/>
    <s v="2023 06 3231 22799"/>
    <n v="538340"/>
    <x v="20"/>
    <s v="EXPTE SE-EIJI 10/2022 PS 11. PRORROGA CONTRATO GESTION EIM EL PRINCIPITO. LOTE 3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71"/>
    <s v="AD"/>
    <d v="2023-01-01T00:00:00"/>
    <n v="22023000915"/>
    <s v="2023 06 3231 22799"/>
    <n v="524840"/>
    <x v="21"/>
    <s v="EXPTE SE-EIJI 10/2022 PS 11. PRORROGA CONTRATO GESTION EIM MAFALDA Y GUILLE. LOTE 7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11"/>
    <s v="AD"/>
    <d v="2023-01-01T00:00:00"/>
    <n v="22023001142"/>
    <s v="2023 02 1511 609"/>
    <n v="423435.78"/>
    <x v="22"/>
    <s v="ADJ.EXPT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0934"/>
    <s v="AD"/>
    <d v="2023-01-01T00:00:00"/>
    <n v="22023003306"/>
    <s v="2023 05 4314 22100"/>
    <n v="11000"/>
    <x v="23"/>
    <s v="NUEVO CONTRATO DE SUMINISTRO ENERGIA ELECTRICA PARA LAS DEPENDENCIAS DEL EXCMO. AYUNTAMIENTO DE 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100"/>
  </r>
  <r>
    <n v="220219000990"/>
    <s v="AD"/>
    <d v="2023-01-01T00:00:00"/>
    <n v="22023003292"/>
    <s v="2023 04 9204 213"/>
    <n v="711.48"/>
    <x v="24"/>
    <s v="SUMINISTRO DE LA IMPRESIÓN CORPORATIVA, CDIT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19000991"/>
    <s v="AD"/>
    <d v="2023-01-01T00:00:00"/>
    <n v="22023003273"/>
    <s v="2023 02 1501 203"/>
    <n v="9521.5"/>
    <x v="24"/>
    <s v="ADJUDICAR CONTRATO SUMINISTRO DE IMPRESIÓN CORPORATIVA DEL 8.02 A 31.12.22; 1.01.A 31.12.23; 1.01 A 7.02.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1501"/>
    <s v="1501. Dirección del área de urbanismo"/>
    <s v="20"/>
    <s v="203"/>
  </r>
  <r>
    <n v="220219000993"/>
    <s v="AD"/>
    <d v="2023-01-01T00:00:00"/>
    <n v="22023003260"/>
    <s v="2023 01 9205 203"/>
    <n v="133.1"/>
    <x v="24"/>
    <s v="ADJUDICA --&gt; EXPED PR-SE-40/2021 CONTRATO IMPRESIÓN CORPORATIVA 01/01/2023 a 31/12/2023 IMPRENTA: alquiler máquina IN4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0"/>
    <s v="203"/>
  </r>
  <r>
    <n v="220219000996"/>
    <s v="AD"/>
    <d v="2023-01-01T00:00:00"/>
    <n v="22023003261"/>
    <s v="2023 01 9205 213"/>
    <n v="16.34"/>
    <x v="24"/>
    <s v="ADJUDICA  EXPED PR-SE-40/2021 COPIAS NUEVO CONTRATO IMPRESIÓN CORPORATIVA 01/01/2023 a 31/12/2023 ---&gt; IMPRENTA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19000999"/>
    <s v="AD"/>
    <d v="2023-01-01T00:00:00"/>
    <n v="22023003265"/>
    <s v="2023 01 9207 213"/>
    <n v="1269"/>
    <x v="24"/>
    <s v="ADJUDICA--&gt;  EXPED PR-SE-10/2021 / COPIAS IMPRESIÓN CORPORATIVA 01/01/2023 a 31/12/2023 GOBIERNO Y RELACIONES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19001002"/>
    <s v="AD"/>
    <d v="2023-01-01T00:00:00"/>
    <n v="22023003374"/>
    <s v="2023 11 3111 203"/>
    <n v="6000"/>
    <x v="24"/>
    <s v="ALQUILER/COPIAS IMPRESION Sº SALUD Y Dº Aª SALUD P. SEGURIDAD C./8 FB A 31 DC. 2022/1 EN A 31 DC.2023/1 EN A 7 FB 2024"/>
    <s v="220"/>
    <s v="VALLADOLID"/>
    <s v="VALLADOL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0"/>
    <s v="203"/>
  </r>
  <r>
    <n v="220219001003"/>
    <s v="AD"/>
    <d v="2023-01-01T00:00:00"/>
    <n v="22023003266"/>
    <s v="2023 01 9207 203"/>
    <n v="2722.5"/>
    <x v="24"/>
    <s v="ADJUDICA EXPED PR-SE 40/2021 ALQUILER  IMPRESIÓN CORPORATIVA 01/01/2023 a 31/12/2023, GOBIERNO Y RELACIONES: 5 MÁQUINAS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0"/>
    <s v="203"/>
  </r>
  <r>
    <n v="220219001005"/>
    <s v="AD"/>
    <d v="2023-01-01T00:00:00"/>
    <n v="22023003375"/>
    <s v="2023 11 1621 213"/>
    <n v="25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006"/>
    <s v="AD"/>
    <d v="2023-01-01T00:00:00"/>
    <n v="22023003350"/>
    <s v="2023 09 3301 213"/>
    <n v="2948.77"/>
    <x v="24"/>
    <s v="SUMINISTRO DE IMPRESIÓN CORPORATIVA PARA LA CONCEJALÍA DEL ÁREA DE CULTURA Y TURISMO Y  SECRETARÍA DEL ÁREA 202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1"/>
    <s v="213"/>
  </r>
  <r>
    <n v="220219001007"/>
    <s v="AD"/>
    <d v="2023-01-01T00:00:00"/>
    <n v="22023003299"/>
    <s v="2023 04 9209 203"/>
    <n v="3956.7"/>
    <x v="24"/>
    <s v="CONTRATO SUMINISTRO IMPRESIÓN CORPORATIVA (EQUIPOS MULTIFUNCIÓN CONCEJALÍA/DIRECCIÓN Y SECR. EJECUTIVA PLANIF. Y REC.).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209"/>
    <s v="9209. Dirección del area de hacienda y función pública"/>
    <s v="20"/>
    <s v="203"/>
  </r>
  <r>
    <n v="220219001008"/>
    <s v="AD"/>
    <d v="2023-01-01T00:00:00"/>
    <n v="22023003365"/>
    <s v="2023 10 2312 213"/>
    <n v="5591.93"/>
    <x v="24"/>
    <s v="SUMINISTROS DE IMPRESION DE LOS CENTROS DEPERSONAS MAYORESTRANSFERIDOS DEL 8 DE FEBRERO DE 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09"/>
    <s v="AD"/>
    <d v="2023-01-01T00:00:00"/>
    <n v="22023003366"/>
    <s v="2023 10 2312 213"/>
    <n v="9914.2199999999993"/>
    <x v="24"/>
    <s v="SUMINIS. DE IMPRESION DE LOS C.P. MAYORES NO TRANSFERIDOS Y S. CENTRALES DEL 8 DE FEBRERODE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1010"/>
    <s v="AD"/>
    <d v="2023-01-01T00:00:00"/>
    <n v="22023003369"/>
    <s v="2023 10 2412 213"/>
    <n v="3100"/>
    <x v="24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1011"/>
    <s v="AD"/>
    <d v="2023-01-01T00:00:00"/>
    <n v="22023003357"/>
    <s v="2023 10 2311 213"/>
    <n v="28451.23"/>
    <x v="24"/>
    <s v="ALQUILER Y COPIAS EQUIPOS IMPRES. SERV.CENTRALES Y CEAS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2"/>
    <s v="AD"/>
    <d v="2023-01-01T00:00:00"/>
    <n v="22023003358"/>
    <s v="2023 10 2311 213"/>
    <n v="762.3"/>
    <x v="24"/>
    <s v="ALQUILER Y COPIAS EQ.MULTIF. COMEDOR SOCIAL - DESDE 8 DE FEBRERO DE  2022, 2023, HASTA 7 DE FEBRERO DE 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19001014"/>
    <s v="AD"/>
    <d v="2023-01-01T00:00:00"/>
    <n v="22023003262"/>
    <s v="2023 01 9206 203"/>
    <n v="1485"/>
    <x v="24"/>
    <s v="ALQUILER 2 FOTOCOPIADORAS COLOR Y B/N PARA EL ARCHIVO MUNICIPAL,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0"/>
    <s v="203"/>
  </r>
  <r>
    <n v="220219001017"/>
    <s v="AD"/>
    <d v="2023-01-01T00:00:00"/>
    <n v="22023003263"/>
    <s v="2023 01 9206 213"/>
    <n v="450"/>
    <x v="24"/>
    <s v="COPIAS COLOR Y B/N 2 FOTOCOPIADORAS ARCHIVO MUNICIPAL, DEL 1 DE ENERO AL 31 DE DICIEMBRE DE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1"/>
    <s v="213"/>
  </r>
  <r>
    <n v="220219001019"/>
    <s v="AD"/>
    <d v="2023-01-01T00:00:00"/>
    <n v="22023003303"/>
    <s v="2023 04 9341 213"/>
    <n v="4800"/>
    <x v="24"/>
    <s v="PREVISIONES DE GASTO EQUIPOS DE IMPRESIÓN TESORERÍA Y RECAUDACIÓN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1"/>
    <s v="213"/>
  </r>
  <r>
    <n v="220219001020"/>
    <s v="AD"/>
    <d v="2023-01-01T00:00:00"/>
    <n v="22023003316"/>
    <s v="2023 05 4331 203"/>
    <n v="6500"/>
    <x v="24"/>
    <s v="Adjudicación. Contrato centralizado de Suministro de Impresión Corporativa (dos años)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0"/>
    <s v="203"/>
  </r>
  <r>
    <n v="220219001021"/>
    <s v="AD"/>
    <d v="2023-01-01T00:00:00"/>
    <n v="22023003331"/>
    <s v="2023 08 1341 203"/>
    <n v="820"/>
    <x v="24"/>
    <s v="ALQUILER_FOTOCOPIADORA_CENTRO DE MOVILIDAD URBANA (8 febrero a 31 diciembre/2022/2023/1 enero a 7 febrero 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2"/>
    <s v="AD"/>
    <d v="2023-01-01T00:00:00"/>
    <n v="22023003304"/>
    <s v="2023 05 4301 203"/>
    <n v="2500"/>
    <x v="24"/>
    <s v="Adjudicación Contrato Suministro Impresión Corporativa D.Á. Innovación (8/2 - 31/12/22) (1/1 - 31/12/23) (1/1 - 7/2/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5"/>
    <x v="7"/>
    <s v="4301"/>
    <s v="4301. Dirección del área de innovación"/>
    <s v="20"/>
    <s v="203"/>
  </r>
  <r>
    <n v="220219001023"/>
    <s v="AD"/>
    <d v="2023-01-01T00:00:00"/>
    <n v="22023003332"/>
    <s v="2023 08 1341 213"/>
    <n v="690"/>
    <x v="24"/>
    <s v="COPIAS_FOTOCOPIADORA_CENTRO DE MOVILIDAD URBANA (8 febrero a 31 diciembre/2022/2023/1 enero a 7 febrero 2024)ç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4"/>
    <s v="AD"/>
    <d v="2023-01-01T00:00:00"/>
    <n v="22023003333"/>
    <s v="2023 08 1341 213"/>
    <n v="280"/>
    <x v="24"/>
    <s v="COPIAS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1"/>
    <s v="213"/>
  </r>
  <r>
    <n v="220219001025"/>
    <s v="AD"/>
    <d v="2023-01-01T00:00:00"/>
    <n v="22023003334"/>
    <s v="2023 08 1341 203"/>
    <n v="820"/>
    <x v="24"/>
    <s v="ALQUILER_FOTOCOPIADORA_SERVICIO OCUPACIÓN VÍA PÚBLICA (8 febrero a 31 diciembre/2022_2023_1 enero a 7 febrero/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0"/>
    <s v="203"/>
  </r>
  <r>
    <n v="220219001026"/>
    <s v="AD"/>
    <d v="2023-01-01T00:00:00"/>
    <n v="22023003305"/>
    <s v="2023 05 4312 203"/>
    <n v="2000"/>
    <x v="24"/>
    <s v="CONTRATO DEL SUMINISTRO DE IMPRESION CORPORATIVA PARA LAS DEPENDENCIAS DEL EXCMO . AYTO.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0"/>
    <s v="203"/>
  </r>
  <r>
    <n v="220219001027"/>
    <s v="AD"/>
    <d v="2023-01-01T00:00:00"/>
    <n v="22023003329"/>
    <s v="2023 08 1301 213"/>
    <n v="10980"/>
    <x v="24"/>
    <s v="Consumos fotocopiadoras Área Mov. y Espacio Urbano (SEMEU-CONCEJ pta. 38, LIC pta.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1"/>
    <s v="213"/>
  </r>
  <r>
    <n v="220219001029"/>
    <s v="AD"/>
    <d v="2023-01-01T00:00:00"/>
    <n v="22023003330"/>
    <s v="2023 08 1301 203"/>
    <n v="7200"/>
    <x v="24"/>
    <s v="Alquiler fotocopiadoras Área Mov. y Espacio Urbano (SEMEU-CONCEJ pta. 38, LIC pta 19, SCIE pta 18 bis, INF. URB. pta 1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0"/>
    <s v="1301"/>
    <s v="1301. Dirección del área de seguridad"/>
    <s v="20"/>
    <s v="203"/>
  </r>
  <r>
    <n v="220219001030"/>
    <s v="AD"/>
    <d v="2023-01-01T00:00:00"/>
    <n v="22023003300"/>
    <s v="2023 04 9311 203"/>
    <n v="816.75"/>
    <x v="24"/>
    <s v="RC ALQUILER FOTOCOPIADORA TIPO MC3 PARA EL NUEVO CONTRATO  SUMINISTRO DE IMPRESION CORPORATIVA (8-02- 2022 A 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1"/>
    <s v="AD"/>
    <d v="2023-01-01T00:00:00"/>
    <n v="22023003301"/>
    <s v="2023 04 9311 203"/>
    <n v="686.07"/>
    <x v="24"/>
    <s v="RC COPIAS FOTOCOPIADORA MC3 NUEVO CONTRATO DE IMPRESION CORPORATIVA (08-02-2022 A 07-02-2024)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11"/>
    <s v="9311. Planificación económico financiera"/>
    <s v="20"/>
    <s v="203"/>
  </r>
  <r>
    <n v="220219001032"/>
    <s v="AD"/>
    <d v="2023-01-01T00:00:00"/>
    <n v="22023003257"/>
    <s v="2023 01 9203 203"/>
    <n v="816.75"/>
    <x v="24"/>
    <s v="CONTRATO CENTRAL.  ALQUILER MAQ. FOTOC. KYOCERA 4053, R.I.  8/2/2022-31/12/2022; 1/1/2023 -31/12/2023 ;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0"/>
    <s v="203"/>
  </r>
  <r>
    <n v="220219001033"/>
    <s v="AD"/>
    <d v="2023-01-01T00:00:00"/>
    <n v="22023003258"/>
    <s v="2023 01 9203 213"/>
    <n v="960"/>
    <x v="24"/>
    <s v="CONTRATO CENTRAL. COPIAS MAQ. FOTOC. KYOCERA 4053, R.I. 8/2/2022-31/12/2022; 1/1/2023-31/12/2023, 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1"/>
    <s v="213"/>
  </r>
  <r>
    <n v="220219001034"/>
    <s v="AD"/>
    <d v="2023-01-01T00:00:00"/>
    <n v="22023003267"/>
    <s v="2023 01 9312 203"/>
    <n v="363"/>
    <x v="24"/>
    <s v="ALQUILER FOTOCOPIADORA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5"/>
    <s v="AD"/>
    <d v="2023-01-01T00:00:00"/>
    <n v="22023003268"/>
    <s v="2023 01 9312 203"/>
    <n v="363"/>
    <x v="24"/>
    <s v="ALQUILER FOTOCOPIADORA PARA INTERVENCION GENERAL DESDE 8-2-2022 A 7-2-2024.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0"/>
    <s v="203"/>
  </r>
  <r>
    <n v="220219001036"/>
    <s v="AD"/>
    <d v="2023-01-01T00:00:00"/>
    <n v="22023003269"/>
    <s v="2023 01 9312 213"/>
    <n v="110"/>
    <x v="24"/>
    <s v="ESTIMACION COPIAS MAQUINA FOTOCOPIADORA INTERVENCION GENERAL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7"/>
    <s v="AD"/>
    <d v="2023-01-01T00:00:00"/>
    <n v="22023003270"/>
    <s v="2023 01 9312 213"/>
    <n v="247"/>
    <x v="24"/>
    <s v="ESTIMACION COPIAS BLANCO Y NEGRO Y COLOR DEPARTAMENTO DE CONTABILIDAD DESDE 8-2-2022 A 7-2-2024"/>
    <s v="220"/>
    <s v="VALLADOLID"/>
    <s v="VALLADOLID"/>
    <x v="4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1"/>
    <s v="213"/>
  </r>
  <r>
    <n v="220219001038"/>
    <s v="AD"/>
    <d v="2023-01-01T00:00:00"/>
    <n v="22023003274"/>
    <s v="2023 02 9331 203"/>
    <n v="1600"/>
    <x v="24"/>
    <s v="ALQUILER FOTOCOPIADORA DEL DPTO. PATRIMONIO.PERIODO:08-02 AL 31/12/2022 - 01/01 AL 31/12/2023 y 01/01 AL 07/02/2024.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0"/>
    <s v="203"/>
  </r>
  <r>
    <n v="220219001039"/>
    <s v="AD"/>
    <d v="2023-01-01T00:00:00"/>
    <n v="22023003376"/>
    <s v="2023 11 1321 213"/>
    <n v="19000"/>
    <x v="24"/>
    <s v="IMPORTE SUMINISTRO DE IMPRESIÓN CORPORATIVA  POLICÍA MUNICIPAL. DEL 8 DE FEBRERO DE 2022 AL 7 DE FEBRERO DE 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19001040"/>
    <s v="AD"/>
    <d v="2023-01-01T00:00:00"/>
    <n v="22023003275"/>
    <s v="2023 02 9331 213"/>
    <n v="5000"/>
    <x v="24"/>
    <s v="ESTIMACIÓN COPIAS FOTOCOPIADORA DPTO. PATRIMONIO. PERIODO: 08/02 AL 31/12/2022-01/01 AL 31/12/2023 y 01/01 AL 07/02/2024"/>
    <s v="220"/>
    <s v="VALLADOLID"/>
    <s v="VALLADOLID"/>
    <x v="3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1"/>
    <s v="213"/>
  </r>
  <r>
    <n v="220219001042"/>
    <s v="AD"/>
    <d v="2023-01-01T00:00:00"/>
    <n v="22023003338"/>
    <s v="2023 08 1532 203"/>
    <n v="3100"/>
    <x v="24"/>
    <s v="Contrato de ALQUILER DE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19001045"/>
    <s v="AD"/>
    <d v="2023-01-01T00:00:00"/>
    <n v="22023003339"/>
    <s v="2023 08 1532 213"/>
    <n v="2350"/>
    <x v="24"/>
    <s v="Contrato de COPIAS para FOTOCOPIADORAS del S.E.P.I. entre el 1 de enero y el 31 de diciembre de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19001047"/>
    <s v="AD"/>
    <d v="2023-01-01T00:00:00"/>
    <n v="22023003280"/>
    <s v="2023 03 9241 203"/>
    <n v="12000"/>
    <x v="24"/>
    <s v="CONTRATO IMPRESIÓN CORPORATIVA (DEL 8-02-2022 AL 7-02-2024)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9001048"/>
    <s v="AD"/>
    <d v="2023-01-01T00:00:00"/>
    <n v="22023003321"/>
    <s v="2023 06 3232 213"/>
    <n v="3309.35"/>
    <x v="24"/>
    <s v="CONTRATO SUMINISTRO DE IMPRESION CORPORATIVA. 08/02/2022 A 07/02/2024. EDUCACIÓN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1049"/>
    <s v="AD"/>
    <d v="2023-01-01T00:00:00"/>
    <n v="22023003323"/>
    <s v="2023 06 3321 213"/>
    <n v="3751"/>
    <x v="24"/>
    <s v="CONTRATO SUMINISTRO DE IMPRESIÓN CORPORATIVO. 08/02/2022 A 07/02/2024. BIBLIOTECAS PÚBLICAS.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19001050"/>
    <s v="AD"/>
    <d v="2023-01-01T00:00:00"/>
    <n v="22023003319"/>
    <s v="2023 06 2315 213"/>
    <n v="3121.8"/>
    <x v="24"/>
    <s v="CONTRATO SUMINISTRO DE IMPRESIÓN CORPORATIVA. 08/02/2022 A 07/02/2024. IGUALDAD"/>
    <s v="220"/>
    <s v="VALLADOLID"/>
    <s v="VALLADOLID"/>
    <x v="3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19001052"/>
    <s v="AD"/>
    <d v="2023-01-01T00:00:00"/>
    <n v="22023003302"/>
    <s v="2023 04 9321 203"/>
    <n v="7000"/>
    <x v="24"/>
    <s v="Equipos para los Servicios de Gestión de Ingresos e Inspección Tributaria, de 1 de enero a 31 de diciembre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04"/>
    <x v="5"/>
    <s v="9321"/>
    <s v="9321. Gestión de ingresos e inspección"/>
    <s v="20"/>
    <s v="203"/>
  </r>
  <r>
    <n v="220219001054"/>
    <s v="AD"/>
    <d v="2023-01-01T00:00:00"/>
    <n v="22023003368"/>
    <s v="2023 10 2316 213"/>
    <n v="532.4"/>
    <x v="24"/>
    <s v="ALQUILER Y COPIAS DE EQUIPOS MULTIFUNCIÓN DEL CAI - AÑOS DESDE 8 DE FEBRERO DE  2022, 2023, HASTA 7 DE FEBRERO DE 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1"/>
    <s v="213"/>
  </r>
  <r>
    <n v="220219001055"/>
    <s v="AD"/>
    <d v="2023-01-01T00:00:00"/>
    <n v="22023003367"/>
    <s v="2023 10 2313 213"/>
    <n v="2897.95"/>
    <x v="24"/>
    <s v="SUM.IMPRESION DE CONCEJALIA, DIRECCION Y SECRET.EJECUTIVA .AREA SERVICIOS SOCIALES Y M.C.-DEL 8  FEB 2022 AL 7 FEB.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1"/>
    <s v="213"/>
  </r>
  <r>
    <n v="220219001056"/>
    <s v="AD"/>
    <d v="2023-01-01T00:00:00"/>
    <n v="22023003255"/>
    <s v="2023 01 9201 203"/>
    <n v="2662"/>
    <x v="24"/>
    <s v="Contrato de alquiler fotocopiadoras de Secretaría General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0"/>
    <s v="203"/>
  </r>
  <r>
    <n v="220219001057"/>
    <s v="AD"/>
    <d v="2023-01-01T00:00:00"/>
    <n v="22023003256"/>
    <s v="2023 01 9201 213"/>
    <n v="2204"/>
    <x v="24"/>
    <s v="Previsión gastos copias Secretaría General contrato de impresión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1"/>
    <s v="213"/>
  </r>
  <r>
    <n v="220219001058"/>
    <s v="AD"/>
    <d v="2023-01-01T00:00:00"/>
    <n v="22023003285"/>
    <s v="2023 04 9202 203"/>
    <n v="1700"/>
    <x v="24"/>
    <s v="CONTRATO DE ALQUILER MAQUINAS FOTOCOPIADORAS PERSONAL Y FORMACIO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0"/>
    <s v="203"/>
  </r>
  <r>
    <n v="220219001059"/>
    <s v="AD"/>
    <d v="2023-01-01T00:00:00"/>
    <n v="22023003286"/>
    <s v="2023 04 9202 213"/>
    <n v="2500"/>
    <x v="24"/>
    <s v="ABONO DE COPIAS DE FOTOCOPIADORAS PERSONAL Y FORMACION AÑOS 2022-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1"/>
    <s v="213"/>
  </r>
  <r>
    <n v="220219001060"/>
    <s v="AD"/>
    <d v="2023-01-01T00:00:00"/>
    <n v="22023003284"/>
    <s v="2023 04 3121 213"/>
    <n v="1727.6"/>
    <x v="24"/>
    <s v="Alquiler y copias fotocopiadoras de 8-2-2022 a 7-2-2024. Servici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1"/>
    <s v="213"/>
  </r>
  <r>
    <n v="220219001061"/>
    <s v="AD"/>
    <d v="2023-01-01T00:00:00"/>
    <n v="22023003327"/>
    <s v="2023 07 1721 203"/>
    <n v="12350"/>
    <x v="24"/>
    <s v="CONTRATO PARA EL ALQUILER DE IMPRESORAS Y FOTOCOPIADORAS. SERVICIO DE MEDIO AMBI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0"/>
    <s v="203"/>
  </r>
  <r>
    <n v="220219001064"/>
    <s v="AD"/>
    <d v="2023-01-01T00:00:00"/>
    <n v="22023003377"/>
    <s v="2023 11 1361 213"/>
    <n v="2090"/>
    <x v="24"/>
    <s v="CONTRATO IMPRESIÓN CORPORATIVA DEL 1 DE ENERO AL 31 DE DICIEMBRE DE 2023;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0153"/>
    <s v="AD"/>
    <d v="2023-01-01T00:00:00"/>
    <n v="22023000785"/>
    <s v="2023 04 9204 22200"/>
    <n v="415981.2"/>
    <x v="25"/>
    <s v="TELEFONÍA FIJA , MÓVIL Y DATOS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199000334"/>
    <s v="AD"/>
    <d v="2023-01-01T00:00:00"/>
    <n v="22023003336"/>
    <s v="2023 08 1341 22799"/>
    <n v="406016.97"/>
    <x v="0"/>
    <s v="AMPLIACIÓN ÁREA REGULADA ORA 2020 - 2026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9000752"/>
    <s v="AD"/>
    <d v="2023-01-01T00:00:00"/>
    <n v="22023000750"/>
    <s v="2023 03 9241 22700"/>
    <n v="405540.64"/>
    <x v="26"/>
    <s v="PRIMERA PRÓRROGA CONTRATO SERVICIO LIMPIEZA CENTROS DEL SERVICIO DE PARTICIPACIÓN CIUDADANA (DEL 1 ENE AL 31 DIC 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229000169"/>
    <s v="AD"/>
    <d v="2023-01-01T00:00:00"/>
    <n v="22023001919"/>
    <s v="2023 06 3231 22799"/>
    <n v="404960"/>
    <x v="27"/>
    <s v="EXPTE SE-EIJI 10/2022 PS 11. PRORROGA CONTRATO GESTION EIM LA COMETA. LOTE 5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5"/>
    <s v="AD"/>
    <d v="2023-01-01T00:00:00"/>
    <n v="22023000910"/>
    <s v="2023 06 3231 22799"/>
    <n v="385000"/>
    <x v="20"/>
    <s v="EXPTE SE-EIJI 10/2022 PS 11. PRORROGA CONTRATO GESTION EIM CAMPANILLA. LOTE 1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380"/>
    <s v="AD"/>
    <d v="2023-01-01T00:00:00"/>
    <n v="22023000454"/>
    <s v="2023 11 1321 22799"/>
    <n v="377520"/>
    <x v="28"/>
    <s v="CONTRATACIÓN SERV. RETIRADA VEHÍCULOS  V/PÚBLICA Y OTROS SERV. ESPECIAL. DEL 1-1-2023 Al 24-09-2024. EXPTE. SPSC 13/2022"/>
    <s v="220"/>
    <s v="MENGIBAR"/>
    <s v="JAEN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29000404"/>
    <s v="AD"/>
    <d v="2023-01-01T00:00:00"/>
    <n v="22023001176"/>
    <s v="2023 07 1711 22799"/>
    <n v="361130.59"/>
    <x v="4"/>
    <s v="2ª PRÓRRROGA MANTENIMIENTO ZONAS VERDES SUR Y ESTE. EXP. V.10-2019 P.S.3."/>
    <s v="220"/>
    <s v="ALCOBENDAS"/>
    <s v="MADR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29000257"/>
    <s v="AD"/>
    <d v="2023-01-01T00:00:00"/>
    <n v="22023001637"/>
    <s v="2023 04 9204 636"/>
    <n v="359516.41"/>
    <x v="29"/>
    <s v="MANTENIMIENTO DE LA PLATAFORMA DE TELEFONÍA, LOTE 1 (73/2021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0189"/>
    <s v="AD"/>
    <d v="2023-01-01T00:00:00"/>
    <n v="22023000824"/>
    <s v="2023 07 1721 633"/>
    <n v="343283.85"/>
    <x v="30"/>
    <s v="VS 3/17 PRÓRROGA DEL CONTRATO RELATIVO AL MANTENIMIENTO INTEGRAL DE LA RCCAVA. SERVICIO MEDIO AMBIENTE."/>
    <s v="220"/>
    <s v="LLANERA"/>
    <s v="ASTURIAS"/>
    <x v="1"/>
    <s v="PrAbier - Procedimiento Abierto"/>
    <s v="MultiC - MultiCriterio"/>
    <x v="0"/>
    <x v="0"/>
    <s v="6"/>
    <s v="6. Inversiones reales"/>
    <s v="07"/>
    <x v="4"/>
    <s v="1721"/>
    <s v="1721. Protección del medio ambiente"/>
    <s v="63"/>
    <s v="633"/>
  </r>
  <r>
    <n v="220229000394"/>
    <s v="AD"/>
    <d v="2023-01-01T00:00:00"/>
    <n v="22023001170"/>
    <s v="2023 08 1341 619"/>
    <n v="320833.32"/>
    <x v="31"/>
    <s v="2ª PRÓRROGA LOTE 2 SEÑALIZACIÓN HORIZONTAL (Enero-Julio'2023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0222"/>
    <s v="AD"/>
    <d v="2023-01-01T00:00:00"/>
    <n v="22023001363"/>
    <s v="2023 04 9204 636"/>
    <n v="315865.38"/>
    <x v="32"/>
    <s v="SERVICIO DE MANTENIMIENTO Y REPARACIÓN DE LOS EQUIPOS DE TRATAMIENTO DE LA INFORMACIÓN. (S. I. CRÍTICOS)  LOTE 2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85"/>
    <s v="AD"/>
    <d v="2023-01-01T00:00:00"/>
    <n v="22023001867"/>
    <s v="2023 10 2311 22799"/>
    <n v="310000"/>
    <x v="17"/>
    <s v="SERV.RESTAURACION EN COMEDOR SOCIAL AÑO 2023: 80 COMIDAS Y 60 CENAS/DIA- HASTA CAPAC.MAX 125: 2,53 E/COM Y 2,2 E/CENA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39"/>
    <s v="AD"/>
    <d v="2023-01-01T00:00:00"/>
    <n v="22023001899"/>
    <s v="2023 11 1621 22799"/>
    <n v="305083.90000000002"/>
    <x v="18"/>
    <s v="CESIÓN CONTRATO (1º PRORROGA) EXPLOTACIÓN 4 PUNTOS LIMPIOS FIJOS Y UNO MOVIL Sº LIMPIEZA DEL 1-1 AL 30-9-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29000166"/>
    <s v="AD"/>
    <d v="2023-01-01T00:00:00"/>
    <n v="22023000911"/>
    <s v="2023 06 3231 22799"/>
    <n v="294720"/>
    <x v="33"/>
    <s v="EXPTE SE-EIJI 10/2022 PS 11. PRORROGA CONTRATO GESTION EIM CASCANUECES. LOTE 2. AÑO 2023.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062"/>
    <s v="AD"/>
    <d v="2023-01-01T00:00:00"/>
    <n v="22023000698"/>
    <s v="2023 04 9204 641"/>
    <n v="283380.34999999998"/>
    <x v="34"/>
    <s v="IMPLANTACIÓN, EVOLUCIÓN Y MTO. DE LA PLATAFORMA DE ADMÓN ELECTRÓNICA  BASADA EN MOAD, LOTE 1 (68/2020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926"/>
    <s v="AD"/>
    <d v="2023-01-01T00:00:00"/>
    <n v="22023002932"/>
    <s v="2023 04 9204 641"/>
    <n v="279560.46000000002"/>
    <x v="35"/>
    <s v="SERVICIO INTEGRAL DE SOPORTE AL DESARROLLO DE SISTEMAS DE INFORMACIÓN,  LOTE 1, PRIMERA PRÓRROGA  (62/2022)"/>
    <s v="220"/>
    <s v="BOECILLO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0100"/>
    <s v="AD"/>
    <d v="2023-01-01T00:00:00"/>
    <n v="22023000608"/>
    <s v="2023 06 3321 22799"/>
    <n v="272250"/>
    <x v="36"/>
    <s v="SE 20/21  LOTE 1 CTTO DE APOYO EN LA GESTIÓN DE LOS SERVICIOS EN LA RED DE BIBLIOTECAS MUNICIPALES."/>
    <s v="220"/>
    <s v="LAS PALMAS"/>
    <s v="LAS PALMAS"/>
    <x v="1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799"/>
  </r>
  <r>
    <n v="220230000073"/>
    <s v="AD"/>
    <d v="2023-01-01T00:00:00"/>
    <n v="22023000580"/>
    <s v="2023 06 3261 22799"/>
    <n v="265363.64"/>
    <x v="37"/>
    <s v="SE-EIJI 1/2019 PS 2. PRORROGA CONTRATO DE SERVICIO DEL PROGRAMA &quot;&quot;APRENDIZAJE A LO LARGO DE LA VIDA&quot;&quot; HASTA EL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761"/>
    <s v="AD"/>
    <d v="2023-01-01T00:00:00"/>
    <n v="22023000745"/>
    <s v="2023 02 9332 22700"/>
    <n v="261021.69"/>
    <x v="26"/>
    <s v="PRORROGA CONTRATO LIMPIEZA DE DEPENDENCIAS MUNICIPALES,(LOTE 1)C.CONSIST.SAN BENITO,STA. ANA,SOTO MED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19001234"/>
    <s v="AD"/>
    <d v="2023-01-01T00:00:00"/>
    <n v="22023003326"/>
    <s v="2023 07 1711 619"/>
    <n v="258703.6"/>
    <x v="38"/>
    <s v="CONTRATO MANTENIMIENTO FUENTES PUBLICAS ORNAMENTALES Y CENTROS DE BOMBEO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821"/>
    <s v="AD"/>
    <d v="2023-01-01T00:00:00"/>
    <n v="22023001888"/>
    <s v="2023 10 2311 22799"/>
    <n v="245051.29"/>
    <x v="39"/>
    <s v="PRÓRROGA PROYECTO LUCHA CONTRA LA EXCLUSIÓN EN ZONAS VULNERABLES DE LA ZONA ESTE DE 9/3/2023 AL 8/3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661"/>
    <s v="AD"/>
    <d v="2023-01-01T00:00:00"/>
    <n v="22023001366"/>
    <s v="2023 0750 1721 623"/>
    <n v="236447.18"/>
    <x v="40"/>
    <s v="ESP. VS 21/22 SISTEMA CONTROL ACCESO ZBE. AÑO 2023. APUNTE PREVIO 920229000619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070"/>
    <s v="AD"/>
    <d v="2023-01-01T00:00:00"/>
    <n v="22023000291"/>
    <s v="2023 04 9231 22201"/>
    <n v="236000"/>
    <x v="41"/>
    <s v="CONTRATO SERVICIOS POSTALES AYTO. VALLADOLID - AÑO 2023 - LOTE 2"/>
    <s v="220"/>
    <s v="TORREJON DE ARDOZ"/>
    <s v="MADR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201"/>
  </r>
  <r>
    <n v="220229000188"/>
    <s v="AD"/>
    <d v="2023-01-01T00:00:00"/>
    <n v="22023000311"/>
    <s v="2023 1050 2312 626"/>
    <n v="164597.53"/>
    <x v="42"/>
    <s v="L2-ADJUDIC-EQUIP.SIST. ACCESIBLE D GEST.ENVEJECIM.ACTIVO EN CPMS-FOND. RECUP, RANSF Y RESILICIENCIA C22.I2.PROY.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2"/>
    <n v="626"/>
  </r>
  <r>
    <n v="220229000172"/>
    <s v="AD"/>
    <d v="2023-01-01T00:00:00"/>
    <n v="22023000916"/>
    <s v="2023 06 3231 22799"/>
    <n v="226299.09"/>
    <x v="43"/>
    <s v="EXPTE SE-EIJI 10/2022 PS 11. PRORROGA CONTRATO GESTION EIM PLATERO. LOTE 8. AÑO 2023 Y 01/01 A 31/08/2024.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53"/>
    <s v="AD"/>
    <d v="2023-01-01T00:00:00"/>
    <n v="22023000688"/>
    <s v="2023 11 1621 634"/>
    <n v="224770.81"/>
    <x v="10"/>
    <s v="ADQUISICIÓN DE UN CAMIÓN RECOLECTOR CARGA TRASERA IVECO MOD. AD260S34Y/PS ALLISON  PARA EL SERVICIO LIMPIEZA"/>
    <s v="220"/>
    <s v="MADRID"/>
    <s v="MADRID"/>
    <x v="3"/>
    <s v="PrAbier - Procedimiento Abierto"/>
    <s v="MultiC - MultiCriterio"/>
    <x v="1"/>
    <x v="0"/>
    <s v="6"/>
    <s v="6. Inversiones reales"/>
    <s v="11"/>
    <x v="6"/>
    <s v="1621"/>
    <s v="1621. Servicio de limpieza"/>
    <s v="63"/>
    <s v="634"/>
  </r>
  <r>
    <n v="220229000759"/>
    <s v="AD"/>
    <d v="2023-01-01T00:00:00"/>
    <n v="22023000757"/>
    <s v="2023 10 2312 22700"/>
    <n v="218583.52"/>
    <x v="26"/>
    <s v="PRORROGA CONT.LIMPIEZA-LOTE 10- CPM NO TRANSFERIDOS+ AMPL.PARQUESOL- ESPACIO PARQ.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718"/>
    <s v="AD"/>
    <d v="2023-01-01T00:00:00"/>
    <n v="22023001299"/>
    <s v="2023 06 3231 22700"/>
    <n v="213098.76"/>
    <x v="44"/>
    <s v="PR-SE 43/2022 (PR-SE31/2020PS5). 1ª PRORROGA CTO DE LIMPIEZA EDIFICIOS MUNICIPALES. AREA 06. E.I.M.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381"/>
    <s v="AD"/>
    <d v="2023-01-01T00:00:00"/>
    <n v="22023000455"/>
    <s v="2023 11 1321 204"/>
    <n v="211860.59"/>
    <x v="45"/>
    <s v="CONTRATO RENTING VEHÍCULOS POLICÍA   DEL 1 DE ENERO DE 2023 AL 15 DE AGOSTO DE 2027. LOTE Nº 2. EXPTE. SPSC 06/2022."/>
    <s v="22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09000368"/>
    <s v="AD"/>
    <d v="2023-01-01T00:00:00"/>
    <n v="22023000503"/>
    <s v="2023 10 2311 22799"/>
    <n v="209733"/>
    <x v="17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853"/>
    <s v="AD"/>
    <d v="2023-01-01T00:00:00"/>
    <n v="22023001949"/>
    <s v="2023 04 9204 216"/>
    <n v="206276.31"/>
    <x v="46"/>
    <s v="CENTRO DE ATENCIÓN A USUARIOS (CAU) LOTE 1 (54/2022)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332"/>
    <s v="AD"/>
    <d v="2023-01-01T00:00:00"/>
    <n v="22023001153"/>
    <s v="2023 07 1711 619"/>
    <n v="202007.38"/>
    <x v="47"/>
    <s v="MEJORA EFICIENCIA ENERGÉTICA, HIDRÁULICA Y LUMÍNICA FUENTE PLAZA ZORRILLA. Contrato Basado PS 37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4"/>
    <s v="AD"/>
    <d v="2023-01-01T00:00:00"/>
    <n v="22023001289"/>
    <s v="2023 06 2314 22799"/>
    <n v="200914.17"/>
    <x v="48"/>
    <s v="PRÓRROGA CTTO GESTION INTEGRAL COORD. ANIM. DINAMIZ. Y SEGUIMIENTO ESPACIO JOVEN ZONA SUR. LOTE 2 / 15/1/23 A 31/12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369"/>
    <s v="AD"/>
    <d v="2023-01-01T00:00:00"/>
    <n v="22023001163"/>
    <s v="2023 11 1631 22103"/>
    <n v="200000"/>
    <x v="12"/>
    <s v="PRORROGA CONTRATO SUMINISTRO GASÓLEO PARA VEHÍCULOS DEL S. DE LIMPIEZA VIARIA AÑO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0199"/>
    <s v="AD"/>
    <d v="2023-01-01T00:00:00"/>
    <n v="22023000837"/>
    <s v="2023 03 9241 22799"/>
    <n v="197128"/>
    <x v="49"/>
    <s v="SERVICIO DE GESTIÓN INTEGRAL DE UNA PARTE DE LAS ACTIVIDADES DEL PROGRAMA VALLANOCHE/VALLATARDE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99"/>
  </r>
  <r>
    <n v="220230000201"/>
    <s v="AD"/>
    <d v="2023-01-01T00:00:00"/>
    <n v="22023000844"/>
    <s v="2023 07 1711 619"/>
    <n v="194791.3"/>
    <x v="50"/>
    <s v="CONTRATO MANTENIMIENTO DEL MOBILIARIO URBANO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70"/>
    <s v="AD"/>
    <d v="2023-01-01T00:00:00"/>
    <n v="22023000914"/>
    <s v="2023 06 3231 22799"/>
    <n v="191840"/>
    <x v="51"/>
    <s v="EXPTE SE-EIJI 10/2022 PS 11. PRORROGA CONTRATO GESTION EIM EL TOBOGAN. LOTE 6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799"/>
    <s v="AD"/>
    <d v="2023-01-01T00:00:00"/>
    <n v="22023001939"/>
    <s v="2023 0750 1721 623"/>
    <n v="167492.75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410"/>
    <s v="AD"/>
    <d v="2023-01-01T00:00:00"/>
    <n v="22023001180"/>
    <s v="2023 07 1711 610"/>
    <n v="187500"/>
    <x v="52"/>
    <s v="CONTRATO MANTENIMIENTO ZONAS VERDES SUR Y ESTE LOTE 2. EXP. V. 10-2019."/>
    <s v="220"/>
    <s v="VALLADOLID"/>
    <s v="VALLADOL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173"/>
    <s v="AD"/>
    <d v="2023-01-01T00:00:00"/>
    <n v="22023000917"/>
    <s v="2023 06 3231 22799"/>
    <n v="185441.28"/>
    <x v="53"/>
    <s v="EXPTE SE-EIJI 10/2022 PS 11. PRORROGA CONTRATO GESTION EIM EL GLOBO. LOTE 9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168"/>
    <s v="AD"/>
    <d v="2023-01-01T00:00:00"/>
    <n v="22023000913"/>
    <s v="2023 06 3231 22799"/>
    <n v="185040"/>
    <x v="21"/>
    <s v="EXPTE SE-EIJI 10/2022 PS 11. PRORROGA CONTRATO GESTION EIM FANTASIA. LOTE 4. AÑO 2023 Y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32"/>
    <s v="AD"/>
    <d v="2023-01-01T00:00:00"/>
    <n v="22023003325"/>
    <s v="2023 07 1711 619"/>
    <n v="183008.12"/>
    <x v="44"/>
    <s v="CONTRATO MANTENIMIENTO AREAS DE JUEGOS INFANTILES."/>
    <s v="220"/>
    <s v="MADRID"/>
    <s v="MADRID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111"/>
    <s v="AD"/>
    <d v="2023-01-01T00:00:00"/>
    <n v="22023000714"/>
    <s v="2023 04 9204 626"/>
    <n v="181500"/>
    <x v="54"/>
    <s v="AMPLIACIÓN NUEVAS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758"/>
    <s v="AD"/>
    <d v="2023-01-01T00:00:00"/>
    <n v="22023000756"/>
    <s v="2023 10 2312 22700"/>
    <n v="179648.24"/>
    <x v="26"/>
    <s v="PRORROGA CONT.LIMPIEZA -LOTE 10-CPM TRANSFERIDOS-año 2023-PROY.FIN.AF.TRANSF.CPMS Y COMEDOR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00"/>
  </r>
  <r>
    <n v="220229000174"/>
    <s v="AD"/>
    <d v="2023-01-01T00:00:00"/>
    <n v="22023000918"/>
    <s v="2023 06 3231 22799"/>
    <n v="175309.29"/>
    <x v="53"/>
    <s v="EXPTE SE-EIJI 10/2022 PS 11. PRORROGA CONTRATO GESTION EIM CABALLITO BLANCO. LOTE 10. AÑO 2023 Y 01/01 A 31/08/2024.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207"/>
    <s v="AD"/>
    <d v="2023-01-01T00:00:00"/>
    <n v="22023000931"/>
    <s v="2023 03 9241 22701"/>
    <n v="174990.1"/>
    <x v="55"/>
    <s v="PRÓRROGA CONTRATO DE CELADURÍA CENTROS CÍVICOS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866"/>
    <s v="AD"/>
    <d v="2023-01-01T00:00:00"/>
    <n v="22023001908"/>
    <s v="2023 02 9331 224"/>
    <n v="173677.61"/>
    <x v="56"/>
    <s v="PRÓRROGA CONTRATO SEGURO FLOTA VEHÍCULOS (LOTE 3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0053078"/>
    <s v="AD"/>
    <d v="2023-03-29T00:00:00"/>
    <n v="22022005784"/>
    <s v="2023 0750 1721 623"/>
    <n v="9866.0400000000009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329"/>
    <s v="AD"/>
    <d v="2023-01-01T00:00:00"/>
    <n v="22023001151"/>
    <s v="2023 10 2312 22799"/>
    <n v="165360"/>
    <x v="58"/>
    <s v="PRORROGA CONTRATO ENVEJECIMIENTO ACTIVO DE LOS CPM NO TRANSFERIDOS DEL 1 DE ENERO AL 15 DE  SEPTIEMBRE DE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6"/>
    <s v="AD"/>
    <d v="2023-01-01T00:00:00"/>
    <n v="22023000736"/>
    <s v="2023 04 9204 641"/>
    <n v="165042.21"/>
    <x v="32"/>
    <s v="LICENCIAS VINCULADAS CON  LAS BASES DE DATOS DE LOS SISTEMAS DE INFORMACIÓN, LOTE 1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27"/>
    <s v="AD"/>
    <d v="2023-01-01T00:00:00"/>
    <n v="22023000320"/>
    <s v="2023 06 3231 22799"/>
    <n v="165040"/>
    <x v="33"/>
    <s v="SE-EIJI 7/2022. CONTRATO DE SERVICIOS PARA LA GESTION DE LA E.I.M. &quot;&quot;CASCABEL&quot;&quot;. AÑO 2023 Y DEL 01/01 A 31/08/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19001203"/>
    <s v="AD"/>
    <d v="2023-01-01T00:00:00"/>
    <n v="22023003282"/>
    <s v="2023 03 9241 632"/>
    <n v="164910.9"/>
    <x v="59"/>
    <s v="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187"/>
    <s v="AD"/>
    <d v="2023-01-01T00:00:00"/>
    <n v="22023000310"/>
    <s v="2023 1050 2312 641"/>
    <n v="3004.26"/>
    <x v="42"/>
    <s v="L1.ADJUDICACION SIST.ACCESIBLE GEST.ENVEJEC.ACTIVO EN CPMS-AÑO 2023-FONDOS RECUP,TRANSF.Y RESILICIENCIA-C22:I2.P5-COTESA"/>
    <s v="220"/>
    <s v="BOECILLO"/>
    <s v="VALLADOLID"/>
    <x v="5"/>
    <s v="PrAbier - Procedimiento Abierto"/>
    <s v="MultiC - MultiCriterio"/>
    <x v="0"/>
    <x v="0"/>
    <n v="6"/>
    <s v="6. Inversiones reales"/>
    <s v="10"/>
    <x v="1"/>
    <n v="2312"/>
    <s v="2312. Iniciativas sociales"/>
    <n v="64"/>
    <n v="641"/>
  </r>
  <r>
    <n v="220229000443"/>
    <s v="AD"/>
    <d v="2023-01-01T00:00:00"/>
    <n v="22023000733"/>
    <s v="2023 04 9204 641"/>
    <n v="158012.25"/>
    <x v="32"/>
    <s v="LICENCIAS VINCULADAS CON LOS SISTEMAS DEL CPD Y CENTRO DE ATENCIÓN A USUARIOS, LOTE 2 GRUPO A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551"/>
    <s v="AD"/>
    <d v="2023-01-01T00:00:00"/>
    <n v="22023001215"/>
    <s v="2023 05 4331 609"/>
    <n v="154999.79"/>
    <x v="52"/>
    <s v="CONTRATO DE OBRA SISTEMAS DE DRENAJE URBANO SOSTENIBLE-SUDs (URBAN GREEN UP G.A. Nº  730426). EXPTE AI-13/20"/>
    <s v="220"/>
    <s v="VALLADOLID"/>
    <s v="VALLADOLID"/>
    <x v="2"/>
    <s v="PrAbier - Procedimiento Abierto"/>
    <s v="UniC - Único Criterio"/>
    <x v="0"/>
    <x v="0"/>
    <s v="6"/>
    <s v="6. Inversiones reales"/>
    <s v="05"/>
    <x v="7"/>
    <s v="4331"/>
    <s v="4331. Desarrollo empresarial"/>
    <s v="60"/>
    <s v="609"/>
  </r>
  <r>
    <n v="220229000803"/>
    <s v="AD"/>
    <d v="2023-01-01T00:00:00"/>
    <n v="22023001875"/>
    <s v="2023 08 1513 83100"/>
    <n v="150040"/>
    <x v="60"/>
    <s v="Primera prórroga lote 2 actuaciones obligatorias de carácter subsidiario y/o urgente (exp. 33/2019 SEMEU PS 1)"/>
    <s v="220"/>
    <s v="MADRID"/>
    <s v="MADR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39"/>
    <s v="AD"/>
    <d v="2023-01-01T00:00:00"/>
    <n v="22023000742"/>
    <s v="2023 10 2312 22799"/>
    <n v="148561.92000000001"/>
    <x v="17"/>
    <s v="ESTANCIAS DIURNAS L.2 COMIDAS-EN 23 A NOV 25-P:4,68 E/U/D-128 PLAZAS DE 7 UC:Z.SUR,H.REY,UC2 ROND,D-ARC,Z.EST,2 UCS PAR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30"/>
    <s v="AD"/>
    <d v="2023-01-01T00:00:00"/>
    <n v="22023001152"/>
    <s v="2023 10 2312 22799"/>
    <n v="146640"/>
    <x v="58"/>
    <s v="PRORROGA CONTRATO ENVEJECIMIENTO ACTIVO DE LOS  CPMS TRANSFERIDOS DEL 1 DE ENERO AL  15 DE SEPTIEMBRE DE 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25"/>
    <s v="AD"/>
    <d v="2023-01-01T00:00:00"/>
    <n v="22023000725"/>
    <s v="2023 04 9204 641"/>
    <n v="141883.07"/>
    <x v="61"/>
    <s v="SERVICIOS LÍNEA BASE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6"/>
    <s v="AD"/>
    <d v="2023-01-01T00:00:00"/>
    <n v="22023000309"/>
    <s v="2023 1050 2313 641"/>
    <n v="234110"/>
    <x v="35"/>
    <s v="L2.ADJUDIC.TRANSF.DIGITAL GEST.Y AT.PERSONAS AL SIST.SERV.SOC.-FONDO RECUP.TRANSF Y RESILICIENCIA-C22.I2-P5-GETRONICS"/>
    <s v="220"/>
    <s v="BOECILLO"/>
    <s v="VALLADOL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161"/>
    <s v="AD"/>
    <d v="2023-01-01T00:00:00"/>
    <n v="22023000308"/>
    <s v="2023 06 3261 22799"/>
    <n v="137698"/>
    <x v="62"/>
    <s v="EXPTE SE 2-22 CTTO SERVICIOS PROGRAMA ABSENTISMO ESCOLAR CURSOS  22-23 Y 23-24"/>
    <s v="220"/>
    <s v="LALIN"/>
    <s v="PONTEVED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29000815"/>
    <s v="AD"/>
    <d v="2023-01-01T00:00:00"/>
    <n v="22023001942"/>
    <s v="2023 10 2312 22799"/>
    <n v="136608"/>
    <x v="7"/>
    <s v="ESTANCIAS DIURNAS lote 1:GESTION UC1 RONDILLA (16 PL) -PL:11.384/MES IVA inc.-ENE 23 A NOV 25-contrato hasta dic 25 (AD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441"/>
    <s v="AD"/>
    <d v="2023-01-01T00:00:00"/>
    <n v="22023000731"/>
    <s v="2023 04 9204 641"/>
    <n v="132659.56"/>
    <x v="32"/>
    <s v="LICENCIAS VINCULADAS CON LOS SISTEMAS DEL CPD Y CENTRO DE ATENCIÓN A USUARIOS, LOTE 2 GRUPO B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610"/>
    <s v="AD"/>
    <d v="2023-01-01T00:00:00"/>
    <n v="22023001228"/>
    <s v="2023 05 4331 22799"/>
    <n v="1020616.05"/>
    <x v="63"/>
    <s v="Adjudicación contrato mantenimiento, soporte y evolutivo S2CITY. Expediente AI-21/2022..Año 2023."/>
    <s v="220"/>
    <s v="BARCELONA"/>
    <s v="BARCELONA"/>
    <x v="1"/>
    <s v="PrNegSP - Procedimiento Negociado Sin Publicidad"/>
    <s v="SinC - Sin Criterio"/>
    <x v="2"/>
    <x v="0"/>
    <s v="2"/>
    <s v="2. Gastos corrientes en bienes y servicios"/>
    <s v="05"/>
    <x v="7"/>
    <s v="4331"/>
    <s v="4331. Desarrollo empresarial"/>
    <s v="22"/>
    <s v="22799"/>
  </r>
  <r>
    <n v="220230000221"/>
    <s v="AD"/>
    <d v="2023-01-01T00:00:00"/>
    <n v="22023001362"/>
    <s v="2023 04 9204 636"/>
    <n v="131730.71"/>
    <x v="32"/>
    <s v="MANTENIMIENTO Y REPARACIÓN DE LOS EQUIPOS DE TRATAMIENTO DE LA INFORMACIÓN, (SISTEMAS INFORMÁTICOS NO CRÍTICOS), LOTE 1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749"/>
    <s v="AD"/>
    <d v="2023-01-01T00:00:00"/>
    <n v="22023001318"/>
    <s v="2023 11 1321 22700"/>
    <n v="131496.69"/>
    <x v="26"/>
    <s v="1ª PRÓRROGA CONTRATO DE LIMPIEZA DEPEDENCIAS DE POLICÍA MUNICIPAL  DEL 1 DE ENERO AL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0"/>
  </r>
  <r>
    <n v="220229000927"/>
    <s v="AD"/>
    <d v="2023-01-01T00:00:00"/>
    <n v="22023002191"/>
    <s v="2023 04 9204 641"/>
    <n v="119955.77"/>
    <x v="15"/>
    <s v="OFICINA DE CALIDAD DEL SOFTWARE Y MEJORA DE PROCESOS, LOTE 2, PRIMERA PRÓRROGA, (62/2022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6"/>
    <s v="AD"/>
    <d v="2023-01-01T00:00:00"/>
    <n v="22023001315"/>
    <s v="2023 10 2312 22799"/>
    <n v="118297.09"/>
    <x v="7"/>
    <s v="PRORROGA ESTANCIAS DIURNAS 7 UCS: UC2 ROND,Z.SUR,HTA.REY,D-ARCA Y Z.ESTE (112 PLAZAS)X 40 DIASX 25,39 ¿+4 %IVA-EN Y FEBR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96"/>
    <s v="AD"/>
    <d v="2023-01-01T00:00:00"/>
    <n v="22023001172"/>
    <s v="2023 08 1341 619"/>
    <n v="116666.68"/>
    <x v="64"/>
    <s v="2ª PRÓRROGA LOTE 1 SEÑALIZACIÓN VERTICAL (Enero-Julio'2023)"/>
    <s v="220"/>
    <s v="GUARROMAN"/>
    <s v="JAEN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9000220"/>
    <s v="AD"/>
    <d v="2023-01-01T00:00:00"/>
    <n v="22023001921"/>
    <s v="2023 08 1651 619"/>
    <n v="116000"/>
    <x v="13"/>
    <s v="Conservación, reparación y reforma del alumbrado exterior (presupuestos participativos 2023) expediente 8/2021 lote 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110"/>
    <s v="AD"/>
    <d v="2023-01-01T00:00:00"/>
    <n v="22023000713"/>
    <s v="2023 04 9204 636"/>
    <n v="114835.05"/>
    <x v="54"/>
    <s v="GESTIÓN Y MANTENIMIENTO ÁREAS WIFI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194"/>
    <s v="AD"/>
    <d v="2023-01-01T00:00:00"/>
    <n v="22023000926"/>
    <s v="2023 10 2312 22799"/>
    <n v="112381.26"/>
    <x v="65"/>
    <s v="PRORROGA CONTRATO DE CELADURIA DE LOS CPM TRANSFERIDOS DEL 01/01/2023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00"/>
    <s v="AD"/>
    <d v="2023-01-01T00:00:00"/>
    <n v="22023000738"/>
    <s v="2023 11 1321 641"/>
    <n v="109453.14"/>
    <x v="66"/>
    <s v="APLICACIÓN INFORMÁTICA DE POLICÍA MUNICIPAL. LOTE Nº 1, EXPTE. 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195"/>
    <s v="AD"/>
    <d v="2023-01-01T00:00:00"/>
    <n v="22023000927"/>
    <s v="2023 10 2312 22799"/>
    <n v="106368.74"/>
    <x v="65"/>
    <s v="PRORROGA DEL SERVICIO DE CELADURIA DE LOS CPM NO TRANSFERIDOS DEL 01/01 AL 31/07/2023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07"/>
    <s v="AD"/>
    <d v="2023-01-01T00:00:00"/>
    <n v="22023001879"/>
    <s v="2023 06 3232 213"/>
    <n v="102835.32"/>
    <x v="67"/>
    <s v="SE-EIJI 11/2022 PS 1. PRORROGA CONTRATO MANTENIMIENTO COLEGIOS PUBLICO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049"/>
    <s v="AD"/>
    <d v="2023-01-01T00:00:00"/>
    <n v="22023000537"/>
    <s v="2023 04 9204 626"/>
    <n v="97556.25"/>
    <x v="68"/>
    <s v="SUMINISTRO, INST., CONF. Y PUESTA EN MARCHA DE ORDENADORES PERSONALES Y MONITORES, LOTE 1 , ENERO 22 A JUNIO 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65"/>
    <s v="AD"/>
    <d v="2023-01-01T00:00:00"/>
    <n v="22023001160"/>
    <s v="2023 11 1321 22103"/>
    <n v="96000"/>
    <x v="69"/>
    <s v="SUMINISTRO DE GASÓLEO DE AUTOMOCIÓN PARA VEHÍCULOS DE POLICÍA DEL 1 DE ENERO AL 31 DE DIC. DE 2023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29000641"/>
    <s v="AD"/>
    <d v="2023-01-01T00:00:00"/>
    <n v="22023001252"/>
    <s v="2023 0450 9231 641"/>
    <n v="94801.82"/>
    <x v="70"/>
    <s v="REAJUSTE ANUALIDADES CONTRATO SISTEMA GESTION DE QUEJAS Y SUGERENCIAS-AÑO 2023"/>
    <s v="220"/>
    <s v="BOECILLO"/>
    <s v="VALLADOLID"/>
    <x v="1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29000741"/>
    <s v="AD"/>
    <d v="2023-01-01T00:00:00"/>
    <n v="22023000740"/>
    <s v="2023 1050 2313 641"/>
    <n v="141298.26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024"/>
    <s v="AD"/>
    <d v="2023-01-01T00:00:00"/>
    <n v="22023000680"/>
    <s v="2023 04 9204 641"/>
    <n v="90952.67"/>
    <x v="32"/>
    <s v="MIGRACIÓN DEL SISTEMA DEL CORREO ELECTRÓNICO DEL AYTO. DE VALLADOLID A EXCHANGE ON-LINE, LOTE 3 (58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2"/>
    <s v="AD"/>
    <d v="2023-01-01T00:00:00"/>
    <n v="22023000943"/>
    <s v="2023 11 1621 22102"/>
    <n v="28000"/>
    <x v="72"/>
    <s v="PRORROGA CONTRATO SUMINSITRO GAS NATURAL DEL 1-1 AL 30-9-2023 PARA EL SERVICIO DE LIMPIEZA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2"/>
  </r>
  <r>
    <n v="220229000063"/>
    <s v="AD"/>
    <d v="2023-01-01T00:00:00"/>
    <n v="22023000699"/>
    <s v="2023 04 9204 641"/>
    <n v="86978.83"/>
    <x v="73"/>
    <s v="OFICINA DE PROYECTO PARA LA PRESTACIÓN DE SERV DE COORDINACIÓN.... DEL LOTE 1, LOTE 2  (68/2020)"/>
    <s v="220"/>
    <s v="MADRID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94"/>
    <s v="AD"/>
    <d v="2023-01-01T00:00:00"/>
    <n v="22023000945"/>
    <s v="2023 10 2311 22102"/>
    <n v="16000"/>
    <x v="72"/>
    <s v="SUMINISTRO DE GAS EN CENTRO INTEGRADO DESDE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5"/>
    <s v="AD"/>
    <d v="2023-01-01T00:00:00"/>
    <n v="22023000946"/>
    <s v="2023 10 2311 22102"/>
    <n v="15000"/>
    <x v="72"/>
    <s v="UMINISTRO DE GAS EN CEAS DESDE  1 ene a 30 sept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6"/>
    <s v="AD"/>
    <d v="2023-01-01T00:00:00"/>
    <n v="22023000947"/>
    <s v="2023 10 2311 22102"/>
    <n v="5000"/>
    <x v="72"/>
    <s v="SUMINISTRO DE GAS EN COMEDOR SOCIAL DESDE  1 ene a 30 sep 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2"/>
  </r>
  <r>
    <n v="220229000297"/>
    <s v="AD"/>
    <d v="2023-01-01T00:00:00"/>
    <n v="22023000948"/>
    <s v="2023 11 1321 22102"/>
    <n v="60000"/>
    <x v="72"/>
    <s v="1ª PRÓRROGA DEL CONTRATO DE SUMINISTRO DE GAS NATURAL DEPENDENCIAS DE POLICÍA DEL 1-1-2023 AL 30-9-2023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2"/>
  </r>
  <r>
    <n v="220229000298"/>
    <s v="AD"/>
    <d v="2023-01-01T00:00:00"/>
    <n v="22023000949"/>
    <s v="2023 11 1361 22102"/>
    <n v="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99"/>
    <s v="AD"/>
    <d v="2023-01-01T00:00:00"/>
    <n v="22023000950"/>
    <s v="2023 06 3231 22102"/>
    <n v="53680"/>
    <x v="72"/>
    <s v="PR-SE 16/2022 (PS 6 EXPTE SE 10/2019). PRORROGA SUMINISTRO DE GAS EN ESCUELAS INFANTILE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9000300"/>
    <s v="AD"/>
    <d v="2023-01-01T00:00:00"/>
    <n v="22023001926"/>
    <s v="2023 06 3232 22102"/>
    <n v="524800"/>
    <x v="72"/>
    <s v="PR-SE 16/2022 (PS 6 EXPTE SE 10/2019). PRORROGA SUMINISTRO DE GAS EN COLEGIOS PUBLICO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29000301"/>
    <s v="AD"/>
    <d v="2023-01-01T00:00:00"/>
    <n v="22023000951"/>
    <s v="2023 06 3321 22102"/>
    <n v="7225"/>
    <x v="72"/>
    <s v="PR-SE 16/2022 (PS 6 EXPTE SE 10/2019). PRORROGA SUMINISTRO DE GAS EN BIBLIOTECAS PUBLICAS. 01/01/2023 A 31/09/2023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2"/>
  </r>
  <r>
    <n v="220229000302"/>
    <s v="AD"/>
    <d v="2023-01-01T00:00:00"/>
    <n v="22023001135"/>
    <s v="2023 06 2315 22102"/>
    <n v="4000"/>
    <x v="72"/>
    <s v="PR-SE 16/2022 (PS 6 EXPTE SE 10/2019). PRORROGA SUMINISTRO DE GAS EN CENTRO MUNICIPAL DE LA IGUALDAD. 01/01 A 31/0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2"/>
  </r>
  <r>
    <n v="220229000303"/>
    <s v="AD"/>
    <d v="2023-01-01T00:00:00"/>
    <n v="22023001136"/>
    <s v="2023 02 9332 22102"/>
    <n v="55000"/>
    <x v="72"/>
    <s v="SEGUNDA PRÓRROGA SUMINISTRO GAS NATURAL EDIF.MUNICIPALES (EXPTE.10/2019 DEDE 1.01.23 A 31.09.23)."/>
    <s v="220"/>
    <s v="BARCELONA"/>
    <s v="BARCELON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2"/>
  </r>
  <r>
    <n v="220229000304"/>
    <s v="AD"/>
    <d v="2023-01-01T00:00:00"/>
    <n v="22023001137"/>
    <s v="2023 10 2312 22102"/>
    <n v="32000"/>
    <x v="72"/>
    <s v="SUMINISTRO GAS EN CENTROS DE PERSONAS MAYORES NO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5"/>
    <s v="AD"/>
    <d v="2023-01-01T00:00:00"/>
    <n v="22023001138"/>
    <s v="2023 10 2312 22102"/>
    <n v="42000"/>
    <x v="72"/>
    <s v="SUMINISTRO DE GAS EN CENTROS DE PERSONAS MAYORES TRANSFERIDOS DEL 1/1 A 30/9/2023"/>
    <s v="220"/>
    <s v="BARCELONA"/>
    <s v="BARCELONA"/>
    <x v="3"/>
    <s v="PrAbier - Procedimiento Abierto"/>
    <s v="UniC - Único Criterio"/>
    <x v="0"/>
    <x v="0"/>
    <s v="2"/>
    <s v="2. Gastos corrientes en bienes y servicios"/>
    <s v="10"/>
    <x v="1"/>
    <s v="2312"/>
    <s v="2312. Iniciativas sociales"/>
    <s v="22"/>
    <s v="22102"/>
  </r>
  <r>
    <n v="220229000306"/>
    <s v="AD"/>
    <d v="2023-01-01T00:00:00"/>
    <n v="22023001139"/>
    <s v="2023 10 2412 22102"/>
    <n v="10000"/>
    <x v="72"/>
    <s v="SUMINISTRO DE GAS PARA EL CENTRO DE FORMACION PARA EL EMPLEO  DEL 1/1 A 30/9/2023"/>
    <s v="220"/>
    <s v="BARCELONA"/>
    <s v="BARCELON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2"/>
  </r>
  <r>
    <n v="220229000307"/>
    <s v="AD"/>
    <d v="2023-01-01T00:00:00"/>
    <n v="22023001140"/>
    <s v="2023 03 9241 22102"/>
    <n v="315000"/>
    <x v="72"/>
    <s v="2ª PRÓRROGA CONTRATO SUMINISTRO DE GAS (DEL 01/01 AL 30/09 DE 2023) SERVICIO DE PARTICIPACIÓN CIUDADANA"/>
    <s v="220"/>
    <s v="BARCELONA"/>
    <s v="BARCELON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2"/>
  </r>
  <r>
    <n v="220229000426"/>
    <s v="AD"/>
    <d v="2023-01-01T00:00:00"/>
    <n v="22023000461"/>
    <s v="2023 04 9204 216"/>
    <n v="84843.68"/>
    <x v="61"/>
    <s v="OPERACIÓN DEL  CENTRO DE OPERACIONES DE CIBERSEGURIDAD (SOC), LOTE 1   (59/2021)"/>
    <s v="220"/>
    <s v="SAN SEBASTIAN"/>
    <s v="GUIPUZCO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54"/>
    <s v="AD"/>
    <d v="2023-01-01T00:00:00"/>
    <n v="22023000907"/>
    <s v="2023 06 3232 22799"/>
    <n v="84064.15"/>
    <x v="26"/>
    <s v="SE 10/20 PS1 PRORROGA CTTO MANTENIMIENTO ZONAS VERDES. LOTE 1. COLEGIOS PUBLICOS. AÑO 2023 Y HASTA 22 SEPTIEMB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371"/>
    <s v="AD"/>
    <d v="2023-01-01T00:00:00"/>
    <n v="22023001165"/>
    <s v="2023 07 1711 22103"/>
    <n v="80000"/>
    <x v="69"/>
    <s v="PRÓRROGA DEL CONTRATO DE SUMINISTRO DE GASÓLEO DE AUTOMOCIÓN.EXP. NÚM: PR-SE 37/2022 (SUMINISTRO PARA EL AÑO 2023)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19000658"/>
    <s v="AD"/>
    <d v="2023-01-01T00:00:00"/>
    <n v="22023003355"/>
    <s v="2023 10 2311 22799"/>
    <n v="76377.66"/>
    <x v="16"/>
    <s v="AMPLIACION CON SERV.CELADURIA EL CONT.GESTION CENTRO INTEGRADO PARA PERS.SIN HOGAR DE 1 SEP 2021 A MARZ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904"/>
    <s v="AD"/>
    <d v="2023-01-01T00:00:00"/>
    <n v="22023003372"/>
    <s v="2023 11 1621 22700"/>
    <n v="75000"/>
    <x v="74"/>
    <s v="REAJUSTE ANUALIDADES CONTRATO RECOGIDA CONTENEDORES AMARILLOS &quot;&quot;ENVASES&quot;&quot;, AMPLIACIÓN AÑ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91"/>
    <s v="AD"/>
    <d v="2023-01-01T00:00:00"/>
    <n v="22023001936"/>
    <s v="2023 04 9204 641"/>
    <n v="73986.759999999995"/>
    <x v="75"/>
    <s v="MTO. Y ASISTENCIA TÉCNICA DE LAS HERRAMIENTAS DE ADMÓN ELECTRÓNICA DEL AYTO.  BASADAS EN AMARA SUITE, (45/2022)"/>
    <s v="220"/>
    <s v="ALCOBENDAS"/>
    <s v="MADR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386"/>
    <s v="AD"/>
    <d v="2023-01-01T00:00:00"/>
    <n v="22023000456"/>
    <s v="2023 11 1321 204"/>
    <n v="70712.399999999994"/>
    <x v="76"/>
    <s v="CONTRATO RENTING  VEHÍCULOS POLICÍA. DEL 1 DE ENERO DE 2023 AL 15 DE AGOSTO DE 2027. LOTE Nº 3. EXPTE SPSC 06/2022."/>
    <s v="220"/>
    <s v="LUGO"/>
    <s v="LUGO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19000098"/>
    <s v="AD"/>
    <d v="2023-01-01T00:00:00"/>
    <n v="22023000515"/>
    <s v="2023 06 2314 22799"/>
    <n v="69142.960000000006"/>
    <x v="49"/>
    <s v="SE-EIJI 6/2020 P.S. 4. CONTRATO DINAMIZACION ESPACIO JOVEN NORTE LOTE 1. REAJUSTE DE ANUALIDADES. 01/01/23 A 30/04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29000608"/>
    <s v="AD"/>
    <d v="2023-01-01T00:00:00"/>
    <n v="22023001227"/>
    <s v="2023 07 1711 619"/>
    <n v="65626.31"/>
    <x v="47"/>
    <s v="Mejora de la eficiencia energética, hidráulica y lumínica de la fuente Azul. Contrato Basado P.S. 36."/>
    <s v="220"/>
    <s v="PONTEVEDRA"/>
    <s v="PONTEVEDRA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9000707"/>
    <s v="AD"/>
    <d v="2023-01-01T00:00:00"/>
    <n v="22023001292"/>
    <s v="2023 03 9241 632"/>
    <n v="65266.67"/>
    <x v="77"/>
    <s v="OBRA DE RENOVACIÓN Y REFORM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9000750"/>
    <s v="AD"/>
    <d v="2023-01-01T00:00:00"/>
    <n v="22023001319"/>
    <s v="2023 07 1701 22700"/>
    <n v="62334.2"/>
    <x v="78"/>
    <s v="1ª PRÓRROGA CONTRATO LIMPIEZA CASA DEL BARCO Y EDIFICIO ANEXO. 2023. LOTE 9. EXPTE. PR-SE4372022 (P.S.5 EXPTE. SE 31/2O)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0"/>
  </r>
  <r>
    <n v="220229000753"/>
    <s v="AD"/>
    <d v="2023-01-01T00:00:00"/>
    <n v="22023000751"/>
    <s v="2023 11 1361 22700"/>
    <n v="62149.84"/>
    <x v="79"/>
    <s v="PRIMERA PRÓRROGA CONTRATO SERVICIO LIMPIEZA DEPENDENCIAS PARQUES ERAS Y CANTERAC SEISYPC;AÑO 2023;EXPTE.:SE31_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700"/>
  </r>
  <r>
    <n v="220229000122"/>
    <s v="AD"/>
    <d v="2023-01-01T00:00:00"/>
    <n v="22023000893"/>
    <s v="2023 04 9204 641"/>
    <n v="59533.75"/>
    <x v="80"/>
    <s v="MTO. Y ASIST. TÉCNICA DEL SISTEMA DE GESTIÓN DE PERSONAL Y NÓMINA, BASADO EN META4 E-MIND, SEGUNDA PRÓRROGA, (27/2022)"/>
    <s v="220"/>
    <s v="SEVILL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30"/>
    <s v="AD"/>
    <d v="2023-01-01T00:00:00"/>
    <n v="22023000729"/>
    <s v="2023 04 9204 641"/>
    <n v="57054.55"/>
    <x v="61"/>
    <s v="SOLUCIÓN DE AUTENTICACIÓN CON DOBLE FACTOR (2FA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55"/>
    <s v="AD"/>
    <d v="2023-01-01T00:00:00"/>
    <n v="22023000753"/>
    <s v="2023 10 2311 22700"/>
    <n v="57032.33"/>
    <x v="81"/>
    <s v="PRORROGA L11 LIMPIEZA CEAS: CENTRO Y JEF.ZON., BELÉN, DEL-ARG., DEL-CANT., Bº ESPAÑA, C/PATO Y ARCA REAL -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049"/>
    <s v="AD"/>
    <d v="2023-01-01T00:00:00"/>
    <n v="22023000872"/>
    <s v="2023 10 2311 22799"/>
    <n v="56948.71"/>
    <x v="39"/>
    <s v="lucha contra la exclusión en barriadas vulnerables de zona este-serv.y activ.-enero y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428"/>
    <s v="AD"/>
    <d v="2023-01-01T00:00:00"/>
    <n v="22023000727"/>
    <s v="2023 04 9204 641"/>
    <n v="56546.11"/>
    <x v="61"/>
    <s v="SOLUCIÓN DE PROTECCIÓN DE ENDPOINT (EDR)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16"/>
    <s v="AD"/>
    <d v="2023-01-01T00:00:00"/>
    <n v="22023001929"/>
    <s v="2023 06 2314 22700"/>
    <n v="55569.06"/>
    <x v="44"/>
    <s v="PR-SE 43/2022 (PR-SE31/2020PS5). 1ª PRORROGA CTO DE LIMPIEZA EDIFICIOS MUNICIPALES. AREA 06. ESP. JOVENES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00"/>
  </r>
  <r>
    <n v="220219000423"/>
    <s v="AD"/>
    <d v="2023-01-01T00:00:00"/>
    <n v="22023000544"/>
    <s v="2023 11 1321 22799"/>
    <n v="54144.800000000003"/>
    <x v="82"/>
    <s v="REAJUSTE DE ANUALIDADES. CONTRATO MANTENIMIENTO TELECOMUNICACIONES DEL 1 DE ENERO AL 16 DE FEBRERO DE 2023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99"/>
  </r>
  <r>
    <n v="220230000027"/>
    <s v="AD"/>
    <d v="2023-01-01T00:00:00"/>
    <n v="22023000506"/>
    <s v="2023 09 3341 22799"/>
    <n v="53699.8"/>
    <x v="83"/>
    <s v="CONTRATO SERV. ASISTENCIA TECNICA PROGRAMA VALLADOLID COMO INTEGRANTE DE LA RED CIUDADES CREATIVAS DE LA UNESCO. 2021-24"/>
    <s v="220"/>
    <s v="BARCELONA"/>
    <s v="BARCELON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0193"/>
    <s v="AD"/>
    <d v="2023-01-01T00:00:00"/>
    <n v="22023000829"/>
    <s v="2023 04 9204 216"/>
    <n v="53431.6"/>
    <x v="15"/>
    <s v="ASISTENCIA TÉCNICA OPERACIÓN, CAU, Y MTO  DEL SOFTWARE DE BASE Y COMUNICACIONES LOTE 2, DEL 8/2/22  AL 7/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62"/>
    <s v="AD"/>
    <d v="2023-01-01T00:00:00"/>
    <n v="22023000746"/>
    <s v="2023 02 9332 22700"/>
    <n v="52213.98"/>
    <x v="65"/>
    <s v="PRORROGA  (LOTE 2) CONTRATO LIMPIEZA DE DEPENDENCIAS MUNICIPALES ARCHIVO, EDIF.SALUD LAB.C.MÉDICO FLORES,  AÑO 2023"/>
    <s v="220"/>
    <s v="LOGROÑO"/>
    <s v="LA RIOJA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700"/>
  </r>
  <r>
    <n v="220229000052"/>
    <s v="AD"/>
    <d v="2023-01-01T00:00:00"/>
    <n v="22023000292"/>
    <s v="2023 04 9341 22699"/>
    <n v="51904.26"/>
    <x v="84"/>
    <s v="GASTOS Y COMISIONES CONTRATACION TERMINALES PUNTO DE VENTA FISICOS Y VIRTUALES AYTO DE VALLADOLID 2023-2025"/>
    <s v="220"/>
    <s v="VALENCIA"/>
    <s v="VALENCIA"/>
    <x v="1"/>
    <s v="PrAbier - Procedimiento Abierto"/>
    <s v="MultiC - MultiCriterio"/>
    <x v="0"/>
    <x v="0"/>
    <s v="2"/>
    <s v="2. Gastos corrientes en bienes y servicios"/>
    <s v="04"/>
    <x v="5"/>
    <s v="9341"/>
    <s v="9341. Tesorería y recaudación"/>
    <s v="22"/>
    <s v="22699"/>
  </r>
  <r>
    <n v="220229000208"/>
    <s v="AD"/>
    <d v="2023-01-01T00:00:00"/>
    <n v="22023000932"/>
    <s v="2023 03 9241 22701"/>
    <n v="51895.6"/>
    <x v="85"/>
    <s v="PRÓRROGA CONTRATO DE CELADURÍA SANTIAGO LÓPEZ Y SEGUNDO MONTES. LOTE 4"/>
    <s v="220"/>
    <s v="EL PINAR DE ANTEQUERA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29000196"/>
    <s v="AD"/>
    <d v="2023-01-01T00:00:00"/>
    <n v="22023000928"/>
    <s v="2023 10 2311 22799"/>
    <n v="50047.25"/>
    <x v="86"/>
    <s v="Servicio celaduría en CEAS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19000126"/>
    <s v="AD"/>
    <d v="2023-01-01T00:00:00"/>
    <n v="22023003371"/>
    <s v="2023 11 1621 22700"/>
    <n v="50000"/>
    <x v="74"/>
    <s v="CONTRATO RECOGIDA CONTENEDORES AMARILLOS &quot;&quot;ENVASES&quot;&quot;, PERIODO JULIO 2021 A JUNI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01"/>
    <s v="AD"/>
    <d v="2023-01-01T00:00:00"/>
    <n v="22023001286"/>
    <s v="2023 04 9231 22799"/>
    <n v="48565"/>
    <x v="87"/>
    <s v="SEGUNDA PRORROGA CONTRATO IMPRESION, PLEGADO Y ENSOBRADO DE ENVIOS POSTALES AÑOS 2023-2024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01"/>
    <s v="AD"/>
    <d v="2023-01-01T00:00:00"/>
    <n v="22023000609"/>
    <s v="2023 06 3321 22799"/>
    <n v="48400"/>
    <x v="88"/>
    <s v="SE 20/21 LOTE 2 PROGRAMA ACTIVIDADES FOMENTO Y ANIMACIÓN A LA LECTURA EN LA RED DE BIBLIOTECAS MUNICIPALES"/>
    <s v="220"/>
    <s v="SAN MIGUEL DEL PINO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99"/>
  </r>
  <r>
    <n v="220229000461"/>
    <s v="AD"/>
    <d v="2023-01-01T00:00:00"/>
    <n v="22023001185"/>
    <s v="2023 01 9201 22799"/>
    <n v="47365.120000000003"/>
    <x v="89"/>
    <s v="PRÓRROGA CONTRATO GRABACIÓN PLENOS Y VIDEO-ACTAS 2023 Y ENERO A SEPTIEMBRE 2024"/>
    <s v="220"/>
    <s v="ZARATAN"/>
    <s v="VALLADOLID"/>
    <x v="1"/>
    <s v="PrAbier - Procedimiento Abierto"/>
    <s v="MultiC - MultiCriterio"/>
    <x v="0"/>
    <x v="0"/>
    <s v="2"/>
    <s v="2. Gastos corrientes en bienes y servicios"/>
    <s v="01"/>
    <x v="8"/>
    <s v="9201"/>
    <s v="9201. Secretaría General"/>
    <s v="22"/>
    <s v="22799"/>
  </r>
  <r>
    <n v="220229000599"/>
    <s v="AD"/>
    <d v="2023-01-01T00:00:00"/>
    <n v="22023000737"/>
    <s v="2023 11 1321 641"/>
    <n v="46250.01"/>
    <x v="90"/>
    <s v="MATRIZ DE COMUNICACIONES POLICIA MUNICIPAL. 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9000856"/>
    <s v="AD"/>
    <d v="2023-01-01T00:00:00"/>
    <n v="22023001952"/>
    <s v="2023 03 9241 203"/>
    <n v="45756.15"/>
    <x v="91"/>
    <s v="CONTRATO DE SUMINISTRO EN RÉGIMEN DE ALQUILER DE INFRAESTRUCTURAS: ESCENARIOS, VALLAS, SILLAS, MESAS Y JAIMAS (LOTE 1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29000373"/>
    <s v="AD"/>
    <d v="2023-01-01T00:00:00"/>
    <n v="22023001167"/>
    <s v="2023 08 1532 22103"/>
    <n v="45600"/>
    <x v="12"/>
    <s v="SUMINISTRO DE GASÓLEO TIPO A., PARA EL AÑO 2023.-"/>
    <s v="220"/>
    <s v="VALLADOLID"/>
    <s v="VALLADOL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19000334"/>
    <s v="AD"/>
    <d v="2023-01-01T00:00:00"/>
    <n v="22023003289"/>
    <s v="2023 04 9204 626"/>
    <n v="45375"/>
    <x v="92"/>
    <s v="SUMINISTRO Y MAQUETACIÓN DE ORDENADORES PORTÁTILES LOTE 2 , DE ENERO 22 A JJUNIO 23"/>
    <s v="220"/>
    <s v="POZUELO DE ALARCÓN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929"/>
    <s v="AD"/>
    <d v="2023-01-01T00:00:00"/>
    <n v="22023002179"/>
    <s v="2023 07 1711 610"/>
    <n v="45375"/>
    <x v="93"/>
    <s v="2ª PRÓRROGA CONTRATO MANTENIMIENTO ZONAS VERDES SUR Y ESTE LOTE 3. EXP. V.10-2019."/>
    <s v="220"/>
    <s v="VILLAMURIEL DE CERRATO"/>
    <s v="PALENCI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9000567"/>
    <s v="AD"/>
    <d v="2023-01-01T00:00:00"/>
    <n v="22023000692"/>
    <s v="2023 11 1321 22103"/>
    <n v="45000"/>
    <x v="94"/>
    <s v="CONTRATO CENTRALIZADO DE SUMINISTRO DE GASOLINA 95º PARA VEHÍCULOS DE POLICÍA MUNICIPAL EJERCICIOS 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3"/>
  </r>
  <r>
    <n v="220219000597"/>
    <s v="AD"/>
    <d v="2023-01-01T00:00:00"/>
    <n v="22023003342"/>
    <s v="2023 08 1651 619"/>
    <n v="44756.61"/>
    <x v="60"/>
    <s v="LOTE 3 CONSERVACIÓN, REPARACIÓN Y REFORMA DEL ALUMBRADO PÚBLICO. EXP: SEMEU 8/2021"/>
    <s v="220"/>
    <s v="MADRID"/>
    <s v="MADR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30000197"/>
    <s v="AD"/>
    <d v="2023-01-01T00:00:00"/>
    <n v="22023000835"/>
    <s v="2023 11 1631 22700"/>
    <n v="44413.53"/>
    <x v="44"/>
    <s v="REAJUSTE ANUALIDAES CONTRATO SERVICIOS LIMPIEZA INSTALACIONES LIMPIEZA VIARIA 1-1-2022 AL 31-8-2023 (EXP PR-S.E. 31/2020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29000431"/>
    <s v="AD"/>
    <d v="2023-01-01T00:00:00"/>
    <n v="22023000730"/>
    <s v="2023 04 9204 641"/>
    <n v="43597.13"/>
    <x v="61"/>
    <s v="SOLUCIÓN DE PROTECCIÓN DEL DOMIN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742"/>
    <s v="AD"/>
    <d v="2023-01-01T00:00:00"/>
    <n v="22023001312"/>
    <s v="2023 05 4331 22700"/>
    <n v="43297.08"/>
    <x v="65"/>
    <s v="PRORROGA CONTRATO CENTRALIZADO LIMPIEZA DEPENDENCIAS MUNICIPALES 2023. EDIFICIO AGENCIA DE INNOVACION. SE 43/2022"/>
    <s v="22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29000793"/>
    <s v="AD"/>
    <d v="2023-01-01T00:00:00"/>
    <n v="22023001871"/>
    <s v="2023 06 3321 22700"/>
    <n v="42500"/>
    <x v="44"/>
    <s v="SE 11/2020 CTTO LIMPIEZAS. MODIFICACIÓN LOTE 7. NUEVA BIBLIOTECA PARQUESO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667"/>
    <s v="AD"/>
    <d v="2023-01-01T00:00:00"/>
    <n v="22023001271"/>
    <s v="2023 11 1621 212"/>
    <n v="128.99"/>
    <x v="95"/>
    <s v="COORDINACIÓN SEGURIDAD Y SALUD REPARACIÓN FACHADA EDIFICIO DEL SERVICIO DE LIMPIEZA EN CALLE TOPACI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29000377"/>
    <s v="AD"/>
    <d v="2023-01-01T00:00:00"/>
    <n v="22023000451"/>
    <s v="2023 06 2315 22620"/>
    <n v="41400"/>
    <x v="96"/>
    <s v="LOTE 1 - CONTRATACION SERVICIOS PARA EL DESARROLLO DEL PLAN DE INSERCION LABORAL  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445"/>
    <s v="AD"/>
    <d v="2023-01-01T00:00:00"/>
    <n v="22023000735"/>
    <s v="2023 04 9204 641"/>
    <n v="40657.21"/>
    <x v="32"/>
    <s v="LICENCIAS VINCULADAS CON LAS BASES DE DATOS DE LOS SISTEMAS DE INFORMACIÓN GRUPO B, LOTE 1 (23/2022)"/>
    <s v="220"/>
    <s v="MADRID"/>
    <s v="MADR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266"/>
    <s v="AD"/>
    <d v="2023-01-01T00:00:00"/>
    <n v="22023000937"/>
    <s v="2023 11 1621 22700"/>
    <n v="142375.84"/>
    <x v="97"/>
    <s v="PRORROGA CONTRATO SERVICIO MANTENIMIENTO PLATAFORMAS CONTENDORES SOTERRADOS AYTO. VALLADOLID DEL 1-1 AL 31-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830"/>
    <s v="AD"/>
    <d v="2023-01-01T00:00:00"/>
    <n v="22023001895"/>
    <s v="2023 03 9241 22799"/>
    <n v="40277.06"/>
    <x v="98"/>
    <s v="PRÓRROGA CONTRATO DE SERVICIOS DE GESTIÓN DE LA ESCUELA DE PARTICIPACIÓN CIUDADANA (DEL 01/01/2023 AL 31/12/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29000570"/>
    <s v="AD"/>
    <d v="2023-01-01T00:00:00"/>
    <n v="22023000695"/>
    <s v="2023 07 1711 22103"/>
    <n v="40000"/>
    <x v="94"/>
    <s v="CONTRATO SUMINISTRO DE GASOLINA PARA EL SERVICIO DE PARQUES Y JARDINES.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3"/>
  </r>
  <r>
    <n v="220229000559"/>
    <s v="AD"/>
    <d v="2023-01-01T00:00:00"/>
    <n v="22023001219"/>
    <s v="2023 04 9204 216"/>
    <n v="37893.620000000003"/>
    <x v="99"/>
    <s v="MANTENIMIENTO DE LA RED DE VOZ Y DATOS DEL AYUNTAMIENTO DE VALLADOLID, 1ª PRÓRROGA,, 63/2022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108"/>
    <s v="AD"/>
    <d v="2023-01-01T00:00:00"/>
    <n v="22023000890"/>
    <s v="2023 04 9204 626"/>
    <n v="36263.699999999997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335"/>
    <s v="AD"/>
    <d v="2023-01-01T00:00:00"/>
    <n v="22023000724"/>
    <s v="2023 04 9204 641"/>
    <n v="131952.35999999999"/>
    <x v="70"/>
    <s v="SOPORTE Y MANTENIMIENTO DEL PORTAL Y SEDE ELECTRÓNICA DEL AYUNTAMIENTO DE VALLADOLID, BASADOS EN PROXIA SUITE (22/2022)"/>
    <s v="220"/>
    <s v="BOECILLO"/>
    <s v="VALLADOLID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708"/>
    <s v="AD"/>
    <d v="2023-01-01T00:00:00"/>
    <n v="22023000476"/>
    <s v="2023 03 9241 22799"/>
    <n v="128498.67"/>
    <x v="100"/>
    <s v="ASISTENCIA TECNICA ESPECTÁCULOS Y EQUIPAMIENTO AUDIOVISUALES EN RED DE TEATROS DE LOS CENTROS CÍVICOS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3"/>
    <x v="10"/>
    <s v="9241"/>
    <s v="9241. Participación ciudadana"/>
    <s v="22"/>
    <s v="22799"/>
  </r>
  <r>
    <n v="220229000659"/>
    <s v="AD"/>
    <d v="2023-01-01T00:00:00"/>
    <n v="22023001267"/>
    <s v="2023 11 1621 213"/>
    <n v="3000"/>
    <x v="24"/>
    <s v="CONTRATO SUMINISTRO IMPRESIÓN CORPORATIVA DEL AYUNTAMIENTO DE VALLADOLID (SERVICIO DE LIMPIEZA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615"/>
    <s v="AD"/>
    <d v="2023-01-01T00:00:00"/>
    <n v="22023001232"/>
    <s v="2023 02 1501 619"/>
    <n v="47895.83"/>
    <x v="95"/>
    <s v="PRIMERA PRÓRROGA CONTRATO SEGURIDAD Y SALUD LOTE 1 OBRAS EN EDIFICACIONES DESDE 2.01. A 15.10.2023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9000530"/>
    <s v="AD"/>
    <d v="2023-01-01T00:00:00"/>
    <n v="22023001208"/>
    <s v="2023 08 1532 619"/>
    <n v="44517.95"/>
    <x v="101"/>
    <s v="Gasto Complementario del Lote 2 del Contrato de Seguridad y Salud en obras municipales. SEPI.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29000865"/>
    <s v="AD"/>
    <d v="2023-01-01T00:00:00"/>
    <n v="22023001907"/>
    <s v="2023 02 9331 224"/>
    <n v="42699.4"/>
    <x v="56"/>
    <s v="PRÓRROGA CONTRATO SEGURO DAÑOS MATERIALES (LOTE 2) AYUNTAMIENTO VALLADOLID (Exp. 15/2020 ps6) 5-2-23 A 5-2-24"/>
    <s v="220"/>
    <s v="GETXO"/>
    <s v="VIZCAYA"/>
    <x v="1"/>
    <s v="PrAbier - Procedimiento Abierto"/>
    <s v="MultiC - MultiCriterio"/>
    <x v="0"/>
    <x v="0"/>
    <s v="2"/>
    <s v="2. Gastos corrientes en bienes y servicios"/>
    <s v="02"/>
    <x v="3"/>
    <s v="9331"/>
    <s v="9331. Gestión del patrimonio"/>
    <s v="22"/>
    <s v="224"/>
  </r>
  <r>
    <n v="220229000429"/>
    <s v="AD"/>
    <d v="2023-01-01T00:00:00"/>
    <n v="22023000728"/>
    <s v="2023 04 9204 641"/>
    <n v="35446.5"/>
    <x v="61"/>
    <s v="SOLUCIÓN DE PROTECCIÓN DE LA NAVEGACIÓN DEL USUARIO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255"/>
    <s v="AD"/>
    <d v="2023-01-01T00:00:00"/>
    <n v="22023000718"/>
    <s v="2023 11 1321 629"/>
    <n v="35000"/>
    <x v="102"/>
    <s v="PLAN DE RENOVACIÓN DE ARMAMENTO PARA POLICÍAS MUNICIPAL. EXPTE SPSC 039/21."/>
    <s v="220"/>
    <s v="CARTAGENA"/>
    <s v="MUR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2"/>
    <s v="629"/>
  </r>
  <r>
    <n v="220219001070"/>
    <s v="AD"/>
    <d v="2023-01-01T00:00:00"/>
    <n v="22023003346"/>
    <s v="2023 08 1651 213"/>
    <n v="34384.18"/>
    <x v="103"/>
    <s v="Adjudicación Suministro de material fungible para instalaciones de Alumbrado Público. LOTE 2  SEMEU 28/2021.-"/>
    <s v="220"/>
    <s v="LEGANES"/>
    <s v="MADRID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713"/>
    <s v="AD"/>
    <d v="2023-01-01T00:00:00"/>
    <n v="22023001296"/>
    <s v="2023 04 9204 22701"/>
    <n v="33880"/>
    <x v="104"/>
    <s v="SERVICIOS DE CELADURÍA CDIT, PRIMERA PRÓRROGA, (61/2022)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701"/>
  </r>
  <r>
    <n v="220229000126"/>
    <s v="AD"/>
    <d v="2023-01-01T00:00:00"/>
    <n v="22023000301"/>
    <s v="2023 09 3341 22609"/>
    <n v="30709.8"/>
    <x v="105"/>
    <s v="ADJUDICACION SUMINISTRO INFRAESTRUCTURAS PARA ESPACIO MULTIUSOS Y EQUIPAMIENTO FERIA DEL LIBRO VALLADOLID 2023. LOTE 1"/>
    <s v="220"/>
    <s v="LORQUI"/>
    <s v="MURCI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802"/>
    <s v="AD"/>
    <d v="2023-01-01T00:00:00"/>
    <n v="22023001874"/>
    <s v="2023 08 1513 83100"/>
    <n v="30250"/>
    <x v="106"/>
    <s v="Primera prórroga lote 1 actuaciones obligatorias de carácter subsidiario y/o urgente (exp. 33/2019 SEMEU PS1)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29000705"/>
    <s v="AD"/>
    <d v="2023-01-01T00:00:00"/>
    <n v="22023001290"/>
    <s v="2023 10 2313 22799"/>
    <n v="30000"/>
    <x v="35"/>
    <s v="PRORROGA SERV.MANTENIMIENTO APLIC.PRESTAVA-GESTION Y TRAMITACION DE PREST.Y SERV.SOC.-AÑO 2023"/>
    <s v="220"/>
    <s v="BOECILLO"/>
    <s v="VALLADOLID"/>
    <x v="1"/>
    <s v="PrAbier - Procedimiento Abierto"/>
    <s v="MultiC - MultiCriterio"/>
    <x v="0"/>
    <x v="0"/>
    <s v="2"/>
    <s v="2. Gastos corrientes en bienes y servicios"/>
    <s v="10"/>
    <x v="1"/>
    <s v="2313"/>
    <s v="2313. Dirección del área de servicios sociales"/>
    <s v="22"/>
    <s v="22799"/>
  </r>
  <r>
    <n v="220229000085"/>
    <s v="AD"/>
    <d v="2023-01-01T00:00:00"/>
    <n v="22023000881"/>
    <s v="2023 04 9204 641"/>
    <n v="29407.11"/>
    <x v="107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2"/>
    <x v="0"/>
    <s v="6"/>
    <s v="6. Inversiones reales"/>
    <s v="04"/>
    <x v="5"/>
    <s v="9204"/>
    <s v="9204. Tecnologías de la información y comunicación"/>
    <s v="64"/>
    <s v="641"/>
  </r>
  <r>
    <n v="220229000280"/>
    <s v="AD"/>
    <d v="2023-01-01T00:00:00"/>
    <n v="22023000445"/>
    <s v="2023 11 1631 22104"/>
    <n v="29250.54"/>
    <x v="108"/>
    <s v="CONCURSO CONTRATO SUMINISTRO VESTUARIO PERSONAL S. LIMPIEZA VIARI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824"/>
    <s v="AD"/>
    <d v="2023-01-01T00:00:00"/>
    <n v="22023001890"/>
    <s v="2023 10 2312 22799"/>
    <n v="29000"/>
    <x v="58"/>
    <s v="ampliación contrato envejecimiento activo en el año 2023 de 1/1 a 15/9 x incremento de actividad y talleres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39"/>
    <s v="AD"/>
    <d v="2023-01-01T00:00:00"/>
    <n v="22023000935"/>
    <s v="2023 11 1631 22700"/>
    <n v="28788.38"/>
    <x v="109"/>
    <s v="PRORROGA CONTRATO TRANSPORTE DESDE EL SERVICIO DE LIMPIEZA A CTR  DE LOS RESIDUOS DE LIMPIEZA MECÁNICA VIARIA"/>
    <s v="220"/>
    <s v="PALENCIA"/>
    <s v="PALENCIA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700"/>
  </r>
  <r>
    <n v="220219000523"/>
    <s v="AD"/>
    <d v="2023-01-01T00:00:00"/>
    <n v="22023003290"/>
    <s v="2023 04 9204 22002"/>
    <n v="28674.92"/>
    <x v="110"/>
    <s v="SUMINISTRO DE FUNGIBLES DE IMPRESIÓN ORIGINALES, LOTE 1"/>
    <s v="220"/>
    <s v="BASAURI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20053078"/>
    <s v="AD"/>
    <d v="2023-03-29T00:00:00"/>
    <n v="22022003656"/>
    <s v="2023 0750 1721 623"/>
    <n v="5580"/>
    <x v="57"/>
    <s v="EXPEDIENTE VS 16/22 LOTE 1 SUMINISTRO 4 DISPOSITIVOS MEDIDA CON NANOSENSORES"/>
    <s v="220"/>
    <s v="CEUTI"/>
    <s v="MURCIA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9000205"/>
    <s v="AD"/>
    <d v="2023-01-01T00:00:00"/>
    <n v="22023000930"/>
    <s v="2023 06 3232 22799"/>
    <n v="26821.67"/>
    <x v="26"/>
    <s v="SESS 41/2020. PRORROGA CONTRATO CENTRALIZADO CELADURIA. LOTE 5. COLEGIOS PUBLICOS.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29000427"/>
    <s v="AD"/>
    <d v="2023-01-01T00:00:00"/>
    <n v="22023000726"/>
    <s v="2023 04 9204 641"/>
    <n v="26600"/>
    <x v="61"/>
    <s v="SERVICIOS BAJO DEMANDA OFICINA TÉCNICA DE SEGURIDAD, LOTE 1   (59/2021)"/>
    <s v="220"/>
    <s v="SAN SEBASTIAN"/>
    <s v="GUIPUZCO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09000051"/>
    <s v="AD"/>
    <d v="2023-01-01T00:00:00"/>
    <n v="22023003348"/>
    <s v="2023 09 3301 22706"/>
    <n v="25690.46"/>
    <x v="111"/>
    <s v="ADJUDICACION CONTRATO SERV. MANTENIMIENTO OBSERVATORIO CULTURAL Y TURISTICO CIUDAD DE VALLADOLID. LOTE 2,  AÑOS 2020-23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19000596"/>
    <s v="AD"/>
    <d v="2023-01-01T00:00:00"/>
    <n v="22023003341"/>
    <s v="2023 08 1651 619"/>
    <n v="25575.21"/>
    <x v="13"/>
    <s v="LOTE 2 CONSERVACIÓN, REPARACIÓN Y REFORMA DEL ALUMBRADO PÚBLICO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651"/>
    <s v="1651. Alumbrado público"/>
    <s v="61"/>
    <s v="619"/>
  </r>
  <r>
    <n v="220229000760"/>
    <s v="AD"/>
    <d v="2023-01-01T00:00:00"/>
    <n v="22023000744"/>
    <s v="2023 10 2412 22700"/>
    <n v="25193.72"/>
    <x v="26"/>
    <s v="PRORROGA CONT.LIMPIEZA-LOTE 10- CENTRO DE FORMACION DE EMPLEO-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29000050"/>
    <s v="AD"/>
    <d v="2023-01-01T00:00:00"/>
    <n v="22023000873"/>
    <s v="2023 04 9204 641"/>
    <n v="24403.87"/>
    <x v="112"/>
    <s v="LICENCIAS, MTO. Y ASISTENCIA TÉCNICA DEL GESTOR DOCUMENTAL ALFRESCO, PRIMERA PRÓRROGA 1/6/22 AL 31/5/23 (94/2021)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837"/>
    <s v="AD"/>
    <d v="2023-01-01T00:00:00"/>
    <n v="22023001897"/>
    <s v="2023 10 2312 22699"/>
    <n v="8893.5"/>
    <x v="113"/>
    <s v="ACTUACIONES MUSICALES EN LOS CPM DURANTE 2023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781"/>
    <s v="AD"/>
    <d v="2023-01-01T00:00:00"/>
    <n v="22023001864"/>
    <s v="2023 01 9207 213"/>
    <n v="650"/>
    <x v="24"/>
    <s v="EXPED PR-SE-40/2021 IMPRESIÓN CORPORATIVA COMPLEMENTARIO AMPLIAR GASTO COPIAS 5 MÁQUINAS GOBIERNO Y RELACIONES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7"/>
    <s v="9207. Gobierno y relaciones"/>
    <s v="21"/>
    <s v="213"/>
  </r>
  <r>
    <n v="220229000782"/>
    <s v="AD"/>
    <d v="2023-01-01T00:00:00"/>
    <n v="22023001865"/>
    <s v="2023 11 1361 22102"/>
    <n v="30000"/>
    <x v="72"/>
    <s v="SEGUNDA PRÓRROGA CONTRATO SUMINISTRO GAS NATURAL; EXPTE.: PR_SE 16_2022;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29000282"/>
    <s v="AD"/>
    <d v="2023-01-01T00:00:00"/>
    <n v="22023000447"/>
    <s v="2023 11 1631 22104"/>
    <n v="23244.1"/>
    <x v="114"/>
    <s v="CONCURSO CONTRATO SUMINISTRO VESTUARIO PERSONAL S. LIMPIEZA VIARIA EJERCICIO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160"/>
    <s v="AD"/>
    <d v="2023-01-01T00:00:00"/>
    <n v="22023000307"/>
    <s v="2023 06 3261 22799"/>
    <n v="22692"/>
    <x v="115"/>
    <s v="SE 10-22. CTTO PRESTACION ACTIVIDADES ESCUELA MUNICIPAL DE MUSICA &quot;&quot;MARIANO DE LAS HERAS&quot;&quot; CURSO 22-23, 23-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99"/>
  </r>
  <r>
    <n v="220230000173"/>
    <s v="AD"/>
    <d v="2023-01-01T00:00:00"/>
    <n v="22023000806"/>
    <s v="2023 09 4321 22799"/>
    <n v="22661.98"/>
    <x v="116"/>
    <s v="CONTRATO SERVICIO PLANIFICACION, GESTION PATROCINIOS, COLABORACION EVENTOS INTERES TURISTICO CULTURAL VALLADOLID 2022-23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29000731"/>
    <s v="AD"/>
    <d v="2023-01-01T00:00:00"/>
    <n v="22023001311"/>
    <s v="2023 02 9332 213"/>
    <n v="22235.13"/>
    <x v="117"/>
    <s v="PRORROGA CTRATO SERV MTO DE SIST. CLIMA., CALEFAC,VENTIL., AGUA  CALIENTE E INTERIOR G. ELECTROG, EDIFIC MUNICIP 2023"/>
    <s v="220"/>
    <s v="ALBACETE"/>
    <s v="ALBACETE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189000209"/>
    <s v="AD"/>
    <d v="2023-01-01T00:00:00"/>
    <n v="22023003324"/>
    <s v="2023 07 1701 22102"/>
    <n v="22102.36"/>
    <x v="118"/>
    <s v="CONSUMO BIOMASA 2018 A 2026.-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2"/>
  </r>
  <r>
    <n v="220229000055"/>
    <s v="AD"/>
    <d v="2023-01-01T00:00:00"/>
    <n v="22023000874"/>
    <s v="2023 10 2312 22799"/>
    <n v="22071.99"/>
    <x v="53"/>
    <s v="prorroga gestión centro ocupacional para pers.con discap.intelectual-enero a 14 feb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47"/>
    <s v="AD"/>
    <d v="2023-01-01T00:00:00"/>
    <n v="22023001254"/>
    <s v="2023 04 9202 22799"/>
    <n v="2013.16"/>
    <x v="119"/>
    <s v="ADJUDICACION EXPEDIENTE SE-55/2020 CONTROL DE PRESENCIA EMPLEADOS PUBLICOS - MANTENIMIENTO 2023"/>
    <s v="220"/>
    <s v="VALLADOLID"/>
    <s v="VALLADOLID"/>
    <x v="4"/>
    <s v="PrAbier - Procedimiento Abierto"/>
    <s v="MultiC - MultiCriterio"/>
    <x v="0"/>
    <x v="0"/>
    <s v="2"/>
    <s v="2. Gastos corrientes en bienes y servicios"/>
    <s v="04"/>
    <x v="5"/>
    <s v="9202"/>
    <s v="9202. Gestión de recursos humanos"/>
    <s v="22"/>
    <s v="22799"/>
  </r>
  <r>
    <n v="220229000221"/>
    <s v="AD"/>
    <d v="2023-01-01T00:00:00"/>
    <n v="22023000717"/>
    <s v="2023 04 9204 626"/>
    <n v="15427.5"/>
    <x v="120"/>
    <s v="ACONDICIONAMIENTO CPD RESPALDO, LOTE 2   (59/2021)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29000037"/>
    <s v="AD"/>
    <d v="2023-01-01T00:00:00"/>
    <n v="22023000871"/>
    <s v="2023 08 1301 22699"/>
    <n v="88"/>
    <x v="121"/>
    <s v="Contrato con ACQUAJET para el suministro de botellas de agua para la Dirección del Área de Movilidad y Espacio Urbano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29000127"/>
    <s v="AD"/>
    <d v="2023-01-01T00:00:00"/>
    <n v="22023000302"/>
    <s v="2023 09 3341 22609"/>
    <n v="21150.799999999999"/>
    <x v="122"/>
    <s v="ADJUDICACION SERVICIO ADAPTACION IMAGEN CORPORATIVA FERIA DEL LIBRO DE VALLADOLID 2023.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09000052"/>
    <s v="AD"/>
    <d v="2023-01-01T00:00:00"/>
    <n v="22023003349"/>
    <s v="2023 09 3301 22706"/>
    <n v="1534.54"/>
    <x v="111"/>
    <s v="REAJUSTE CONTRATO SERV. MANTENIMIENTO OBSERVATORIO CULTURAL Y TURISTICO CIUDAD DE VALLADOLID. LOTE 2,  AÑOS 2023-24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29000123"/>
    <s v="AD"/>
    <d v="2023-01-01T00:00:00"/>
    <n v="22023000894"/>
    <s v="2023 07 1721 22199"/>
    <n v="11468.38"/>
    <x v="123"/>
    <s v="VS 17/18 PRÓRROGA DEL CONTRATO DE SUMINISTRO DE GASES A PRESIÓN, MEZCLAS DE GASES DE BOTELLAS PARA LA RCCAVA"/>
    <s v="22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99"/>
  </r>
  <r>
    <n v="220229000020"/>
    <s v="AD"/>
    <d v="2023-01-01T00:00:00"/>
    <n v="22023000866"/>
    <s v="2023 09 3341 22799"/>
    <n v="14923.33"/>
    <x v="124"/>
    <s v="PRORROGA 1 AÑO DEL CONTRATO SERVICIO MANTENIMIENTO PORTALES WEB DE CULTURA Y TURISMO LOTE 2. (01-05-2022 AL 30-04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240"/>
    <s v="AD"/>
    <d v="2023-01-01T00:00:00"/>
    <n v="22023001915"/>
    <s v="2023 11 3111 203"/>
    <n v="616"/>
    <x v="125"/>
    <s v="ALQUILER MODULO AISLADO 7500+2350MM CON DOS DESPACHOS + 1 ASEO PARA VESTUARIO DEL NUEVO PERSONAL CONTRATADO EN C.M.P.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0"/>
    <s v="203"/>
  </r>
  <r>
    <n v="220229000840"/>
    <s v="AD"/>
    <d v="2023-01-01T00:00:00"/>
    <n v="22023001900"/>
    <s v="2023 01 9205 213"/>
    <n v="40"/>
    <x v="24"/>
    <s v="EXPED PR-SE-40/2021 IMPRESIÓN CORPORATIVA--&gt; COMPLEMENTARIO AMPLIAR GASTO COPIAS MÁQUINA IMPRENTA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1"/>
    <s v="213"/>
  </r>
  <r>
    <n v="220229000828"/>
    <s v="AD"/>
    <d v="2023-01-01T00:00:00"/>
    <n v="22023001893"/>
    <s v="2023 11 1321 204"/>
    <n v="11484.84"/>
    <x v="45"/>
    <s v="CONTRATO DE RENTING DE 4 VEHÍCULOS CAMUFLADOS PARA POLICÍA MUNICIPAL DE ENERO A MAYO DE 2023."/>
    <s v="220"/>
    <s v="LAS ROZ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29000876"/>
    <s v="AD"/>
    <d v="2023-01-01T00:00:00"/>
    <n v="22023002050"/>
    <s v="2023 11 1631 22104"/>
    <n v="7768.2"/>
    <x v="126"/>
    <s v="CONTRATO SUMINISTRO DE VESTUARIO Y COMPLEMENTOS PARA EL PERSONAL DE LIMPIEZA VIARI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9"/>
    <s v="AD"/>
    <d v="2023-01-01T00:00:00"/>
    <n v="22023000473"/>
    <s v="2023 11 1621 22104"/>
    <n v="4585.8"/>
    <x v="126"/>
    <s v="CONTRATO SUMINISTRO DE VESTUARIO Y COMPLEMENTOS PARA EL PERSONAL DEL SERVICIO DE LIMPIEZA. AÑO 2023 (LOTES 4 Y 7)"/>
    <s v="220"/>
    <s v="BADALONA"/>
    <s v="BARCELON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15"/>
    <s v="AD"/>
    <d v="2023-01-01T00:00:00"/>
    <n v="22023001364"/>
    <s v="2023 04 9204 636"/>
    <n v="19038.439999999999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29000699"/>
    <s v="AD"/>
    <d v="2023-01-01T00:00:00"/>
    <n v="22023000475"/>
    <s v="2023 09 3341 22799"/>
    <n v="16471.45"/>
    <x v="127"/>
    <s v="ADJUDICACION CONTRATO DE SERVICIOS PARA LA DINAMIZACION Y GESTION DE GALERIAS VALLADOLID AÑO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29000757"/>
    <s v="AD"/>
    <d v="2023-01-01T00:00:00"/>
    <n v="22023000755"/>
    <s v="2023 10 2311 22700"/>
    <n v="7237.16"/>
    <x v="81"/>
    <s v="PRORROGA L11 LIMPIEZA CENTRO DE ATENCIÓN AL INMIGRANTE - PROY.FINANCIACIÓN AFECTADA MANT.CAI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29000756"/>
    <s v="AD"/>
    <d v="2023-01-01T00:00:00"/>
    <n v="22023000754"/>
    <s v="2023 10 2311 22700"/>
    <n v="3535.76"/>
    <x v="81"/>
    <s v="PRORROGA L11 CONTRATO LIMPIEZA COMEDOR SOCIAL - PROY.FINANC.AFECTADA TRANSF.CPMs Y COMEDOR -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0"/>
  </r>
  <r>
    <n v="220219001104"/>
    <s v="AD"/>
    <d v="2023-01-01T00:00:00"/>
    <n v="22023003264"/>
    <s v="2023 01 9206 22706"/>
    <n v="40250"/>
    <x v="128"/>
    <s v="DIVERSOS SERVICIOS PRESTADOS POR ARCAL GESTIÓN DOCUMENTAL AL ARCHIVO MUNICIPAL, DURANTE EL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06"/>
  </r>
  <r>
    <n v="220229000325"/>
    <s v="AD"/>
    <d v="2023-01-01T00:00:00"/>
    <n v="22023001150"/>
    <s v="2023 11 3111 22106"/>
    <n v="11887.26"/>
    <x v="129"/>
    <s v="PRORROGA CONTRATO SUMINISTRO DE MEDICAMENTOS Y PIENSOS PARA EL C.M.P.A. 12-9-2022 A 11-9-2023 - LOTE 2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06"/>
  </r>
  <r>
    <n v="220230000074"/>
    <s v="AD"/>
    <d v="2023-01-01T00:00:00"/>
    <n v="22023000581"/>
    <s v="2023 01 9205 22100"/>
    <n v="7000"/>
    <x v="23"/>
    <s v="ADJUDICA EXPTE PR-SE 13/2021 NUEVO CONTRATO SUMINISTRO ENERGÍA ELÉCTRICA A IMPRENT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01"/>
    <x v="8"/>
    <s v="9205"/>
    <s v="9205. Imprenta municipal"/>
    <s v="22"/>
    <s v="22100"/>
  </r>
  <r>
    <n v="220230000075"/>
    <s v="AD"/>
    <d v="2023-01-01T00:00:00"/>
    <n v="22023000582"/>
    <s v="2023 02 9332 22100"/>
    <n v="250000"/>
    <x v="23"/>
    <s v="ADJUDICAR LOTE 1 EXPTE. SUMINISTRO ENERGÍA ELÉCTRICA PARA ÁREA PLANEAMIENTO URBANÍSTICO Y VIVIENDA"/>
    <s v="220"/>
    <s v="BILBAO"/>
    <s v="VIZCAYA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0"/>
  </r>
  <r>
    <n v="220230000076"/>
    <s v="AD"/>
    <d v="2023-01-01T00:00:00"/>
    <n v="22023000583"/>
    <s v="2023 10 2311 22100"/>
    <n v="8800"/>
    <x v="23"/>
    <s v="CONTRATO SUMINISTRO ENERGÍA ELÉCTRICA PARA COMEDOR SOCIAL - 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7"/>
    <s v="AD"/>
    <d v="2023-01-01T00:00:00"/>
    <n v="22023000584"/>
    <s v="2023 10 2311 22100"/>
    <n v="41200"/>
    <x v="23"/>
    <s v="CONTRATO SUMINISTRO ENERGÍA ELÉCTRICA PARA CENTROS DE ACCIÓN SOCIAL Y ALBERGUE MUNICIPAL - 2022 Y 2023 - LOTE 1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100"/>
  </r>
  <r>
    <n v="220230000078"/>
    <s v="AD"/>
    <d v="2023-01-01T00:00:00"/>
    <n v="22023000585"/>
    <s v="2023 10 2312 22100"/>
    <n v="65000"/>
    <x v="23"/>
    <s v="CONTRATO SUMINISTRO ENERGIA ELECTRICA DE LOS CPM TRANSFERISOS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79"/>
    <s v="AD"/>
    <d v="2023-01-01T00:00:00"/>
    <n v="22023000586"/>
    <s v="2023 10 2312 22100"/>
    <n v="115000"/>
    <x v="23"/>
    <s v="CONTRATO SUMINISTRO ENERGIA ELECTRICA EN LOS CPM MUNICIPALES ,  NO TRANSFERIDOS,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100"/>
  </r>
  <r>
    <n v="220230000080"/>
    <s v="AD"/>
    <d v="2023-01-01T00:00:00"/>
    <n v="22023000587"/>
    <s v="2023 06 3231 22100"/>
    <n v="55000"/>
    <x v="23"/>
    <s v="PR-SE 13/2021. NUEVO CONTRATO SUMINISTRO DE ENERGÍA ELÉCTRICA AYUNTAMIENTO DE VALLADOLID. ESCUELAS INFANTIL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0081"/>
    <s v="AD"/>
    <d v="2023-01-01T00:00:00"/>
    <n v="22023000588"/>
    <s v="2023 06 3321 22100"/>
    <n v="5000"/>
    <x v="23"/>
    <s v="PR-SE 13/2021. NUEVO CONTRATO SUMINISTRO DE ENERGÍA ELÉCTRICA AYUNTAMIENTO DE VALLADOLID. BIBLIOTECAS PÚBLICA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321"/>
    <s v="3321. Bibliotecas públicas"/>
    <s v="22"/>
    <s v="22100"/>
  </r>
  <r>
    <n v="220230000082"/>
    <s v="AD"/>
    <d v="2023-01-01T00:00:00"/>
    <n v="22023000589"/>
    <s v="2023 06 2314 22100"/>
    <n v="65000"/>
    <x v="23"/>
    <s v="PR-SE 13/2021. NUEVO CONTRATO SUMINISTRO DE ENERGÍA ELÉCTRICA AYUNTAMIENTO DE VALLADOLID. ESPACIOS JOVENE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0083"/>
    <s v="AD"/>
    <d v="2023-01-01T00:00:00"/>
    <n v="22023000590"/>
    <s v="2023 06 2315 22100"/>
    <n v="3500"/>
    <x v="23"/>
    <s v="PR-SE 13/2021. NUEVO CONTRATO SUMINISTRO ENERGÍA ELÉCTRICA AYUNTAMIENTO DE VALLADOLID. CENTRO MUNICIPAL DE LA IGUALDAD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100"/>
  </r>
  <r>
    <n v="220230000084"/>
    <s v="AD"/>
    <d v="2023-01-01T00:00:00"/>
    <n v="22023000591"/>
    <s v="2023 11 1361 22100"/>
    <n v="38000"/>
    <x v="23"/>
    <s v="CONTRATO DE SUMINISTRO DE ENERGÍA ELÉCTRICA PARA LOS AÑOS 2022 Y 2023; EXPTE: PR_SE 13_2021; SEISYPC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0"/>
  </r>
  <r>
    <n v="220230000085"/>
    <s v="AD"/>
    <d v="2023-01-01T00:00:00"/>
    <n v="22023000592"/>
    <s v="2023 09 3341 22100"/>
    <n v="83000"/>
    <x v="23"/>
    <s v="SUMINISTRO ENERGÍA ELÉCTRICA CÚPULA DEL MILENIO, ROSA CHACEL Y GALERIAS VALLADOLID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100"/>
  </r>
  <r>
    <n v="220230000086"/>
    <s v="AD"/>
    <d v="2023-01-01T00:00:00"/>
    <n v="22023000593"/>
    <s v="2023 09 4321 22100"/>
    <n v="27000"/>
    <x v="23"/>
    <s v="CONTRATO CENTRALIZADO SUMINISTRO ENERGIA ELECTRICA ALBERGUE PEREGRINOS PUENTE DUERO, PANTALLA ALBERTO FDEZ Y LA HIPICA"/>
    <s v="220"/>
    <s v="BILBAO"/>
    <s v="VIZCAYA"/>
    <x v="3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100"/>
  </r>
  <r>
    <n v="220230000087"/>
    <s v="AD"/>
    <d v="2023-01-01T00:00:00"/>
    <n v="22023000595"/>
    <s v="2023 10 2412 22100"/>
    <n v="13500"/>
    <x v="23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0"/>
  </r>
  <r>
    <n v="220230000088"/>
    <s v="AD"/>
    <d v="2023-01-01T00:00:00"/>
    <n v="22023000596"/>
    <s v="2023 11 1621 22100"/>
    <n v="38000"/>
    <x v="23"/>
    <s v="CONTRATO SUMINISTRO ENERGIA ELECTRICA SERVICIO DE LIMPIEZ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0"/>
  </r>
  <r>
    <n v="220230000089"/>
    <s v="AD"/>
    <d v="2023-01-01T00:00:00"/>
    <n v="22023000597"/>
    <s v="2023 11 1631 22100"/>
    <n v="65000"/>
    <x v="23"/>
    <s v="SUMINISTRO ENERGIA ELECTRICA S. LIMPIEZA VIARIA AÑ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0"/>
  </r>
  <r>
    <n v="220230000090"/>
    <s v="AD"/>
    <d v="2023-01-01T00:00:00"/>
    <n v="22023000598"/>
    <s v="2023 05 4331 22100"/>
    <n v="50000"/>
    <x v="23"/>
    <s v="2021-13 Contrato de suministro de energia eléctica Instalaciones Municipales Calle Vega Sicilia,2 (Agencia Innovación) ."/>
    <s v="220"/>
    <s v="BILBAO"/>
    <s v="VIZCAYA"/>
    <x v="1"/>
    <s v="PrAbier - Procedimiento Abierto"/>
    <s v="UniC - Único Criterio"/>
    <x v="0"/>
    <x v="0"/>
    <s v="2"/>
    <s v="2. Gastos corrientes en bienes y servicios"/>
    <s v="05"/>
    <x v="7"/>
    <s v="4331"/>
    <s v="4331. Desarrollo empresarial"/>
    <s v="22"/>
    <s v="22100"/>
  </r>
  <r>
    <n v="220230000091"/>
    <s v="AD"/>
    <d v="2023-01-01T00:00:00"/>
    <n v="22023000599"/>
    <s v="2023 08 1341 22100"/>
    <n v="210000"/>
    <x v="23"/>
    <s v="ENERGÍA ELÉCTRICA 2022-2023 _ CENTRO DE MOVILIDAD URBANA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0"/>
  </r>
  <r>
    <n v="220230000092"/>
    <s v="AD"/>
    <d v="2023-01-01T00:00:00"/>
    <n v="22023000600"/>
    <s v="2023 11 3111 22100"/>
    <n v="6000"/>
    <x v="23"/>
    <s v="SUMINISTRO ENERGIA ELECTRICA 2022 Y 2023 . SERVICIO SALUD PUBLICA. EXPTE. PR-SE 13/2021"/>
    <s v="220"/>
    <s v="BILBAO"/>
    <s v="VIZCAYA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0"/>
  </r>
  <r>
    <n v="220230000093"/>
    <s v="AD"/>
    <d v="2023-01-01T00:00:00"/>
    <n v="22023000601"/>
    <s v="2023 07 1721 22100"/>
    <n v="20000"/>
    <x v="23"/>
    <s v="CONTRATO DE SUMINISTRO DE ENERGÍA ELÉCTRICA.  SERVICIO DE MEDIO AMBIENTE"/>
    <s v="220"/>
    <s v="BILBAO"/>
    <s v="VIZCAYA"/>
    <x v="3"/>
    <s v="PrAbier - Procedimiento Abierto"/>
    <s v="UniC - Único Criterio"/>
    <x v="0"/>
    <x v="0"/>
    <s v="2"/>
    <s v="2. Gastos corrientes en bienes y servicios"/>
    <s v="07"/>
    <x v="4"/>
    <s v="1721"/>
    <s v="1721. Protección del medio ambiente"/>
    <s v="22"/>
    <s v="22100"/>
  </r>
  <r>
    <n v="220230000094"/>
    <s v="AD"/>
    <d v="2023-01-01T00:00:00"/>
    <n v="22023000602"/>
    <s v="2023 07 1711 22100"/>
    <n v="340000"/>
    <x v="23"/>
    <s v="CONTRATO SUMINISTRO ENERGIA ELECTRICA, SERVICIO DE PARQUES Y JARDINES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100"/>
  </r>
  <r>
    <n v="220230000095"/>
    <s v="AD"/>
    <d v="2023-01-01T00:00:00"/>
    <n v="22023000603"/>
    <s v="2023 07 1701 22100"/>
    <n v="21000"/>
    <x v="23"/>
    <s v="CONTRATO SUMINISTRO ENERGIA ELECTRICA CASA DEL BARCO Y ANEXO, Y GRUPO PRESION XXV AÑOS DE PAZ."/>
    <s v="220"/>
    <s v="BILBAO"/>
    <s v="VIZCAYA"/>
    <x v="3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100"/>
  </r>
  <r>
    <n v="220230000097"/>
    <s v="AD"/>
    <d v="2023-01-01T00:00:00"/>
    <n v="22023000605"/>
    <s v="2023 05 4312 22100"/>
    <n v="8000"/>
    <x v="23"/>
    <s v="NUEVO CONTRATO DE SUMINISTRO DE ENERGIA ELECTRICA PARA LAS DEPENDENCIAS DEL EXCMO. AYUNTAMIENTO DE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0"/>
  </r>
  <r>
    <n v="220230000098"/>
    <s v="AD"/>
    <d v="2023-01-01T00:00:00"/>
    <n v="22023000606"/>
    <s v="2023 08 1532 22100"/>
    <n v="13500"/>
    <x v="23"/>
    <s v="ENERGÍA ELÉCTRICA PARQUE VÍAS PÚBLICAS.-"/>
    <s v="220"/>
    <s v="BILBAO"/>
    <s v="VIZCAYA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0"/>
  </r>
  <r>
    <n v="220230000099"/>
    <s v="AD"/>
    <d v="2023-01-01T00:00:00"/>
    <n v="22023000607"/>
    <s v="2023 04 9204 22100"/>
    <n v="85000"/>
    <x v="23"/>
    <s v="SUMINISTRO ENERGÍA ELÉCTRICA, EDIFICIO ENRIQUE IV,  1/01/2022 A 31/12/2023"/>
    <s v="220"/>
    <s v="BILBAO"/>
    <s v="VIZCAYA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100"/>
  </r>
  <r>
    <n v="220230000133"/>
    <s v="AD"/>
    <d v="2023-01-01T00:00:00"/>
    <n v="22023000761"/>
    <s v="2023 06 3232 22100"/>
    <n v="460000"/>
    <x v="23"/>
    <s v="PR-SE 13/2021. NUEVO CONTRATO SUMINISTRO DE ENERGÍA ELÉCTRICA AYUNTAMIENTO DE VALLADOLID. COLEGIOS PÚBLICOS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0"/>
  </r>
  <r>
    <n v="220230000134"/>
    <s v="AD"/>
    <d v="2023-01-01T00:00:00"/>
    <n v="22023000762"/>
    <s v="2023 11 1321 22100"/>
    <n v="95000"/>
    <x v="23"/>
    <s v="NUEVO CONTRATO DE ENERGÍA ELÉCTRICA PARA POLICIA MUNICIPAL  EJERCICIOS 2022 Y 2023"/>
    <s v="220"/>
    <s v="BILBAO"/>
    <s v="VIZCAY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0"/>
  </r>
  <r>
    <n v="220230000135"/>
    <s v="AD"/>
    <d v="2023-01-01T00:00:00"/>
    <n v="22023000763"/>
    <s v="2023 03 9241 22100"/>
    <n v="423506"/>
    <x v="23"/>
    <s v="ENERGÍA ELÉCTRICA SERVICIO DE PARTICIPACIÓN CIUDADANA"/>
    <s v="220"/>
    <s v="BILBAO"/>
    <s v="VIZCAY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0"/>
  </r>
  <r>
    <n v="220230000039"/>
    <s v="AD"/>
    <d v="2023-01-01T00:00:00"/>
    <n v="22023000526"/>
    <s v="2023 03 9241 213"/>
    <n v="2488.3000000000002"/>
    <x v="130"/>
    <s v="LOTE 3: MANTENIMIENTO ASCENSORES EDIFICIOS DEPENDIENTES SERVICIO PARTICIPACIÓN CIUDADANA"/>
    <s v="220"/>
    <s v="VIGO"/>
    <s v="PONTEVEDRA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723"/>
    <s v="AD"/>
    <d v="2023-01-01T00:00:00"/>
    <n v="22023001304"/>
    <s v="2023 06 3261 213"/>
    <n v="457.38"/>
    <x v="130"/>
    <s v="SE 58-20 P.S. 4 PRORROGA CTTO MANTENIMIENTO ASCENSORES LOTE 1 ESCUELA MUNICIPAL DE MUSICA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725"/>
    <s v="AD"/>
    <d v="2023-01-01T00:00:00"/>
    <n v="22023001305"/>
    <s v="2023 06 2314 213"/>
    <n v="457.38"/>
    <x v="130"/>
    <s v="SE 58-20 P.S.4 PRORROGA CTTO MANTENIMIENTO ASCENSORES LOTE 1: ESPACIO JOVEN NORTE. AÑOS 2023 Y 2024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29000729"/>
    <s v="AD"/>
    <d v="2023-01-01T00:00:00"/>
    <n v="22023001309"/>
    <s v="2023 06 3232 213"/>
    <n v="6860.7"/>
    <x v="130"/>
    <s v="SE 58-20 P.S. 4 PRORROGA CTTO MANTENIMIENTO ASCENSORES LOTE 1. COLEGIOS PUBLICOS. AÑOS 2023 Y 2024.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34"/>
    <s v="AD"/>
    <d v="2023-02-03T00:00:00"/>
    <n v="22023001341"/>
    <s v="2023 11 1321 213"/>
    <n v="3518.64"/>
    <x v="130"/>
    <s v="MANTENIMIENTO DE DOS ASCENSORES DEPENDENCIAS POLICÍA MUNICIPAL EN AVDA DE BURGOS. EJERCICIO 2023."/>
    <s v="220"/>
    <s v="VIGO"/>
    <s v="PONTEVEDR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50"/>
    <s v="AD"/>
    <d v="2023-01-01T00:00:00"/>
    <n v="22023001257"/>
    <s v="2023 10 2311 213"/>
    <n v="439.96"/>
    <x v="131"/>
    <s v="MANTENIMIENTO DE ELEVADORES DE LOS CENTROS DE INTERV.SOCIAL (Comedor Social-proy.F.A.)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1"/>
    <s v="AD"/>
    <d v="2023-01-01T00:00:00"/>
    <n v="22023001258"/>
    <s v="2023 10 2311 213"/>
    <n v="879.92"/>
    <x v="131"/>
    <s v="MANTENIMIENTO DE 2 ELEVADORES EN EL CENTRO INTEGRADO- SERV.INTERVENCION SOCIAL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5"/>
    <s v="AD"/>
    <d v="2023-01-01T00:00:00"/>
    <n v="22023001263"/>
    <s v="2023 10 2312 213"/>
    <n v="1759.84"/>
    <x v="131"/>
    <s v="Mantenimiento de los elevadores dependientes del Servicio de Iniciativas Sociales CPMS Transferido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6"/>
    <s v="AD"/>
    <d v="2023-01-01T00:00:00"/>
    <n v="22023001264"/>
    <s v="2023 10 2312 213"/>
    <n v="3079.72"/>
    <x v="131"/>
    <s v="Mantenimiento de los elevadores dependientes del Servicio de Iniciativas Sociales durante el 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057"/>
    <s v="AD"/>
    <d v="2023-01-01T00:00:00"/>
    <n v="22023001369"/>
    <s v="2023 0850 1341 609"/>
    <n v="7158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57"/>
    <s v="AD"/>
    <d v="2023-01-01T00:00:00"/>
    <n v="22023001265"/>
    <s v="2023 10 2412 213"/>
    <n v="439.96"/>
    <x v="131"/>
    <s v="Mantenimiento de elevador del Centro de Formación Jacinto Benavente. Desde 1 de enero a 31 de diciembre de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9000378"/>
    <s v="AD"/>
    <d v="2023-01-01T00:00:00"/>
    <n v="22023000452"/>
    <s v="2023 06 2315 22620"/>
    <n v="9936"/>
    <x v="133"/>
    <s v="LOTE 2 - CONTRATACION SERVICIOS PARA EL DESARROLLO DEL PLAN DE INSERCION LABORAL  AÑOS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069"/>
    <s v="AD"/>
    <d v="2023-01-01T00:00:00"/>
    <n v="22023000878"/>
    <s v="2023 03 9241 632"/>
    <n v="1634.94"/>
    <x v="132"/>
    <s v="CONTROL CALIDAD OBRA REHABILITACIÓN ANTIGUO FRONTÓN LAS FLORES (CONTRATO BASADO ACUERDO MARCO CALIDAD EXP:SEMEU 09/2020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9000379"/>
    <s v="AD"/>
    <d v="2023-01-01T00:00:00"/>
    <n v="22023000453"/>
    <s v="2023 06 2315 22620"/>
    <n v="6439.86"/>
    <x v="134"/>
    <s v="LOTE 3 - CONTRATACION SERVICIOS PARA EL DESARROLLO DEL PLAN DE INSERCION LABORAL  AÑOS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29000812"/>
    <s v="AD"/>
    <d v="2023-01-01T00:00:00"/>
    <n v="22023001884"/>
    <s v="2023 04 9311 22799"/>
    <n v="3811.5"/>
    <x v="135"/>
    <s v="1ª PRORROGA CONTRATO LAS CUENTAS CLARAS 18-02-2023 A 31-1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811"/>
    <s v="AD"/>
    <d v="2023-01-01T00:00:00"/>
    <n v="22023001883"/>
    <s v="2023 04 9311 22799"/>
    <n v="1270.5"/>
    <x v="135"/>
    <s v="ULTIMO PAGO CONTRATO &quot;&quot;LAS CUENTAS CLARAS&quot;&quot;   17-02-2021 A 17-02-2023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5"/>
    <s v="9311"/>
    <s v="9311. Planificación económico financiera"/>
    <s v="22"/>
    <s v="22799"/>
  </r>
  <r>
    <n v="220229000388"/>
    <s v="AD"/>
    <d v="2023-01-01T00:00:00"/>
    <n v="22023000458"/>
    <s v="2023 02 1511 619"/>
    <n v="8453.1"/>
    <x v="132"/>
    <s v="ADJ.C.CALIDAD LOTE 2.EXPTE.6/22 OBRAS FASE I REURBANIZACIÓN C. DANIEL DEL OLMO Y PRIMER TRAMO NORTE DE CASTILLA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79"/>
    <s v="AD"/>
    <d v="2023-01-01T00:00:00"/>
    <n v="22023001282"/>
    <s v="2023 05 4331 609"/>
    <n v="19.420000000000002"/>
    <x v="132"/>
    <s v="REDACCIÓN Y SEGUIMIENTO DE PLAN DE CONTROL DE CALIDAD, POR TÉCNICO COMPETENTE EN FUNCIÓN DEL TIPO DE OBRA.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444"/>
    <s v="AD"/>
    <d v="2023-01-01T00:00:00"/>
    <n v="22023000734"/>
    <s v="2023 04 9204 641"/>
    <n v="15511.9"/>
    <x v="136"/>
    <s v="LICENCIAS VINCULADAS CON LA SOLUCIÓN DE ANTIVIRUS, LOTE 3 GRUPO A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023"/>
    <s v="AD"/>
    <d v="2023-01-01T00:00:00"/>
    <n v="22023000288"/>
    <s v="2023 04 9204 641"/>
    <n v="14707.74"/>
    <x v="136"/>
    <s v="SUMINISTRO, INSTALACIÓN, CONFIGURACIÓN Y PUESTA EN MARCHA DE UN SISTEMA DE COPIAS DE SEGURIDAD, LOTE 1 (58/2021)"/>
    <s v="220"/>
    <s v="VALLADOLID"/>
    <s v="VALLADOL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442"/>
    <s v="AD"/>
    <d v="2023-01-01T00:00:00"/>
    <n v="22023000732"/>
    <s v="2023 04 9204 641"/>
    <n v="11495"/>
    <x v="136"/>
    <s v="LICENCIAS VINCULADAS CON LA SOLUCIÓN ANTIVIRUS  LOTE 3 GRUPO B (23/2022)"/>
    <s v="220"/>
    <s v="VALLADOLID"/>
    <s v="VALLADOLID"/>
    <x v="3"/>
    <s v="PrAbier - Procedimiento Abierto"/>
    <s v="UniC - Único Criterio"/>
    <x v="0"/>
    <x v="0"/>
    <s v="6"/>
    <s v="6. Inversiones reales"/>
    <s v="04"/>
    <x v="5"/>
    <s v="9204"/>
    <s v="9204. Tecnologías de la información y comunicación"/>
    <s v="64"/>
    <s v="641"/>
  </r>
  <r>
    <n v="220229000100"/>
    <s v="AD"/>
    <d v="2023-01-01T00:00:00"/>
    <n v="22023000886"/>
    <s v="2023 09 3341 22200"/>
    <n v="573.54"/>
    <x v="136"/>
    <s v="CONTRATO DEL SERVICIO DE MANTENIMIENTO DEL SISTEMA DE CONEXIÓN A INTERNET MEDIANTE WIFI EN GALERÍAS VA 1/4/22 AL 1/4/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29000517"/>
    <s v="AD"/>
    <d v="2023-01-01T00:00:00"/>
    <n v="22023001205"/>
    <s v="2023 09 3341 22602"/>
    <n v="4627.04"/>
    <x v="137"/>
    <s v="DISEÑO Y ARTES FINALES PARA LA PUBLICIDAD DE LAS ACTIVIDADES REALIZADAS EN GALERIAS V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9000268"/>
    <s v="AD"/>
    <d v="2023-01-01T00:00:00"/>
    <n v="22023000939"/>
    <s v="2023 04 9204 641"/>
    <n v="18750"/>
    <x v="107"/>
    <s v="MTO. DEL SISTEMA DE INFORMACIÓN DEL PADRÓN MUNICIPAL DE HABITANTES DEL AYTO DE VALLADOLID, SEGUNDA PRÓRROGA (36/2022)"/>
    <s v="220"/>
    <s v="ECIJA"/>
    <s v="SEVILLA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29000182"/>
    <s v="AD"/>
    <d v="2023-01-01T00:00:00"/>
    <n v="22023000924"/>
    <s v="2023 01 9312 22706"/>
    <n v="8167.5"/>
    <x v="107"/>
    <s v="PRIMERA PRORROGA CONTRATO DE MANTENIMIENTO Y ASISTENCIA TECNICA DE LA APLICACIÓN DE CONTABILIDAD ANALITICA (2023)"/>
    <s v="220"/>
    <s v="ECIJA"/>
    <s v="SEVILL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29000838"/>
    <s v="AD"/>
    <d v="2023-01-01T00:00:00"/>
    <n v="22023001898"/>
    <s v="2023 10 2312 22699"/>
    <n v="8893.5"/>
    <x v="138"/>
    <s v="ACTUACIONES MUSICALES DURANTE 2023 EN LOS CPM- INICIATIVAS SOCIALES"/>
    <s v="220"/>
    <s v="ZARATAN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678"/>
    <s v="AD"/>
    <d v="2023-01-01T00:00:00"/>
    <n v="22023001281"/>
    <s v="2023 06 2315 22611"/>
    <n v="363"/>
    <x v="139"/>
    <s v="TALLER DE IMPROVISACIÓN TEATRAL EN EL CENTRO MUNICIPAL DE IGUALDAD(CMI), ENER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81"/>
    <s v="AD"/>
    <d v="2023-01-01T00:00:00"/>
    <n v="22023001284"/>
    <s v="2023 05 4331 609"/>
    <n v="1568.4"/>
    <x v="132"/>
    <s v="ENSAYOS DE CONTROL DE CALIDAD DE OBRAS MUNICIPALES DEL LOTE 2, DEFINIDOS EN EL PLAN DE CALIDAD DE LA OBRA DE SUDS"/>
    <s v="220"/>
    <s v="SANT CUGAT DEL VALLES"/>
    <s v="BARCELON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314"/>
    <s v="AD"/>
    <d v="2023-01-01T00:00:00"/>
    <n v="22023001145"/>
    <s v="2023 02 1511 609"/>
    <n v="2408.62"/>
    <x v="132"/>
    <s v="ADJ.C.CALIDAD LOTE 2 (ASIS.TECNI)REURBAN.PLA.LA COMUNICACIÓN (ANT.AP25 ARIZA)CALLE ADOLFO SUAREZ.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047"/>
    <s v="AD"/>
    <d v="2023-02-06T00:00:00"/>
    <n v="22023001404"/>
    <s v="2023 0250 9332 632"/>
    <n v="441.26"/>
    <x v="132"/>
    <s v="CONTROL DE CALIDAD-EXCAVACIÓN ARQUEOLÓGICA EN EL PATIO CENTRAL DEL  MONASTERIO SAN BENITO"/>
    <s v="220"/>
    <s v="SANT CUGAT DEL VALLES"/>
    <s v="BARCELONA"/>
    <x v="1"/>
    <s v="PrAbier - Procedimiento Abierto"/>
    <s v="MultiC - MultiCriterio"/>
    <x v="1"/>
    <x v="0"/>
    <n v="6"/>
    <s v="6. Inversiones reales"/>
    <s v="02"/>
    <x v="3"/>
    <n v="9332"/>
    <s v="9332. Mantenimiento de edificios e instalaciones municipales"/>
    <n v="63"/>
    <n v="632"/>
  </r>
  <r>
    <n v="220229000808"/>
    <s v="AD"/>
    <d v="2023-01-01T00:00:00"/>
    <n v="22023001880"/>
    <s v="2023 06 3321 213"/>
    <n v="1422.32"/>
    <x v="67"/>
    <s v="SE-EIJI 11/2022 PS 1. PRORROGA CONTRATO MANTENIMIENTO BIBLIOTECAS PUBLICAS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29000806"/>
    <s v="AD"/>
    <d v="2023-01-01T00:00:00"/>
    <n v="22023001878"/>
    <s v="2023 06 3261 213"/>
    <n v="711.16"/>
    <x v="67"/>
    <s v="SE-EIJI 11/2022 PS 1. PRORROGA CONTRATO MANTENIMIENTO ESCUELA MUNICIPAL DE MUSICA. LOTE 1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29000086"/>
    <s v="AD"/>
    <d v="2023-01-01T00:00:00"/>
    <n v="22023000294"/>
    <s v="2023 11 1621 213"/>
    <n v="2291.67"/>
    <x v="140"/>
    <s v="ADJUDICACION CONTRATO REPARACIONES INSTALACIONES TÉRMICAS EXP SPSC 35/2021 DEL Sº LIMPIEZA, DEL 1-1-2023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7"/>
    <s v="AD"/>
    <d v="2023-01-01T00:00:00"/>
    <n v="22023000295"/>
    <s v="2023 11 1621 213"/>
    <n v="2662"/>
    <x v="140"/>
    <s v="ADJUDICACIÓN EXP V35/2021 CONTRATO MANTENIMIENTO INSTALACIONES TÉRMICAS Sº LIMPIEZA, DEL 1-1 AL 30-11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89"/>
    <s v="AD"/>
    <d v="2023-01-01T00:00:00"/>
    <n v="22023000296"/>
    <s v="2023 11 1361 213"/>
    <n v="3872"/>
    <x v="140"/>
    <s v="CONTRATO MANTENIMIENTO INSTALACIONES TERMICAS; LOTE 2; PRESTACIONES BÁSICAS; AÑO 2023///SEISYPC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0"/>
    <s v="AD"/>
    <d v="2023-01-01T00:00:00"/>
    <n v="22023000297"/>
    <s v="2023 11 1361 213"/>
    <n v="4583.3900000000003"/>
    <x v="140"/>
    <s v="CONTRATO MANTENIMIENTO INSTALACIONES TERMICAS; LOTE 2; PRESTACIONES COMPLEMENTARIAS/AÑO 2023///SEISY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88"/>
    <s v="AD"/>
    <d v="2023-01-01T00:00:00"/>
    <n v="22023000882"/>
    <s v="2023 11 1621 213"/>
    <n v="242"/>
    <x v="140"/>
    <s v="ADJUDICACIÓN CONTRATO EXP SPSC 35/2021 MANTENIMIENTOINSTALACIONES TÉRMICAS Sº LIMPIEZA, DIC 2023, ENERO Y 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29000091"/>
    <s v="AD"/>
    <d v="2023-01-01T00:00:00"/>
    <n v="22023000883"/>
    <s v="2023 11 1361 213"/>
    <n v="416.61"/>
    <x v="140"/>
    <s v="MANTENIMIENTO INSTALACIONES TERMICAS;LOTE 2:PRESTACIONES COMPLEMENTARIAS/POR REAJUSTE ANUALIDADES/2023//SEIS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29000094"/>
    <s v="AD"/>
    <d v="2023-01-01T00:00:00"/>
    <n v="22023000884"/>
    <s v="2023 11 1621 213"/>
    <n v="208.33"/>
    <x v="140"/>
    <s v="ADJUDICACIÓN CONTRATO REPARACIONES INSTALACIONES TERMICAS EXP SPSC 35/2021 Sº LIMPIEZA, DIC 2023, ENERO-FEBRER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1"/>
    <s v="213"/>
  </r>
  <r>
    <n v="220219001266"/>
    <s v="AD"/>
    <d v="2023-01-01T00:00:00"/>
    <n v="22023003297"/>
    <s v="2023 04 9204 213"/>
    <n v="805.86"/>
    <x v="140"/>
    <s v="MANTENIMIENTO DE LOS SISTEMAS DE FONTANERÍA, SANEAMIENTO Y PANEL SOLAR,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29000323"/>
    <s v="AD"/>
    <d v="2023-01-01T00:00:00"/>
    <n v="22023001149"/>
    <s v="2023 11 3111 22113"/>
    <n v="10768.55"/>
    <x v="141"/>
    <s v="PRORROGA CONTRATO SIUMINISTRO DE MEDICAMENTOS Y PIENSOS PARA EL C.M.P.A. 12--9-2022 A 11-9-2023 - LOTE 1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113"/>
  </r>
  <r>
    <n v="220229000877"/>
    <s v="AD"/>
    <d v="2023-01-01T00:00:00"/>
    <n v="22023002063"/>
    <s v="2023 01 9203 22000"/>
    <n v="3826.13"/>
    <x v="142"/>
    <s v="CONTRATO SUMINISTRO MATERIAL DE OFICINA ALMACEN DE ACOPIOS LOTE 1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0"/>
    <s v="AD"/>
    <d v="2023-01-01T00:00:00"/>
    <n v="22023002066"/>
    <s v="2023 01 9203 22000"/>
    <n v="12188.55"/>
    <x v="142"/>
    <s v="CONTRATO SUMINISTRO MATERIAL DE OFICINA ALMACEN DE ACOPIOS LOTE 4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81"/>
    <s v="AD"/>
    <d v="2023-01-01T00:00:00"/>
    <n v="22023002067"/>
    <s v="2023 01 9203 22000"/>
    <n v="40926.160000000003"/>
    <x v="142"/>
    <s v="CONTRATO SUMINISTRO MATERIAL DE OFICINA ALMACEN DE ACOPIOS LOTE 6  DE 01/02/2023-31/12/2023, R.I."/>
    <s v="220"/>
    <s v="BURGOS"/>
    <s v="BURGOS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175"/>
    <s v="AD"/>
    <d v="2023-01-01T00:00:00"/>
    <n v="22023000919"/>
    <s v="2023 03 9241 22104"/>
    <n v="4083.94"/>
    <x v="143"/>
    <s v="PRÓRROGA CONTRATO SUMINISTRO DE VESTUARIO LOTE 1 (DE 1 ENERO A 14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8"/>
    <s v="AD"/>
    <d v="2023-01-01T00:00:00"/>
    <n v="22023000922"/>
    <s v="2023 01 9203 22104"/>
    <n v="6644.85"/>
    <x v="143"/>
    <s v="PRIMERA PRORROGA CONTRATO SUMINISTRO VESTUARIO PERSONAL ADSCRITO REGIMEN INTERIOR (16 DIC-2022- 15 JUNIO 2023)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29000179"/>
    <s v="AD"/>
    <d v="2023-01-01T00:00:00"/>
    <n v="22023000923"/>
    <s v="2023 06 3232 22104"/>
    <n v="2121.75"/>
    <x v="143"/>
    <s v="PRORROGA EXPTE. PR-SE 13/2022. SUMINISTRO VESTUARIO SERVICIOS MUNICIPALES. SERVICIO DE EDUCACION.2023. LOTE 1. TEXTIL"/>
    <s v="220"/>
    <s v="VALLADOLID"/>
    <s v="VALLADOLID"/>
    <x v="3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2"/>
    <s v="22104"/>
  </r>
  <r>
    <n v="220229000902"/>
    <s v="AD"/>
    <d v="2023-01-01T00:00:00"/>
    <n v="22023002070"/>
    <s v="2023 06 2315 22611"/>
    <n v="1306.8"/>
    <x v="144"/>
    <s v="TALLERES DE CLAVES PARA UNA COMUNICACION NO SEXIST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878"/>
    <s v="AD"/>
    <d v="2023-01-01T00:00:00"/>
    <n v="22023002064"/>
    <s v="2023 01 9203 22000"/>
    <n v="11423.17"/>
    <x v="145"/>
    <s v="CONTRATO SUMINISTRO MATERIAL DE OFICINA ALMACEN DE ACOPIOS LOTE 2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879"/>
    <s v="AD"/>
    <d v="2023-01-01T00:00:00"/>
    <n v="22023002065"/>
    <s v="2023 01 9203 22000"/>
    <n v="24384.47"/>
    <x v="145"/>
    <s v="CONTRATO SUMINISTRO MATERIAL DE OFICINA ALMACEN DE ACOPIOS LOTE 3  DE 01/02/2023-31/12/2023, R.I."/>
    <s v="220"/>
    <s v="VALLADOLID"/>
    <s v="VALLADOL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000"/>
  </r>
  <r>
    <n v="220229000469"/>
    <s v="AD"/>
    <d v="2023-01-01T00:00:00"/>
    <n v="22023001190"/>
    <s v="2023 06 3261 22799"/>
    <n v="5384.5"/>
    <x v="146"/>
    <s v="VISITAS PROG CONOCE TU CIUDAD I &quot;&quot;&quot;&quot;VALLADOLID EN VALOR&quot;&quot;&quot;&quot; ALUMNADO 3º-6º PRIM CENTROS EDUCATIVOS VALLADOLID 1-1 AL 15-6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0194"/>
    <s v="AD"/>
    <d v="2023-01-01T00:00:00"/>
    <n v="22023000830"/>
    <s v="2023 04 9204 216"/>
    <n v="16076.69"/>
    <x v="46"/>
    <s v="ASIST. TÉCNICA OPERACIÓN, CAU, Y MTO. 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44"/>
    <s v="AD"/>
    <d v="2023-01-01T00:00:00"/>
    <n v="22023001253"/>
    <s v="2023 04 9204 216"/>
    <n v="598.44000000000005"/>
    <x v="46"/>
    <s v="ASIST. TÉCNICA OPERACIÓN, CAU, Y MTO.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740"/>
    <s v="AD"/>
    <d v="2023-01-01T00:00:00"/>
    <n v="22023000739"/>
    <s v="2023 1050 2313 641"/>
    <n v="94198.84"/>
    <x v="71"/>
    <s v="TRANSFORMACION DIGITAL DE LOS SERVICIOS SOCIALES DE ATENCION A LAS PERSONAS-CONVENIO CON JCYL FINANCIADO X FONDOS PRTR"/>
    <s v="220"/>
    <s v="MADRID"/>
    <s v="MADRID"/>
    <x v="1"/>
    <s v="PrAbier - Procedimiento Abierto"/>
    <s v="MultiC - MultiCriterio"/>
    <x v="0"/>
    <x v="0"/>
    <n v="6"/>
    <s v="6. Inversiones reales"/>
    <s v="10"/>
    <x v="1"/>
    <n v="2313"/>
    <s v="2313. Dirección del área de servicios sociales"/>
    <n v="64"/>
    <n v="641"/>
  </r>
  <r>
    <n v="220229000264"/>
    <s v="AD"/>
    <d v="2023-01-01T00:00:00"/>
    <n v="22023000936"/>
    <s v="2023 10 2311 22799"/>
    <n v="8655"/>
    <x v="19"/>
    <s v="contrato proy.socioeduc.y des.comunit.ceas-programa construyendo mi futuro-ene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29000580"/>
    <s v="AD"/>
    <d v="2023-01-01T00:00:00"/>
    <n v="22023001224"/>
    <s v="2023 10 2316 22616"/>
    <n v="4000"/>
    <x v="19"/>
    <s v="TALLERES DE SENSIB. CONV. INTERCULTURAL EN CENTROS EDUCATIVOS Y EN GRUPOS DE INF Y ADULTOS EN CEAS. -  ENERO-JUNI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616"/>
  </r>
  <r>
    <n v="220229000067"/>
    <s v="AD"/>
    <d v="2023-01-01T00:00:00"/>
    <n v="22023000876"/>
    <s v="2023 01 9205 203"/>
    <n v="772.46"/>
    <x v="147"/>
    <s v="ADJUDICA ALQUILER Y MANTENIMIENTO EQUIPO PRODUCCIÓN DIGITAL BIZHUB PRO C-6500 IMPRENTA: ENERO y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29000021"/>
    <s v="AD"/>
    <d v="2023-01-01T00:00:00"/>
    <n v="22023000867"/>
    <s v="2023 09 4321 22799"/>
    <n v="5082"/>
    <x v="116"/>
    <s v="PRÓRROGA CONTRATO GESTIÓN DE LAS PANTALLAS DE GRAN FORMATO UBICADAS EN LA CIUDAD DE VALLADOLID 74/2017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19001173"/>
    <s v="AD"/>
    <d v="2023-01-01T00:00:00"/>
    <n v="22023003351"/>
    <s v="2023 09 4321 22799"/>
    <n v="4563.0200000000004"/>
    <x v="116"/>
    <s v="CONTRATO DE PLANIFICACIÓN, CAPTACION Y GESTION DE PATROCINIOS 2021/40, REAJUSTE DEL GASTO: 22661,98+4563,02= 27225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2"/>
    <s v="22799"/>
  </r>
  <r>
    <n v="220230000190"/>
    <s v="AD"/>
    <d v="2023-01-01T00:00:00"/>
    <n v="22023000825"/>
    <s v="2023 04 9231 22799"/>
    <n v="11935"/>
    <x v="87"/>
    <s v="PRORROGA CONTRATO IMPRESION, PLEGADO Y ENSOBRADO DE ENVIOS POSTALES AÑOS 2022-2023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0155"/>
    <s v="AD"/>
    <d v="2023-01-01T00:00:00"/>
    <n v="22023000788"/>
    <s v="2023 06 3232 213"/>
    <n v="8977.7099999999991"/>
    <x v="148"/>
    <s v="SE-EIJI 27/2021. MANTENIMIENTO INSTALACIONES DE PROTECCIÓN CONTRA INCENDIOS. EDIFICIOS MUNICIPALES. LOTE 1. COLEGIO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0157"/>
    <s v="AD"/>
    <d v="2023-01-01T00:00:00"/>
    <n v="22023000790"/>
    <s v="2023 06 3231 213"/>
    <n v="702.85"/>
    <x v="148"/>
    <s v="SE-EIJI 27/2021. MANTENIMIENTO INSTALACIONES DE PROTECCIÓN CONTRA INCENDIOS. EDIFICIOS MUNICIPALES. LOTE 1. ESCUELAS INF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0159"/>
    <s v="AD"/>
    <d v="2023-01-01T00:00:00"/>
    <n v="22023000792"/>
    <s v="2023 06 3321 213"/>
    <n v="57.16"/>
    <x v="148"/>
    <s v="SE-EIJI 27/2021. MANTENIMIENTO INSTALACIONES DE PROTECCIÓN CONTRA INCENDIOS. EDIFICIOS MUNICIPALES. LOTE 1. BIBLIOTECA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0160"/>
    <s v="AD"/>
    <d v="2023-01-01T00:00:00"/>
    <n v="22023000793"/>
    <s v="2023 06 2314 213"/>
    <n v="255.03"/>
    <x v="148"/>
    <s v="SE-EIJI 27/2021. MANTENIMIENTO INSTALACIONES DE PROTECCIÓN CONTRA INCENDIOS. EDIFICIOS MUNICIPALES. LOTE 1. ESP JOVEN ZN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162"/>
    <s v="AD"/>
    <d v="2023-01-01T00:00:00"/>
    <n v="22023000795"/>
    <s v="2023 06 2315 213"/>
    <n v="26.38"/>
    <x v="148"/>
    <s v="SE-EIJI 27/2021. MANTENIMIENTO INSTALACIONES DE PROTECCIÓN CONTRA INCENDIOS. EDIFICIOS MUNICIPALES. LOTE 1.C.M. IGUALDAD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30000170"/>
    <s v="AD"/>
    <d v="2023-01-01T00:00:00"/>
    <n v="22023000803"/>
    <s v="2023 05 4331 213"/>
    <n v="288.62"/>
    <x v="148"/>
    <s v="CONTRATO SERVICIO DE MANTENIMIENTO DE LAS INSTALACIONES DE PROTECCIÓN CONTRA INCENDIOS - AGENCIA INNOVACIÓN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1940"/>
    <s v="AD"/>
    <d v="2023-02-03T00:00:00"/>
    <n v="22023001393"/>
    <s v="2023 02 9332 213"/>
    <n v="3153.98"/>
    <x v="148"/>
    <s v="ADECUACIONES EN LAS INSTALACIONES DE PROTECCION CONTRA INCENDIOS CASA CONSISTORIAL, SAN BENITO Y EL ARCHIVO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1203"/>
    <s v="ADO"/>
    <d v="2023-02-02T00:00:00"/>
    <n v="22023001683"/>
    <s v="2023 05 4331 213"/>
    <n v="28.12"/>
    <x v="148"/>
    <s v="AGENCIA INNOVACIÓN /MANTENIMIENTO PREVENTIVO DE MATERIAL CONTRA INCENDIOS CORRESPONDIENTE AL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1"/>
    <s v="213"/>
  </r>
  <r>
    <n v="220230000057"/>
    <s v="AD"/>
    <d v="2023-01-01T00:00:00"/>
    <n v="22023000554"/>
    <s v="2023 06 2315 22799"/>
    <n v="21938.639999999999"/>
    <x v="149"/>
    <s v="CONTRATO DE SERVICIOS GESTIÓN Y DESARROLLO DE TALL. EDUCAT. EN MATERIA DE IGUAL. Y CONTRA LA VIOLENC. / AÑO 2022 Y 2023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30"/>
    <s v="AD"/>
    <d v="2023-01-01T00:00:00"/>
    <n v="22023001310"/>
    <s v="2023 06 3231 22799"/>
    <n v="9616.17"/>
    <x v="150"/>
    <s v="PROGRAMA DE HUERTOS ESCOLARES ESCUELAS INFANTILES MUNICIPALES CURSO 2022-2023 (ENERO A AGOSTO 2023)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362"/>
    <s v="AD"/>
    <d v="2023-01-01T00:00:00"/>
    <n v="22023001157"/>
    <s v="2023 09 3341 22799"/>
    <n v="19581.97"/>
    <x v="151"/>
    <s v="PRORROGA CONTRATO PRESTACION SERVICIO MANTENIMIENTO COMUNICACION 2.0 AREA CULTURA Y TURISMO. 29-08- 2022 AL 28-08-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128"/>
    <s v="AD"/>
    <d v="2023-01-01T00:00:00"/>
    <n v="22023000303"/>
    <s v="2023 09 3341 22609"/>
    <n v="10164"/>
    <x v="151"/>
    <s v="ADJUDICACION SERVICIO MANTNEIMIENTO PLATAFORMA WEB Y GABINETE DE PRENSA, FERIA DEL LIBRO VALLADOLID 2023.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666"/>
    <s v="AD"/>
    <d v="2023-01-01T00:00:00"/>
    <n v="22023001270"/>
    <s v="2023 03 9241 22602"/>
    <n v="3297.47"/>
    <x v="152"/>
    <s v="PUBLICIDAD EXPOSICIONES Y MUESTRAS DE TEATRO Y CULTURA TRADICIONAL EN C. CÍVICOS (DISEÑO Y MAQUETACIÓN CARTEL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558"/>
    <s v="AD"/>
    <d v="2023-01-01T00:00:00"/>
    <n v="22023001218"/>
    <s v="2023 05 4314 22799"/>
    <n v="1922.69"/>
    <x v="153"/>
    <s v="MANTENIMIENTO-PROMOCION BASE  DATOS DE LOS ESTABLECIMIENTO DE COMERCIO SOSTENIBLE, EL 30% AL INICIO Y EL 70% FINALIZAC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29000367"/>
    <s v="AD"/>
    <d v="2023-01-01T00:00:00"/>
    <n v="22023001927"/>
    <s v="2023 11 1361 22103"/>
    <n v="20000"/>
    <x v="12"/>
    <s v="Expte.: PR_SE 37_2022 Contrato de suministro de gasóleo automoción; SEISYPC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774"/>
    <s v="AD"/>
    <d v="2023-01-01T00:00:00"/>
    <n v="22023001863"/>
    <s v="2023 09 3341 22799"/>
    <n v="3294.29"/>
    <x v="127"/>
    <s v="REAJUSTE CONTRATO SERVICIOS DINAMIZACION Y GESTION DE GALERIAS VALLADOLID 2023"/>
    <s v="220"/>
    <s v="VALLADOLID"/>
    <s v="VALLADOLID"/>
    <x v="1"/>
    <s v="PrNegSP - Procedimiento Negociado Sin Publicidad"/>
    <s v="SinC - Sin Criterio"/>
    <x v="2"/>
    <x v="0"/>
    <s v="2"/>
    <s v="2. Gastos corrientes en bienes y servicios"/>
    <s v="09"/>
    <x v="9"/>
    <s v="3341"/>
    <s v="3341. Coordinación de políticas culturales"/>
    <s v="22"/>
    <s v="22799"/>
  </r>
  <r>
    <n v="220230002048"/>
    <s v="AD"/>
    <d v="2023-02-06T00:00:00"/>
    <n v="22023001584"/>
    <s v="2023 0250 9332 632"/>
    <n v="1830.1"/>
    <x v="95"/>
    <s v="ESTUDIO DE SEGURIDAD Y SALUD REHABILITACIÓN ENERGÉTICA REFORMA Y ACTUALIZACIÓN DE LA CASA CONSISTORIAL EXP11/2022&quot;&quot;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00016734"/>
    <s v="AD"/>
    <d v="2023-03-29T00:00:00"/>
    <n v="22020002100"/>
    <s v="2023 02 1511 609"/>
    <n v="928.84"/>
    <x v="154"/>
    <s v="ADJUDICAR SEGURIDAD Y SALUD LOTE II DEL ARU 29 DE OCTUBRE FASE II (EXPTE. 5/19)"/>
    <s v="220"/>
    <s v="MADRID"/>
    <s v="MADR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7174"/>
    <s v="AD"/>
    <d v="2023-03-02T00:00:00"/>
    <n v="22023002972"/>
    <s v="2023 08 1513 83100"/>
    <n v="215.53"/>
    <x v="95"/>
    <s v="Coordinación de seguridad y salud por actuación subsidiaria en inmueble en calle Zapico 1.  OE 8_2021_"/>
    <s v="220"/>
    <s v="VALLADOLID"/>
    <s v="VALLADOLID"/>
    <x v="1"/>
    <s v="PrAbier - Procedimiento Abierto"/>
    <s v="MultiC - MultiCriterio"/>
    <x v="0"/>
    <x v="0"/>
    <s v="8"/>
    <s v="8. Activos financieros"/>
    <s v="08"/>
    <x v="0"/>
    <s v="1513"/>
    <s v="1513. Licencias urbanísticas"/>
    <s v="83"/>
    <s v="83100"/>
  </r>
  <r>
    <n v="220230011732"/>
    <s v="AD"/>
    <d v="2023-03-29T00:00:00"/>
    <n v="22023003579"/>
    <s v="2023 0250 9332 632"/>
    <n v="96.26"/>
    <x v="95"/>
    <s v="SERVICIO COORDINACIÓN S.SALUD OBRA FASE II EXC.ARQUEOLOGICA PATIO CENTRAL MONASTERIO SAN BENITO EL REAL"/>
    <s v="220"/>
    <s v="VALLADOLID"/>
    <s v="VALLADOLID"/>
    <x v="1"/>
    <s v="AdDirec - Adjudicación Directa"/>
    <s v="SinC - Sin Criterio"/>
    <x v="3"/>
    <x v="0"/>
    <n v="6"/>
    <s v="6. Inversiones reales"/>
    <s v="02"/>
    <x v="3"/>
    <n v="9332"/>
    <s v="9332. Mantenimiento de edificios e instalaciones municipales"/>
    <n v="63"/>
    <n v="632"/>
  </r>
  <r>
    <n v="220210028594"/>
    <s v="AD"/>
    <d v="2023-03-29T00:00:00"/>
    <n v="22021001304"/>
    <s v="2023 02 1511 609"/>
    <n v="2508.34"/>
    <x v="95"/>
    <s v="ADJ. CONTRATO S.SALUD EXPTE.LOTE 3 DE LA FASE II DE LA ACTUACION EN ARU 29 OCTUBRE EN C/VILLABAÑEZ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20885"/>
    <s v="AD"/>
    <d v="2023-03-29T00:00:00"/>
    <n v="22021007255"/>
    <s v="2023 02 9332 632"/>
    <n v="636.11"/>
    <x v="95"/>
    <s v="ADJ.SEGURIDAD Y SALUD EXPTE. 50/2021 &quot;&quot;CONTRATO OBRAS CONSOLIDACIÓN  CELDAS DEL CONVENTO DE STA. CATALINA&quot;&quot;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10081395"/>
    <s v="AD"/>
    <d v="2023-03-29T00:00:00"/>
    <n v="22021007258"/>
    <s v="2023 03 9241 632"/>
    <n v="3649.85"/>
    <x v="95"/>
    <s v="COORDINACIÓN DE SEGURIDAD Y SALUD OBRA REHABILITACION ANTIGUO FRONTON DE LAS FLORES PARA CENTRO DOTACIONAL"/>
    <s v="220"/>
    <s v="VALLADOLID"/>
    <s v="VALLADOLID"/>
    <x v="1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39779"/>
    <s v="AD"/>
    <d v="2023-03-29T00:00:00"/>
    <n v="22022001814"/>
    <s v="2023 02 1511 609"/>
    <n v="1071.24"/>
    <x v="101"/>
    <s v="ADJ.SEGURIDAD Y  SALUD.EXPTE.46/21 REURB.PZA. DE LA COMUNICACIÓN (ANTIGUA AP25-1 ARIZA) EN CALLE ADOLFO SUAREZ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11692"/>
    <s v="AD"/>
    <d v="2023-03-29T00:00:00"/>
    <n v="22022002010"/>
    <s v="2023 08 1341 619"/>
    <n v="239.13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772"/>
    <s v="AD"/>
    <d v="2023-01-01T00:00:00"/>
    <n v="22023001407"/>
    <s v="2023 0550 4312 22799"/>
    <n v="6550"/>
    <x v="155"/>
    <s v="CONTRATO MENOR SERVICIOS CURSO FORMACIÓN ESCAPARATISMO ECONOMÍA CIRCULAR PARA COMERCIOS Y MERCADOS VA."/>
    <s v="220"/>
    <s v="VALLADOLID"/>
    <s v="VALLADOLID"/>
    <x v="1"/>
    <s v="AdDirec - Adjudicación Directa"/>
    <s v="SinC - Sin Criterio"/>
    <x v="3"/>
    <x v="0"/>
    <n v="2"/>
    <s v="2. Gastos corrientes en bienes y servicios"/>
    <s v="05"/>
    <x v="7"/>
    <n v="4312"/>
    <s v="4312. Mercados, abastos y lonjas"/>
    <n v="22"/>
    <n v="22799"/>
  </r>
  <r>
    <n v="220169000655"/>
    <s v="AD"/>
    <d v="2023-01-01T00:00:00"/>
    <n v="22023003335"/>
    <s v="2023 08 1341 22799"/>
    <n v="16450"/>
    <x v="156"/>
    <s v="REAJUSTE ANUALIDADES INSTALACIONES GESTION Y MANTENIMIENTO SISTEMA AUTOMATICO PRESTAMOS DE BICICLETAS 2022-2023."/>
    <s v="220"/>
    <s v="ALBACETE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20013419"/>
    <s v="AD"/>
    <d v="2023-03-29T00:00:00"/>
    <n v="22022002550"/>
    <s v="2023 08 1532 622"/>
    <n v="277.16000000000003"/>
    <x v="95"/>
    <s v="Seguridad y Salud en Traslado del Parque de Vías Públicas, sito en C/ Títulos 51. Fase 2. Lote 1. Expte. SEMEU 30/2021.-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15507"/>
    <s v="AD"/>
    <d v="2023-03-29T00:00:00"/>
    <n v="22022002963"/>
    <s v="2023 11 1321 632"/>
    <n v="0.01"/>
    <x v="95"/>
    <s v="ACTIVIDADES DE COORDINACIÓN DE SEGURIDAD Y SALUD OBRAS AMPLIACIÓN VESTUARIOS DISTRITO 4."/>
    <s v="220"/>
    <s v="VALLADOLID"/>
    <s v="VALLADOLID"/>
    <x v="1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30003246"/>
    <s v="AD"/>
    <d v="2023-02-14T00:00:00"/>
    <n v="22023002435"/>
    <s v="2023 11 1361 22199"/>
    <n v="46.62"/>
    <x v="157"/>
    <s v="3 botellas de gas propano para formación de extinción de incendios; SEISYPC"/>
    <s v="220"/>
    <s v="MUGA DE SAYAGO"/>
    <s v="ZAMOR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588"/>
    <s v="AD"/>
    <d v="2023-02-08T00:00:00"/>
    <n v="22023002150"/>
    <s v="2023 11 1621 214"/>
    <n v="1106.19"/>
    <x v="158"/>
    <s v="DIAGNOSIS Y REPARACIÓN DISPOSITIVOS GEOLOCALIZACIÓN Y PESAJE EN VEHÍC. 8500LRN, 1375LMR Y 8612LRG. SERVICIO DE LIMPIEZA."/>
    <s v="220"/>
    <s v="SAN ESTEBAN DE LITERA"/>
    <s v="HUESC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9000254"/>
    <s v="AD"/>
    <d v="2023-01-01T00:00:00"/>
    <n v="22023001360"/>
    <s v="2023 0450 9231 641"/>
    <n v="18246.5"/>
    <x v="70"/>
    <s v="CONTRATO SISTEMA GESTION DEQUEJAS Y SUGERENCIAS - AÑOS 2023, 2024 Y 2025"/>
    <s v="220"/>
    <s v="BOECILLO"/>
    <s v="VALLADOLID"/>
    <x v="3"/>
    <s v="PrAbier - Procedimiento Abierto"/>
    <s v="MultiC - MultiCriterio"/>
    <x v="0"/>
    <x v="0"/>
    <n v="6"/>
    <s v="6. Inversiones reales"/>
    <s v="04"/>
    <x v="5"/>
    <n v="9231"/>
    <s v="9231. Información, registro y gestión del padrón"/>
    <n v="64"/>
    <n v="641"/>
  </r>
  <r>
    <n v="220210067024"/>
    <s v="AD"/>
    <d v="2023-03-29T00:00:00"/>
    <n v="22021006449"/>
    <s v="2023 11 1361 633"/>
    <n v="16077.38"/>
    <x v="159"/>
    <s v="SEGUNDA PRÓRROGA EXPTE: 23/2018;LOTE 1;MANTENIMIENTO PREVENTIVO DE EQUIPOS DE RESPIRACIÓN AUTÓNOMA Y ACCESORIOS; 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19000844"/>
    <s v="AD"/>
    <d v="2023-03-29T00:00:00"/>
    <n v="22022002211"/>
    <s v="2023 11 1361 633"/>
    <n v="5000"/>
    <x v="159"/>
    <s v="EXPTE:23/2018;SEGUNDA PRÓRROGA; LOTE 1; MANTENIMIENTO CORRECTIVO DE EQUIPOS DE RESPIRACIÓN AUTÓNOMA Y ACCESORIOS;SEISYPC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09000405"/>
    <s v="AD"/>
    <d v="2023-03-29T00:00:00"/>
    <n v="22021000291"/>
    <s v="2023 11 1361 633"/>
    <n v="58.64"/>
    <x v="159"/>
    <s v="MANTENIMIENTO CORRECTIVO DE EQUIPOS DE RESPIRACIÓN AUTÓNOMA Y ACCESORIOS."/>
    <s v="220"/>
    <s v="MADRID"/>
    <s v="MADRID"/>
    <x v="1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3"/>
    <s v="633"/>
  </r>
  <r>
    <n v="220230005425"/>
    <s v="AD"/>
    <d v="2023-02-22T00:00:00"/>
    <n v="22023002615"/>
    <s v="2023 06 3321 22001"/>
    <n v="16"/>
    <x v="160"/>
    <s v="CTTO SUMINISTRO SUSCRIPCIÓN REVISTA &quot;&quot;TURISMO RURAL&quot;&quot; PARA BIBLIOTECAS PÚBLICAS//AÑO 2023"/>
    <s v="220"/>
    <s v="TORRELAGUN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1965"/>
    <s v="AD"/>
    <d v="2023-02-03T00:00:00"/>
    <n v="22023001426"/>
    <s v="2023 11 1321 22699"/>
    <n v="2200"/>
    <x v="161"/>
    <s v="RECOGIDA Y DESTRUCCIÓN DE DOCUMENTACIÓN AFECTADA POR LA LEY DE PROTECCIÓN DE DATOS. EJ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091"/>
    <s v="ADO"/>
    <d v="2023-02-13T00:00:00"/>
    <n v="22023002380"/>
    <s v="2023 06 3232 212"/>
    <n v="494.37"/>
    <x v="161"/>
    <s v="CP JOSÉ ZORRILLA // GESTIÓN RESIDUOS (RESIDUOS MEZCLADOS DE CONSTRUCCIÓN)  LLEVADA (CONTENEDOR 5M3). nov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27"/>
    <s v="AD"/>
    <d v="2023-02-22T00:00:00"/>
    <n v="22023002605"/>
    <s v="2023 06 3232 212"/>
    <n v="2300.69"/>
    <x v="161"/>
    <s v="CTTO SERVICIOS RECOGIDA DE RESIDUOS PROCEDENTES DE OBRAS REALIZADAS EN VARIOS COLEGIOS PÚBLICOS//1 M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0344"/>
    <s v="AD"/>
    <d v="2023-03-23T00:00:00"/>
    <n v="22023003397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8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10344"/>
    <s v="AD"/>
    <d v="2023-03-23T00:00:00"/>
    <n v="22023003399"/>
    <s v="2023 10 2412 223"/>
    <n v="500"/>
    <x v="161"/>
    <s v="GESTION RESIDUOS DEL CENTRO DE FORMACION PRA EL EMPLEO,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3"/>
  </r>
  <r>
    <n v="220230009493"/>
    <s v="AD"/>
    <d v="2023-03-21T00:00:00"/>
    <n v="22023003448"/>
    <s v="2023 11 3111 22106"/>
    <n v="7260"/>
    <x v="162"/>
    <s v="COMPRA DE PRODCTOS BIOCIDAS PARA EL CONTROL DE PLAGAS EN LA CIUDAD DE VALLADOLID AÑO 2023"/>
    <s v="220"/>
    <s v="OROZKO"/>
    <s v="VIZCAYA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29000401"/>
    <s v="AD"/>
    <d v="2023-01-01T00:00:00"/>
    <n v="22023001175"/>
    <s v="2023 10 2312 22799"/>
    <n v="1568"/>
    <x v="163"/>
    <s v="Lote 1:taller La diversidad como fortaleza de sensibilización del plan de accesibilidad del 1 enero al 31 de agosto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670"/>
    <s v="AD"/>
    <d v="2023-01-01T00:00:00"/>
    <n v="22023001273"/>
    <s v="2023 01 9207 22602"/>
    <n v="726"/>
    <x v="164"/>
    <s v="ADJUDICA CONTRATO PROMOCIONAR VALLADOLID EN REVISTA LO MEJOR DE LAS AUTONOMÍAS (FITUR 2023)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11701"/>
    <s v="AD"/>
    <d v="2023-03-29T00:00:00"/>
    <n v="22023003596"/>
    <s v="2023 05 4331 22699"/>
    <n v="3751"/>
    <x v="165"/>
    <s v="CONTRATO ADQUISICIÓN Y SERIGRAFIADO DE MOCHILAS PARA LA ACTIVIDAD DENOMINADA PASEOS DE LA INNOVACIÓN. PLAN SMARTVA Y PE4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19000773"/>
    <s v="AD"/>
    <d v="2023-01-01T00:00:00"/>
    <n v="22023003344"/>
    <s v="2023 08 1651 619"/>
    <n v="754.51"/>
    <x v="166"/>
    <s v="LOTE 1 ACUERDO MARCO CONTROL DE CALIDAD ALUMBRADO. EXP: 8/2021 SEMEU"/>
    <s v="220"/>
    <s v="MALAGA"/>
    <s v="MALAGA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9000056"/>
    <s v="AD"/>
    <d v="2023-01-01T00:00:00"/>
    <n v="22023001368"/>
    <s v="2023 0850 1341 609"/>
    <n v="2282.16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9000680"/>
    <s v="AD"/>
    <d v="2023-01-01T00:00:00"/>
    <n v="22023001283"/>
    <s v="2023 05 4331 609"/>
    <n v="852.11"/>
    <x v="166"/>
    <s v="ENSAYOS DE CONTROL DE CALIDAD DE OBRAS MUNICIPALES DEL LOTE 1, DEFINIDOS EN EL PLAN DE CALIDAD DE LA OBRA SUDS"/>
    <s v="220"/>
    <s v="MALAGA"/>
    <s v="MALAGA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30000066"/>
    <s v="AD"/>
    <d v="2023-01-01T00:00:00"/>
    <n v="22023000567"/>
    <s v="2023 02 1511 609"/>
    <n v="61297.68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313"/>
    <s v="AD"/>
    <d v="2023-01-01T00:00:00"/>
    <n v="22023001144"/>
    <s v="2023 02 1511 609"/>
    <n v="1138.98"/>
    <x v="166"/>
    <s v="ADJ.C.CALIDAD LOTE 1 (ENSAYO MAT)REURB.PLA.LA COMUNICACIÓN (ANT.AP25 .ARIZA)CALLE ADOLFO SUAREZ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33"/>
    <s v="AD"/>
    <d v="2023-01-01T00:00:00"/>
    <n v="22023000898"/>
    <s v="2023 07 1701 22799"/>
    <n v="10485.32"/>
    <x v="167"/>
    <s v="1ª PRÓRROGA LOTE 2 CONTRATO PROGRAMAS EDUCACIÓN AMBIENTAL (RED DE HUERTOS ESCOLARES) PLAZO: 01/01/2023 AL 31/08/2023"/>
    <s v="220"/>
    <s v="PALENCIA"/>
    <s v="PALENCI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0074242"/>
    <s v="AD"/>
    <d v="2023-03-29T00:00:00"/>
    <n v="22022008804"/>
    <s v="2023 08 1532 619"/>
    <n v="18998.21"/>
    <x v="168"/>
    <s v="Redacción Proyecto Carril Bicil tramo N. en Pseo J.C.I  con Pasarela Esgueva. Duplicado por no incorporación.26-2021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1990"/>
    <s v="AD"/>
    <d v="2023-02-03T00:00:00"/>
    <n v="22023001574"/>
    <s v="2023 11 1321 213"/>
    <n v="976.1"/>
    <x v="169"/>
    <s v="MANTENIMIENTO DEL SISTEMA DE LECTURA DE MATRÍCULAS AÑO 2023."/>
    <s v="220"/>
    <s v="LAS ROZAS DE 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690"/>
    <s v="AD"/>
    <d v="2023-01-01T00:00:00"/>
    <n v="22023000474"/>
    <s v="2023 11 1621 22104"/>
    <n v="4598"/>
    <x v="170"/>
    <s v="CONTRATO SUMINISTRO DE VESTUARIO Y COMPLEMENTOS PARA EL PERSONAL DEL SERVICIO DE LIMPIEZ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835"/>
    <s v="AD"/>
    <d v="2023-01-01T00:00:00"/>
    <n v="22023001944"/>
    <s v="2023 11 1631 22104"/>
    <n v="6897"/>
    <x v="170"/>
    <s v="CONTRATO SUMINISTRO DE VESTUARIO Y COMPLEMENTOS PARA EL PERSONAL DE LIMPIEZA VIARIA. AÑO 2023 (LOTES 5 Y 6)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30003793"/>
    <s v="AD"/>
    <d v="2023-02-17T00:00:00"/>
    <n v="22023002476"/>
    <s v="2023 06 3321 22001"/>
    <n v="84.01"/>
    <x v="171"/>
    <s v="CTTO SUMINISTRO SUSCRIPCIÓN REVISTA &quot;&quot;EL ECOLOGISTA&quot;&quot; PARA BIBLIOTECAS MUNICIPAL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906"/>
    <s v="AD/"/>
    <d v="2023-02-17T00:00:00"/>
    <n v="22023001919"/>
    <s v="2023 06 3231 22799"/>
    <n v="-404960"/>
    <x v="27"/>
    <s v="EXPTE SE-EIJI 10/2022 PS 11. PROR CTTO GESTION EIM LA COMETA. L 5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7141"/>
    <s v="AD"/>
    <d v="2023-03-02T00:00:00"/>
    <n v="22023002863"/>
    <s v="2023 06 3321 22001"/>
    <n v="42"/>
    <x v="172"/>
    <s v="CTTO SUMINISTRO REVISTAS &quot;&quot;VANITY&quot;&quot; Y &quot;&quot;TRAVELER&quot;&quot;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9461"/>
    <s v="AD"/>
    <d v="2023-03-21T00:00:00"/>
    <n v="22023003187"/>
    <s v="2023 05 4331 22602"/>
    <n v="3763.1"/>
    <x v="173"/>
    <s v="PUBLICACION 2 PAGINAS PUBLICIDAD EN LA REVISTA CASTILLA Y LEON ECONOMICA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5405"/>
    <s v="AD"/>
    <d v="2023-02-22T00:00:00"/>
    <n v="22023002585"/>
    <s v="2023 10 2312 22606"/>
    <n v="397.96"/>
    <x v="174"/>
    <s v="20 EJEMPLARES DEL LIBRO&quot;&quot;REGIMEN MUNICIPAL IBEROAMERICANO &quot;&quot; 'PARA EL PROGRAMA PASANTIAS- INICIATIVAS SOCIALES 2023"/>
    <s v="220"/>
    <s v="SALAMANCA"/>
    <s v="SALAMANCA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632"/>
    <s v="AD"/>
    <d v="2023-02-09T00:00:00"/>
    <n v="22023002120"/>
    <s v="2023 06 3321 22001"/>
    <n v="501.9"/>
    <x v="175"/>
    <s v="CTTO SUMINISTRO SUSCRIPCIÓN ANUAL A VARIAS REVISTAS EDITORIAL CULTURAL ACTIVA S.L//AÑO 2023"/>
    <s v="220"/>
    <s v="MAJADAHONDA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3"/>
    <s v="AD"/>
    <d v="2023-02-09T00:00:00"/>
    <n v="22023002126"/>
    <s v="2023 06 3321 22001"/>
    <n v="300.02"/>
    <x v="176"/>
    <s v="CTTO SUMINISTRO SUSCRIPCIÓN ANUAL REVISTA INFANTIL CLIJ (CUADERNOS DE LITERATURA INFANTIL Y JUVENIL) //AÑO 2023"/>
    <s v="220"/>
    <s v="MATARÓ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256"/>
    <s v="AD"/>
    <d v="2023-01-01T00:00:00"/>
    <n v="22023001365"/>
    <s v="2023 04 9204 636"/>
    <n v="40526.81"/>
    <x v="177"/>
    <s v="MTO. Y REPARACIÓN DE LOS SISTEMAS ELÉCTRICOS Y DE ALIMENTACIÓN ININTERRUMPIDA, LOTE 2 , (73/2021)"/>
    <s v="220"/>
    <s v="VALLADOLID"/>
    <s v="VALLADOLID"/>
    <x v="1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3"/>
    <s v="636"/>
  </r>
  <r>
    <n v="220230002941"/>
    <s v="AD"/>
    <d v="2023-02-10T00:00:00"/>
    <n v="22023001620"/>
    <s v="2023 11 1361 22199"/>
    <n v="1452"/>
    <x v="178"/>
    <s v="INSTALACIÓN OCHO PERSIANAS; SERVICIO DE EXTINCIÓN DE INCENDIOS, SALVAMENTO Y PROTECCIÓN CIVIL."/>
    <s v="220"/>
    <s v="LA CISTÉ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8600"/>
    <s v="AD"/>
    <d v="2023-03-15T00:00:00"/>
    <n v="22023002523"/>
    <s v="2023 07 1623 22700"/>
    <n v="14520"/>
    <x v="179"/>
    <s v="REVISIÓN Y ACTUALIZACIÓN PROYECTO BÁSICO DE LA AMPLIACIÓN DEL VERTEDERO DE VALLADOLID. PLAZO: 1 MES"/>
    <s v="220"/>
    <s v="LEON"/>
    <s v="LEON"/>
    <x v="1"/>
    <s v="AdDirec - Adjudicación Directa"/>
    <s v="SinC - Sin Criterio"/>
    <x v="3"/>
    <x v="0"/>
    <s v="2"/>
    <s v="2. Gastos corrientes en bienes y servicios"/>
    <s v="07"/>
    <x v="4"/>
    <s v="1623"/>
    <s v="1623. Tratamiento de residuos"/>
    <s v="22"/>
    <s v="22700"/>
  </r>
  <r>
    <n v="220230000064"/>
    <s v="AD"/>
    <d v="2023-01-01T00:00:00"/>
    <n v="22023000565"/>
    <s v="2023 02 1511 609"/>
    <n v="17402.64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794"/>
    <s v="AD"/>
    <d v="2023-01-01T00:00:00"/>
    <n v="22023001937"/>
    <s v="2023 09 3341 213"/>
    <n v="9482.18"/>
    <x v="117"/>
    <s v="CONTRATO SERVICIO MANTENIMIENTO Y CONSERVACION PREVENTIVO-CORRECTIVO. LOTE 2 EDIFICIO CUPULA DEL MILENIO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73"/>
    <s v="AD"/>
    <d v="2023-01-01T00:00:00"/>
    <n v="22023001931"/>
    <s v="2023 09 3341 213"/>
    <n v="4860.6400000000003"/>
    <x v="117"/>
    <s v="CONTRATO SERVICIO MANTENIMIENTO Y CONSERVACION PREVENTIVO-CORRECTIVO. LOTE 1  EDIFICIO GALERIAS VA 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1"/>
    <s v="213"/>
  </r>
  <r>
    <n v="220229000795"/>
    <s v="AD"/>
    <d v="2023-01-01T00:00:00"/>
    <n v="22023001938"/>
    <s v="2023 09 4321 213"/>
    <n v="3199.21"/>
    <x v="117"/>
    <s v="CONTRATO SERVICIO MANTENIMIENTO Y CONSERVACION PREVENTIVO-CORRECTIVO. LOTE 3 EDIFICIO HIPICA 2023-24"/>
    <s v="220"/>
    <s v="ALBACETE"/>
    <s v="ALBACETE"/>
    <x v="1"/>
    <s v="PrAbier - Procedimiento Abierto"/>
    <s v="MultiC - MultiCriterio"/>
    <x v="0"/>
    <x v="0"/>
    <s v="2"/>
    <s v="2. Gastos corrientes en bienes y servicios"/>
    <s v="09"/>
    <x v="9"/>
    <s v="4321"/>
    <s v="4321. Turismo"/>
    <s v="21"/>
    <s v="213"/>
  </r>
  <r>
    <n v="220230001782"/>
    <s v="AD"/>
    <d v="2023-02-03T00:00:00"/>
    <n v="22023000038"/>
    <s v="2023 09 4321 213"/>
    <n v="358.98"/>
    <x v="117"/>
    <s v="REPARACION Y SUSTITUCION ELEMENTOS EQUIPAMIENTO ELECTRICIDAD PARA CENTRO DE TRANSFORMACION DE LA ANTIGUA HIPICA MILITAR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4321"/>
    <s v="4321. Turismo"/>
    <s v="21"/>
    <s v="213"/>
  </r>
  <r>
    <n v="220230002080"/>
    <s v="AD"/>
    <d v="2023-02-06T00:00:00"/>
    <n v="22023002047"/>
    <s v="2023 09 3341 213"/>
    <n v="1192.5999999999999"/>
    <x v="117"/>
    <s v="CAMBIO LUMINARIAS CAMERINOS CUPULA A LED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5910"/>
    <s v="AD"/>
    <d v="2023-02-23T00:00:00"/>
    <n v="22023002568"/>
    <s v="2023 09 3341 213"/>
    <n v="521.55999999999995"/>
    <x v="117"/>
    <s v="DIVERSAS REPARACIONES EN LA CUPULA DEL MILENIO"/>
    <s v="220"/>
    <s v="ALBACETE"/>
    <s v="ALBACETE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189"/>
    <s v="AD"/>
    <d v="2023-03-13T00:00:00"/>
    <n v="22023003039"/>
    <s v="2023 09 3341 213"/>
    <n v="2349.8200000000002"/>
    <x v="117"/>
    <s v="SERVICIO MANTENIMIENTO INTEGRAL DEL CENTRO MARCELINA PONCELA DURANTE 8 MESES"/>
    <s v="220"/>
    <s v="ALBACETE"/>
    <s v="ALBACETE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3425"/>
    <s v="AD"/>
    <d v="2023-02-14T00:00:00"/>
    <n v="22023002326"/>
    <s v="2023 10 2412 22104"/>
    <n v="1331.14"/>
    <x v="181"/>
    <s v="VEATUARIO PARA EL CURSO DE PINTURA DECORATIVA V DEL 1 DE MARZO AL 30 DE NOVIEMBRE- C. DE FORMACION PARA EL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20061577"/>
    <s v="AD"/>
    <d v="2023-03-29T00:00:00"/>
    <n v="22022007559"/>
    <s v="2023 08 1532 623"/>
    <n v="6953.45"/>
    <x v="181"/>
    <s v="Suministro de 6 martillos perforadores - percutores eléctricos, marca BOSCH profesional modelo GBH, 12-52 DVcombinado."/>
    <s v="220"/>
    <s v="VALLADOLID"/>
    <s v="VALLADOLID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2"/>
    <s v="623"/>
  </r>
  <r>
    <n v="220229000604"/>
    <s v="AD"/>
    <d v="2023-01-01T00:00:00"/>
    <n v="22023000470"/>
    <s v="2023 11 1321 22104"/>
    <n v="10406"/>
    <x v="182"/>
    <s v="SUMINISTRO ROPA POLICIAL DE ALTA VISIBILIDAD Y LLUVIA. EXPTE SPSC-SE 026/2022. LOTE 3. EJERC. 2023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394"/>
    <s v="AD"/>
    <d v="2023-02-07T00:00:00"/>
    <n v="22023001677"/>
    <s v="2023 11 1361 623"/>
    <n v="17182"/>
    <x v="182"/>
    <s v="Diez equipos de protección individual para incendios industriales y urbanos estructurales; SEISYPC."/>
    <s v="220"/>
    <s v="VALLADOLID"/>
    <s v="VALLADOLID"/>
    <x v="3"/>
    <s v="AdDirec - Adjudicación Directa"/>
    <s v="SinC - Sin Criterio"/>
    <x v="3"/>
    <x v="0"/>
    <s v="6"/>
    <s v="6. Inversiones reales"/>
    <s v="11"/>
    <x v="6"/>
    <s v="1361"/>
    <s v="1361. Prevención y extinción de incencios"/>
    <s v="62"/>
    <s v="623"/>
  </r>
  <r>
    <n v="220230002571"/>
    <s v="AD"/>
    <d v="2023-02-08T00:00:00"/>
    <n v="22023000056"/>
    <s v="2023 11 1321 22104"/>
    <n v="19753.25"/>
    <x v="182"/>
    <s v="1ª PRÓRROGA CONTRATO DE VESTUARIO PARA POLICÍA MUNICIPAL EXP. SPSC 021/2021. LOTE Nº 1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2"/>
    <s v="AD"/>
    <d v="2023-02-08T00:00:00"/>
    <n v="22023000057"/>
    <s v="2023 11 1321 22104"/>
    <n v="18376.87"/>
    <x v="182"/>
    <s v="1ª PRÓRROGA CONTRATO DE VESTUARIO PARA POLICÍA MUNICIPAL. EXPTE. SPSC 02/2021. LOTE Nº 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4194"/>
    <s v="AD"/>
    <d v="2023-02-20T00:00:00"/>
    <n v="22023002550"/>
    <s v="2023 03 9241 22699"/>
    <n v="103.68"/>
    <x v="182"/>
    <s v="SUM. DE OBSEQUIOS CONCURSO DISFRACES CARNAVAL 2023 PARA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20064000"/>
    <s v="AD"/>
    <d v="2023-03-29T00:00:00"/>
    <n v="22022008187"/>
    <s v="2023 02 9332 623"/>
    <n v="403.99"/>
    <x v="182"/>
    <s v="Suministro de UN DISPOSITIVO MOVIL con conexión LTE más funda para trabajos de camp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30003800"/>
    <s v="AD"/>
    <d v="2023-02-17T00:00:00"/>
    <n v="22023002533"/>
    <s v="2023 01 9207 22001"/>
    <n v="1838.79"/>
    <x v="183"/>
    <s v="ADJUDICA SUMINISTRO DIARIO (RENOVACIÓN) SUSCRIPCIONES 2023 PERIÓDICO DIARIO DE VALLADOLID - EL MUNDO, Prensa y Gabinete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408"/>
    <s v="AD"/>
    <d v="2023-02-22T00:00:00"/>
    <n v="22023002603"/>
    <s v="2023 05 4331 22001"/>
    <n v="628.16"/>
    <x v="183"/>
    <s v="SUMINISTRO DE PERIODICOS DEL DIARIO EL MUNDO, PARA LA AGENCIA DE INNOVACIÓN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001"/>
  </r>
  <r>
    <n v="220229000775"/>
    <s v="AD"/>
    <d v="2023-01-01T00:00:00"/>
    <n v="22023001932"/>
    <s v="2023 07 1721 22799"/>
    <n v="7643.16"/>
    <x v="184"/>
    <s v="VS 17/21. CONTRATO DE MANTENIMIENTO INSTALACIONES FOTOVOLTAICAS. LOTE 1  LAS 33 INSTALACIONES CON INYECCIÓN A RED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777"/>
    <s v="AD"/>
    <d v="2023-01-01T00:00:00"/>
    <n v="22023001933"/>
    <s v="2023 07 1721 22799"/>
    <n v="5937.67"/>
    <x v="184"/>
    <s v="VS 17/21.  CONTRATO DE MANTENIMIENTO INSTALACIONES FOTOVOLTAICAS. LOTE 2  LAS 25 INSTALACIONES DE AUTOCONSUMO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125"/>
    <s v="AD"/>
    <d v="2023-01-01T00:00:00"/>
    <n v="22023000896"/>
    <s v="2023 03 9241 213"/>
    <n v="1078.1099999999999"/>
    <x v="184"/>
    <s v="MANTENIMIENTO GRUPOS ELECTRÓGENOS CENTROS CÍVICOS"/>
    <s v="220"/>
    <s v="MADRID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781"/>
    <s v="AD"/>
    <d v="2023-02-03T00:00:00"/>
    <n v="22023000036"/>
    <s v="2023 07 1721 22799"/>
    <n v="1131.8"/>
    <x v="184"/>
    <s v="MANTENIMIENTO PUNTUAL DE LAS INSTALACIONES FV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2"/>
    <s v="AD"/>
    <d v="2023-02-14T00:00:00"/>
    <n v="22023002201"/>
    <s v="2023 07 1721 22112"/>
    <n v="3500"/>
    <x v="184"/>
    <s v="SUMINISTRO Y COLOCACION DE MATERIAL DE REPARACION DE LAS INSTALACIONES FOTOVOLTAICAS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6765"/>
    <s v="AD"/>
    <d v="2023-03-01T00:00:00"/>
    <n v="22023002853"/>
    <s v="2023 07 1721 22112"/>
    <n v="522.95000000000005"/>
    <x v="13"/>
    <s v="TOMA DE TIERRA CABINA DE ARCO LADRILLO DE LA RED CONTROL ATMOSFERIC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10031504"/>
    <s v="AD"/>
    <d v="2023-03-29T00:00:00"/>
    <n v="22021004793"/>
    <s v="2023 02 9332 632"/>
    <n v="1016.41"/>
    <x v="185"/>
    <s v="OBRAS REFORMQ INSTALACIÓN ELÉCTRICA ARCHIVO MUNICIPAL"/>
    <s v="220"/>
    <s v="MEDINA DEL CAMPO"/>
    <s v="VALLADOLID"/>
    <x v="2"/>
    <s v="AdDirec - Adjudicación Directa"/>
    <s v="MultiC - MultiCriterio"/>
    <x v="3"/>
    <x v="0"/>
    <s v="6"/>
    <s v="6. Inversiones reales"/>
    <s v="02"/>
    <x v="3"/>
    <s v="9332"/>
    <s v="9332. Mantenimiento de edificios e instalaciones municipales"/>
    <s v="63"/>
    <s v="632"/>
  </r>
  <r>
    <n v="220230001804"/>
    <s v="AD"/>
    <d v="2023-02-03T00:00:00"/>
    <n v="22023000559"/>
    <s v="2023 08 1532 213"/>
    <n v="3424.3"/>
    <x v="186"/>
    <s v="Mantenimiento instalación solar fotovoltaica del SEPI y revisión y limpieza paneles fotovoltaicos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460"/>
    <s v="AD"/>
    <d v="2023-03-21T00:00:00"/>
    <n v="22023003385"/>
    <s v="2023 11 1321 212"/>
    <n v="4019.62"/>
    <x v="186"/>
    <s v="ACONDICIONAMIENTO DEL SISTEMA ELÉCTRICO EN GARAJE DEL DISTRITO 3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7358"/>
    <s v="AD"/>
    <d v="2023-03-03T00:00:00"/>
    <n v="22023002913"/>
    <s v="2023 07 1721 213"/>
    <n v="500.21"/>
    <x v="187"/>
    <s v="MANTENIMIENTO DE LA VITRINA DEL LABORATORIO DE LA RED DE CONTAMINACION"/>
    <s v="220"/>
    <s v="LAGUN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94"/>
    <s v="AD"/>
    <d v="2023-03-13T00:00:00"/>
    <n v="22023002914"/>
    <s v="2023 07 1721 22112"/>
    <n v="4390.3599999999997"/>
    <x v="187"/>
    <s v="FILTROS DE CAMPANA PARA LA VITRINA DEL LABORATORIO DE LA RED DE CONTAMINACION"/>
    <s v="220"/>
    <s v="LAGUNA DE DUERO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5406"/>
    <s v="AD"/>
    <d v="2023-02-22T00:00:00"/>
    <n v="22023002586"/>
    <s v="2023 06 2315 22611"/>
    <n v="960"/>
    <x v="188"/>
    <s v="TALLER AUTOCUIDADO, AUTOESTIMA Y EMPODERAMIENTO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12"/>
    <s v="AD"/>
    <d v="2023-03-29T00:00:00"/>
    <n v="22023003541"/>
    <s v="2023 11 1361 22199"/>
    <n v="546.85"/>
    <x v="189"/>
    <s v="2 mochilas primeros aux, 6 paquetes protec boca RCP y 20 mascarillas para reanimación ambú; SEISYPC"/>
    <s v="220"/>
    <s v="OURENSE"/>
    <s v="OURENSE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19000320"/>
    <s v="AD"/>
    <d v="2023-03-29T00:00:00"/>
    <n v="22022002153"/>
    <s v="2023 06 3321 622"/>
    <n v="325.48"/>
    <x v="154"/>
    <s v="COORD.SEG. Y SALUD DE OBRA PROY.MODIFICADO BIBLIOTECA PARQUESOL DEBIDO A CIMENTACIÓN DEL TERRENO-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9000672"/>
    <s v="AD"/>
    <d v="2023-01-01T00:00:00"/>
    <n v="22023001275"/>
    <s v="2023 06 2315 22611"/>
    <n v="110"/>
    <x v="190"/>
    <s v="TALLER DE ACTIVIDAD A EJECTUTA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3"/>
    <s v="AD"/>
    <d v="2023-02-23T00:00:00"/>
    <n v="22023002591"/>
    <s v="2023 06 2315 22611"/>
    <n v="550"/>
    <x v="190"/>
    <s v="TALLER DE CANTO EN EL CENTRO MUNICIPAL DE LA IGUALDAD / 5 TALLERE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220"/>
    <s v="AD"/>
    <d v="2023-01-01T00:00:00"/>
    <n v="22023000863"/>
    <s v="2023 04 9204 22799"/>
    <n v="19965"/>
    <x v="191"/>
    <s v="OFICINA TÉCNICA DE PROYECTOS, LOTE 3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99"/>
  </r>
  <r>
    <n v="220229000553"/>
    <s v="AD"/>
    <d v="2023-01-01T00:00:00"/>
    <n v="22023001217"/>
    <s v="2023 06 2315 22620"/>
    <n v="10350"/>
    <x v="96"/>
    <s v="REAJUSTE LOTE 1 - CONTRATACION SERVICIOS PARA EL DESARROLLO DEL PLAN DE INSERCIÓN LABORAL / 26 SEPT 2022 A 25 SEPT 2024"/>
    <s v="220"/>
    <s v="BOECILLO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20"/>
  </r>
  <r>
    <n v="220230006418"/>
    <s v="AD"/>
    <d v="2023-02-28T00:00:00"/>
    <n v="22023002854"/>
    <s v="2023 04 9204 216"/>
    <n v="4210.8"/>
    <x v="177"/>
    <s v="REPARACIÓN URGENTE SAI  EN EL CPD DE RESPALDO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1"/>
    <s v="216"/>
  </r>
  <r>
    <n v="220230002077"/>
    <s v="AD"/>
    <d v="2023-02-06T00:00:00"/>
    <n v="22023002025"/>
    <s v="2023 05 4331 22699"/>
    <n v="574.20000000000005"/>
    <x v="192"/>
    <s v="SERVICIO DE CATERING EVENTO ORGANIZADO EN LA AGENCIA DE INNOVACIÓN  PRESENTACIÓN DE LA ORDENANZA VAL.CIUDAD DEMOSTRADORA"/>
    <s v="220"/>
    <s v="CORESES"/>
    <s v="ZAMOR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1742"/>
    <s v="AD"/>
    <d v="2023-03-29T00:00:00"/>
    <n v="22023003589"/>
    <s v="2023 10 2316 22616"/>
    <n v="968"/>
    <x v="192"/>
    <s v="CATERING PARA LAS JORNADAS DE HABILIDADES SOCIALES (...) Y  DE DERECHOS HUMANOS (...). DEL 24-MARZO Y DEL 21-ABRIL"/>
    <s v="220"/>
    <s v="CORESES"/>
    <s v="ZAMORA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5918"/>
    <s v="AD"/>
    <d v="2023-02-23T00:00:00"/>
    <n v="22023002624"/>
    <s v="2023 06 2315 22611"/>
    <n v="900"/>
    <x v="193"/>
    <s v="TALLER DE DEFENSA PERSONAL EN EL CENTRO MUNICIPAL DE LA IGUALDAD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4"/>
    <s v="AD"/>
    <d v="2023-03-29T00:00:00"/>
    <n v="22023003562"/>
    <s v="2023 06 2315 22611"/>
    <n v="2700"/>
    <x v="193"/>
    <s v="CLASES DEFENSA PERSONAL &quot;&quot;MUJER DEFIÉNDETE&quot;&quot; EN EL CENTRO MUNICIPAL DE LA IGUALDAD / ABRIL, MAYO Y JUNIO"/>
    <s v="220"/>
    <s v="ZARATÁ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19000441"/>
    <s v="AD"/>
    <d v="2023-01-01T00:00:00"/>
    <n v="22023000545"/>
    <s v="2023 09 3301 22799"/>
    <n v="17230.64"/>
    <x v="194"/>
    <s v="REAJUSTE CTO. SERVICIO INGENIERIA ASISTENCIA TECNICA CULTURA Y TURISMO SEGURIDAD CIUDADANA ESPECTAC. PUBLICOS 2023"/>
    <s v="220"/>
    <s v="ZARATAN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1937"/>
    <s v="AD"/>
    <d v="2023-02-03T00:00:00"/>
    <n v="22023001259"/>
    <s v="2023 06 2315 22614"/>
    <n v="220"/>
    <x v="195"/>
    <s v="SERVICIO DE GUARDER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29000038"/>
    <s v="AD"/>
    <d v="2023-01-01T00:00:00"/>
    <n v="22023001917"/>
    <s v="2023 07 1721 22799"/>
    <n v="20204.5"/>
    <x v="30"/>
    <s v="VS 18/18 PRÓRROGA CONTRATO SERVICIO CALIBRACIONES PARA EL SERVICIO DE MEDIO AMBIENTE, LOTE 1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29000387"/>
    <s v="AD"/>
    <d v="2023-01-01T00:00:00"/>
    <n v="22023000457"/>
    <s v="2023 02 1511 619"/>
    <n v="9874.39"/>
    <x v="180"/>
    <s v="ADJ.C.CALID.(LOTE 1)EXPTE.6/22 OBRAS FASE I REURBANIZACIÓN C.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11725"/>
    <s v="AD"/>
    <d v="2023-03-29T00:00:00"/>
    <n v="22023003563"/>
    <s v="2023 11 1321 22699"/>
    <n v="70.75"/>
    <x v="196"/>
    <s v="GASTOS COMIDA PERSONAL AUDITORÍA DE CALIDAD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909"/>
    <s v="AD"/>
    <d v="2023-02-23T00:00:00"/>
    <n v="22023002729"/>
    <s v="2023 04 9202 22607"/>
    <n v="544.5"/>
    <x v="197"/>
    <s v="SERVICIO DE VALORACION EN PRUEBAS DE APTITUD PSIQUICA POLICIA LOC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6761"/>
    <s v="AD"/>
    <d v="2023-03-01T00:00:00"/>
    <n v="22023002865"/>
    <s v="2023 04 9202 22607"/>
    <n v="181.5"/>
    <x v="197"/>
    <s v="VALORACION DE LA PRUEBA DE APTITUD PSIQUICA ASPIRANTE A PLAZA SUPERINTENDENTE P. LOCAL REALIZADA EL 17 DE FEBRER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9485"/>
    <s v="AD"/>
    <d v="2023-03-21T00:00:00"/>
    <n v="22023003460"/>
    <s v="2023 08 1532 619"/>
    <n v="7061.56"/>
    <x v="198"/>
    <s v="Suministro puntual banco-jardinera, cuatro bancos y tres sillas a juego sin patas a colocar sobre &quot;&quot;el olivo de Pilarica&quot;&quot;"/>
    <s v="220"/>
    <s v="MARTORELL"/>
    <s v="BARCELONA"/>
    <x v="3"/>
    <s v="AdDirec - Adjudicación Directa"/>
    <s v="SinC - Sin Criterio"/>
    <x v="3"/>
    <x v="0"/>
    <s v="6"/>
    <s v="6. Inversiones reales"/>
    <s v="08"/>
    <x v="0"/>
    <s v="1532"/>
    <s v="1532. Pavimentación vias públicas y otros servicios urbanísticos"/>
    <s v="61"/>
    <s v="619"/>
  </r>
  <r>
    <n v="220220062100"/>
    <s v="AD"/>
    <d v="2023-03-29T00:00:00"/>
    <n v="22022004762"/>
    <s v="2023 0550 4312 22799"/>
    <n v="52769.1"/>
    <x v="199"/>
    <s v="CONTRATO SERVICIOS PARA PUESTA EN MARCHA Y OPERACION DE UNA PLATAFORMA ONLINE (MARKETPLACE) PARA EL COMERCIO VALLADOLID"/>
    <s v="220"/>
    <s v="BASAURI"/>
    <s v="BIZKAIA"/>
    <x v="1"/>
    <s v="PrAbier - Procedimiento Abierto"/>
    <s v="MultiC - MultiCriterio"/>
    <x v="0"/>
    <x v="0"/>
    <n v="2"/>
    <s v="2. Gastos corrientes en bienes y servicios"/>
    <s v="05"/>
    <x v="7"/>
    <n v="4312"/>
    <s v="4312. Mercados, abastos y lonjas"/>
    <n v="22"/>
    <n v="22799"/>
  </r>
  <r>
    <n v="220230003900"/>
    <s v="AD/"/>
    <d v="2023-02-17T00:00:00"/>
    <n v="22023000911"/>
    <s v="2023 06 3231 22799"/>
    <n v="-294720"/>
    <x v="33"/>
    <s v="EXPTE SE-EIJI 10/2022 PS 11. PROR CTTO GESTION EIM CASCANUECES. L 2. AÑO 2023. 01/01 A 31/08/2024.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13"/>
    <s v="AD"/>
    <d v="2023-03-29T00:00:00"/>
    <n v="22023003553"/>
    <s v="2023 10 2412 22001"/>
    <n v="543.32000000000005"/>
    <x v="200"/>
    <s v="LIBROS PARA EL CURSO DE PARQUES Y JARDINES IV, SOBRE CONTENIDO DE DISEÑO DE JARDINES- C. DE F. PARA EL EMPLEO 2023"/>
    <s v="220"/>
    <s v="POZUELO DE ALARCON"/>
    <s v="MADR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001"/>
  </r>
  <r>
    <n v="220219001214"/>
    <s v="AD"/>
    <d v="2023-01-01T00:00:00"/>
    <n v="22023003295"/>
    <s v="2023 04 9204 641"/>
    <n v="9165.75"/>
    <x v="201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19001162"/>
    <s v="AD"/>
    <d v="2023-03-29T00:00:00"/>
    <n v="22022002201"/>
    <s v="2023 0850 1341 609"/>
    <n v="5420.8"/>
    <x v="202"/>
    <s v="Dirección facultativa de las obras de instalación de elevadores urbanos en la ladera este del barrio de Parquesol"/>
    <s v="220"/>
    <s v="VALLADOLID"/>
    <s v="VALLADOLID"/>
    <x v="1"/>
    <s v="AdDirec - Adjudicación Directa"/>
    <s v="SinC - Sin Criterio"/>
    <x v="3"/>
    <x v="0"/>
    <n v="6"/>
    <s v="6. Inversiones reales"/>
    <s v="08"/>
    <x v="0"/>
    <n v="1341"/>
    <s v="1341. Movilidad"/>
    <n v="60"/>
    <n v="609"/>
  </r>
  <r>
    <n v="220219001239"/>
    <s v="AD"/>
    <d v="2023-01-01T00:00:00"/>
    <n v="22023003379"/>
    <s v="2023 11 3111 22799"/>
    <n v="10950.5"/>
    <x v="203"/>
    <s v="CONTROL POBLACIONES MOSQUITOS Y DETERMINADAS ESPECIES DE MOSCAS EN EL TERMINO MUNICIPAL VALLADOLID"/>
    <s v="220"/>
    <s v="VILLANUBLA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99"/>
  </r>
  <r>
    <n v="220230002629"/>
    <s v="AD"/>
    <d v="2023-02-09T00:00:00"/>
    <n v="22023002221"/>
    <s v="2023 01 9206 22799"/>
    <n v="1688.24"/>
    <x v="203"/>
    <s v="TRATAMIENTO CONJUNTO DE DESINSECTACIÓN Y DESRATIZACIÓN EN ARCHIVO MUNICIPAL, AÑO 2023."/>
    <s v="220"/>
    <s v="VILLANUBLA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2069"/>
    <s v="AD"/>
    <d v="2023-02-06T00:00:00"/>
    <n v="22023001840"/>
    <s v="2023 03 9241 213"/>
    <n v="887.9"/>
    <x v="204"/>
    <s v="SUM. E INST. TERMOSTATO EN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50366"/>
    <s v="AD"/>
    <d v="2023-03-29T00:00:00"/>
    <n v="22022006016"/>
    <s v="2023 03 9241 633"/>
    <n v="8500.34"/>
    <x v="204"/>
    <s v="SUMINISTRO E INSTALACIÓN DE NUEVO SISTEMA DE CONTROL DE CLIMATIZACIÓN DEL CC ZONA SUR"/>
    <s v="220"/>
    <s v="VALLADOLID"/>
    <s v="VALLADOLID"/>
    <x v="3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3"/>
  </r>
  <r>
    <n v="220229000804"/>
    <s v="AD"/>
    <d v="2023-01-01T00:00:00"/>
    <n v="22023001876"/>
    <s v="2023 06 3231 213"/>
    <n v="18344.29"/>
    <x v="205"/>
    <s v="SE-EIJI 11/2022 PS 1. PRORROGA CONTRATO MANTENIMIENTO ESCUELAS INFANTILES MUNICIPALES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29000434"/>
    <s v="AD"/>
    <d v="2023-01-01T00:00:00"/>
    <n v="22023001182"/>
    <s v="2023 05 4331 22799"/>
    <n v="15000"/>
    <x v="205"/>
    <s v="PRORROGA CONTRATO 010 (ATENCION PRESENCIAL Y TELEFONICA AGENCIA DE INNOVACIÓN). ENERO-MARZ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720"/>
    <s v="AD"/>
    <d v="2023-01-01T00:00:00"/>
    <n v="22023001301"/>
    <s v="2023 05 4331 22799"/>
    <n v="8938.8799999999992"/>
    <x v="205"/>
    <s v="MANTENIMIENTO  Y MEJORA DE LA INSTALACION Y JARDINERIA CUBIERTA VEGETAL EL CAMPILLO. PROYECTO URBAN GREEN UP. EN-SEPT 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09"/>
    <s v="AD"/>
    <d v="2023-01-01T00:00:00"/>
    <n v="22023001881"/>
    <s v="2023 06 2314 213"/>
    <n v="6171.08"/>
    <x v="205"/>
    <s v="SE-EIJI 11/2022 PS 1. PRORROGA CONTRATO MANTENIMIENTO ESPACIOS JOVENES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0040"/>
    <s v="AD"/>
    <d v="2023-01-01T00:00:00"/>
    <n v="22023000527"/>
    <s v="2023 03 9241 213"/>
    <n v="1759.18"/>
    <x v="205"/>
    <s v="LOTE 4: MANTENIMIENTO EXTINTORES Y SISTEMAS CONTRA INCENDIOS EDIFICIOS DEPENDIENTE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29000810"/>
    <s v="AD"/>
    <d v="2023-01-01T00:00:00"/>
    <n v="22023001882"/>
    <s v="2023 06 2315 213"/>
    <n v="1542.77"/>
    <x v="205"/>
    <s v="SE-EIJI 11/2022 PS 1. PRORROGA CONTRATO MANTENIMIENTO CENTRO MUNICIPAL DE LA IGUALDAD. LOTE 2. AÑO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1"/>
    <s v="213"/>
  </r>
  <r>
    <n v="220229000411"/>
    <s v="AD"/>
    <d v="2023-01-01T00:00:00"/>
    <n v="22023001181"/>
    <s v="2023 04 9231 22799"/>
    <n v="78750"/>
    <x v="205"/>
    <s v="PRORROGA CONTRATO ATENCION TELEFONICA 010 Y CENTRALITA - INFORMACION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29000805"/>
    <s v="AD"/>
    <d v="2023-01-01T00:00:00"/>
    <n v="22023001877"/>
    <s v="2023 06 3261 213"/>
    <n v="771.38"/>
    <x v="205"/>
    <s v="SE-EIJI 11/2022 PS 1. PRORROGA CONTRATO MANTENIMIENTO CENTRO DE APRENDIZAJE A LO LARGO DE LA VIDA. LOTE 2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927"/>
    <s v="AD"/>
    <d v="2023-02-17T00:00:00"/>
    <n v="22023002334"/>
    <s v="2023 06 3231 213"/>
    <n v="14209.55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7"/>
    <s v="AD"/>
    <d v="2023-02-17T00:00:00"/>
    <n v="22023002333"/>
    <s v="2023 06 3231 213"/>
    <n v="4134.74"/>
    <x v="205"/>
    <s v="SE EIJI 11/22 PS1. PRORROGA CTTO MANTENIMIENTO EIM LOTE2. AÑO 2023. ENLAZADO A PROYECTO: 4.134,74 ¿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6"/>
    <s v="AD/"/>
    <d v="2023-02-17T00:00:00"/>
    <n v="22023001876"/>
    <s v="2023 06 3231 213"/>
    <n v="-18344.29"/>
    <x v="205"/>
    <s v="SE-EIJI 11/2022 PS 1. PRORROGA CONTRATO MANTENIMIENTO ESCUELAS INFANTILES MUNICIPALES. L 2. AÑO 2023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16"/>
    <s v="AD/"/>
    <d v="2023-02-17T00:00:00"/>
    <n v="22023000918"/>
    <s v="2023 06 3231 22799"/>
    <n v="-175309.29"/>
    <x v="53"/>
    <s v="EXPTE SE-EIJI 10/2022 PS 11. PROR CTTO GESTION EIM CABALLITO BLANCO. L 10. AÑO 2023 Y 01/01 A 31/08/2024.REAJUSTE A PROY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4"/>
    <s v="AD/"/>
    <d v="2023-02-17T00:00:00"/>
    <n v="22023000917"/>
    <s v="2023 06 3231 22799"/>
    <n v="-185441.28"/>
    <x v="53"/>
    <s v="EXPTE SE-EIJI 10/2022 PS 11. PROR CTTO GESTION EIM EL GLOBO. L 9. AÑO 2023 Y 01/01 A 31/08/2024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2382"/>
    <s v="AD"/>
    <d v="2023-02-07T00:00:00"/>
    <n v="22023000066"/>
    <s v="2023 01 9207 22001"/>
    <n v="18897.12"/>
    <x v="206"/>
    <s v="ADJUDICA ACCESO SERVICIO CONJUNTO DE NOTICIAS AGENCIA EUROPA PRESS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5"/>
    <s v="AD"/>
    <d v="2023-03-17T00:00:00"/>
    <n v="22023003119"/>
    <s v="2023 07 1721 22799"/>
    <n v="2171.9499999999998"/>
    <x v="207"/>
    <s v="CALIBRACION CAUDALIMETROS DE LA RED RCCVA"/>
    <s v="220"/>
    <s v="BARCELONA"/>
    <s v="BARCELON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1928"/>
    <s v="AD"/>
    <d v="2023-02-03T00:00:00"/>
    <n v="22023000700"/>
    <s v="2023 06 2315 22611"/>
    <n v="2673"/>
    <x v="208"/>
    <s v="ACTUACION OLVIDADAS EN EL MUSEO DE LA CIENCIA DÍA MUNDIAL DE LA NIÑA Y LA MUJER EN LA CIENCIA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83"/>
    <s v="AD"/>
    <d v="2023-03-15T00:00:00"/>
    <n v="22023002986"/>
    <s v="2023 03 9241 22609"/>
    <n v="2090"/>
    <x v="208"/>
    <s v="LIBERA TEATRO, TRES ACTUACIONES: EN PRESENTACIÓN MFS, EN CC CANAL DE CASTILLA 30/04/2023 (MFS) Y EN C. PENIT. (4/03/23)"/>
    <s v="22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19001069"/>
    <s v="AD"/>
    <d v="2023-01-01T00:00:00"/>
    <n v="22023003345"/>
    <s v="2023 08 1651 213"/>
    <n v="25121.49"/>
    <x v="209"/>
    <s v="Adjudicación  Suministro de material fungible para instalaciones de Alumbrado Público. LOTE 1 SEMEU 28/2021.-"/>
    <s v="220"/>
    <s v="BARCELONA"/>
    <s v="BARCELONA"/>
    <x v="3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1"/>
    <s v="213"/>
  </r>
  <r>
    <n v="220229000130"/>
    <s v="AD"/>
    <d v="2023-01-01T00:00:00"/>
    <n v="22023000305"/>
    <s v="2023 09 3341 22609"/>
    <n v="20933.490000000002"/>
    <x v="210"/>
    <s v="ADJUDICACION SERVICIOS AUXILIARES FERIA DEL LIBRO DE VALLADOLID 2023. LOTE 5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29000058"/>
    <s v="AD"/>
    <d v="2023-01-01T00:00:00"/>
    <n v="22023000875"/>
    <s v="2023 09 3341 22799"/>
    <n v="4322.5"/>
    <x v="211"/>
    <s v="PRORROGA CONTRATO DE SERVICIO ATENCION Y COORDINACION SERVICIOS AUXILIARES CUPULA DEL MILENIO. 12-04-2022 AL 11-04-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3623"/>
    <s v="AD"/>
    <d v="2023-02-16T00:00:00"/>
    <n v="22023001816"/>
    <s v="2023 06 2315 22611"/>
    <n v="3795.63"/>
    <x v="211"/>
    <s v="COLABORACION DIA DE LA RADIOA 2023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8"/>
    <s v="AD"/>
    <d v="2023-01-01T00:00:00"/>
    <n v="22023000513"/>
    <s v="2023 06 2314 22799"/>
    <n v="8735.4"/>
    <x v="48"/>
    <s v="CTTO COORDINACION ANIMACION DINAMIZACION Y SEGUIMIENTO ESPACIO JOVEN ZONA SUR LOTE 2. DEL 15/1/21 AL 14/1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10315"/>
    <s v="AD"/>
    <d v="2023-03-23T00:00:00"/>
    <n v="22023003499"/>
    <s v="2023 06 2314 22613"/>
    <n v="647.35"/>
    <x v="48"/>
    <s v="GESTION ACTIVIDAD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9000031"/>
    <s v="AD"/>
    <d v="2023-01-01T00:00:00"/>
    <n v="22023000870"/>
    <s v="2023 10 2316 22799"/>
    <n v="14418.5"/>
    <x v="212"/>
    <s v="PRÓRROGA CONTRATO SERV.MEDIACION Y CONVIVENCIA INTERCULTURAL DE 1 A 31 DE ENERO 20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6"/>
    <s v="2316. Mediación comunitaria"/>
    <s v="22"/>
    <s v="22799"/>
  </r>
  <r>
    <n v="220219000706"/>
    <s v="AD"/>
    <d v="2023-03-29T00:00:00"/>
    <n v="22022002006"/>
    <s v="2023 02 1511 609"/>
    <n v="4657.54"/>
    <x v="166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30001792"/>
    <s v="AD"/>
    <d v="2023-02-03T00:00:00"/>
    <n v="22023000214"/>
    <s v="2023 10 2312 22617"/>
    <n v="796.95"/>
    <x v="213"/>
    <s v="SERVICIO DE INTERPRETE DE LENGUA DE SIGNOS PARA EL FORO DE LA CULTURA DEL 22 AL 26 DE FEBRERO- INICI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10313"/>
    <s v="AD"/>
    <d v="2023-03-23T00:00:00"/>
    <n v="22023003490"/>
    <s v="2023 06 2314 22613"/>
    <n v="1452"/>
    <x v="214"/>
    <s v="FOTOGRAFIA Y VIDEO ACTIVIDADES HORA DEL PLANET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09849"/>
    <s v="AD"/>
    <d v="2023-03-29T00:00:00"/>
    <n v="22022002776"/>
    <s v="2023 02 9332 632"/>
    <n v="5207.6000000000004"/>
    <x v="215"/>
    <s v="DOCUMENTACIÓN TÉCNICA DE LAS INSTALACIONES PARA REHABILITACIÓN DEL INMUEBLE -AZUCARERA STA.VICTORIA-"/>
    <s v="220"/>
    <s v="VALLADOLID"/>
    <s v="VALLADOLID"/>
    <x v="1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3426"/>
    <s v="AD"/>
    <d v="2023-02-14T00:00:00"/>
    <n v="22023002327"/>
    <s v="2023 10 2412 22104"/>
    <n v="2800"/>
    <x v="216"/>
    <s v="VESTUARIO PARA EL CURSO DE VALLADOLID CUIDA VI- CENTRO DE FORMACION PARA EL  EMPLEO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08954"/>
    <s v="AD"/>
    <d v="2023-03-17T00:00:00"/>
    <n v="22023003149"/>
    <s v="2023 10 2412 22199"/>
    <n v="319.44"/>
    <x v="216"/>
    <s v="EPIS PARA LOS PARTICIPANTES DEL CURSO VALLADOLID CUIDA VI DEL C. DE F. PARA ELEMPLEO- INICITIVAS SOCIAL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5389"/>
    <s v="AD"/>
    <d v="2023-02-22T00:00:00"/>
    <n v="22023002456"/>
    <s v="2023 04 9321 22799"/>
    <n v="460.36"/>
    <x v="217"/>
    <s v="MATERIAL PARA LA CONTRUCCIÓN-MONTAJE DE ESTANTERÍA PARA EL SERVICIO DE GESTIÓN DE INGRESOS"/>
    <s v="220"/>
    <s v="VALLADOLID"/>
    <s v="VALLADOLID"/>
    <x v="4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799"/>
  </r>
  <r>
    <n v="220230002005"/>
    <s v="AD"/>
    <d v="2023-02-03T00:00:00"/>
    <n v="22023001495"/>
    <s v="2023 03 9241 212"/>
    <n v="23.27"/>
    <x v="218"/>
    <s v="SUM. CERRADURA CAJÓN CC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1"/>
    <s v="AD"/>
    <d v="2023-02-06T00:00:00"/>
    <n v="22023001842"/>
    <s v="2023 03 9241 212"/>
    <n v="89.43"/>
    <x v="218"/>
    <s v="SUM. DE MATERIALES PARA TRABAJOS DE CERRAJERÍA EN CC J.M. LUELM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3424"/>
    <s v="AD"/>
    <d v="2023-02-14T00:00:00"/>
    <n v="22023002266"/>
    <s v="2023 10 2311 212"/>
    <n v="36.92"/>
    <x v="218"/>
    <s v="COLOCACIÓN URGENTE DE CERRADURA LINCE EN VIVIENDA SOCIAL DE C/ MORADAS 11, BAJO B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38"/>
    <s v="AD"/>
    <d v="2023-03-17T00:00:00"/>
    <n v="22023003117"/>
    <s v="2023 10 2312 212"/>
    <n v="11.74"/>
    <x v="218"/>
    <s v="SUMINISTRO PARA REPARACION DE  UN PASADOR  ALUMINIO DEL CPM ARCA REAL. DUR A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269"/>
    <s v="D"/>
    <d v="2023-03-21T00:00:00"/>
    <n v="22023001549"/>
    <s v="2023 07 1711 22199"/>
    <n v="229.56"/>
    <x v="218"/>
    <s v="CILINDRO TESA 5200-3030N / CILINDRO TESA 5030-3030N / COPIA LLAVE JMA"/>
    <s v="30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239"/>
    <s v="AD"/>
    <d v="2023-02-14T00:00:00"/>
    <n v="22023002409"/>
    <s v="2023 01 9207 22001"/>
    <n v="473.2"/>
    <x v="219"/>
    <s v="ADJUDICA RENOVACIÓN SUSCRIPCIÓN ANUAL AL FICHERO DE CARGOS AÑO 2023 - GOBIERNO Y RELACIONES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6757"/>
    <s v="AD"/>
    <d v="2023-03-01T00:00:00"/>
    <n v="22023002753"/>
    <s v="2023 02 9332 22799"/>
    <n v="656.72"/>
    <x v="74"/>
    <s v="TRANSPORTE Y GESTIÓN DE RESIDUOS ENVASES CONTAMINADOS PINTURAS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8192"/>
    <s v="AD"/>
    <d v="2023-03-13T00:00:00"/>
    <n v="22023003057"/>
    <s v="2023 11 1361 213"/>
    <n v="108.4"/>
    <x v="220"/>
    <s v="Mantenimiento mes de enero de 2023 de las máquinas de los gimnasios de los parques de bomberos; SEISYPC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2022"/>
    <s v="AD"/>
    <d v="2023-02-03T00:00:00"/>
    <n v="22023001641"/>
    <s v="2023 11 1361 22199"/>
    <n v="1105.76"/>
    <x v="221"/>
    <s v="Perfilería y materiales diversos en aluminio, montaje armarios en remolque NRBQ;SEISYPC"/>
    <s v="220"/>
    <s v="FUENLABRADA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0076401"/>
    <s v="AD"/>
    <d v="2023-03-29T00:00:00"/>
    <n v="22022008952"/>
    <s v="2023 11 1621 634"/>
    <n v="516393.34"/>
    <x v="74"/>
    <s v="TRASPASO DE MEDIOS MATERIALES ASOCIADOS AL CONTRATO DE RECOGIDA SELECTIVA DE PAPEL Y CARTÓN, EXP V.25/2017"/>
    <s v="220"/>
    <s v="MADRID"/>
    <s v="MADRID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30006417"/>
    <s v="AD"/>
    <d v="2023-02-28T00:00:00"/>
    <n v="22023002744"/>
    <s v="2023 05 4331 22699"/>
    <n v="363"/>
    <x v="222"/>
    <s v="CONTRATACION NUEVO CERTIFICADO SSL SW DOMINIO DE EXPLOTACIÓN IDEVA.ES. PERIODO DE VALIDEZ 1 AÑO.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937"/>
    <s v="AD"/>
    <d v="2023-03-17T00:00:00"/>
    <n v="22023003116"/>
    <s v="2023 05 4331 22699"/>
    <n v="363"/>
    <x v="222"/>
    <s v="MANTENIMIENTO CERTIFICADO SSL SW DOMINIO DE EXPLOTACIÓN VALLADOLID.ES. PERIODO DE VALIDEZ 1 AÑO.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9"/>
    <s v="AD"/>
    <d v="2023-02-22T00:00:00"/>
    <n v="22023002481"/>
    <s v="2023 05 4331 22699"/>
    <n v="484"/>
    <x v="222"/>
    <s v="RENOVACIÓN CERTIFICADOS DATOSABIERTOS-PRE.VALLADOLID.ES;DATOSABIERTOS.VALLADOLID.ES;S2CITY-PRE.VALLADOLID.ES;S2CITY.VALL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5398"/>
    <s v="AD"/>
    <d v="2023-02-22T00:00:00"/>
    <n v="22023002478"/>
    <s v="2023 05 4331 22699"/>
    <n v="363"/>
    <x v="222"/>
    <s v="RENOVACIÓN DE CERTIFICADO DIGITAL SSL OV WILDCAR VALLADOLIDADELANTE.ES"/>
    <s v="220"/>
    <s v="BARCELONA"/>
    <s v="BARCELON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8"/>
    <s v="AD"/>
    <d v="2023-03-15T00:00:00"/>
    <n v="22023002991"/>
    <s v="2023 09 3341 22699"/>
    <n v="556.6"/>
    <x v="223"/>
    <s v="REGISTRO DE MARCAS Y PATENTES DEL LOGO Y NOMBRE DEL CENTRO MARCELINA PONCELA"/>
    <s v="220"/>
    <s v="SAN SEBASTIAN DE LOS REYES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8183"/>
    <s v="AD"/>
    <d v="2023-03-13T00:00:00"/>
    <n v="22023002899"/>
    <s v="2023 11 1361 22199"/>
    <n v="160"/>
    <x v="224"/>
    <s v="CUATRO RAMOS DE FLORES Y UN CENTRO PARA OFRENDA FLORAL EN VERACRUZ Y CEMENTERIO FALLECIDOS ACTO SERVICIO;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602"/>
    <s v="AD"/>
    <d v="2023-01-01T00:00:00"/>
    <n v="22023000468"/>
    <s v="2023 11 1321 22104"/>
    <n v="30129"/>
    <x v="225"/>
    <s v="SUMINISTRO DE EQUIPAMIENTO MOTORISTA (CASCOS).. EXPTE.  SPSC-SE 026/2022 lote 1. EJERC. 2023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20020833"/>
    <s v="AD"/>
    <d v="2023-03-29T00:00:00"/>
    <n v="22022003703"/>
    <s v="2023 02 9332 632"/>
    <n v="7151.1"/>
    <x v="226"/>
    <s v="REPARACIÓN-RESTAURACIÓN QUIOSKO UBICAR EN PLAZA CAÑO ARGALES"/>
    <s v="220"/>
    <s v="CALVARRA"/>
    <s v="SALAMANCA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29000322"/>
    <s v="AD"/>
    <d v="2023-01-01T00:00:00"/>
    <n v="22023001148"/>
    <s v="2023 10 2312 22799"/>
    <n v="3363"/>
    <x v="58"/>
    <s v="PRORROGA lote 3-TALLER EDUCATIVO PREVENCION USO INADECUADO TIC-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321"/>
    <s v="AD"/>
    <d v="2023-01-01T00:00:00"/>
    <n v="22023001147"/>
    <s v="2023 10 2312 22799"/>
    <n v="885"/>
    <x v="58"/>
    <s v="PRORROGA lote 2-TALLER EDUCATIVO SOBRE COMERCIO JUSTO-PLAN COOP.-29,50 E/H- ENE A AGO 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783"/>
    <s v="AD"/>
    <d v="2023-01-01T00:00:00"/>
    <n v="22023001866"/>
    <s v="2023 10 2412 22799"/>
    <n v="17046.349999999999"/>
    <x v="227"/>
    <s v="Prórroga Lote 1: Curso de servicios auxiliares de estética. 360 horas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8578"/>
    <s v="AD"/>
    <d v="2023-03-15T00:00:00"/>
    <n v="22023002981"/>
    <s v="2023 03 9241 22609"/>
    <n v="605"/>
    <x v="228"/>
    <s v="LUNA MÁGICA: ESPECTÁCULO DE MAGIA EN CC ESGUEVA EL DÍA 2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942"/>
    <s v="AD"/>
    <d v="2023-02-10T00:00:00"/>
    <n v="22023001812"/>
    <s v="2023 07 1721 22706"/>
    <n v="1331"/>
    <x v="229"/>
    <s v="ESTUDIO TECNICO PLANOS ZONA ZAS N2 SAN MIGUEL"/>
    <s v="220"/>
    <s v="SIMANCAS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12869"/>
    <s v="AD"/>
    <d v="2023-03-31T00:00:00"/>
    <n v="22023003680"/>
    <s v="2023 02 9332 212"/>
    <n v="63.53"/>
    <x v="230"/>
    <s v="SUMINISTRO DE PLANCHA DE POLICARBONATO COMPACT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19000524"/>
    <s v="AD"/>
    <d v="2023-01-01T00:00:00"/>
    <n v="22023003291"/>
    <s v="2023 04 9204 22002"/>
    <n v="7852.16"/>
    <x v="231"/>
    <s v="SUMINISTRO DE FUNGIBLES DE IMPRESIÓN COMPATIBLES, LOTE 2"/>
    <s v="220"/>
    <s v="MADRID"/>
    <s v="MADRID"/>
    <x v="3"/>
    <s v="PrAbier - Procedimiento Abierto"/>
    <s v="UniC - Único Criterio"/>
    <x v="0"/>
    <x v="0"/>
    <s v="2"/>
    <s v="2. Gastos corrientes en bienes y servicios"/>
    <s v="04"/>
    <x v="5"/>
    <s v="9204"/>
    <s v="9204. Tecnologías de la información y comunicación"/>
    <s v="22"/>
    <s v="22002"/>
  </r>
  <r>
    <n v="220230007139"/>
    <s v="AD"/>
    <d v="2023-03-02T00:00:00"/>
    <n v="22023002676"/>
    <s v="2023 11 3111 22799"/>
    <n v="10883.95"/>
    <x v="232"/>
    <s v="CONTRATO CONTROL POBLACION PALOMA BRAVIA, TORCAZ Y ESTORNINOS HASTA FORMALIZACION NUEVO CONTRATO EN LICITACIÓN"/>
    <s v="220"/>
    <s v="CORALINA (LA)"/>
    <s v="JAE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10349"/>
    <s v="AD"/>
    <d v="2023-03-23T00:00:00"/>
    <n v="22023003552"/>
    <s v="2023 11 3111 213"/>
    <n v="91.96"/>
    <x v="233"/>
    <s v="REPARACION CAMARA FRIGORIFICA DEL CENTRO MUNICIPAL DE PROTECCION ANIMAL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59"/>
    <s v="AD"/>
    <d v="2023-02-03T00:00:00"/>
    <n v="22023001392"/>
    <s v="2023 07 1701 213"/>
    <n v="854.26"/>
    <x v="234"/>
    <s v="MANTENIMIENTO EQUIPOS CLIMATIZACIÓN EN EDIFICIO ANEXO AL DE CASA DEL BARCO. 01/01/2023 AL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2594"/>
    <s v="AD"/>
    <d v="2023-02-08T00:00:00"/>
    <n v="22023002121"/>
    <s v="2023 11 3111 213"/>
    <n v="2300"/>
    <x v="234"/>
    <s v="MANTENIMIENTO PREVENTIVO DE LOS EQUIPOS DE CLIMATIZACIÓN DEL EDIFICIO CASA DEL BARCO Y DEL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3253"/>
    <s v="AD"/>
    <d v="2023-02-14T00:00:00"/>
    <n v="22023002202"/>
    <s v="2023 07 1721 213"/>
    <n v="2420.91"/>
    <x v="234"/>
    <s v="MANTENIMIENTO SISTEMA AIRE ACONDICIONADO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8187"/>
    <s v="AD"/>
    <d v="2023-03-13T00:00:00"/>
    <n v="22023002999"/>
    <s v="2023 03 9241 213"/>
    <n v="358.28"/>
    <x v="234"/>
    <s v="SUM. E INST. DIFERENCIALES SUPERINMUNIZADOS EN CUADRO ELÉCTRICO DE CLIMATIZACIÓN DEL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238"/>
    <s v="AD"/>
    <d v="2023-02-14T00:00:00"/>
    <n v="22023002395"/>
    <s v="2023 06 3232 212"/>
    <n v="6534"/>
    <x v="235"/>
    <s v="CTTO SERVICIOS DETECCIÓN DE FUGAS DE AGUA CON TECNOLOGÍA NO INVASIVA EN VARIOS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172"/>
    <s v="AD"/>
    <d v="2023-03-02T00:00:00"/>
    <n v="22023002395"/>
    <s v="2023 06 3232 212"/>
    <n v="726"/>
    <x v="235"/>
    <s v="AMPLIACION SERVICIOS DETECCIÓN FUGA OCULTA DE AGUA EN 3 COLEGIOS PÚBLICOS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0704"/>
    <s v="AD"/>
    <d v="2023-01-01T00:00:00"/>
    <n v="22023003362"/>
    <s v="2023 10 2312 22799"/>
    <n v="10424"/>
    <x v="236"/>
    <s v="prev.drogas -L1-MONEO 22:12-23:9-DEDALO 22:2-23:1 (10098 EN22 Y 6333 EN23) -L2 PREV.C.ESC Y OT.ENT-6992,61EN 22-4091EN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290"/>
    <s v="AD"/>
    <d v="2023-01-01T00:00:00"/>
    <n v="22023001925"/>
    <s v="2023 10 2312 22799"/>
    <n v="1400"/>
    <x v="236"/>
    <s v="2 PARTE DEL PROGRAMA DE COMPETENCIA FAMILIAR AFECT DIRIGIDO A FAMILIAS CON HIJOS DE 12 A 16 AÑOS DEL 01/01/AL 30/06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8596"/>
    <s v="AD"/>
    <d v="2023-03-15T00:00:00"/>
    <n v="22023003000"/>
    <s v="2023 10 2312 22617"/>
    <n v="556.6"/>
    <x v="237"/>
    <s v="Seminario de evacuación a personas con discapacidad para formar a personal técnico de entidades del secto-23 de marzo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29000134"/>
    <s v="AD"/>
    <d v="2023-01-01T00:00:00"/>
    <n v="22023000899"/>
    <s v="2023 07 1701 22799"/>
    <n v="11656"/>
    <x v="238"/>
    <s v="1ª PRÓRROGA LOTE 3. CONTRATO PROGRAMAS EDUCACIÓN AMBIENTAL (ACCIONES EDUCATIVAS). PLAZO: 01/01/2023 AL 31/08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99"/>
  </r>
  <r>
    <n v="220229000579"/>
    <s v="AD"/>
    <d v="2023-01-01T00:00:00"/>
    <n v="22023000465"/>
    <s v="2023 09 3301 22706"/>
    <n v="11246.84"/>
    <x v="239"/>
    <s v="CONTRATO DE MANTENIMIENTO SERVICIO DE ANALISIS Y CONTROL DEL OBSERVATORIO CULTURAL Y TURISTICO DEL AYTO VA 2023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06"/>
  </r>
  <r>
    <n v="220230002582"/>
    <s v="AD"/>
    <d v="2023-02-08T00:00:00"/>
    <n v="22023001611"/>
    <s v="2023 05 4331 22799"/>
    <n v="17484.5"/>
    <x v="239"/>
    <s v="CONTRATACIÓN APOYO Y SOPORTE PARA LA JUSTIFICACIÓN Y CIERRE DE PROYECTOS EUROPEOS FINANCIADOS CON FONDOS EUROPEOS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31"/>
    <s v="AD"/>
    <d v="2023-02-14T00:00:00"/>
    <n v="22023002361"/>
    <s v="2023 10 2312 22606"/>
    <n v="173.25"/>
    <x v="240"/>
    <s v="SERVICIO DE DESAYUNO PARA LOS PARTICIPANTES  DE LA JORNADA  ENCUENTROS CON CENTROAMERICA DENTRO DEL PROGRAMA DE PASANTIA"/>
    <s v="220"/>
    <s v="LEON"/>
    <s v="LEON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8959"/>
    <s v="AD"/>
    <d v="2023-03-17T00:00:00"/>
    <n v="22023003171"/>
    <s v="2023 06 2315 22611"/>
    <n v="127.05"/>
    <x v="241"/>
    <s v="CESION SALA DE LA CASA REVILLA DE LA FMC PARA PROYECCION DOCUMENTAL DI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442"/>
    <s v="AD"/>
    <d v="2023-02-15T00:00:00"/>
    <n v="22023002366"/>
    <s v="2023 04 9202 22607"/>
    <n v="104"/>
    <x v="242"/>
    <s v="UTILIZACION INSTALACIONES DEPORTIVAS MPLES. DIA 24 ENERO 2023, PARA PRUEBAS FÍSICAS PARA PROMOCIÓN POLICIAS MUNICIPALES.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8568"/>
    <s v="AD"/>
    <d v="2023-03-15T00:00:00"/>
    <n v="22023002745"/>
    <s v="2023 04 9202 22607"/>
    <n v="393.5"/>
    <x v="242"/>
    <s v="USO PISTA ATLETISMO CIUDAD DE VALLADOLID Y GIMNASIO Y PISCINA DE HUERTA DEL REY PARA PRUEBAS FISICAS PROVISION BOMBEROS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2"/>
    <s v="AD"/>
    <d v="2023-03-23T00:00:00"/>
    <n v="22023003391"/>
    <s v="2023 10 2312 22699"/>
    <n v="214.5"/>
    <x v="242"/>
    <s v="UTILIZACION DEL POLIDEPORTIVO DEL CENTRO J. L. MOSQ. PARA UN TALLER DEL CVA HUERTA DEL REY DE1 D ENERO A 31 DE  MAY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9"/>
    <s v="AD"/>
    <d v="2023-01-01T00:00:00"/>
    <n v="22023001174"/>
    <s v="2023 06 3232 22700"/>
    <n v="2148.96"/>
    <x v="2"/>
    <s v="CTTO DE SERVICIOS POR LA LIMPIEZA EXCEPCIONAL DE LA 1ª PLANTA DEL CEE Nº 1 CURSO ESCOLAR 22/23. DEL 1/1/ 23 AL 23/6/23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00"/>
  </r>
  <r>
    <n v="220230001923"/>
    <s v="AD"/>
    <d v="2023-02-03T00:00:00"/>
    <n v="22023000510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1923"/>
    <s v="AD"/>
    <d v="2023-02-03T00:00:00"/>
    <n v="22023000511"/>
    <s v="2023 10 2312 22699"/>
    <n v="70.33"/>
    <x v="243"/>
    <s v="GASTOS POR LA GESTION DE VENTA DE ENTRADAS DEL CONCIERTOPARA MAYORES REALIZADO EL 30 DE DICIEMBRE DE 2022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4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8936"/>
    <s v="AD"/>
    <d v="2023-03-17T00:00:00"/>
    <n v="22023003115"/>
    <s v="2023 10 2312 22699"/>
    <n v="2184.23"/>
    <x v="243"/>
    <s v="ESPACIO PARA CELEBRACION DE UN CONCIERTO DIRIGUIDO A LAS PERSONAS MAYORES DE LOS CENTROS DE VIDA ACTIVA, 22 DE ABRIL 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10308"/>
    <s v="AD"/>
    <d v="2023-03-23T00:00:00"/>
    <n v="22023003473"/>
    <s v="2023 06 2314 22613"/>
    <n v="1093.3699999999999"/>
    <x v="244"/>
    <s v="RUTA VAMOS A DAR LA VUELTA A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582"/>
    <s v="AD"/>
    <d v="2023-03-15T00:00:00"/>
    <n v="22023002985"/>
    <s v="2023 03 9241 22609"/>
    <n v="665.5"/>
    <x v="245"/>
    <s v="PAYASO CUCHUFLAY EN CC PARQUESOL EL DÍA 29/04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10"/>
    <s v="AD"/>
    <d v="2023-02-03T00:00:00"/>
    <n v="22023001500"/>
    <s v="2023 03 9241 22799"/>
    <n v="460.78"/>
    <x v="246"/>
    <s v="INSPECCIÓN LÍNEA DE VIDA DEL CC BAILARÍN VICENTE ESCUDERO"/>
    <s v="220"/>
    <s v="ALCORCÓN"/>
    <s v="MADR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29000293"/>
    <s v="AD"/>
    <d v="2023-01-01T00:00:00"/>
    <n v="22023000944"/>
    <s v="2023 05 4312 22102"/>
    <n v="1700"/>
    <x v="72"/>
    <s v="PR-SE 16/2022 (PS 6 EXT. SE 10/2019) GAS NATURAL OMIC 1-1-2023 AL 31-9-2023"/>
    <s v="220"/>
    <s v="BARCELONA"/>
    <s v="BARCELONA"/>
    <x v="3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102"/>
  </r>
  <r>
    <n v="220230002648"/>
    <s v="AD"/>
    <d v="2023-02-09T00:00:00"/>
    <n v="22023002279"/>
    <s v="2023 06 3232 22102"/>
    <n v="1050"/>
    <x v="72"/>
    <s v="TRABAJOS DE INSPECCIÓN PERIÓDICA DE IRI DE LA EMPRESA DISTRIBUIDORA DE GAS NATURAL EN LOS COLEGIOS PÚBLICOS. 2023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2"/>
  </r>
  <r>
    <n v="220230009425"/>
    <s v="AD/"/>
    <d v="2023-03-21T00:00:00"/>
    <n v="22023000949"/>
    <s v="2023 11 1361 22102"/>
    <n v="-30000"/>
    <x v="72"/>
    <s v="CONTRATO DE SUMINISTRO DE GAS NATURAL DESDE 01_01_2023 A 30_09_2023 EXPTE:PR_SE_10_2021 PS6 EXPTE.SE 10_2019; SEISYPC."/>
    <s v="220"/>
    <s v="BARCELONA"/>
    <s v="BARCELON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2"/>
  </r>
  <r>
    <n v="220230001795"/>
    <s v="AD"/>
    <d v="2023-02-03T00:00:00"/>
    <n v="22023000203"/>
    <s v="2023 11 1361 22199"/>
    <n v="95.9"/>
    <x v="247"/>
    <s v="Recarga de una botella de oxígeno para oxicorte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061"/>
    <s v="AD"/>
    <d v="2023-02-06T00:00:00"/>
    <n v="22023002022"/>
    <s v="2023 06 3232 213"/>
    <n v="3000"/>
    <x v="247"/>
    <s v="SUMINISTO DE BOMBONAS DE GAS ARCAL PARA LOS EQUIPOS DE SOLDADURA UTILIZADOS EN COLEGIOS PÚBLICOS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179"/>
    <s v="AD"/>
    <d v="2023-03-13T00:00:00"/>
    <n v="22023002830"/>
    <s v="2023 11 1361 22199"/>
    <n v="95.9"/>
    <x v="247"/>
    <s v="Recarga de una botella de oxígeno modelo OXIFLAM O2 MINITOP para reponer en el equipo de oxicorte del parque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68"/>
    <s v="AD"/>
    <d v="2023-03-21T00:00:00"/>
    <n v="22023003253"/>
    <s v="2023 08 1532 210"/>
    <n v="253.68"/>
    <x v="247"/>
    <s v="Suministro recarga de botella ARCAL 21 para el Centro de Mantenimiento de Edificacion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095"/>
    <s v="AD"/>
    <d v="2023-01-01T00:00:00"/>
    <n v="22023000298"/>
    <s v="2023 11 1321 213"/>
    <n v="10782.31"/>
    <x v="248"/>
    <s v="PRESTACIONES BÁSICAS MANTENIM. Y CONSERV. INST. TÉRMICAS EDIFICIOS DE POLICIA DEL 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6"/>
    <s v="AD"/>
    <d v="2023-01-01T00:00:00"/>
    <n v="22023000299"/>
    <s v="2023 11 1321 213"/>
    <n v="6875"/>
    <x v="248"/>
    <s v="PREST.  ACCESORIAS (REPAR. Y MATERIAL) MANTENIM. Y CONSERV. INSTAL.  TÉRMICAS POLICÍA DEL 1-1-2023 AL 31-12-2023.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097"/>
    <s v="AD"/>
    <d v="2023-01-01T00:00:00"/>
    <n v="22023000885"/>
    <s v="2023 11 1321 213"/>
    <n v="625"/>
    <x v="248"/>
    <s v="PREST. ACCESORIAS (REP. Y MATERIAL) MANT. Y CONSERV. INSTAL. TÉRMICAS POLICÍA DEL 1-1-2023 AL 31-12-2023. LOTE 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1"/>
    <s v="213"/>
  </r>
  <r>
    <n v="220229000648"/>
    <s v="AD"/>
    <d v="2023-01-01T00:00:00"/>
    <n v="22023001255"/>
    <s v="2023 10 2311 213"/>
    <n v="2032.8"/>
    <x v="248"/>
    <s v="Mantenimiento calefacción, climatización y  ACS centros del Serv. Intervención Social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3"/>
    <s v="AD"/>
    <d v="2023-01-01T00:00:00"/>
    <n v="22023001261"/>
    <s v="2023 10 2312 213"/>
    <n v="3310.56"/>
    <x v="248"/>
    <s v="Mnto. Calefacción, climatización y ACS en  los CPM sin transferir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54"/>
    <s v="AD"/>
    <d v="2023-01-01T00:00:00"/>
    <n v="22023001262"/>
    <s v="2023 10 2312 213"/>
    <n v="2758.8"/>
    <x v="248"/>
    <s v="Mnto. Calefacción, climatización y ACS en los CPM transferidos  del Servicio de Iniciativas Sociale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72"/>
    <s v="AD"/>
    <d v="2023-03-21T00:00:00"/>
    <n v="22023003287"/>
    <s v="2023 02 9332 212"/>
    <n v="1000"/>
    <x v="247"/>
    <s v="RECARGA  DE BOMBONAS PARA SOLDAR EN EL TALLER DE CERRAJERÍA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6170"/>
    <s v="AD"/>
    <d v="2023-02-23T00:00:00"/>
    <n v="22023002578"/>
    <s v="2023 11 1621 214"/>
    <n v="4000"/>
    <x v="249"/>
    <s v="SUMINISTRO REPUESTOS REPARACIÓN RECOLECTORES DE GEESINK PARA VEHÍCULOS DEL SERVICIO DE LIMPIEZA."/>
    <s v="220"/>
    <s v="TORREJÓN DE ARDOZ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5"/>
    <s v="AD"/>
    <d v="2023-02-03T00:00:00"/>
    <n v="22023001646"/>
    <s v="2023 06 2315 22614"/>
    <n v="180"/>
    <x v="250"/>
    <s v="TALLER DE EDUCACION EMOCIONAL INFANTIL EN EL CENTRO MUNICIPAL DE LA IGUALDAD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5402"/>
    <s v="AD"/>
    <d v="2023-02-22T00:00:00"/>
    <n v="22023002551"/>
    <s v="2023 06 2315 22611"/>
    <n v="110"/>
    <x v="250"/>
    <s v="TALLER CENTRO MUNICIPAL DE LA IGUALDAD &quot;&quot;LAS NIÑAS TAMBIÉN SON DE CIENCIAS&quot;&quot; / MARZO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7"/>
    <s v="AD"/>
    <d v="2023-03-29T00:00:00"/>
    <n v="22023003566"/>
    <s v="2023 06 2315 22614"/>
    <n v="110"/>
    <x v="250"/>
    <s v="TALLER CENTRO MUNICIPAL DE LA IGUALDAD 7 CLAVES PARA GARANTIZAR UNA AUTOESTIMA SANA A TUS  HIJ@S / ABRIL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2925"/>
    <s v="AD"/>
    <d v="2023-02-10T00:00:00"/>
    <n v="22023000080"/>
    <s v="2023 09 3341 22700"/>
    <n v="1075.6199999999999"/>
    <x v="251"/>
    <s v="LIMPIEZA DEL CENTRO MARCELINA PONCELA. LIMPIEZA PREVIA A SU INAUGURACION Y PRIMER MES DE FUNCIONAMIENT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1204"/>
    <s v="ADO"/>
    <d v="2023-02-02T00:00:00"/>
    <n v="22023001684"/>
    <s v="2023 05 4331 203"/>
    <n v="39.81"/>
    <x v="252"/>
    <s v="ALQUILER 1 FUENTE DE AGUA 05/12/2022 y el 04/01/2023"/>
    <s v="24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19001133"/>
    <s v="AD"/>
    <d v="2023-01-01T00:00:00"/>
    <n v="22023003328"/>
    <s v="2023 07 1721 213"/>
    <n v="211.06"/>
    <x v="253"/>
    <s v="Contrato extintores Servicio de Medio Ambiente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1140"/>
    <s v="ADO"/>
    <d v="2023-02-02T00:00:00"/>
    <n v="22023001378"/>
    <s v="2023 10 2412 22799"/>
    <n v="1769.31"/>
    <x v="86"/>
    <s v="SERVICIO CELADURÍA JACINTO BENAVENTE // DICIEMBRE 22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0165"/>
    <s v="AD"/>
    <d v="2023-01-01T00:00:00"/>
    <n v="22023000798"/>
    <s v="2023 07 1711 22799"/>
    <n v="622.9"/>
    <x v="253"/>
    <s v="CONTRATO EXTINTORES SERVICIO PARQUES Y JARDINES -CASETAS-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99"/>
  </r>
  <r>
    <n v="220230001161"/>
    <s v="ADO"/>
    <d v="2023-02-02T00:00:00"/>
    <n v="22023001443"/>
    <s v="2023 03 9241 22199"/>
    <n v="648.98"/>
    <x v="182"/>
    <s v="PORTÁTIL HP 14S-DQ4001NS PARA C.C. EL CAMPILLO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162"/>
    <s v="ADO"/>
    <d v="2023-02-02T00:00:00"/>
    <n v="22023001446"/>
    <s v="2023 03 9241 22609"/>
    <n v="1500"/>
    <x v="254"/>
    <s v="ACTUACION MUSICAL TAHONA EN CC CANAL DE CASTILLA NAVIDAD 2022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163"/>
    <s v="ADO"/>
    <d v="2023-02-02T00:00:00"/>
    <n v="22023001453"/>
    <s v="2023 03 9241 22199"/>
    <n v="7176.51"/>
    <x v="255"/>
    <s v="ALFOMBRAS ANTIHUMEDAD PARA CENTROS DE PARTICIPACIÓN CIUDADANA"/>
    <s v="24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9453"/>
    <s v="AD"/>
    <d v="2023-03-21T00:00:00"/>
    <n v="22023003185"/>
    <s v="2023 10 2312 213"/>
    <n v="2268.7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453"/>
    <s v="AD"/>
    <d v="2023-03-21T00:00:00"/>
    <n v="22023003186"/>
    <s v="2023 10 2312 213"/>
    <n v="3176.25"/>
    <x v="253"/>
    <s v="CORRECTIVOS A REALIZAR DEL MANTO. DEL SISTEMA DE PROTECCION DE INCENDIOS EN LOS CVA DURANTE EL AÑO 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231"/>
    <s v="ADO"/>
    <d v="2023-02-02T00:00:00"/>
    <n v="22023001801"/>
    <s v="2023 03 9241 22699"/>
    <n v="7139"/>
    <x v="256"/>
    <s v="PREST SERV MONTAJE CENTROS DE PARTICIPACIÓN CIUDADANA"/>
    <s v="240"/>
    <s v="CASTALLA"/>
    <s v="ALICANTE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29"/>
    <s v="ADO"/>
    <d v="2023-02-02T00:00:00"/>
    <n v="22023001799"/>
    <s v="2023 03 9241 22602"/>
    <n v="251.68"/>
    <x v="257"/>
    <s v="SUMINISTRO DE SUDADERAS Y CAMISETAS CAMPAÑA PARTICIPACIÓN CIUDADANA"/>
    <s v="240"/>
    <s v="CERDANYOLA DEL VALLÉS"/>
    <s v="BARCELON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189"/>
    <s v="ADO"/>
    <d v="2023-02-02T00:00:00"/>
    <n v="22023001583"/>
    <s v="2023 06 3232 22706"/>
    <n v="392.06"/>
    <x v="132"/>
    <s v="AYUNTAMIENTO DE VALLADOLID  CEIP PEDRO GOMEZ BOSQUE.CONTROL DE CALIDAD. LOTE 2. ASISTENCIA TÉCNICA"/>
    <s v="240"/>
    <s v="SANT CUGAT DEL VALLES"/>
    <s v="BARCELONA"/>
    <x v="1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2"/>
    <s v="22706"/>
  </r>
  <r>
    <n v="220230001243"/>
    <s v="ADO"/>
    <d v="2023-02-02T00:00:00"/>
    <n v="22023001930"/>
    <s v="2023 02 9332 212"/>
    <n v="1828.79"/>
    <x v="258"/>
    <s v="ACUCHILLADO Y 3 MANOS DE BARNIZ"/>
    <s v="24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1"/>
    <s v="AD"/>
    <d v="2023-02-06T00:00:00"/>
    <n v="22023002080"/>
    <s v="2023 09 4321 22199"/>
    <n v="96.8"/>
    <x v="148"/>
    <s v="SUMINISTRO EXTINTOR PARA LA ANTIGUA HIPICA MILITAR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199"/>
  </r>
  <r>
    <n v="220230001230"/>
    <s v="ADO"/>
    <d v="2023-02-02T00:00:00"/>
    <n v="22023001800"/>
    <s v="2023 03 9241 22609"/>
    <n v="440"/>
    <x v="259"/>
    <s v="EL PAYASO&quot;&quot; ESPECTACULO DE CIRCO MUDO A TODO COLOR // CM PINAR DE ANTEQUERA"/>
    <s v="24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4"/>
    <s v="ADO"/>
    <d v="2023-02-02T00:00:00"/>
    <n v="22023001804"/>
    <s v="2023 03 9241 22609"/>
    <n v="1045"/>
    <x v="260"/>
    <s v="FUNCIÓN DEL 30 DE DICIEMBRE DE 2012 DEL MONTAJE SONETOS ENTRE TODOS EN EL CIC NATIVIDAD AC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3"/>
    <s v="ADO"/>
    <d v="2023-02-02T00:00:00"/>
    <n v="22023001803"/>
    <s v="2023 03 9241 22609"/>
    <n v="660"/>
    <x v="261"/>
    <s v="ESPECTÁCULO &quot;&quot;COSAS QUE CONTAR&quot;&quot;  PROGRAMACIÓN DE NAVIDAD CC EL CAMPILLO"/>
    <s v="24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235"/>
    <s v="ADO"/>
    <d v="2023-02-02T00:00:00"/>
    <n v="22023001805"/>
    <s v="2023 03 9241 22609"/>
    <n v="544.5"/>
    <x v="262"/>
    <s v="ACTUACION MAGIA FERRIS EL MAGO // CM LAS FLORES //DIA  29/12/2022"/>
    <s v="240"/>
    <s v="SIMANCAS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236"/>
    <s v="AD"/>
    <d v="2023-01-01T00:00:00"/>
    <n v="22023000686"/>
    <s v="2023 03 9241 22799"/>
    <n v="21185.59"/>
    <x v="263"/>
    <s v="PRESUPUESTOS PARTICIPATIVOS: SERVICIO ASESORAMIENTO Y ASIST. TÉCNICA PARA DESARROLLO DEL PROGRAMA (01/01/2023 -31/04/24)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30001958"/>
    <s v="AD"/>
    <d v="2023-02-03T00:00:00"/>
    <n v="22023001390"/>
    <s v="2023 07 1721 22799"/>
    <n v="4119.2"/>
    <x v="263"/>
    <s v="VISITAS GUIADAS A LA EXPOSICION AUVA 2030 EN LOS CENTROS CIVICO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9495"/>
    <s v="AD"/>
    <d v="2023-03-21T00:00:00"/>
    <n v="22023003453"/>
    <s v="2023 07 1721 213"/>
    <n v="7260"/>
    <x v="264"/>
    <s v="MANTENIMIENTO ROBOT Y FUNGIBLES DEL ROBOT DEL LABORATORIO DE LA RED DE CONTAMINACIO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1964"/>
    <s v="AD"/>
    <d v="2023-02-03T00:00:00"/>
    <n v="22023001372"/>
    <s v="2023 10 2412 212"/>
    <n v="205.7"/>
    <x v="265"/>
    <s v="DESATASCO DE DOS BAJANTES DEL CENTRO DE FORMACION PARA EL EMPLEO- JACINTO BENAVENTE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1991"/>
    <s v="AD"/>
    <d v="2023-02-03T00:00:00"/>
    <n v="22023001577"/>
    <s v="2023 06 3232 22799"/>
    <n v="2000"/>
    <x v="265"/>
    <s v="CONTRATO DE SERVICIOS POR LOS DESATRANQUES EN LA RED DE SANEAMIENTO Y OTROS EN COLEGIOS PU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2031"/>
    <s v="AD"/>
    <d v="2023-02-03T00:00:00"/>
    <n v="22023001688"/>
    <s v="2023 11 1321 213"/>
    <n v="2000"/>
    <x v="266"/>
    <s v="LAVADO EXTERIOR DE VEHÍCULOS DE POLICÍA MUNICIPAL. (2023)"/>
    <s v="220"/>
    <s v="ARAPILES"/>
    <s v="SALAMANC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8"/>
    <s v="AD"/>
    <d v="2023-02-03T00:00:00"/>
    <n v="22023000679"/>
    <s v="2023 01 9207 22699"/>
    <n v="762.3"/>
    <x v="267"/>
    <s v="ADJUDICA DISEÑO LOGOTIPO XXXII CONGRESO OICI. CIUDADES SOSTENIBLES. CIUDADES PARA LAS PERSONAS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99"/>
  </r>
  <r>
    <n v="220230002033"/>
    <s v="AD"/>
    <d v="2023-02-03T00:00:00"/>
    <n v="22023001700"/>
    <s v="2023 11 1321 213"/>
    <n v="7247.9"/>
    <x v="268"/>
    <s v="MANTENIMIENTO DEL PROGRAMA INFORMÁTICO DE GESTIÓN DE CALIDAD DE POLICÍA MUNICIPAL. (2023)"/>
    <s v="220"/>
    <s v="A CORUÑA"/>
    <s v="A CORUÑA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69"/>
    <s v="AD"/>
    <d v="2023-02-03T00:00:00"/>
    <n v="22023001481"/>
    <s v="2023 01 9205 22199"/>
    <n v="7211.6"/>
    <x v="269"/>
    <s v="ADJUDICA SUMINISTRO A IMPRENTA EN AÑO 2023 PAPELES ESTUCADOS DE DIFERENTES GRAMAJES Y TIPOS"/>
    <s v="220"/>
    <s v="VELILLA DE SAN ANTONI"/>
    <s v="MADR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35"/>
    <s v="AD"/>
    <d v="2023-02-03T00:00:00"/>
    <n v="22023001808"/>
    <s v="2023 07 1721 22602"/>
    <n v="749.99"/>
    <x v="270"/>
    <s v="COMUNICACIÓN ZONA DE BAJAS EMISIONES LA RAZON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599"/>
    <s v="AD"/>
    <d v="2023-02-08T00:00:00"/>
    <n v="22023001492"/>
    <s v="2023 07 1701 213"/>
    <n v="2333.36"/>
    <x v="130"/>
    <s v="Mantenimiento del ascensor en el edificio anexo al de Casa del Barco. 01/01/2023 a 31/12/2023"/>
    <s v="220"/>
    <s v="VIGO"/>
    <s v="PONTEVEDRA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1776"/>
    <s v="AD"/>
    <d v="2023-02-03T00:00:00"/>
    <n v="22023000001"/>
    <s v="2023 10 2312 22618"/>
    <n v="1500.4"/>
    <x v="271"/>
    <s v="DISEÑO DE NUEVO IMAGOTIPODE LOS CPM QUE PASARAN A DENOMINARSE CENTROS DE VIDA ACTIV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2013"/>
    <s v="AD"/>
    <d v="2023-02-03T00:00:00"/>
    <n v="22023001503"/>
    <s v="2023 03 9241 213"/>
    <n v="519.29999999999995"/>
    <x v="130"/>
    <s v="REPARACIÓN DEFECTOS DETECTADOS EN INSPECCIÓN ASCENSOR CM LAS FLORES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4"/>
    <s v="AD"/>
    <d v="2023-02-03T00:00:00"/>
    <n v="22023001504"/>
    <s v="2023 03 9241 213"/>
    <n v="3690.08"/>
    <x v="130"/>
    <s v="REPARACIÓN DEFECTOS DETECTADOS EN INSPECCIÓN ASCENSOR 1 DEL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5"/>
    <s v="AD"/>
    <d v="2023-02-03T00:00:00"/>
    <n v="22023001506"/>
    <s v="2023 03 9241 213"/>
    <n v="3574.96"/>
    <x v="130"/>
    <s v="REPARACIÓN DEFECTOS DETECTADOS EN INSPECCIÓN ASCENSOR 2 CC ZONA SUR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6"/>
    <s v="AD"/>
    <d v="2023-02-03T00:00:00"/>
    <n v="22023001507"/>
    <s v="2023 03 9241 213"/>
    <n v="4022.11"/>
    <x v="130"/>
    <s v="REPARACIÓN DEFECTOS DETECTADOS EN INSPECCIÓN ASCENSOR DEL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17"/>
    <s v="AD"/>
    <d v="2023-02-03T00:00:00"/>
    <n v="22023001508"/>
    <s v="2023 03 9241 213"/>
    <n v="279.01"/>
    <x v="130"/>
    <s v="REPARACIÓN DEFECTOS DETECTADOS EN INSPECCIÓN ASCENSORES DE LOS CC DELICIAS (247,83¿) Y ZONA ESTE (31,18¿)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1825"/>
    <s v="ADO"/>
    <d v="2023-02-03T00:00:00"/>
    <n v="22023002018"/>
    <s v="2023 05 4331 22799"/>
    <n v="3619.99"/>
    <x v="205"/>
    <s v="SERVICIO ATT. 010, CENTRALITA Y ATT. PRESENCIAL, AGENCIA DE INNOVACIÓN (236,50 HORAS) // MES DICIEMBR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30001984"/>
    <s v="AD"/>
    <d v="2023-02-03T00:00:00"/>
    <n v="22023001564"/>
    <s v="2023 11 1631 214"/>
    <n v="4000"/>
    <x v="272"/>
    <s v="SERVICIOS DE GRUA PARA TRASLADO DE VEHICULOS AVERIADOS DEL SERVICIO DE LIMPIEZA VIARI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1789"/>
    <s v="AD"/>
    <d v="2023-02-03T00:00:00"/>
    <n v="22023000078"/>
    <s v="2023 09 3301 22699"/>
    <n v="1385.45"/>
    <x v="273"/>
    <s v="VIAJE A JAIPUR DEL DIRECTOR DE LA CASA DE LA INDIA AL FESTIVAL DE LITERATURA Y GESTION TRAER FESTIVAL A FERIA LIB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1946"/>
    <s v="AD"/>
    <d v="2023-02-03T00:00:00"/>
    <n v="22023001409"/>
    <s v="2023 06 3261 22699"/>
    <n v="2925"/>
    <x v="274"/>
    <s v="ESPECTACULO LOBA EN EL LAVA PARA LOS ALUMNOS DEL CENTRO DE APRENDIZAJE A LO LARGO DE LA VIDA EL 25 Y 26 DE ENERO"/>
    <s v="220"/>
    <s v="GERIA"/>
    <s v="VALLADOLID"/>
    <x v="4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007"/>
    <s v="AD"/>
    <d v="2023-02-03T00:00:00"/>
    <n v="22023001497"/>
    <s v="2023 03 9241 22199"/>
    <n v="129.56"/>
    <x v="275"/>
    <s v="SUM. DE BOLSAS PARA PARAGUAS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73"/>
    <s v="AD"/>
    <d v="2023-02-03T00:00:00"/>
    <n v="22023001494"/>
    <s v="2023 11 1321 213"/>
    <n v="5445"/>
    <x v="276"/>
    <s v="MANTENIMIENTO, REVISION Y CORRECCIÓN EN PUERTAS MANUALES Y AUTOMÁTICAS DEPENDENCIAS DE POLICÍA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1975"/>
    <s v="AD"/>
    <d v="2023-02-03T00:00:00"/>
    <n v="22023001535"/>
    <s v="2023 11 1321 214"/>
    <n v="1000"/>
    <x v="277"/>
    <s v="REPARACIONES BICICLETAS PARQUE INFANTIL DE TRÁFICO 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971"/>
    <s v="AD"/>
    <d v="2023-02-03T00:00:00"/>
    <n v="22023001488"/>
    <s v="2023 11 1321 214"/>
    <n v="2120"/>
    <x v="277"/>
    <s v="MANTENIMIENTO DE BICICLETAS DE LA UNIDAD CICLISTA DE LA POLICÍA MUNICIPAL.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1777"/>
    <s v="AD"/>
    <d v="2023-02-03T00:00:00"/>
    <n v="22023000018"/>
    <s v="2023 10 2312 213"/>
    <n v="3902.25"/>
    <x v="278"/>
    <s v="MANTENIMIENTO PARA 2023 DE LAS PUERTAS AUTOMATICAS DE LOS CPM TRANSFERIDOS, CPM SAN JUAN, RONDI Y VICTORIA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1778"/>
    <s v="AD"/>
    <d v="2023-02-03T00:00:00"/>
    <n v="22023000019"/>
    <s v="2023 10 2312 213"/>
    <n v="1542.75"/>
    <x v="278"/>
    <s v="MANTENIMIENTO DURANTE 2023 DE LA PUERTA AUTOMATICA DEL CPM NO TRANSFERISO CPM ZONA SUR"/>
    <s v="220"/>
    <s v="CISTERNIG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24"/>
    <s v="AD"/>
    <d v="2023-02-03T00:00:00"/>
    <n v="22023001645"/>
    <s v="2023 06 3261 22799"/>
    <n v="3000"/>
    <x v="279"/>
    <s v="CTTO SERVICIOS DE TRANSPORTE EN AUTOBUSES PARA VARIOS EVENTOS(O. MATEMÁTICAS, D. DE LA RADIO, CASA DE LA INDIA)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1805"/>
    <s v="AD"/>
    <d v="2023-02-03T00:00:00"/>
    <n v="22023000647"/>
    <s v="2023 08 1532 213"/>
    <n v="1372.14"/>
    <x v="280"/>
    <s v="Suministro e instalación bomba de circuito de calefacción de techo radiante, marca DAB modelo EVOPLUS por averia 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1997"/>
    <s v="AD"/>
    <d v="2023-02-03T00:00:00"/>
    <n v="22023001686"/>
    <s v="2023 08 1532 213"/>
    <n v="2904"/>
    <x v="280"/>
    <s v="Mantenimiento de las instalaciones de agua caliente sanitaria y calefacción del Parque del Cabildo, C/ Títulos, 51.-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2003"/>
    <s v="AD"/>
    <d v="2023-02-03T00:00:00"/>
    <n v="22023001427"/>
    <s v="2023 03 9241 22609"/>
    <n v="400"/>
    <x v="281"/>
    <s v="VILLANCICOS NAVIDEÑOS EN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84"/>
    <s v="AD"/>
    <d v="2023-02-03T00:00:00"/>
    <n v="22023000040"/>
    <s v="2023 09 3341 22699"/>
    <n v="1369.68"/>
    <x v="282"/>
    <s v="IMPRESION Y ENCUADERNACION DE 250 EJEMPLARES DEL LIBRO ENSAYO FORO CULTURA 2022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25"/>
    <s v="AD"/>
    <d v="2023-02-03T00:00:00"/>
    <n v="22023000562"/>
    <s v="2023 01 9205 22199"/>
    <n v="3146"/>
    <x v="145"/>
    <s v="ADJUDICA OTROS SUMINISTROS IMPRENTA AÑO 2023: TÓNER IMPRESORAS Y MATERIAL COMPLEMENTARIO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83"/>
    <s v="AD"/>
    <d v="2023-02-03T00:00:00"/>
    <n v="22023001519"/>
    <s v="2023 11 1631 213"/>
    <n v="2127.1999999999998"/>
    <x v="283"/>
    <s v="CONTRATO DE MANTENIMIENTO Y UBICACION REPETIDOR PARA LA TRANSMISIÓN DE COMUNICACIONES INTERNAS DEL Sº DE LIMPIEZ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3"/>
  </r>
  <r>
    <n v="220230001987"/>
    <s v="AD"/>
    <d v="2023-02-03T00:00:00"/>
    <n v="22023001569"/>
    <s v="2023 09 3341 223"/>
    <n v="3291.2"/>
    <x v="284"/>
    <s v="TRASLADO OBRAS DE ARTE A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803"/>
    <s v="AD"/>
    <d v="2023-02-03T00:00:00"/>
    <n v="22023000512"/>
    <s v="2023 02 1511 206"/>
    <n v="6776"/>
    <x v="285"/>
    <s v="MANTEN.ESPACIO NUBE EN CENTRO COMUN DE DATOS PARA DESARROLLO 3 PROY.BIM, GESTOR DOCUMENTOS,VISOR MODELOS,"/>
    <s v="220"/>
    <s v="OSLO"/>
    <s v="EXTERIOR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0"/>
    <s v="206"/>
  </r>
  <r>
    <n v="220230001952"/>
    <s v="AD"/>
    <d v="2023-02-03T00:00:00"/>
    <n v="22023001373"/>
    <s v="2023 01 9206 22001"/>
    <n v="752"/>
    <x v="286"/>
    <s v="SUSCRIPCIONES ANUALES A PUBLICACIONES DIGITALES CUNAL Y COSITAL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51"/>
    <s v="AD"/>
    <d v="2023-02-03T00:00:00"/>
    <n v="22023001371"/>
    <s v="2023 01 9206 22001"/>
    <n v="533.61"/>
    <x v="287"/>
    <s v="SUSCRIPCIÓN ANUAL A BASE DE DATOS &quot;&quot;PROYECTO CSP&quot;&quot;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1970"/>
    <s v="AD"/>
    <d v="2023-02-03T00:00:00"/>
    <n v="22023001482"/>
    <s v="2023 01 9205 203"/>
    <n v="4081.3"/>
    <x v="147"/>
    <s v="ADJUDICA ALQUILER Y MANTENIMIENTO EQUIPO DIGITAL BIZHUB PRO C-6500 PARA IMPRENTA 01/03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0"/>
    <s v="203"/>
  </r>
  <r>
    <n v="220230001913"/>
    <s v="ADO"/>
    <d v="2023-02-03T00:00:00"/>
    <n v="22023002054"/>
    <s v="2023 11 1321 204"/>
    <n v="1722.72"/>
    <x v="45"/>
    <s v="Cuota de Renting - 0892-KCB, 0888-KCB,- 0887-KCB VEHÍCULOS POLICÍA MUNICIPAL."/>
    <s v="240"/>
    <s v="LAS ROZAS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0"/>
    <s v="204"/>
  </r>
  <r>
    <n v="220230001941"/>
    <s v="AD"/>
    <d v="2023-02-03T00:00:00"/>
    <n v="22023001394"/>
    <s v="2023 02 9332 203"/>
    <n v="2090"/>
    <x v="288"/>
    <s v="SUMINISTRO DE CONTENEDORES VACIOS, DEPÓSITO DEL TIEMPO NECESARIO Y RETIRADA DE LOS MISMOS AL VERTEDERO-2023"/>
    <s v="220"/>
    <s v="LA FLECH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0"/>
    <s v="203"/>
  </r>
  <r>
    <n v="220230002848"/>
    <s v="ADO"/>
    <d v="2023-02-09T00:00:00"/>
    <n v="22023002125"/>
    <s v="2023 06 2315 213"/>
    <n v="2.54"/>
    <x v="148"/>
    <s v="MNTO INSTALAC. DE PROTEC. CONTRA INCENDIOS // C.MPAL IGUALDAD / EXPTE: SE EIJI 27/21 - LOTE 1 / DICIEMBRE- 2022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1"/>
    <s v="213"/>
  </r>
  <r>
    <n v="220230001961"/>
    <s v="AD"/>
    <d v="2023-02-03T00:00:00"/>
    <n v="22023001512"/>
    <s v="2023 08 1532 214"/>
    <n v="964.41"/>
    <x v="289"/>
    <s v="Reparación por avería de la máquina JCB 3CX del Centro de Conservación de la Vía Pública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1920"/>
    <s v="AD"/>
    <d v="2023-02-03T00:00:00"/>
    <n v="22023000216"/>
    <s v="2023 10 2312 212"/>
    <n v="1391.5"/>
    <x v="290"/>
    <s v="REPARACION GRIETAS EN LOSAS DE HORMIGON DEL CPM ZONA ESTE- DURACION 1 DIA"/>
    <s v="220"/>
    <s v="VILLANUBLA"/>
    <s v="VALLADOLID"/>
    <x v="2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1976"/>
    <s v="AD"/>
    <d v="2023-02-03T00:00:00"/>
    <n v="22023001538"/>
    <s v="2023 11 1321 213"/>
    <n v="1400"/>
    <x v="291"/>
    <s v="MANDOS DE GARAJE Y COPIAS DE LLAVES DEPENDENCIAS DISTRITOS DE LA POLICÍA MUNICIPAL. (2023)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19"/>
    <s v="AD"/>
    <d v="2023-02-03T00:00:00"/>
    <n v="22023001428"/>
    <s v="2023 03 9241 22602"/>
    <n v="700.38"/>
    <x v="292"/>
    <s v="SUMINISTRO DE PAPEL EN IMPRENTA MUNICIPAL PARA TRABAJOS ENCARGADOS POR EL SERVICIO DE PARTICIPACION CIUDADAN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1962"/>
    <s v="AD"/>
    <d v="2023-02-03T00:00:00"/>
    <n v="22023000560"/>
    <s v="2023 01 9205 22199"/>
    <n v="7120.85"/>
    <x v="292"/>
    <s v="ADJUDICA OTROS SUMINISTROS A IMPRENTA RESMAS PAPEL Y CARTULINAS OFFSET E IMPRESIÓN DIGIT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10329"/>
    <s v="AD"/>
    <d v="2023-03-23T00:00:00"/>
    <n v="22023003146"/>
    <s v="2023 04 3121 22106"/>
    <n v="4500"/>
    <x v="293"/>
    <s v="Adquisición vacunas GSK de Hepatitis B , Hepatitis A y Tétanos para vacunar y revacunar empleados. Servicio Salud Labora"/>
    <s v="220"/>
    <s v="TRES CANTOS"/>
    <s v="MADR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8182"/>
    <s v="AD"/>
    <d v="2023-03-13T00:00:00"/>
    <n v="22023002877"/>
    <s v="2023 11 1361 213"/>
    <n v="1020.03"/>
    <x v="294"/>
    <s v="Sensor de flujo electromagnético para equipo de producción de espuma CTD 4894JLF; SEISYPC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33"/>
    <s v="AD"/>
    <d v="2023-01-01T00:00:00"/>
    <n v="22023001154"/>
    <s v="2023 06 2314 22799"/>
    <n v="16311.14"/>
    <x v="295"/>
    <s v="SE-EIJI 17/22 PS3. REHABILITACIÓN DE EDIFICIO PARA INSTALACIÓN JUVENIL AMBIENTAL ZONA JOVEN PINAR. DIRECCIÓN FACULTA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29000334"/>
    <s v="AD"/>
    <d v="2023-01-01T00:00:00"/>
    <n v="22023001155"/>
    <s v="2023 06 2314 22799"/>
    <n v="8155.58"/>
    <x v="295"/>
    <s v="SE EIJI 17/22 PS3. REHABILITACION DE EDIFICIO PARA INSTALACION JUVENIL AMBIENTAL &quot;&quot;ZONA JOVEN PINAR&quot;&quot;. ASISTENCIA TÉCN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2"/>
    <s v="22799"/>
  </r>
  <r>
    <n v="220230008598"/>
    <s v="AD"/>
    <d v="2023-03-15T00:00:00"/>
    <n v="22023003044"/>
    <s v="2023 06 2315 22611"/>
    <n v="84.4"/>
    <x v="296"/>
    <s v="IMPRESIÓN MANIFIESTO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0"/>
    <s v="AD"/>
    <d v="2023-03-23T00:00:00"/>
    <n v="22023003478"/>
    <s v="2023 06 2315 22611"/>
    <n v="847"/>
    <x v="297"/>
    <s v="DISEÑO CAMPAÑA SOBRE AGRESIONES SEXUALES EN LOS ESTABLECIMIENTOS DE OCIO DE VALLADOLID / DURANTE 2023"/>
    <s v="220"/>
    <s v="LEON"/>
    <s v="LEON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824"/>
    <s v="ADO"/>
    <d v="2023-02-03T00:00:00"/>
    <n v="22023002017"/>
    <s v="2023 05 4331 22700"/>
    <n v="824.17"/>
    <x v="65"/>
    <s v="SERVICIO DE LIMPIEZA DE LA AGENCIA DE INNOVACIÓN Y DESARROLLO ECONÓMICO (LOTE 5) // MES DICIEMBRE 2022"/>
    <s v="240"/>
    <s v="LOGROÑO"/>
    <s v="LA RIOJ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00"/>
  </r>
  <r>
    <n v="220230002002"/>
    <s v="AD"/>
    <d v="2023-02-03T00:00:00"/>
    <n v="22023001425"/>
    <s v="2023 03 9241 22602"/>
    <n v="42.36"/>
    <x v="298"/>
    <s v="IMPRESÓN CARTELES A3 VARIOS MODELOS CC ESGUE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225"/>
    <s v="AD"/>
    <d v="2023-02-14T00:00:00"/>
    <n v="22023001680"/>
    <s v="2023 10 2312 22606"/>
    <n v="1060"/>
    <x v="299"/>
    <s v="MICROBUS PARA LOS TRASLADOS DE LOS PARTICIPANTES DEL PROGRAMA PASANTIAS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6764"/>
    <s v="AD"/>
    <d v="2023-03-01T00:00:00"/>
    <n v="22023001680"/>
    <s v="2023 10 2312 22606"/>
    <n v="290"/>
    <x v="299"/>
    <s v="Ampliación del gasto del servicio de transporte en microbús para las personas participantes en PASANTIAS- INICIATIVAS S."/>
    <s v="220"/>
    <s v="LAGUNA DE DUERO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66"/>
    <s v="AD"/>
    <d v="2023-02-06T00:00:00"/>
    <n v="22023001837"/>
    <s v="2023 03 9241 22699"/>
    <n v="114.95"/>
    <x v="300"/>
    <s v="SUM. FOREX PVC 2 x 1 m. CON AGUJEROS PARA TALADRAR EN PARED // CC CANAL DE CAST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737"/>
    <s v="AD"/>
    <d v="2023-03-01T00:00:00"/>
    <n v="22023002670"/>
    <s v="2023 10 2312 22199"/>
    <n v="64.25"/>
    <x v="300"/>
    <s v="ESTRUCTURA METALICA PARA EL ROLL-UP DE IDENTIFICACION DEL  CVA DE PARQUESOL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1914"/>
    <s v="ADO"/>
    <d v="2023-02-03T00:00:00"/>
    <n v="22023002055"/>
    <s v="2023 11 1321 204"/>
    <n v="574.24"/>
    <x v="45"/>
    <s v="RENTING VEHÍCULO 6816-LVB DE POLICÍA MUNICIPAL."/>
    <s v="240"/>
    <s v="LAS ROZAS"/>
    <s v="MADR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0"/>
    <s v="204"/>
  </r>
  <r>
    <n v="220230001793"/>
    <s v="AD"/>
    <d v="2023-02-03T00:00:00"/>
    <n v="22023000126"/>
    <s v="2023 11 1621 22104"/>
    <n v="998.25"/>
    <x v="170"/>
    <s v="SUMINISTRO DE PROTECTORES DE LLUVIA PARA CASCOS PROTESTORES PERSONAL DE RECOGIDA DE RESIDUOS, Sº LIMPIEZ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1919"/>
    <s v="AD"/>
    <d v="2023-02-03T00:00:00"/>
    <n v="22023000199"/>
    <s v="2023 04 9321 22799"/>
    <n v="1829.52"/>
    <x v="170"/>
    <s v="Fabricación de placas de vado (permanente y horario) destinadas a la renovación-sustitución por deterioro-Ejercici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085"/>
    <s v="AD"/>
    <d v="2023-02-06T00:00:00"/>
    <n v="22023002019"/>
    <s v="2023 08 1532 213"/>
    <n v="300.08"/>
    <x v="301"/>
    <s v="Reparación avería en final de carrera por arrancado cables en PUENTE GRUA de instalaciones de la fragua en SEPI."/>
    <s v="220"/>
    <s v="SANTOVENIA DE PISUER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3640"/>
    <s v="AD"/>
    <d v="2023-02-16T00:00:00"/>
    <n v="22023002429"/>
    <s v="2023 03 9241 22609"/>
    <n v="600"/>
    <x v="302"/>
    <s v="TALLER DE MAQUILLAJE EN CC DELICIAS Y ACTUACIÓN TEATRAL EN CM PUENTE DUERO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7150"/>
    <s v="AD"/>
    <d v="2023-03-02T00:00:00"/>
    <n v="22023002741"/>
    <s v="2023 03 9241 22609"/>
    <n v="50"/>
    <x v="302"/>
    <s v="DIFERENCIA ACTUACIÓN CARNAVAL 2023 EN CM PUENTE DUER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3"/>
    <s v="AD"/>
    <d v="2023-03-15T00:00:00"/>
    <n v="22023002938"/>
    <s v="2023 03 9241 22609"/>
    <n v="500"/>
    <x v="302"/>
    <s v="ACTUACIÓN TEATRAL EN CC JOSÉ LUIS MOSQUERA EL DÍA 05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27"/>
    <s v="AD"/>
    <d v="2023-02-03T00:00:00"/>
    <n v="22023000615"/>
    <s v="2023 01 9205 213"/>
    <n v="13.85"/>
    <x v="209"/>
    <s v="ADJUDICA SUMISTRO A IMPRENTA MATERIAL MANTENIMIENTO UTILLAJE"/>
    <s v="220"/>
    <s v="BARCELONA"/>
    <s v="BARCELONA"/>
    <x v="3"/>
    <s v="PrAbier - Procedimiento Abierto"/>
    <s v="MultiC - MultiCriterio"/>
    <x v="1"/>
    <x v="0"/>
    <s v="2"/>
    <s v="2. Gastos corrientes en bienes y servicios"/>
    <s v="01"/>
    <x v="8"/>
    <s v="9205"/>
    <s v="9205. Imprenta municipal"/>
    <s v="21"/>
    <s v="213"/>
  </r>
  <r>
    <n v="220230001947"/>
    <s v="AD"/>
    <d v="2023-02-03T00:00:00"/>
    <n v="22023001133"/>
    <s v="2023 07 1721 22602"/>
    <n v="3249.94"/>
    <x v="303"/>
    <s v="PLAN DE COMUNICACIÓN ZONA DE BAJAS EMISIONES EN EL MUNDO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2034"/>
    <s v="AD"/>
    <d v="2023-02-03T00:00:00"/>
    <n v="22023001807"/>
    <s v="2023 07 1721 22602"/>
    <n v="4999.72"/>
    <x v="304"/>
    <s v="COMUNICACIÓN ZONA DE BAJAS EMISIONES EL NORT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6762"/>
    <s v="AD"/>
    <d v="2023-03-01T00:00:00"/>
    <n v="22023002774"/>
    <s v="2023 02 9332 212"/>
    <n v="1010.08"/>
    <x v="209"/>
    <s v="ADQUISICIÓN MATERIAL PARA TRABAJOS CMEI"/>
    <s v="22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3008"/>
    <s v="AD"/>
    <d v="2023-02-13T00:00:00"/>
    <n v="22023002351"/>
    <s v="2023 04 3121 22799"/>
    <n v="3500"/>
    <x v="305"/>
    <s v="LIMPIEZA BATAS, TOALLAS, SABANILLAS, ETC. DEPARTAMENTO DE PREVENCION Y SALUD LABORAL"/>
    <s v="220"/>
    <s v="TUDELA DE DUERO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29000155"/>
    <s v="AD"/>
    <d v="2023-01-01T00:00:00"/>
    <n v="22023000908"/>
    <s v="2023 06 3231 22799"/>
    <n v="16487.599999999999"/>
    <x v="26"/>
    <s v="SE 10/20 PS1 PRORROGA CTTO MANTENIMIENTO ZONAS VERDES. LOTE 2. ESCUELAS INFANTILES MUNIC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29000206"/>
    <s v="AD"/>
    <d v="2023-01-01T00:00:00"/>
    <n v="22023001920"/>
    <s v="2023 06 2315 22799"/>
    <n v="12705"/>
    <x v="26"/>
    <s v="SESS 41/2020. PRORROGA CONTRATO CENTRALIZADO CELADURIA. LOTE 5. C.M.I. 01/01/2023 A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65"/>
    <s v="AD"/>
    <d v="2023-01-01T00:00:00"/>
    <n v="22023000749"/>
    <s v="2023 08 1532 22700"/>
    <n v="6161.09"/>
    <x v="26"/>
    <s v="1ª PRORROGA contrato SERVICIO DE LIMPIEZA DEPENDENCIAS DEL PARQUE VIAS PÚBLICAS. Expte. SE - 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700"/>
  </r>
  <r>
    <n v="220229000156"/>
    <s v="AD"/>
    <d v="2023-01-01T00:00:00"/>
    <n v="22023000909"/>
    <s v="2023 06 2315 22799"/>
    <n v="5610.76"/>
    <x v="26"/>
    <s v="SE 10/20 PS1 PRORROGA CTTO MANTENIMIENTO ZONAS VERDES. LOTE 2. CENTRO MUNIC IGUALDAD. AÑO 2023 Y HASTA 22 SEPT 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5"/>
    <s v="2315. Políticas de Igualdad e infancia"/>
    <s v="22"/>
    <s v="22799"/>
  </r>
  <r>
    <n v="220230000042"/>
    <s v="AD"/>
    <d v="2023-01-01T00:00:00"/>
    <n v="22023000529"/>
    <s v="2023 03 9241 22700"/>
    <n v="5040.3599999999997"/>
    <x v="26"/>
    <s v="LOTE 5: MANTENIMIENTO ZONAS VERDES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30000048"/>
    <s v="AD"/>
    <d v="2023-01-01T00:00:00"/>
    <n v="22023000536"/>
    <s v="2023 09 3341 22799"/>
    <n v="3194.4"/>
    <x v="26"/>
    <s v="PRÓRROGA DEL CONTRATO DE SERVICIO DE DISTRIBUCION, ALMACENAJE Y CUSTODIA DE PUBLICACIONES DEL AYUNTAMIENTO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29000764"/>
    <s v="AD"/>
    <d v="2023-01-01T00:00:00"/>
    <n v="22023000748"/>
    <s v="2023 08 1651 22700"/>
    <n v="1087.25"/>
    <x v="26"/>
    <s v="1ª PRÓRROGA Contrato SERVICIO DE LIMPIEZA  EN DEPENDENCIAS DE CENTRO DE ALUMBRADO PÚBLICO.- Expte SE -3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0"/>
    <s v="1651"/>
    <s v="1651. Alumbrado público"/>
    <s v="22"/>
    <s v="22700"/>
  </r>
  <r>
    <n v="220229000272"/>
    <s v="AD"/>
    <d v="2023-01-01T00:00:00"/>
    <n v="22023000941"/>
    <s v="2023 09 3341 22700"/>
    <n v="1866.26"/>
    <x v="26"/>
    <s v="SERVICIO LIMPIEZA ZONAS COMUNES EN  GALERIAS VALLADOLID. 01-07-2022 AL 30-06-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30002004"/>
    <s v="AD"/>
    <d v="2023-02-03T00:00:00"/>
    <n v="22023001493"/>
    <s v="2023 03 9241 22700"/>
    <n v="379.43"/>
    <x v="26"/>
    <s v="SUM. Y PLANTACIÓN DE ROSALES EN CC PARQUESOL Y CIC CONDE ANSÚREZ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1994"/>
    <s v="AD"/>
    <d v="2023-02-03T00:00:00"/>
    <n v="22023001580"/>
    <s v="2023 07 1701 22699"/>
    <n v="536.79999999999995"/>
    <x v="26"/>
    <s v="Contratación del reciclado de papel en los edificios Casa del Barco y Anexo. 01/01/2023 a 31/12/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6"/>
    <s v="AD"/>
    <d v="2023-02-03T00:00:00"/>
    <n v="22023001642"/>
    <s v="2023 06 3232 22799"/>
    <n v="7139"/>
    <x v="26"/>
    <s v="CTTO SERVICIOS POR TRABAJOS REALIZADOS FUERA FUERA DE CONTRATO DE MANTENIMIENTO DE ZONAS VERDES EN CEIP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005"/>
    <s v="AD"/>
    <d v="2023-02-13T00:00:00"/>
    <n v="22023002363"/>
    <s v="2023 01 9206 22799"/>
    <n v="1584"/>
    <x v="26"/>
    <s v="DESTRUCCIONES PERIÓDICAS DE DOCUMENTACIÓN EN ARCHIVO MUNICIPAL,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30003897"/>
    <s v="AD"/>
    <d v="2023-02-17T00:00:00"/>
    <n v="22023002229"/>
    <s v="2023 06 3231 22799"/>
    <n v="11877.78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7"/>
    <s v="AD"/>
    <d v="2023-02-17T00:00:00"/>
    <n v="22023002228"/>
    <s v="2023 06 3231 22799"/>
    <n v="4609.82"/>
    <x v="26"/>
    <s v="SE 10/20 PS1 PRORROGA CTTO MANTENIMIENTO ZONAS VERDES. LOTE 2 EIM. 2023 (ENLAZADO A PROYECTO: 4.609,82)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3896"/>
    <s v="AD/"/>
    <d v="2023-02-17T00:00:00"/>
    <n v="22023000908"/>
    <s v="2023 06 3231 22799"/>
    <n v="-16487.599999999999"/>
    <x v="26"/>
    <s v="SE 10/20 PS1 PRORR CTTO MANTENIMIENTO ZONAS VERDES. L 2. EIM. AÑO 2023 Y HASTA 22 SEPT 24 REAJUSTE A PROYECTO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799"/>
  </r>
  <r>
    <n v="220230004179"/>
    <s v="AD"/>
    <d v="2023-02-20T00:00:00"/>
    <n v="22023002030"/>
    <s v="2023 04 3121 22799"/>
    <n v="600"/>
    <x v="26"/>
    <s v="RECOGIDA Y DESTRUCCION PAPEL. SERVICIO DE PREVENCION Y SALUD LABORAL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799"/>
  </r>
  <r>
    <n v="220230006736"/>
    <s v="AD"/>
    <d v="2023-03-01T00:00:00"/>
    <n v="22023002650"/>
    <s v="2023 10 2312 22700"/>
    <n v="199.78"/>
    <x v="26"/>
    <s v="LIMPIEZA DE CAFETERIA , INTERIOR BARRA Y ELECTRODOMESTICOS DEL CPM LA VICTORIA-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30007169"/>
    <s v="AD"/>
    <d v="2023-03-02T00:00:00"/>
    <n v="22023002851"/>
    <s v="2023 10 2412 22700"/>
    <n v="10097.48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0"/>
    <s v="2023 10 2412 22700"/>
    <n v="6398.4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49"/>
    <s v="2023 10 2412 22700"/>
    <n v="4498.8900000000003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9"/>
    <s v="AD"/>
    <d v="2023-03-02T00:00:00"/>
    <n v="22023002852"/>
    <s v="2023 10 2412 22700"/>
    <n v="4198.95"/>
    <x v="26"/>
    <s v="AJUSTE PRESUPESTARIO DE LA LIMPIEZA DEL CENTRO DE FORMACION PARA EL EMPLEO EN 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7168"/>
    <s v="AD/"/>
    <d v="2023-03-02T00:00:00"/>
    <n v="22023000744"/>
    <s v="2023 10 2412 22700"/>
    <n v="-25193.72"/>
    <x v="26"/>
    <s v="PRORROGA CONT.LIMPIEZA-LOTE 10- CENTRO DE FORMACION DE EMPLEO-AÑO 2023.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00"/>
  </r>
  <r>
    <n v="220230008962"/>
    <s v="AD"/>
    <d v="2023-03-17T00:00:00"/>
    <n v="22023003177"/>
    <s v="2023 03 9241 22699"/>
    <n v="14.4"/>
    <x v="26"/>
    <s v="SUM. SACO DE SUSTRATO EN CC JL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1232"/>
    <s v="ADO"/>
    <d v="2023-02-02T00:00:00"/>
    <n v="22023001802"/>
    <s v="2023 03 9241 22609"/>
    <n v="400"/>
    <x v="306"/>
    <s v="ACTUACIÓN DE TEATRO 23/11/2022 EN C.C. ESGUEVA // DIA DE LA MUJER MALTRATADA"/>
    <s v="24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4"/>
    <s v="AD"/>
    <d v="2023-02-03T00:00:00"/>
    <n v="22023000127"/>
    <s v="2023 11 1621 212"/>
    <n v="1070.8499999999999"/>
    <x v="307"/>
    <s v="REPARACIÓN PUERTA BOX Nº 2 DE NAVE DE LAVADO DE VEHÍCULOS DEL Sº DE LIMPIEZA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7146"/>
    <s v="AD"/>
    <d v="2023-03-02T00:00:00"/>
    <n v="22023002868"/>
    <s v="2023 11 1631 212"/>
    <n v="242"/>
    <x v="307"/>
    <s v="DESCONEXIÓN DE CABLES EN CUADRO ELÉCTRICO DE LOS PORTONES DE LA NAVE DE LAVADO DE VEHÍCULOS"/>
    <s v="220"/>
    <s v="MEJORADA DEL CAMPO"/>
    <s v="MADRID"/>
    <x v="1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2"/>
  </r>
  <r>
    <n v="220219000182"/>
    <s v="AD"/>
    <d v="2023-01-01T00:00:00"/>
    <n v="22023003360"/>
    <s v="2023 10 2312 22799"/>
    <n v="4966.6499999999996"/>
    <x v="308"/>
    <s v="Adjudicación mant.jardines -cpm rondilla 5.214,98 E/AÑO  y cpm delicias 9.684,96 E/AÑO-DE ENERO 2022 A ABRIL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072"/>
    <s v="AD"/>
    <d v="2023-01-01T00:00:00"/>
    <n v="22023000879"/>
    <s v="2023 10 2311 22799"/>
    <n v="2114.48"/>
    <x v="308"/>
    <s v="prorroga serv.reparto e intercambio doc.ser.centrales área serv.soc. y CEAS,CPMS Y CFJB de 1/4/22 a 31/3/23-anual.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0036"/>
    <s v="AD"/>
    <d v="2023-01-01T00:00:00"/>
    <n v="22023000523"/>
    <s v="2023 10 2311 22799"/>
    <n v="461.37"/>
    <x v="308"/>
    <s v="ADJUDICACIÓN MANTENIMIENTO JARDINES - COMEDOR SOCIAL 1.384,11 ¿/AÑO - DE ENERO 2022 A ABRIL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427"/>
    <s v="AD"/>
    <d v="2023-02-14T00:00:00"/>
    <n v="22023002332"/>
    <s v="2023 10 2312 22617"/>
    <n v="1267.92"/>
    <x v="308"/>
    <s v="SEÑALIZACION DEL CENTRO OCUPACIONAL- PLAN ACCESIBILIDAD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7"/>
  </r>
  <r>
    <n v="220230003649"/>
    <s v="AD"/>
    <d v="2023-02-16T00:00:00"/>
    <n v="22023000711"/>
    <s v="2023 10 2312 22799"/>
    <n v="9933.2900000000009"/>
    <x v="308"/>
    <s v="PRORROGA  MANTENIMIENTO JARDINES CPM RONDILLA 3476,65EUROS  Y CPM DELICIAS 6456.64EUROS DEL 01/05 AL 31/1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3650"/>
    <s v="AD"/>
    <d v="2023-02-16T00:00:00"/>
    <n v="22023000723"/>
    <s v="2023 10 2311 22799"/>
    <n v="922.74"/>
    <x v="308"/>
    <s v="PRÓRROGA MANTENIMIENTO JARDÍN COMEDOR SOCIAL (1384,11/año)- DE 1/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2637"/>
    <s v="AD"/>
    <d v="2023-02-09T00:00:00"/>
    <n v="22023002170"/>
    <s v="2023 06 3321 22001"/>
    <n v="114.66"/>
    <x v="309"/>
    <s v="CTTO SUMINISTRO SUSCRIPCIÓN ANUAL A LA REVISTA &quot;&quot;GADGET&quot;&quot; PARA BIBLIOTECAS PÚBLICAS//AÑO 2023"/>
    <s v="220"/>
    <s v="ALCOBENDAS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7"/>
    <s v="AD"/>
    <d v="2023-03-15T00:00:00"/>
    <n v="22023002990"/>
    <s v="2023 09 3341 22602"/>
    <n v="1089"/>
    <x v="310"/>
    <s v="PUBLICIDAD DE LAS ACTIVIDADES REALIZADAS EN GALERIAS VA, EN LA REVISTA Y MEDIOS DIGITALES GO DURANTE 4 MESES"/>
    <s v="220"/>
    <s v="BURGOS"/>
    <s v="BURGOS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20076561"/>
    <s v="AD"/>
    <d v="2023-03-29T00:00:00"/>
    <n v="22022008651"/>
    <s v="2023 02 9332 623"/>
    <n v="5172.34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76561"/>
    <s v="AD"/>
    <d v="2023-03-29T00:00:00"/>
    <n v="22022008652"/>
    <s v="2023 02 9332 623"/>
    <n v="12976.39"/>
    <x v="311"/>
    <s v="ADQUISICION DE  NUEVOS MATERIALES DESTINADOS A COMPLETAR Y HOMOLOGAR EL USO ESCENARIOS (90M2)."/>
    <s v="220"/>
    <s v="ALCUDIA"/>
    <s v="VALENCIA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9000526"/>
    <s v="AD"/>
    <d v="2023-01-01T00:00:00"/>
    <n v="22023001207"/>
    <s v="2023 03 9241 22700"/>
    <n v="939.26"/>
    <x v="312"/>
    <s v="TRABAJOS DE JARDINERIA EN CIC LA OVERUELA (ENERO-SEPTIEMBRE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7154"/>
    <s v="AD"/>
    <d v="2023-03-02T00:00:00"/>
    <n v="22023002776"/>
    <s v="2023 03 9241 22700"/>
    <n v="822.8"/>
    <x v="312"/>
    <s v="DESMOCHE ÁRBOLES PATIO DELANTERO CIC LA OVERUELA (C/ CALVERA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00"/>
  </r>
  <r>
    <n v="220230000068"/>
    <s v="AD"/>
    <d v="2023-01-01T00:00:00"/>
    <n v="22023000574"/>
    <s v="2023 11 3111 22799"/>
    <n v="8394.3799999999992"/>
    <x v="313"/>
    <s v="CONTRATACION ADIESTRADOR CANINO CMPA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1968"/>
    <s v="AD"/>
    <d v="2023-02-03T00:00:00"/>
    <n v="22023001470"/>
    <s v="2023 01 9205 22699"/>
    <n v="605"/>
    <x v="314"/>
    <s v="ADJUDICA GESTIÓN INTEGRAL RESIDUOS CONTAMINANTES GENERADOS EN IMPRENTA AÑO 2023"/>
    <s v="220"/>
    <s v="BARCELONA"/>
    <s v="BARCELONA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699"/>
  </r>
  <r>
    <n v="220230002008"/>
    <s v="AD"/>
    <d v="2023-02-03T00:00:00"/>
    <n v="22023001498"/>
    <s v="2023 03 9241 212"/>
    <n v="528.77"/>
    <x v="315"/>
    <s v="SUM. VENTANA ALUMINIO Y CLIMALIT PARA LOCAL AV EL REFUGIO"/>
    <s v="220"/>
    <s v="PALENCIA"/>
    <s v="PALENCI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87"/>
    <s v="AD"/>
    <d v="2023-01-01T00:00:00"/>
    <n v="22023001934"/>
    <s v="2023 05 4312 22799"/>
    <n v="9000"/>
    <x v="199"/>
    <s v="CONTRATO SERVICIO PARA LA OPERATIVA DE UNA PLATAFORMA DE VENTA ON-LINE (MARKETPLACE) PARA EL COMERCIO DE VALLADOLID"/>
    <s v="220"/>
    <s v="BASAURI"/>
    <s v="VIZCAYA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99"/>
  </r>
  <r>
    <n v="220230001980"/>
    <s v="AD"/>
    <d v="2023-02-03T00:00:00"/>
    <n v="22023001355"/>
    <s v="2023 11 1361 22199"/>
    <n v="127.93"/>
    <x v="316"/>
    <s v="Válvula Norgren_ distribuidor de presión de circuito de frenos del vehículo FSV 6, matr 7587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2955"/>
    <s v="AD"/>
    <d v="2023-02-10T00:00:00"/>
    <n v="22023002291"/>
    <s v="2023 11 1621 214"/>
    <n v="5000"/>
    <x v="316"/>
    <s v="SUMINISTRO DE REPUESTOS PARA REPARACIONES HIDRÁULICAS DE VEHÍCULOS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3245"/>
    <s v="AD"/>
    <d v="2023-02-14T00:00:00"/>
    <n v="22023002434"/>
    <s v="2023 11 1361 22199"/>
    <n v="158.35"/>
    <x v="316"/>
    <s v="Válvula Norgren, distribuidor de presión de circuito de frenos del vehículo FSV_6, matr. 7587 GMS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451"/>
    <s v="AD"/>
    <d v="2023-03-21T00:00:00"/>
    <n v="22023002291"/>
    <s v="2023 11 1621 214"/>
    <n v="4000"/>
    <x v="316"/>
    <s v="SUMINISTRO DE REPUESTOS PARA REPARACIONES HIDRÁULICAS DE VEHÍCULOS DEL SERVICIO DE LIMPIEZA.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1684"/>
    <s v="AD"/>
    <d v="2023-03-28T00:00:00"/>
    <n v="22023003537"/>
    <s v="2023 11 1621 214"/>
    <n v="3781.25"/>
    <x v="316"/>
    <s v="SUMINISTRO DE REPUESTOS ESPECIALES PARA REPARACIONES HIDRÁULICAS DE VEHÍCULOS DE RECOGIDA SELECTIVA DE PAPEL Y CARTÓN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653"/>
    <s v="AD"/>
    <d v="2023-02-09T00:00:00"/>
    <n v="22023002288"/>
    <s v="2023 02 9332 213"/>
    <n v="233.05"/>
    <x v="317"/>
    <s v="SUMINISTRO TUBO ESTRUCTURAL  PARA REPARAR PATA DE FIJACIÓN MAQUINA RETROEXCAVADORA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5"/>
    <s v="AD"/>
    <d v="2023-02-17T00:00:00"/>
    <n v="22023002449"/>
    <s v="2023 02 9332 213"/>
    <n v="1331"/>
    <x v="317"/>
    <s v="SUMINISTRO MATERIALES PARA PARA ADECUAR GRADAS MUNICIPALES PARA EVENTOS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3"/>
    <s v="AD"/>
    <d v="2023-02-17T00:00:00"/>
    <n v="22023001923"/>
    <s v="2023 09 3341 22699"/>
    <n v="610.67999999999995"/>
    <x v="318"/>
    <s v="SEGURO DE OBRAS DE ARTE PARA EL CENTRO MARCELINA PONCELA"/>
    <s v="220"/>
    <s v="MADRID"/>
    <s v="MADR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1949"/>
    <s v="AD"/>
    <d v="2023-02-03T00:00:00"/>
    <n v="22023001132"/>
    <s v="2023 07 1721 22602"/>
    <n v="1500"/>
    <x v="319"/>
    <s v="PLAN DE COMUNICACIÓN ZONA DE BAJAS EMISIONES EN EL ESPAÑOL"/>
    <s v="220"/>
    <s v="BOECILLO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30001957"/>
    <s v="AD"/>
    <d v="2023-02-03T00:00:00"/>
    <n v="22023001383"/>
    <s v="2023 07 1721 22602"/>
    <n v="2249.39"/>
    <x v="320"/>
    <s v="PLAN DE COMUNICACION ZONA DE BAJAS EMISIONES EL DIA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0058853"/>
    <s v="AD"/>
    <d v="2023-03-29T00:00:00"/>
    <n v="22022006986"/>
    <s v="2023 0750 1721 623"/>
    <n v="366351.77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53077"/>
    <s v="AD"/>
    <d v="2023-03-29T00:00:00"/>
    <n v="22022005960"/>
    <s v="2023 0750 1721 623"/>
    <n v="176504.2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30000034"/>
    <s v="AD"/>
    <d v="2023-01-01T00:00:00"/>
    <n v="22023000521"/>
    <s v="2023 11 3111 22706"/>
    <n v="4560.1899999999996"/>
    <x v="321"/>
    <s v="PRORROGA RECOGIDA/ATENCION VETERINARIA ANIMALES DOMESTICOS ABANDONADOS/PERDIDOS /TARDES/NOCHES/FINES SEMANA/FESTIVOS L-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6399"/>
    <s v="AD"/>
    <d v="2023-02-24T00:00:00"/>
    <n v="22023002649"/>
    <s v="2023 11 3111 22799"/>
    <n v="13722.5"/>
    <x v="321"/>
    <s v="CONTRATO MENOR RECOGIDA ANIMALES EN HORARIO EN LOS QUE EL CMPA NO PUEDE PRESTARLO HASTA QUE SE FORMALICE NUEVO CONTRATO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951"/>
    <s v="AD"/>
    <d v="2023-02-10T00:00:00"/>
    <n v="22023002199"/>
    <s v="2023 11 1321 214"/>
    <n v="660"/>
    <x v="322"/>
    <s v="REVISIÓN MANTENIMIENTO VEHÍCULOS TOYOTA PRIUS (15.000 KM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3262"/>
    <s v="AD"/>
    <d v="2023-02-14T00:00:00"/>
    <n v="22023002335"/>
    <s v="2023 07 1721 214"/>
    <n v="222.42"/>
    <x v="322"/>
    <s v="REVISION ANUAL DEL VEHICULO DEL SERVICIO TOYOTA AURIS MATRICULA A47705132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9508"/>
    <s v="AD"/>
    <d v="2023-03-21T00:00:00"/>
    <n v="22023003466"/>
    <s v="2023 11 1361 22199"/>
    <n v="249.97"/>
    <x v="322"/>
    <s v="Adblue y montaje de molduras luna parabrisas en vehículo VMC 14, matr. 2931JVV; SEISYPC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5"/>
    <s v="AD"/>
    <d v="2023-03-31T00:00:00"/>
    <n v="22023003717"/>
    <s v="2023 11 1321 214"/>
    <n v="981.46"/>
    <x v="322"/>
    <s v="REVISIÓN 15.000 KM CINCO VEHÍCULOS POLICÍA Y SUBSANAR POSIBLES DEFICIENCI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4"/>
  </r>
  <r>
    <n v="220230002544"/>
    <s v="ADO"/>
    <d v="2023-02-08T00:00:00"/>
    <n v="22023002129"/>
    <s v="2023 06 2314 22100"/>
    <n v="213.57"/>
    <x v="23"/>
    <s v="CONSUMO EN EL PERIODO DE 20-11-2022 a 21-12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8913"/>
    <s v="D"/>
    <d v="2023-03-17T00:00:00"/>
    <n v="22023002305"/>
    <s v="2023 11 1361 213"/>
    <n v="14641.09"/>
    <x v="323"/>
    <s v="CONTRATO PREST SERV MANT CONSERV MAQU,EQUIPOS,HERRAM Y MATERIALES 7/LOTE 2: MANT PREVENT BOTELLAS AIRE COMPRIMIDO/SEISPC"/>
    <s v="300"/>
    <s v="ARGANDA DEL REY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5400"/>
    <s v="AD"/>
    <d v="2023-02-22T00:00:00"/>
    <n v="22023002493"/>
    <s v="2023 05 4331 22799"/>
    <n v="7260"/>
    <x v="324"/>
    <s v="SERVICIOS TÉCNICOS AUDIOVISUALES. INCLUYE ASISTENCIA TÉCNICA DE PERSONAL CUALIFICADO EN CONFERENCIAS,JORNADAS,EVENTOS AI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92"/>
    <s v="AD"/>
    <d v="2023-02-03T00:00:00"/>
    <n v="22023001582"/>
    <s v="2023 06 3261 214"/>
    <n v="650"/>
    <x v="325"/>
    <s v="LOTE 5 A.M. MECANICA GNRAL PARA LOS VEHICULOS DEPENDIENTES DE LA CONCEJALÍA EDUCACIÓN HASTA 8/6/23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3261"/>
    <s v="3261. Servicios complementarios de educación"/>
    <s v="21"/>
    <s v="214"/>
  </r>
  <r>
    <n v="220220013164"/>
    <s v="AD"/>
    <d v="2023-03-29T00:00:00"/>
    <n v="22022003052"/>
    <s v="2023 02 1511 609"/>
    <n v="57.38"/>
    <x v="101"/>
    <s v="S.SALUD CONST.NUEVA RED DE ENERGÍA ELÉCT.(MEDIA Y B.TESIÓN) EN C/ VILLABAÑEZ Y ZORZAL (ARU 29 OCTUBRE FASE II) C. MENOR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133"/>
    <s v="AD"/>
    <d v="2023-03-29T00:00:00"/>
    <n v="22022003306"/>
    <s v="2023 02 1511 619"/>
    <n v="586.12"/>
    <x v="101"/>
    <s v="EXPT.6/22  SEGU Y SALUD OBRAS FASE I REURBANIZACIÓN CALLES DANIEL DEL OLMO Y PRIMER TRAMO NORTE DE CASTILL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8942"/>
    <s v="AD"/>
    <d v="2023-03-17T00:00:00"/>
    <n v="22023003136"/>
    <s v="2023 11 1361 213"/>
    <n v="3331.52"/>
    <x v="326"/>
    <s v="REPARACION SURTIDOR GASOIL PARA VEHICULOS EN PARQUE DE BOMBEROS CENTRAL//SERVICIO DE EXTINCIÓ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29000385"/>
    <s v="AD"/>
    <d v="2023-01-01T00:00:00"/>
    <n v="22023001169"/>
    <s v="2023 01 9206 22799"/>
    <n v="1179.75"/>
    <x v="327"/>
    <s v="SERVICIO DE ASESORAMIENTO, CONSERVACIÓN PREVENTIVA Y RESTAURACIÓ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799"/>
  </r>
  <r>
    <n v="220229000384"/>
    <s v="AD"/>
    <d v="2023-01-01T00:00:00"/>
    <n v="22023001168"/>
    <s v="2023 09 3341 22799"/>
    <n v="2752.75"/>
    <x v="327"/>
    <s v="SERVICIO DE ASESORAMIENTO, CONSERVACION PREVENTIVA Y RESTAURACION DEL PATRIMONIO CULTURAL MUEBLE MUNICIPAL (6 MESES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2393"/>
    <s v="AD"/>
    <d v="2023-02-07T00:00:00"/>
    <n v="22023001536"/>
    <s v="2023 02 1511 22799"/>
    <n v="15702.78"/>
    <x v="328"/>
    <s v="A.TÉCNICA PARA COMPLETAR PROY.ACTUACIÓN SECTOR SUELO URBANO NO CONSOLIDADO SE(o)00-01 INTEG.FERROVIARIA."/>
    <s v="220"/>
    <s v="QUINTANILLA DE ARRIB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99"/>
  </r>
  <r>
    <n v="220230011721"/>
    <s v="AD"/>
    <d v="2023-03-29T00:00:00"/>
    <n v="22023003549"/>
    <s v="2023 06 2314 22613"/>
    <n v="363"/>
    <x v="329"/>
    <s v="CONCIERTO MUSICA NACHO PRADA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006"/>
    <s v="AD"/>
    <d v="2023-02-03T00:00:00"/>
    <n v="22023001496"/>
    <s v="2023 03 9241 212"/>
    <n v="22.2"/>
    <x v="330"/>
    <s v="SUM. CERRADURA PUERTA CORREDERA CIC SANTIAGO LÓPEZ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72"/>
    <s v="AD"/>
    <d v="2023-02-06T00:00:00"/>
    <n v="22023001843"/>
    <s v="2023 03 9241 212"/>
    <n v="116.64"/>
    <x v="330"/>
    <s v="SUM. DE MATERIALES PARA TRABAJOS DE CARPINTERÍA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51"/>
    <s v="AD"/>
    <d v="2023-03-02T00:00:00"/>
    <n v="22023002752"/>
    <s v="2023 03 9241 212"/>
    <n v="844.33"/>
    <x v="330"/>
    <s v="SUMINISTRO DE MATERIALES DE CARPINTERÍA PARA TRABAJOS DE MANTENIMIENTO EN CC ZONA SUR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0037386"/>
    <s v="AD"/>
    <d v="2023-03-29T00:00:00"/>
    <n v="22022005118"/>
    <s v="2023 07 1711 610"/>
    <n v="344.21"/>
    <x v="194"/>
    <s v="A.M. EXP.V.6-2020  ARREGLOS OBRA CIVIL DIVERSOS PARQUES GESTIÓN DIRECTA LOTE 1.PS 38. CALIDAD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9000144"/>
    <s v="AD"/>
    <d v="2023-01-01T00:00:00"/>
    <n v="22023000905"/>
    <s v="2023 10 2311 22706"/>
    <n v="3025"/>
    <x v="331"/>
    <s v="PRORROGA CONTRATO ASESORAMIENTO DCHO DE FAMILIA Y LEY 2ª OPORTUNIDAD EN A JUN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06"/>
  </r>
  <r>
    <n v="220230001948"/>
    <s v="AD"/>
    <d v="2023-02-03T00:00:00"/>
    <n v="22023001134"/>
    <s v="2023 07 1721 22602"/>
    <n v="2238.5"/>
    <x v="332"/>
    <s v="PLAN DE COMUNICACIÓN ZONA DE BAJAS EMISIONES EN TRIBUNA"/>
    <s v="220"/>
    <s v="SALAMANCA"/>
    <s v="SALAMANCA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602"/>
  </r>
  <r>
    <n v="220229000869"/>
    <s v="AD"/>
    <d v="2023-01-01T00:00:00"/>
    <n v="22023002056"/>
    <s v="2023 10 2312 22606"/>
    <n v="28050"/>
    <x v="333"/>
    <s v="prórroga contrato alojamiento en reg.pension completa 75 e/n +IVA para alumnado coop.tecnica-pasantias-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20030659"/>
    <s v="AD"/>
    <d v="2023-03-29T00:00:00"/>
    <n v="22022004649"/>
    <s v="2023 02 9332 632"/>
    <n v="143.55000000000001"/>
    <x v="95"/>
    <s v="Seguridad y Salud obras de consolidación celdas del convento de Santa Catalina de Siena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46957"/>
    <s v="AD"/>
    <d v="2023-03-29T00:00:00"/>
    <n v="22022004672"/>
    <s v="2023 08 1341 619"/>
    <n v="331.9"/>
    <x v="101"/>
    <s v="SEGUNDA PRÓRROGA  SEGURIDAD Y SALUD LOTE 1 SEÑALIZACIÓN VERTICAL (Agosto-Diciembre-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3894"/>
    <s v="AD"/>
    <d v="2023-02-17T00:00:00"/>
    <n v="22023002521"/>
    <s v="2023 07 1721 22706"/>
    <n v="1512.5"/>
    <x v="334"/>
    <s v="MANTENIMIENTO APP VALLAAIRE"/>
    <s v="220"/>
    <s v="PALENCIA"/>
    <s v="PALENCIA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5422"/>
    <s v="AD"/>
    <d v="2023-02-22T00:00:00"/>
    <n v="22023002682"/>
    <s v="2023 06 3261 22799"/>
    <n v="7199.5"/>
    <x v="115"/>
    <s v="CTTO SERVICIOS CONCIERTOS CON LA BANDA DE LA ESCUELA MUNICIPAL DE MUSICA PARA  VARIOS ACTOS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068"/>
    <s v="AD"/>
    <d v="2023-02-06T00:00:00"/>
    <n v="22023001839"/>
    <s v="2023 03 9241 22609"/>
    <n v="750"/>
    <x v="335"/>
    <s v="REPRESENTACIÓN TEATRAL EN CC ESGUEVA EL DÍA 23/01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082"/>
    <s v="AD"/>
    <d v="2023-02-06T00:00:00"/>
    <n v="22023002084"/>
    <s v="2023 11 1321 213"/>
    <n v="505.78"/>
    <x v="125"/>
    <s v="ALQUILER CASETA OBRA PUESTO VIGILANCIA NUEVO APARCAMIENTO DEPENDENCIAS POLICÍA MUNICIPAL AVDA. BURGOS ENERO Y FEB. 2023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067"/>
    <s v="AD"/>
    <d v="2023-02-06T00:00:00"/>
    <n v="22023001838"/>
    <s v="2023 03 9241 213"/>
    <n v="1010.58"/>
    <x v="130"/>
    <s v="MATERIALES PARA REPARACIONES URGENTES DE ASCENSOR CC DELICIAS DURANTE LOS MESES DE DICIEMBRE 22 Y ENERO 23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078"/>
    <s v="AD"/>
    <d v="2023-02-06T00:00:00"/>
    <n v="22023002042"/>
    <s v="2023 09 3341 22699"/>
    <n v="695.02"/>
    <x v="336"/>
    <s v="MATERIAL IMPRESO PARA LA INAUGURACION DEL CENTRO 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2086"/>
    <s v="AD"/>
    <d v="2023-02-06T00:00:00"/>
    <n v="22023002094"/>
    <s v="2023 05 4331 22699"/>
    <n v="4840"/>
    <x v="336"/>
    <s v="RENOVACIÓN FACHADA PARA AGENCIA DE INNOVACIÓN. LUMINOSO EXTERIOR, PINTADO Y VINILOS EN EL EXTERIOR Y LIMPIEZA Y REMATE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829"/>
    <s v="AD"/>
    <d v="2023-01-01T00:00:00"/>
    <n v="22023001894"/>
    <s v="2023 11 1621 212"/>
    <n v="588.34"/>
    <x v="132"/>
    <s v="CONTROL CALIDAD REPARACIÓN FACHADA EDIFICIO SERVICIO DE LIMPIEZA EN CALLE TOPACIO"/>
    <s v="220"/>
    <s v="SANT CUGAT DEL VALLES"/>
    <s v="BARCELONA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2"/>
  </r>
  <r>
    <n v="220230002052"/>
    <s v="AD"/>
    <d v="2023-02-06T00:00:00"/>
    <n v="22023001681"/>
    <s v="2023 05 4312 22104"/>
    <n v="1024.7"/>
    <x v="143"/>
    <s v="SUMINISTRO ROPA VESTURARIO VIGILANTES DE MERCADOS MUNICIPALES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59"/>
    <s v="AD"/>
    <d v="2023-02-06T00:00:00"/>
    <n v="22023001954"/>
    <s v="2023 11 1321 22706"/>
    <n v="2582.14"/>
    <x v="337"/>
    <s v="AUDITORÍA DE SEGUIMIENTO DE CERTIFICACIÓN DE CALIDAD 9001 EN EL SERVICIO DE POLICÍA MUNICIPAL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06"/>
  </r>
  <r>
    <n v="220230002050"/>
    <s v="AD"/>
    <d v="2023-02-06T00:00:00"/>
    <n v="22023001673"/>
    <s v="2023 11 3111 22103"/>
    <n v="4840"/>
    <x v="338"/>
    <s v="SUMINISTRO GASOLEO B PARA HORNO INCINERADOR EL CENTRO MUNICIPAL DE PROTECCION ANIMAL EN 2023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2075"/>
    <s v="AD"/>
    <d v="2023-02-06T00:00:00"/>
    <n v="22023002027"/>
    <s v="2023 06 3232 212"/>
    <n v="7260"/>
    <x v="288"/>
    <s v="SUMINISTRO DE CONTENEDORES, ÁRIDOS Y RETIRADA DE ESCOMBROS POR LAS OBRAS EN LOS COLEGIOS PÚBLICOS. AÑO 2023"/>
    <s v="220"/>
    <s v="LA FLECHA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43"/>
    <s v="ADO"/>
    <d v="2023-02-08T00:00:00"/>
    <n v="22023002128"/>
    <s v="2023 06 2314 213"/>
    <n v="24.93"/>
    <x v="148"/>
    <s v="MNTO INSTALACIONES DE PROTEC. CONTRA INCENDIOS // E.JOVEN Z. NORTE / EXPTE: SE EIJI 27/21 - LOTE 1 / MES DICIEMB-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2084"/>
    <s v="AD"/>
    <d v="2023-02-06T00:00:00"/>
    <n v="22023002015"/>
    <s v="2023 03 9241 22602"/>
    <n v="899.22"/>
    <x v="292"/>
    <s v="SUMINISTRO DE PAPEL PARA TRABAJOS DEL SERVICIO DE PARTICIPACIÓN CIUDADANA 2023 SERVIDO EN IMPRENTA MUNICIPA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2058"/>
    <s v="AD"/>
    <d v="2023-02-06T00:00:00"/>
    <n v="22023001913"/>
    <s v="2023 02 1501 22699"/>
    <n v="1473.63"/>
    <x v="292"/>
    <s v="COMPRA PAPEL PARA LIBROS JORNADAS V Y VI PATRIMONIO Y CIUDAD VILLA DEL PRADO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76"/>
    <s v="AD"/>
    <d v="2023-02-06T00:00:00"/>
    <n v="22023001817"/>
    <s v="2023 10 2313 22699"/>
    <n v="2000"/>
    <x v="292"/>
    <s v="SUMINISTRO DE PAPEL PARA LAS PUBLICACIONES DEL ÁREA DE SERVICIOS SOCIALES Y MEDIACIÓN COMUNITARIA EN EL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9"/>
    <s v="AD"/>
    <d v="2023-03-01T00:00:00"/>
    <n v="22023002736"/>
    <s v="2023 10 2312 22699"/>
    <n v="532.4"/>
    <x v="115"/>
    <s v="ACTUACION MUSICAL EN LA IMNAGURACION DEL CENTRO DE VIDA ACTIVA PARQUESOL EL 28 DE FEBRERO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436"/>
    <s v="AD"/>
    <d v="2023-01-01T00:00:00"/>
    <n v="22023001183"/>
    <s v="2023 02 9332 22799"/>
    <n v="1857.35"/>
    <x v="194"/>
    <s v="REALIZACIÓN DE ESTUDIO INFORMADO POR POSIBLE RUINA EN PLAZA ENCUENTRO DE LOS PUEBLOS -2023 (ENERO-SEPT)"/>
    <s v="220"/>
    <s v="ZARATAN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799"/>
  </r>
  <r>
    <n v="220230002049"/>
    <s v="AD"/>
    <d v="2023-02-06T00:00:00"/>
    <n v="22023001613"/>
    <s v="2023 11 1621 22706"/>
    <n v="4700.87"/>
    <x v="194"/>
    <s v="VALORACIÓN DEL ESTADO ESTRUCTURAL DE PLATAFORMAS DE CONTENEDORES SOTERRADOS, ENSAYO E INFORME. SERVICIO DE LIMPIEZ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9448"/>
    <s v="AD"/>
    <d v="2023-03-21T00:00:00"/>
    <n v="22023003073"/>
    <s v="2023 05 4312 22706"/>
    <n v="2311.1"/>
    <x v="194"/>
    <s v="SERVICIOS DE INSPECCION Y ESTUDIO TECNICO DE LA CUBIERTA DEL MERCADO DEL VAL (A.M. 9/2021)"/>
    <s v="220"/>
    <s v="ZARATAN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06"/>
  </r>
  <r>
    <n v="220230002060"/>
    <s v="AD"/>
    <d v="2023-02-06T00:00:00"/>
    <n v="22023001978"/>
    <s v="2023 02 9332 212"/>
    <n v="1500"/>
    <x v="339"/>
    <s v="SUMINISTRO VIDRIOS -CRISTAL PARA LAS DISTINTAS DEPENDENCIAS DE LOS EDIFICIOS MUNICIPALES DEPENDIENTES DE CMEI (2023)"/>
    <s v="220"/>
    <s v="ZARATAN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2088"/>
    <s v="AD"/>
    <d v="2023-02-06T00:00:00"/>
    <n v="22023002116"/>
    <s v="2023 06 3232 212"/>
    <n v="7260"/>
    <x v="339"/>
    <s v="SUMINISTRO CRISTALERIA COLEGIOS PÚBLICOS DEPENDIENTES DEL SERVICIO DE EDUCACIÓN. AÑO 2023"/>
    <s v="220"/>
    <s v="ZARATAN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0044402"/>
    <s v="AD"/>
    <d v="2023-03-29T00:00:00"/>
    <n v="22022004832"/>
    <s v="2023 07 1711 619"/>
    <n v="803.3"/>
    <x v="101"/>
    <s v="Mejora de la eficiencia energética, hidráulica y lumínica de la fuente Azul. Contrato Basado P.S. 36. Coord. S.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3"/>
    <s v="AD"/>
    <d v="2023-02-06T00:00:00"/>
    <n v="22023001823"/>
    <s v="2023 01 9207 22602"/>
    <n v="1815"/>
    <x v="303"/>
    <s v="AM SECT 2021/37 ADJUDICA DIFUNDIR ENCUENTRO CIUDADES POR SEGURIDAD VIAL Y MOVILIDAD DGT-FEMP: BLOQUE A LOTE 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09000233"/>
    <s v="AD"/>
    <d v="2023-03-29T00:00:00"/>
    <n v="22022002090"/>
    <s v="2023 06 3321 622"/>
    <n v="182.58"/>
    <x v="154"/>
    <s v="EXPTE. 10S-SS-55/20. ESTUDIO DE SEGURIDAD Y SALUD. OBRA NUEVA. BIBLIOTECA EN PARCELA 143 F DE PAQUESOL. AÑOS 2021 Y 2022"/>
    <s v="220"/>
    <s v="MADRID"/>
    <s v="MADRID"/>
    <x v="1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2"/>
  </r>
  <r>
    <n v="220220046959"/>
    <s v="AD"/>
    <d v="2023-03-29T00:00:00"/>
    <n v="22022004867"/>
    <s v="2023 08 1341 619"/>
    <n v="833.71"/>
    <x v="101"/>
    <s v="SEGUNDA PRÓRROGA SEGURIDAD Y SALUD LOTE 2 SEÑALIZACIÓN HORIZONTAL (Agosto-Diciembre'2022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2583"/>
    <s v="AD"/>
    <d v="2023-02-08T00:00:00"/>
    <n v="22023001598"/>
    <s v="2023 11 1321 213"/>
    <n v="7676.24"/>
    <x v="340"/>
    <s v="MENTENIMIENTO PREVENTIVO DE LA GALERÍA DE TIRO VIRTUAL DE LA POLICÍA MUNICIPAL."/>
    <s v="220"/>
    <s v="ALCOBENDA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30"/>
    <s v="AD"/>
    <d v="2023-02-14T00:00:00"/>
    <n v="22023002354"/>
    <s v="2023 10 2312 212"/>
    <n v="242"/>
    <x v="341"/>
    <s v="REPARACION PERSIANAS  DEL CPM  HUERTA DEL REY- INICITIVAS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0051003"/>
    <s v="AD"/>
    <d v="2023-03-29T00:00:00"/>
    <n v="22022005741"/>
    <s v="2023 02 1501 619"/>
    <n v="2520.84"/>
    <x v="95"/>
    <s v="PRIMERA PRÓRROGA CONTRATO SEGURIDAD Y SALUD LOTE 1 OBRAS EN EDIFICACIONES DEL 16.10 AL 31.12.2022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01"/>
    <s v="1501. Dirección del área de urbanismo"/>
    <s v="61"/>
    <s v="619"/>
  </r>
  <r>
    <n v="220220068617"/>
    <s v="AD"/>
    <d v="2023-03-29T00:00:00"/>
    <n v="22022005747"/>
    <s v="2023 07 1711 610"/>
    <n v="3841.31"/>
    <x v="47"/>
    <s v="ACONDICIONAMIENTO PARCELA FMD RIBERA DE CASTILLA EN RONDILLA P.S. 40.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937"/>
    <s v="AD"/>
    <d v="2023-03-29T00:00:00"/>
    <n v="22022005748"/>
    <s v="2023 07 1711 610"/>
    <n v="221.42"/>
    <x v="101"/>
    <s v="ACONDICIONAMIENTO PARCELA FMD RIBERA DE CASTILLA EN RONDILLA P.S.40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68618"/>
    <s v="AD"/>
    <d v="2023-03-29T00:00:00"/>
    <n v="22022005750"/>
    <s v="2023 07 1711 619"/>
    <n v="17049.89"/>
    <x v="47"/>
    <s v="ACONDICIONAMIENTO DE JARDINERAS EN PUENTE DE LA CONDESA EYLO P.S. 41"/>
    <s v="220"/>
    <s v="PONTEVEDRA"/>
    <s v="PONTEVEDRA"/>
    <x v="1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30002598"/>
    <s v="AD"/>
    <d v="2023-02-08T00:00:00"/>
    <n v="22023002231"/>
    <s v="2023 11 1621 213"/>
    <n v="786.52"/>
    <x v="342"/>
    <s v="REVISIÓN ANUAL Y PRUEBAS DE ESTANQUEIDAD DE LA INSTALACIÓN DE HIDROCARBUROS, SURTIDOR Y DEPÓSITO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2027"/>
    <s v="AD"/>
    <d v="2023-02-03T00:00:00"/>
    <n v="22023001651"/>
    <s v="2023 06 2315 22611"/>
    <n v="2000"/>
    <x v="343"/>
    <s v="TALLERES DE FORMACION PARA INTRODUCIR LA PERSPECTIVA DE G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18"/>
    <s v="AD"/>
    <d v="2023-02-22T00:00:00"/>
    <n v="22023002641"/>
    <s v="2023 03 9241 22699"/>
    <n v="544.5"/>
    <x v="344"/>
    <s v="REGULARIZACIÓN DEL CENTRO DE TRANSFORMACION DEL CC JL MOSQUERA. INSCRIPCIÓN EN RICYL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18"/>
    <s v="AD"/>
    <d v="2023-03-29T00:00:00"/>
    <n v="22023003542"/>
    <s v="2023 06 2314 22613"/>
    <n v="750.2"/>
    <x v="345"/>
    <s v="SOPORTES PARA PANELE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263"/>
    <s v="AD"/>
    <d v="2023-02-14T00:00:00"/>
    <n v="22023002337"/>
    <s v="2023 07 1721 22706"/>
    <n v="1633.5"/>
    <x v="346"/>
    <s v="AUDITORIA INTERNA DE LA RED DE CONTROL DE LA CONTAMINACIÓN"/>
    <s v="220"/>
    <s v="OVIEDO"/>
    <s v="ASTURIAS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20045939"/>
    <s v="AD"/>
    <d v="2023-03-29T00:00:00"/>
    <n v="22022005751"/>
    <s v="2023 07 1711 619"/>
    <n v="131.08000000000001"/>
    <x v="101"/>
    <s v="ACONDICIONAMIENTO DE JARDINERAS EN PUENTE DE LA CONDESA EYLO P.S. 41. SEGURIDAD Y SALUD."/>
    <s v="220"/>
    <s v="VALLADOLID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2064"/>
    <s v="AD"/>
    <d v="2023-02-06T00:00:00"/>
    <n v="22023001824"/>
    <s v="2023 01 9207 22602"/>
    <n v="1210"/>
    <x v="332"/>
    <s v="AM SECT 2021/37 ADJUDICA DIFUNDIR ENCUENTRO CIUDADES POR SEGURIDAD VIAL DE DGT-FEMP: BLOQUE A LOTE 4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2386"/>
    <s v="AD"/>
    <d v="2023-02-07T00:00:00"/>
    <n v="22023000209"/>
    <s v="2023 04 9231 22799"/>
    <n v="431645.76"/>
    <x v="347"/>
    <s v="CONTRATO SERV. ATENCION CIUDADANA 010, CENTRALITA Y ATENCION PRESENCIAL 2023"/>
    <s v="220"/>
    <s v="SEVILLA"/>
    <s v="SEVILLA"/>
    <x v="1"/>
    <s v="PrAbier - Procedimiento Abierto"/>
    <s v="MultiC - MultiCriterio"/>
    <x v="0"/>
    <x v="0"/>
    <s v="2"/>
    <s v="2. Gastos corrientes en bienes y servicios"/>
    <s v="04"/>
    <x v="5"/>
    <s v="9231"/>
    <s v="9231. Información, registro y gestión del padrón"/>
    <s v="22"/>
    <s v="22799"/>
  </r>
  <r>
    <n v="220230002384"/>
    <s v="AD"/>
    <d v="2023-02-07T00:00:00"/>
    <n v="22023000068"/>
    <s v="2023 01 9207 22001"/>
    <n v="9922"/>
    <x v="348"/>
    <s v="ADJUDICA ACCESO SERVICIO DIARIO FOTOS Y NOTICIAS AGENCIA ICAL AÑO 2023"/>
    <s v="220"/>
    <s v="BURGOS"/>
    <s v="BURGOS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3"/>
    <s v="AD"/>
    <d v="2023-02-07T00:00:00"/>
    <n v="22023000067"/>
    <s v="2023 01 9207 22001"/>
    <n v="11750.25"/>
    <x v="349"/>
    <s v="ADJUDICA ACCESO WEB SERVICIO DE NOTICIAS AGENCIA EFE AÑO 2023"/>
    <s v="220"/>
    <s v="MADRID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2385"/>
    <s v="AD"/>
    <d v="2023-02-07T00:00:00"/>
    <n v="22023000071"/>
    <s v="2023 06 2315 22611"/>
    <n v="13068"/>
    <x v="350"/>
    <s v="DISEÑO Y MAQUETACIÓN CARTELERIA PARA CENTRO MUNICIPAL DE LA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391"/>
    <s v="AD"/>
    <d v="2023-02-07T00:00:00"/>
    <n v="22023001405"/>
    <s v="2023 08 1532 213"/>
    <n v="12083.06"/>
    <x v="280"/>
    <s v="Suministro y montaje sistema Tele-Gestión en sala de calderas del SEPI y puesta en marcha y chequeo de trabajos conexión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20058322"/>
    <s v="AD"/>
    <d v="2023-03-29T00:00:00"/>
    <n v="22022007223"/>
    <s v="2023 02 9332 632"/>
    <n v="15.06"/>
    <x v="95"/>
    <s v="Coordinación Seguridad y Salud Reparación de la cubierta del Templete Piramidal del Barrio de San Pedro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786"/>
    <s v="AD"/>
    <d v="2023-02-03T00:00:00"/>
    <n v="22023000052"/>
    <s v="2023 07 1721 22112"/>
    <n v="1113.2"/>
    <x v="351"/>
    <s v="CONEXIÓN E INSTALACIÓN ELECTRICA TEMPORAL DEL LDR EN DELICIAS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651"/>
    <s v="AD"/>
    <d v="2023-02-09T00:00:00"/>
    <n v="22023002349"/>
    <s v="2023 06 3261 22799"/>
    <n v="393.25"/>
    <x v="351"/>
    <s v="CTTO SERVICIOS MONTAJE Y DESMONTAJE DE INSTALACIÓN ELÉCTRICA TEMPORAL ACTIVIDAD CARNAVAL DE LOS COLEGIOS//1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387"/>
    <s v="D"/>
    <d v="2023-02-07T00:00:00"/>
    <n v="22023000187"/>
    <s v="2023 08 1532 619"/>
    <n v="3250000"/>
    <x v="9"/>
    <s v="Contrato de conservación, reparación y reforma de las infraestructuras viarias. Presupuesto ordinario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8"/>
    <s v="D"/>
    <d v="2023-02-07T00:00:00"/>
    <n v="22023000206"/>
    <s v="2023 08 1532 619"/>
    <n v="1625000"/>
    <x v="9"/>
    <s v="Contrato de conservación, reparación y reforma de las infraestructuras viarias. Preupuestos participativos, lote 1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89"/>
    <s v="D"/>
    <d v="2023-02-07T00:00:00"/>
    <n v="22023000207"/>
    <s v="2023 08 1532 619"/>
    <n v="1875000"/>
    <x v="352"/>
    <s v="Contrato de conservación, reparación y reforma de las infraestructuras viarias, lote 2"/>
    <s v="30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390"/>
    <s v="D"/>
    <d v="2023-02-07T00:00:00"/>
    <n v="22023000208"/>
    <s v="2023 08 1532 619"/>
    <n v="500000"/>
    <x v="60"/>
    <s v="Contrato de conservación, reparación y reforma de las infraestructuras viarias, lote 3"/>
    <s v="300"/>
    <s v="MADRID"/>
    <s v="MADR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2646"/>
    <s v="AD"/>
    <d v="2023-02-09T00:00:00"/>
    <n v="22023002263"/>
    <s v="2023 06 3232 213"/>
    <n v="3000"/>
    <x v="351"/>
    <s v="CTTO SERVICIOS INSTALACIÓN DE TENDIDOS DE NUEVAS LÍNEAS ELÉCTRICAS PARA COLEGIOS PÚBLIC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55"/>
    <s v="AD"/>
    <d v="2023-02-14T00:00:00"/>
    <n v="22023002204"/>
    <s v="2023 07 1721 22112"/>
    <n v="701.8"/>
    <x v="351"/>
    <s v="TOMAS DE TIERRA EN LA INSTALACION DE DELICIAS DEL LDR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70"/>
    <s v="AD"/>
    <d v="2023-02-08T00:00:00"/>
    <n v="22023000055"/>
    <s v="2023 11 1321 22104"/>
    <n v="149531.79999999999"/>
    <x v="353"/>
    <s v="1ª PRÓRROGA CONTRATO DE VESTUARIO PARA POLICÍA MUNICIPAL EXP. SPSC 02/2021. LOTE Nº 2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4"/>
    <s v="AD"/>
    <d v="2023-02-08T00:00:00"/>
    <n v="22023000059"/>
    <s v="2023 11 1321 22104"/>
    <n v="48400"/>
    <x v="354"/>
    <s v="1ª PRÓRROGA CONTRATO DE VESTUARIO PARA POLICÍA MUNICIPAL. EXP. SPSC 02/2021.  LOTE Nº 5."/>
    <s v="220"/>
    <s v="REDONDELA"/>
    <s v="PONTEVEDR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3"/>
    <s v="AD"/>
    <d v="2023-02-08T00:00:00"/>
    <n v="22023000058"/>
    <s v="2023 11 1321 22104"/>
    <n v="24835.25"/>
    <x v="182"/>
    <s v="1ª PRÓRROGA CONTRATO VESTUARIO PARA POLICÍA MUNICIPAL. EXPTE. SPSC 02/2021. LOTE Nº 4,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75"/>
    <s v="AD"/>
    <d v="2023-02-08T00:00:00"/>
    <n v="22023000061"/>
    <s v="2023 11 1321 22104"/>
    <n v="23080.75"/>
    <x v="355"/>
    <s v="1ª PRÓRROGA CONTRATO DE VESTUARIO PARA POLICÍA MUNICIAL. EXP. SPSC 02/2021. LOTE Nº 7."/>
    <s v="220"/>
    <s v="MURCIA"/>
    <s v="MUR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2590"/>
    <s v="AD"/>
    <d v="2023-02-08T00:00:00"/>
    <n v="22023002167"/>
    <s v="2023 02 1511 22706"/>
    <n v="2904"/>
    <x v="356"/>
    <s v="REALIZACIÓN LINFOGRAFÍAS FÁBRICA INOBAT."/>
    <s v="220"/>
    <s v="LEON"/>
    <s v="LEON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7155"/>
    <s v="AD"/>
    <d v="2023-03-02T00:00:00"/>
    <n v="22023002840"/>
    <s v="2023 03 9241 213"/>
    <n v="27.1"/>
    <x v="130"/>
    <s v="MATERIALES POR TRABAJOS DE REPARACIÓN EN GUÍAS DEL ASCENSOR CC PILARICA"/>
    <s v="220"/>
    <s v="VIGO"/>
    <s v="PONTEVEDRA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20003951"/>
    <s v="AD"/>
    <d v="2023-03-29T00:00:00"/>
    <n v="22022002255"/>
    <s v="2023 08 1532 622"/>
    <n v="5032.3100000000004"/>
    <x v="194"/>
    <s v="A.T. en CONTROL CALIDAD LOTE 1, EDIFICACION obra Traslado de Instalciones del SEPI, Expte 30/2021 SEMEU.-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30002545"/>
    <s v="ADO"/>
    <d v="2023-02-08T00:00:00"/>
    <n v="22023002130"/>
    <s v="2023 06 2314 22100"/>
    <n v="2181.61"/>
    <x v="23"/>
    <s v="CONSUMO EN EL PERIODO DE 31-10-2022 a 30-11-2022 // CTRO.PROGRAMAS JUVENILES - ESPACIO JOVEN"/>
    <s v="24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2"/>
    <s v="22100"/>
  </r>
  <r>
    <n v="220230003451"/>
    <s v="ADO"/>
    <d v="2023-02-15T00:00:00"/>
    <n v="22023002292"/>
    <s v="2023 06 3321 213"/>
    <n v="5.58"/>
    <x v="148"/>
    <s v="MNTO INSTALACIONES DE PROTEC. CONTRA INCENDIOS // BIBLIOTECAS MPALES / EXPTE: SE EIJI 27/21 - LOTE 1 /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1"/>
    <s v="213"/>
  </r>
  <r>
    <n v="220230002580"/>
    <s v="AD"/>
    <d v="2023-02-08T00:00:00"/>
    <n v="22023000113"/>
    <s v="2023 04 9321 22799"/>
    <n v="10333.4"/>
    <x v="357"/>
    <s v="Contratación de: diseño, maquetación y confección de la GUÍA DEL CONTRIBUYE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586"/>
    <s v="AD"/>
    <d v="2023-02-08T00:00:00"/>
    <n v="22023001693"/>
    <s v="2023 05 4331 22799"/>
    <n v="17666"/>
    <x v="151"/>
    <s v="CONTRATO SERVICIOS DE APOYO EN SEGUIMIENTO DE PROYECTOS, PRODUCCIÓN MATERIAL GRAFICO, AUDIOVISUAL Y CONTENIDOS PROGRAMAS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539"/>
    <s v="ADO"/>
    <d v="2023-02-08T00:00:00"/>
    <n v="22023002107"/>
    <s v="2023 06 3232 213"/>
    <n v="1214.44"/>
    <x v="253"/>
    <s v="CORRECTIVOS REALIZADOS EN CEIP VICENTE ALEIXANDRE, CEIP ANTONIO ALLÚE MORER Y CEIP MARIA DE MOLINA. DICIEMBRE 2022"/>
    <s v="24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264"/>
    <s v="AD"/>
    <d v="2023-02-14T00:00:00"/>
    <n v="22023002377"/>
    <s v="2023 07 1721 22112"/>
    <n v="907.5"/>
    <x v="351"/>
    <s v="TOMAS DE TIERRA DE LAS CABINAS DE LA RED DE CONTROL ATMOSFERICO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8476"/>
    <s v="ADO"/>
    <d v="2023-03-15T00:00:00"/>
    <n v="22023003001"/>
    <s v="2023 03 9241 203"/>
    <n v="363"/>
    <x v="351"/>
    <s v="INSTALACIÓN ELÉCTRICA TEMPORAL/ EVENTO: / V CONCIERTO POR LA IGUALDAD / PLAZA DEL PORTUGALETE / 30/09/2022"/>
    <s v="240"/>
    <s v="VALLADOLID"/>
    <s v="VALLADOLID"/>
    <x v="4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0"/>
    <s v="203"/>
  </r>
  <r>
    <n v="220230002538"/>
    <s v="ADO"/>
    <d v="2023-02-08T00:00:00"/>
    <n v="22023002106"/>
    <s v="2023 05 4331 212"/>
    <n v="136.51"/>
    <x v="358"/>
    <s v="CERRADURA SIEMENS STD ALPHA 8GK9560-0KK04 //AGENCIA DE INNOVACIÓN ."/>
    <s v="24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8965"/>
    <s v="AD"/>
    <d v="2023-03-17T00:00:00"/>
    <n v="22023003180"/>
    <s v="2023 03 9241 213"/>
    <n v="211.75"/>
    <x v="351"/>
    <s v="REPARACIÓN DE URGENCIA AVERÍA ELÉCTRICA ALUMBRADO ACCESO AL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524"/>
    <s v="D"/>
    <d v="2023-02-08T00:00:00"/>
    <n v="22023001956"/>
    <s v="2023 07 1711 214"/>
    <n v="713.19"/>
    <x v="359"/>
    <s v="TOTAL TRABAJOS REPARACION MATRICULA 3856DDD / TOTAL PIEZAS / ANEXO DETALLE FTP000019757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2"/>
    <s v="D"/>
    <d v="2023-02-08T00:00:00"/>
    <n v="22023001956"/>
    <s v="2023 07 1711 214"/>
    <n v="2914.68"/>
    <x v="360"/>
    <s v="TA22 2586 REPARACION 4416-KJX KMS.112209 METER EASY PARA VER AVERIAS, HACER UDST FALLO EN SENSOR DE HUMEDAD. COMPROBAR 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48"/>
    <s v="ADO"/>
    <d v="2023-02-08T00:00:00"/>
    <n v="22023002137"/>
    <s v="2023 06 3232 212"/>
    <n v="807.07"/>
    <x v="341"/>
    <s v="VENTANA ( UD. DE SUM. Y COL. DE VENTANA CORREDERA DE DOS HOJAS EN COLOR BLANCO // CEIP M.ESCOBAR. DICIEMBRE 2022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26"/>
    <s v="D"/>
    <d v="2023-02-08T00:00:00"/>
    <n v="22023001956"/>
    <s v="2023 07 1711 214"/>
    <n v="319.95999999999998"/>
    <x v="360"/>
    <s v="TA23 7 REPARACION 3687-FJM // KMS.136000 CAMBIAR PILOTO TRASERO DERECHO Y ENDEREZAR ALETA TRASERA IZQUIERDA. / REVISION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8"/>
    <s v="D"/>
    <d v="2023-02-08T00:00:00"/>
    <n v="22023001956"/>
    <s v="2023 07 1711 214"/>
    <n v="217.84"/>
    <x v="360"/>
    <s v="TA23 20 REPARACION 3687-FJM KMS.136359 MONTAR TOMAS DE AIRE DE ITV / E393RAC01A DIT ITV RACORES / PLACAITV2 PLACA ITV 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920"/>
    <s v="AD"/>
    <d v="2023-03-17T00:00:00"/>
    <n v="22023003058"/>
    <s v="2023 06 2315 22100"/>
    <n v="393.25"/>
    <x v="351"/>
    <s v="INSTALACIÓN ELÉCTRICA TEMPORAL DÍA 8 DE MARZO / 1 DI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100"/>
  </r>
  <r>
    <n v="220230002576"/>
    <s v="AD"/>
    <d v="2023-02-08T00:00:00"/>
    <n v="22023000065"/>
    <s v="2023 11 1321 22104"/>
    <n v="7260"/>
    <x v="170"/>
    <s v="1ª PRÓRROGA CONTRATO DE VESTUARIO PARA POLICÍA MUNICIPAL. EXP. SPSC 02/2021. LOTE Nº 9.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30008944"/>
    <s v="AD"/>
    <d v="2023-03-17T00:00:00"/>
    <n v="22023003118"/>
    <s v="2023 07 1721 22112"/>
    <n v="713.9"/>
    <x v="351"/>
    <s v="SUMINISTRO ELECTRICO TEMPORAL LDR 2022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2520"/>
    <s v="D"/>
    <d v="2023-02-08T00:00:00"/>
    <n v="22023001956"/>
    <s v="2023 07 1711 214"/>
    <n v="441.86"/>
    <x v="361"/>
    <s v="FILTRO DE AIRE / FILTRO DE VARIADOR / FILTRO DE GASOLINA / TAMIZ FILTRO DE ACEITE / JUEGO DE RODILLOS DE VARIADOR / COR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4"/>
    <s v="D"/>
    <d v="2023-02-08T00:00:00"/>
    <n v="22023001956"/>
    <s v="2023 07 1711 214"/>
    <n v="441.86"/>
    <x v="361"/>
    <s v="FILTRO DE AIRE ( 3394-KMN. REVISION ) / FILTRO DE VARIADOR / FILTRO DE GASOLINA / TAMIZ FILTRO DE ACEITE / JUEGO DE ROD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2"/>
    <s v="D"/>
    <d v="2023-02-08T00:00:00"/>
    <n v="22023001956"/>
    <s v="2023 07 1711 214"/>
    <n v="427.51"/>
    <x v="361"/>
    <s v="FILTRO DE AIRE / FILTRO DE VARIADOR / TAMIZ FILTRO DE ACEITE / JUEGO DE RODILLOS DE VARIADOR / CORREA DE VARIADOR / DI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0"/>
    <s v="D"/>
    <d v="2023-02-08T00:00:00"/>
    <n v="22023001956"/>
    <s v="2023 07 1711 214"/>
    <n v="385.64"/>
    <x v="361"/>
    <s v="INTERRUPTOR LUZ STOP TRASERO / FILTRO DE AIRE ( 3394-KMN. REVISION ) / FILTRO DE VARIADOR / TAMIZ FILTRO DE ACEITE / JU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2"/>
    <s v="D"/>
    <d v="2023-02-08T00:00:00"/>
    <n v="22023001956"/>
    <s v="2023 07 1711 214"/>
    <n v="366.62"/>
    <x v="361"/>
    <s v="FILTRO DE AIRE / FILTRO DE VARIADOR / FILTRO DE GASOLINA / BUJÍA CR8E / RODILLOS DE VARIADOR / CORREA DE VARIADOR / TAM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8"/>
    <s v="D"/>
    <d v="2023-02-08T00:00:00"/>
    <n v="22023001956"/>
    <s v="2023 07 1711 214"/>
    <n v="364.2"/>
    <x v="361"/>
    <s v="TAMIZ FILTRO DE ACEITE / GLOBAL 10w40 / BUJÍA ngk CR8E / FILTRO DE GASOLINA / FILTRO DE VARIADOR / FILTRO DE AIR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6"/>
    <s v="D"/>
    <d v="2023-02-08T00:00:00"/>
    <n v="22023001956"/>
    <s v="2023 07 1711 214"/>
    <n v="338.18"/>
    <x v="361"/>
    <s v="FILTRO DE VARIADOR / FILTRO DE AIRE / FILTRO DE GASOLINA / TAMIZ FILTRO DE ACEITE / GLOBAL 10W40 / BUJÍA CR8E / JUEGO D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4"/>
    <s v="D"/>
    <d v="2023-02-08T00:00:00"/>
    <n v="22023001956"/>
    <s v="2023 07 1711 214"/>
    <n v="306.77"/>
    <x v="361"/>
    <s v="BUJÍA NGK BR8ES / JUEGO DE RODILLOS DE VARIADOR / CORREA DE VARIADOR / CORREA DE BOMBA DE ACEITE / TOBERA DE ADMISIÓ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06"/>
    <s v="D"/>
    <d v="2023-02-08T00:00:00"/>
    <n v="22023001956"/>
    <s v="2023 07 1711 214"/>
    <n v="249.26"/>
    <x v="361"/>
    <s v="GLOBAL 10w40 / FILTO DE AIRE / FILTRO DE VARIADOR / JUEGO DE RODILLOS DE VARIADOR/ PEQUEÑO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0"/>
    <s v="D"/>
    <d v="2023-02-08T00:00:00"/>
    <n v="22023001956"/>
    <s v="2023 07 1711 214"/>
    <n v="249.26"/>
    <x v="361"/>
    <s v="FILTRO DE AIRE / FILTRO DE VARIADOR / GLOBAL SMART 10W40 / JUEGO DE RODILLOS DE VARIADOR / PEQUEÑO MATERIAL / MANO DE OB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36"/>
    <s v="D"/>
    <d v="2023-02-08T00:00:00"/>
    <n v="22023001956"/>
    <s v="2023 07 1711 214"/>
    <n v="249.26"/>
    <x v="361"/>
    <s v="FILTRO DE AIRE ( 3394-KMN. REVISION ) / FILTRO DE VARIADOR / GLOBAL 10W40 / JUEGO DE RODILLOS DE VARIADOR / PEQUEÑO MAT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18"/>
    <s v="D"/>
    <d v="2023-02-08T00:00:00"/>
    <n v="22023001956"/>
    <s v="2023 07 1711 214"/>
    <n v="93.17"/>
    <x v="361"/>
    <s v="REPARACIÓN ELÉCTRICA // MATERIAL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497"/>
    <s v="ADO"/>
    <d v="2023-02-08T00:00:00"/>
    <n v="22023002049"/>
    <s v="2023 08 1341 22602"/>
    <n v="2286.9"/>
    <x v="304"/>
    <s v="ANUNCIO ORA 18/12/2022 | SOPORTE: EL NORTE DE CASTILLA - NDC - ED. VALLADOLID PRODUCTO: PÁGINA 50 MOD 10X5 (10X5) COLOR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02"/>
  </r>
  <r>
    <n v="220230002585"/>
    <s v="AD"/>
    <d v="2023-02-08T00:00:00"/>
    <n v="22023001676"/>
    <s v="2023 01 9206 22001"/>
    <n v="11526"/>
    <x v="304"/>
    <s v="17 SUSCRIPCIONES ANUALES &quot;&quot;EL NORTE DE CASTILLA&quot;&quot;, EDICIÓN PAPEL Y DIGITAL. AÑO 2023.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04"/>
    <s v="D"/>
    <d v="2023-02-08T00:00:00"/>
    <n v="22023001956"/>
    <s v="2023 07 1711 214"/>
    <n v="546.63"/>
    <x v="362"/>
    <s v="3058DTC. SUSTITUCION JUEGO DE BOMBINES DEL VEHICULO / 2 K9810VL55A - JUEGO LLAVE CERRADU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2522"/>
    <s v="D"/>
    <d v="2023-02-08T00:00:00"/>
    <n v="22023001956"/>
    <s v="2023 07 1711 214"/>
    <n v="227.37"/>
    <x v="362"/>
    <s v="8842FJC. MANTENIMIENTO ANUAL. CAMBIO ACEITE, FILTRO ACEITE, REFRIGERANTE Y LIQUIDO DE FRENOS 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307"/>
    <s v="AD"/>
    <d v="2023-03-23T00:00:00"/>
    <n v="22023003459"/>
    <s v="2023 06 2314 22613"/>
    <n v="393.25"/>
    <x v="351"/>
    <s v="INSTALACION ELECTRICA TEMPORAL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77"/>
    <s v="AD"/>
    <d v="2023-03-21T00:00:00"/>
    <n v="22023003421"/>
    <s v="2023 07 1711 22799"/>
    <n v="5324"/>
    <x v="363"/>
    <s v="Sustitución de la instalación que automatiza la gestión climática del invernadero de Renedo de Esgueva.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30002498"/>
    <s v="D"/>
    <d v="2023-02-08T00:00:00"/>
    <n v="22023001956"/>
    <s v="2023 07 1711 214"/>
    <n v="39.049999999999997"/>
    <x v="362"/>
    <s v="3255GXH. SUSTITUCION LAMPARA CRUCE DERECHO / 2 KE26089997 - H7 LONG LIF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20059334"/>
    <s v="AD"/>
    <d v="2023-03-29T00:00:00"/>
    <n v="22022007274"/>
    <s v="2023 08 1532 619"/>
    <n v="3074.44"/>
    <x v="101"/>
    <s v="Gasto Complementario del Lote 2 del Contrato de Seguridad y Salud en obras municipales SEPI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62118"/>
    <s v="AD"/>
    <d v="2023-03-29T00:00:00"/>
    <n v="22022007489"/>
    <s v="2023 0850 1341 609"/>
    <n v="691.52"/>
    <x v="101"/>
    <s v="Gasto Complementario Coordinación Seguridad y Salud Ladera Norte 42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0062119"/>
    <s v="AD"/>
    <d v="2023-03-29T00:00:00"/>
    <n v="22022007492"/>
    <s v="2023 0850 1341 609"/>
    <n v="1129.0999999999999"/>
    <x v="101"/>
    <s v="Gasto Complementario Coordinación Seguridad y Salud Ladera Este 50/2021 SEMEU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30006405"/>
    <s v="AD"/>
    <d v="2023-02-28T00:00:00"/>
    <n v="22023002542"/>
    <s v="2023 11 1361 214"/>
    <n v="2149.46"/>
    <x v="364"/>
    <s v="REPARACION EMBRAGUE AEA-7  MATRICULA VA42345VE//SERVICIO DE EXTINCION DE INCENDIOS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4"/>
  </r>
  <r>
    <n v="220230003644"/>
    <s v="AD"/>
    <d v="2023-02-16T00:00:00"/>
    <n v="22023000004"/>
    <s v="2023 10 2312 22606"/>
    <n v="6600"/>
    <x v="333"/>
    <s v="AMPLIACION CONT.ALOJAMIENTO+PC PARA ALUMNADO CURSOS COOP.TECNICA-PASANTIAS2023-82,5EUROS/DIA IVAINC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606"/>
  </r>
  <r>
    <n v="220230001783"/>
    <s v="AD"/>
    <d v="2023-02-03T00:00:00"/>
    <n v="22023000039"/>
    <s v="2023 10 2312 213"/>
    <n v="242"/>
    <x v="365"/>
    <s v="MANTENIMIENTO DE LAS CAMARAS DE VIGILANCIA  EXTERIORES DEL CPM TRANSFERIDO,  CPM DELICIA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0063"/>
    <s v="AD"/>
    <d v="2023-01-01T00:00:00"/>
    <n v="22023000564"/>
    <s v="2023 02 1511 609"/>
    <n v="26141.9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2500"/>
    <s v="D"/>
    <d v="2023-02-08T00:00:00"/>
    <n v="22023001956"/>
    <s v="2023 07 1711 214"/>
    <n v="20"/>
    <x v="366"/>
    <s v="REPARAR RUEDA TURISMO / EQUILIBRAR RUEDA TURISMO / VEHÍCULO 0515KF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1785"/>
    <s v="AD"/>
    <d v="2023-02-03T00:00:00"/>
    <n v="22023000042"/>
    <s v="2023 10 2312 213"/>
    <n v="229.9"/>
    <x v="365"/>
    <s v="MANTENIMIENTO DE LAS CAMARAS DE VIGILANCIA EXTERIORES DEL CPM NO TRANSFERIDO , CPM HUERTA DEL REY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409"/>
    <s v="AD"/>
    <d v="2023-01-01T00:00:00"/>
    <n v="22023001179"/>
    <s v="2023 09 4321 22701"/>
    <n v="598.95000000000005"/>
    <x v="367"/>
    <s v="SERVICIO DE MANTENIMIENTO DEL SISTEMA DE SEGURIDAD DE LA  ANTIGUA HIPICA MILITAR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4321"/>
    <s v="4321. Turismo"/>
    <s v="22"/>
    <s v="22701"/>
  </r>
  <r>
    <n v="220229000408"/>
    <s v="AD"/>
    <d v="2023-01-01T00:00:00"/>
    <n v="22023001178"/>
    <s v="2023 09 3341 22701"/>
    <n v="1187.9100000000001"/>
    <x v="367"/>
    <s v="SERVICIO DE MANTENIMIENTO DEL SISTEMA DE SEGURIDAD DE LA  CUPULA DEL MILENIO Y GALERIAS VA (01-09-2022 AL 31-08-2023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29000710"/>
    <s v="AD"/>
    <d v="2023-01-01T00:00:00"/>
    <n v="22023001294"/>
    <s v="2023 10 2312 213"/>
    <n v="1822.91"/>
    <x v="367"/>
    <s v="Mantenimiento de sistemas de seguridad y video vigilancia de los CPM TRANSFERIDOS Serv.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711"/>
    <s v="AD"/>
    <d v="2023-01-01T00:00:00"/>
    <n v="22023001295"/>
    <s v="2023 10 2312 213"/>
    <n v="2598.0100000000002"/>
    <x v="367"/>
    <s v="Mantenimiento de sistemas de seguridad y video vigilancia de los centros del Servicio de  Iniciativas Sociales-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488"/>
    <s v="ADO"/>
    <d v="2023-02-08T00:00:00"/>
    <n v="22023002009"/>
    <s v="2023 03 9241 22602"/>
    <n v="1656.73"/>
    <x v="368"/>
    <s v="CAMPAÑA FOMENTO PARTICIPACIÓN CIUDADANA // EMISORA:VALLADOLID CV.; REF.EXTERNA:;ORDEN:1464228851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2487"/>
    <s v="ADO"/>
    <d v="2023-02-08T00:00:00"/>
    <n v="22023002008"/>
    <s v="2023 03 9241 22602"/>
    <n v="763.27"/>
    <x v="368"/>
    <s v="CAMPAÑA FOMENTO PARTICIPACIÓN CIUDADANA // EMISORA:VALLADOLID  EFM; REF.EXTERNA:;ORDEN:1464228852;"/>
    <s v="24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29000674"/>
    <s v="AD"/>
    <d v="2023-01-01T00:00:00"/>
    <n v="22023001277"/>
    <s v="2023 06 2314 213"/>
    <n v="4096.38"/>
    <x v="367"/>
    <s v="MANTENIMIENTO DE LOS SISTEMAS DE SEGURIDAD Y CCTV EN CENTROS DE INFANCIA, JUVENTUD E IGUALDAD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2650"/>
    <s v="AD"/>
    <d v="2023-02-09T00:00:00"/>
    <n v="22023002324"/>
    <s v="2023 06 3232 212"/>
    <n v="1815"/>
    <x v="265"/>
    <s v="REPARACIÓN DE ATASCOS EN LAS REDES DE SANEAMIENTO DE LOS COLEGIOS PÚBLIC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35"/>
    <s v="AD"/>
    <d v="2023-02-09T00:00:00"/>
    <n v="22023002155"/>
    <s v="2023 06 3321 22001"/>
    <n v="196"/>
    <x v="369"/>
    <s v="CTTO SUMINISTRO 4 SUSCRIPCIONES ANUALES A LA REVISTA ALTERNATIVAS ECONÓMICA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43"/>
    <s v="AD"/>
    <d v="2023-02-09T00:00:00"/>
    <n v="22023002193"/>
    <s v="2023 06 3321 22001"/>
    <n v="401"/>
    <x v="370"/>
    <s v="CTTO SUMINISTRO SUSCRIPCIÓN 3 REVISTAS DE AXEL SPRINGER ESPAÑA S.A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631"/>
    <s v="AD"/>
    <d v="2023-02-09T00:00:00"/>
    <n v="22023002093"/>
    <s v="2023 06 3321 22799"/>
    <n v="2025"/>
    <x v="371"/>
    <s v="CTTO SERVICIOS REALIZACIÓN DE TALLER PARA CREACIÓN DE CÓMIC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2649"/>
    <s v="AD"/>
    <d v="2023-02-09T00:00:00"/>
    <n v="22023002317"/>
    <s v="2023 06 3232 213"/>
    <n v="3630"/>
    <x v="372"/>
    <s v="SUMINISTRO DE PLATAFORMAS, BRAZOS ARTICULADOS Y TIJERAS ELECTRICAS PARA SU UTILIZACIÓN POR MANTENIMIENTO EN COLEGIOS. 23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2627"/>
    <s v="AD"/>
    <d v="2023-02-09T00:00:00"/>
    <n v="22023002085"/>
    <s v="2023 06 3321 22199"/>
    <n v="482.79"/>
    <x v="145"/>
    <s v="CTTO SUMINISTRO SOBRES AYUNTAMIENTO DE 115X225 VENTANA DCHA IMPRESOS CON TIRA DE SILICONA//1 M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3090"/>
    <s v="ADO"/>
    <d v="2023-02-13T00:00:00"/>
    <n v="22023002367"/>
    <s v="2023 06 3231 213"/>
    <n v="76.41"/>
    <x v="148"/>
    <s v="MNTO INSTALACIONES DE PROTEC. CONTRA INCENDIOS // E.I.M.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2847"/>
    <s v="ADO"/>
    <d v="2023-02-09T00:00:00"/>
    <n v="22023002122"/>
    <s v="2023 06 2315 22799"/>
    <n v="1201.0899999999999"/>
    <x v="26"/>
    <s v="CELADURIAS DICIEMBRE 2022 / EXPT. SESS 41/2020 PS3 LOTE 5 CENTRO IGUALDAD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99"/>
  </r>
  <r>
    <n v="220229000702"/>
    <s v="AD"/>
    <d v="2023-01-01T00:00:00"/>
    <n v="22023001287"/>
    <s v="2023 06 3231 213"/>
    <n v="7253.95"/>
    <x v="367"/>
    <s v="CTTO SERVICIOS DE MANTENIMIENTO DE LOS SISTEMAS DE SEGURIDAD EN LAS EIM Y CENTRO MUNICIPAL DE ADULTO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1929"/>
    <s v="AD"/>
    <d v="2023-02-03T00:00:00"/>
    <n v="22023000701"/>
    <s v="2023 10 2312 213"/>
    <n v="149.51"/>
    <x v="367"/>
    <s v="CAJETIN ALARMA DEL CPM RONDILLA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2037"/>
    <s v="AD"/>
    <d v="2023-02-03T00:00:00"/>
    <n v="22023001810"/>
    <s v="2023 07 1721 213"/>
    <n v="824.24"/>
    <x v="367"/>
    <s v="MANTENIMIENTO SISTEMA DE  ALARMA CENTRO MUNICIPAL DE ACUSTIC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2924"/>
    <s v="ADO"/>
    <d v="2023-02-09T00:00:00"/>
    <n v="22023002356"/>
    <s v="2023 08 1301 22706"/>
    <n v="596.38"/>
    <x v="166"/>
    <s v="URBANIZACIÓN CALLE SEO - VALLADOLID"/>
    <s v="240"/>
    <s v="MALAGA"/>
    <s v="MALAGA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1933"/>
    <s v="AD"/>
    <d v="2023-02-03T00:00:00"/>
    <n v="22023001340"/>
    <s v="2023 11 1321 213"/>
    <n v="6466.56"/>
    <x v="367"/>
    <s v="SERV.  MANTENIMIENTO  EQUIPOS ELECTRÓNICOS DE SEGURIDAD Y VIGILANCIA DEL SERVICIO DE POLICÍA MUNICIPAL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34"/>
    <s v="AD"/>
    <d v="2023-02-09T00:00:00"/>
    <n v="22023002141"/>
    <s v="2023 06 3321 22001"/>
    <n v="4005"/>
    <x v="373"/>
    <s v="CTTO SUMINISTRO SUSCRIPCIÓN ANUAL DIARIO ABC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7"/>
    <s v="AD"/>
    <d v="2023-02-08T00:00:00"/>
    <n v="22023002131"/>
    <s v="2023 11 3111 213"/>
    <n v="312.85000000000002"/>
    <x v="367"/>
    <s v="Mantenimiento de la instalación del Sistema de Seguridad y Alarma en  el Centro Municipal de Protección Animal.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2952"/>
    <s v="AD"/>
    <d v="2023-02-10T00:00:00"/>
    <n v="22023002215"/>
    <s v="2023 11 1321 213"/>
    <n v="1000"/>
    <x v="367"/>
    <s v="REPARACIÓN DE LLAVES DE ALARMA Y REPOSICIÓN DE SISTEM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228"/>
    <s v="AD"/>
    <d v="2023-02-14T00:00:00"/>
    <n v="22023001983"/>
    <s v="2023 07 1701 213"/>
    <n v="2885.81"/>
    <x v="367"/>
    <s v="Seguridad y alarma de la Casa del Barco, Edificio Anexo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1"/>
    <s v="213"/>
  </r>
  <r>
    <n v="220230003922"/>
    <s v="AD/"/>
    <d v="2023-02-17T00:00:00"/>
    <n v="22023001287"/>
    <s v="2023 06 3231 213"/>
    <n v="-7253.95"/>
    <x v="367"/>
    <s v="CTTO SERVICIOS MANTENIMIENTO STMAS DE SEGURIDAD EN LAS EIM Y CENTRO MUNICIPAL DE ADULTOS//AÑO 2023 REAJUSTE A PROYE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8"/>
    <s v="2023 06 3231 213"/>
    <n v="1823.16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923"/>
    <s v="AD"/>
    <d v="2023-02-17T00:00:00"/>
    <n v="22023002329"/>
    <s v="2023 06 3231 213"/>
    <n v="5430.79"/>
    <x v="367"/>
    <s v="CTTO SERVICIOS MANTENIMIENTO STMAS DE SEGURIDAD EN EIM Y CENTRO MUNICIPAL ADULTOS. 2023. ENLAZADO A PROYECTO: 1.823,16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5424"/>
    <s v="AD"/>
    <d v="2023-02-22T00:00:00"/>
    <n v="22023002684"/>
    <s v="2023 06 3261 213"/>
    <n v="624.36"/>
    <x v="367"/>
    <s v="CTTO SERVICIOS MANTENIMIENTO SISTEMAS SEGURIDAD DE LA EMMVA SITUADA EN EL COLEGIO MARÍA DE MOLINA//AÑO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1"/>
    <s v="213"/>
  </r>
  <r>
    <n v="220230001798"/>
    <s v="AD"/>
    <d v="2023-02-03T00:00:00"/>
    <n v="22023000278"/>
    <s v="2023 11 1321 22699"/>
    <n v="257.77999999999997"/>
    <x v="374"/>
    <s v="SUMINISTRO ANUAL DE GAS PARA PISTOLAS GALERÍA DE TIRO VIRTUAL DE LA POLICÍA MUNICIPA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29000348"/>
    <s v="AD"/>
    <d v="2023-01-01T00:00:00"/>
    <n v="22023000449"/>
    <s v="2023 02 1511 619"/>
    <n v="1941.55"/>
    <x v="101"/>
    <s v="EXPTE.6/22 SEGU Y SALUD OBRAS FASE I REURBANIZACIÓN C. DANIEL DEL OLMO Y PRIMER TRAMO NORTE DE CASTILLA (POL. ARGALES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9000603"/>
    <s v="AD"/>
    <d v="2023-01-01T00:00:00"/>
    <n v="22023000469"/>
    <s v="2023 11 1321 22104"/>
    <n v="11616"/>
    <x v="353"/>
    <s v="SUMINISTRO DE EQUIPAMIENTO MOTORISTA (GUANTES) EXPTE. SPSC-SE 026/2022. LOTE 2.  EJERC. 2023."/>
    <s v="220"/>
    <s v="RIBARROJA DEL TURIA"/>
    <s v="VALENCIA"/>
    <x v="3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104"/>
  </r>
  <r>
    <n v="220219000678"/>
    <s v="AD"/>
    <d v="2023-03-29T00:00:00"/>
    <n v="22022002216"/>
    <s v="2023 02 1511 609"/>
    <n v="33091.18"/>
    <x v="194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00016733"/>
    <s v="AD"/>
    <d v="2023-03-29T00:00:00"/>
    <n v="22020002100"/>
    <s v="2023 02 1511 609"/>
    <n v="3210.43"/>
    <x v="194"/>
    <s v="ADJUDICAR CONTROL CALIDAD LOTE II DEL  ARU 29 DE OCTUBRE FASE II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8940"/>
    <s v="AD"/>
    <d v="2023-03-17T00:00:00"/>
    <n v="22023003121"/>
    <s v="2023 05 4331 206"/>
    <n v="121"/>
    <x v="367"/>
    <s v="ALQUILER ROUTER TEMPORAL INSTALADO EN NAVE HUB INNOVACIÓN C/ VALLE DE ARÁN, 1. SISTEMA DE DETECCIÓN Y VIDEOVIGILANCIA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6"/>
  </r>
  <r>
    <n v="220230009482"/>
    <s v="AD"/>
    <d v="2023-03-21T00:00:00"/>
    <n v="22023003447"/>
    <s v="2023 06 3321 213"/>
    <n v="750.85"/>
    <x v="367"/>
    <s v="CTTO SERVICIOS MANTENIMIENTO SISTEMAS SEGURIDAD//BIBLIOTECAS CAMPO GRANDE Y MARTIN ABRI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3"/>
  </r>
  <r>
    <n v="220230010314"/>
    <s v="AD"/>
    <d v="2023-03-23T00:00:00"/>
    <n v="22023003497"/>
    <s v="2023 06 3231 213"/>
    <n v="358.16"/>
    <x v="367"/>
    <s v="CTTO SERVICIOS CONEXIÓN SISTEMA DE SEGURIDAD EN LA EIM CASCABEL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3"/>
  </r>
  <r>
    <n v="220230011717"/>
    <s v="AD"/>
    <d v="2023-03-29T00:00:00"/>
    <n v="22023003540"/>
    <s v="2023 03 9241 213"/>
    <n v="29.23"/>
    <x v="367"/>
    <s v="COPIA DE LLAVE ELECTRÓNICA SISTEMA DE SEGURIDAD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11739"/>
    <s v="AD"/>
    <d v="2023-03-29T00:00:00"/>
    <n v="22023003546"/>
    <s v="2023 06 3231 22199"/>
    <n v="33.82"/>
    <x v="367"/>
    <s v="CTTO SUMINISTRO LLAVE SISTEMA DE SEGURIDAD CASCABEL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199"/>
  </r>
  <r>
    <n v="220230002937"/>
    <s v="AD"/>
    <d v="2023-02-10T00:00:00"/>
    <n v="22023001665"/>
    <s v="2023 06 3321 625"/>
    <n v="309156.2"/>
    <x v="375"/>
    <s v="SE-EIJI 20/2022 ADJUDICACIÓN SUMINISTRO MOBILIARIO, EDIFICIO DESTINADO A BIBLIOTECA EN PARCELA 143-F PARQUESOL. LOTE 1"/>
    <s v="220"/>
    <s v="A CORUÑA"/>
    <s v="A CORUÑA"/>
    <x v="3"/>
    <s v="PrAbier - Procedimiento Abierto"/>
    <s v="MultiC - MultiCriterio"/>
    <x v="0"/>
    <x v="0"/>
    <s v="6"/>
    <s v="6. Inversiones reales"/>
    <s v="06"/>
    <x v="2"/>
    <s v="3321"/>
    <s v="3321. Bibliotecas públicas"/>
    <s v="62"/>
    <s v="625"/>
  </r>
  <r>
    <n v="220230002948"/>
    <s v="AD"/>
    <d v="2023-02-10T00:00:00"/>
    <n v="22023002405"/>
    <s v="2023 08 1301 22699"/>
    <n v="529.98"/>
    <x v="121"/>
    <s v="Contrato con ACQUAJET para el suministro de botellas de agua para la Dirección de Área de Movilidad y Espacio Urbano."/>
    <s v="220"/>
    <s v="TAMARES"/>
    <s v="SEVILLA"/>
    <x v="3"/>
    <s v="AdDirec - Adjudicación Directa"/>
    <s v="SinC - Sin Criterio"/>
    <x v="3"/>
    <x v="0"/>
    <s v="2"/>
    <s v="2. Gastos corrientes en bienes y servicios"/>
    <s v="08"/>
    <x v="0"/>
    <s v="1301"/>
    <s v="1301. Dirección del área de seguridad"/>
    <s v="22"/>
    <s v="22699"/>
  </r>
  <r>
    <n v="220230002953"/>
    <s v="AD"/>
    <d v="2023-02-10T00:00:00"/>
    <n v="22023002289"/>
    <s v="2023 11 1621 214"/>
    <n v="3000"/>
    <x v="283"/>
    <s v="REPARACIÓN DE EMISORAS PARA VEHÍCULO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934"/>
    <s v="AD"/>
    <d v="2023-02-10T00:00:00"/>
    <n v="22023002223"/>
    <s v="2023 09 3341 22699"/>
    <n v="110.55"/>
    <x v="292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12874"/>
    <s v="AD"/>
    <d v="2023-03-31T00:00:00"/>
    <n v="22023003712"/>
    <s v="2023 07 1711 22799"/>
    <n v="1400"/>
    <x v="367"/>
    <s v="CONTROL DE ALARMAS DE EDIFICIOS E INSTALACIONES ADSCRITOS AL SERVICIO DE PARQUES Y JARDINES.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799"/>
  </r>
  <r>
    <n v="220219000232"/>
    <s v="AD"/>
    <d v="2023-01-01T00:00:00"/>
    <n v="22023000530"/>
    <s v="2023 06 2314 22799"/>
    <n v="1688.95"/>
    <x v="376"/>
    <s v="SIJI 9/2020 CONTRATO DE GESTION DE LA ESCUELA DE FORMACION Y ANIMACION JUVENIL. REAJUSTE DE ANUALIDADE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2945"/>
    <s v="AD"/>
    <d v="2023-02-10T00:00:00"/>
    <n v="22023002341"/>
    <s v="2023 03 9241 212"/>
    <n v="163.79"/>
    <x v="339"/>
    <s v="SUMINISTRO LUNA UÑEROS 1830x468 mm CC DELICIAS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54"/>
    <s v="AD"/>
    <d v="2023-01-01T00:00:00"/>
    <n v="22023000752"/>
    <s v="2023 05 4312 22700"/>
    <n v="4461.2700000000004"/>
    <x v="78"/>
    <s v="PRIMERA PRORROGA CONTRATO LIMPIEZA DEPENDENCIAS MUNICIPALES-ANTIGUA OMIC (PR-SE-31/2020)"/>
    <s v="220"/>
    <s v="LLANERA"/>
    <s v="ASTURIAS"/>
    <x v="1"/>
    <s v="PrAbier - Procedimiento Abierto"/>
    <s v="MultiC - MultiCriterio"/>
    <x v="0"/>
    <x v="0"/>
    <s v="2"/>
    <s v="2. Gastos corrientes en bienes y servicios"/>
    <s v="05"/>
    <x v="7"/>
    <s v="4312"/>
    <s v="4312. Mercados, abastos y lonjas"/>
    <s v="22"/>
    <s v="22700"/>
  </r>
  <r>
    <n v="220229000349"/>
    <s v="AD"/>
    <d v="2023-01-01T00:00:00"/>
    <n v="22023000450"/>
    <s v="2023 03 9241 22706"/>
    <n v="18135.48"/>
    <x v="194"/>
    <s v="ASIST. TÉCNICA AL SPC EN EL CONTROL DE EJECUCIÓN DE LOS SERVICIOS DE MANTENIMIENTO DE EDIFICIOS(DE 1/1 2023 A 31/7 2024)"/>
    <s v="220"/>
    <s v="ZARATAN"/>
    <s v="VALLADOLID"/>
    <x v="1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2"/>
    <s v="22706"/>
  </r>
  <r>
    <n v="220229000078"/>
    <s v="AD"/>
    <d v="2023-01-01T00:00:00"/>
    <n v="22023000880"/>
    <s v="2023 08 1651 619"/>
    <n v="8478.1299999999992"/>
    <x v="194"/>
    <s v="AT.CONTROL CALIDAD (3 Lotes) SEMEU 8/2021 para obras Conserv.reparación y reforma de instalaciones Alumbrado Público."/>
    <s v="220"/>
    <s v="ZARATAN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20055607"/>
    <s v="AD"/>
    <d v="2023-03-29T00:00:00"/>
    <n v="22022003141"/>
    <s v="2023 02 1511 609"/>
    <n v="475.02"/>
    <x v="194"/>
    <s v="C.CALIDAD LOTE 2 CONST.NUEVA RED DE ENERGIA ELECT.(MEDIA Y B.TESIÓN)EN C/ VILLABAÑEZ Y ZORZAL(ARU 29 OCTUBRE FII C.MENOR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12379"/>
    <s v="AD"/>
    <d v="2023-03-29T00:00:00"/>
    <n v="22022002144"/>
    <s v="2023 0550 4312 632"/>
    <n v="3974.47"/>
    <x v="95"/>
    <s v="Control de Seguridad y Salud - Obra de acondicionamiento de Mercado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25551"/>
    <s v="AD"/>
    <d v="2023-03-29T00:00:00"/>
    <n v="22021002980"/>
    <s v="2023 02 9332 632"/>
    <n v="61.98"/>
    <x v="194"/>
    <s v="CONTROL CALIDAD DESPRENDIMIENTO QUE SUSTENTA TERRAZA PÓRTICO ENTRADA CASA CONSISTORIAL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9000682"/>
    <s v="AD"/>
    <d v="2023-01-01T00:00:00"/>
    <n v="22023001285"/>
    <s v="2023 05 4331 609"/>
    <n v="276.47000000000003"/>
    <x v="101"/>
    <s v="CONTRATO SERVICIOS DE COORDINACIÓN EN MATERIA DE SEGURIDAD YSALUD EN OBRAS Y PROYECTOS AYTO.VALLAD.LOTE 2 INFRAESTRUCTUR"/>
    <s v="220"/>
    <s v="VALLADOLID"/>
    <s v="VALLADOLID"/>
    <x v="1"/>
    <s v="PrAbier - Procedimiento Abierto"/>
    <s v="MultiC - MultiCriterio"/>
    <x v="1"/>
    <x v="0"/>
    <s v="6"/>
    <s v="6. Inversiones reales"/>
    <s v="05"/>
    <x v="7"/>
    <s v="4331"/>
    <s v="4331. Desarrollo empresarial"/>
    <s v="60"/>
    <s v="609"/>
  </r>
  <r>
    <n v="220229000614"/>
    <s v="AD"/>
    <d v="2023-01-01T00:00:00"/>
    <n v="22023001231"/>
    <s v="2023 02 1511 619"/>
    <n v="5843.09"/>
    <x v="101"/>
    <s v="ASISTENCIA TÉCNICA Y DIREC.FACULTAT.OBRAS REURBANIZACIÓN AVDA. NORTE DE CASTILLA (FASE I) POL.ARG,EXPTE.6/22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10016150"/>
    <s v="AD"/>
    <d v="2023-03-29T00:00:00"/>
    <n v="22021003527"/>
    <s v="2023 02 1511 609"/>
    <n v="7047.23"/>
    <x v="194"/>
    <s v="CONTROL CALIDAD OBRAS REHABILITACIÓN CUATRO BLOQUES EN CALLE VILLABAÑEZ,12,14,16 Y 18(29 OCTUBRE FASE II).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30006796"/>
    <s v="AD"/>
    <d v="2023-03-01T00:00:00"/>
    <n v="22023002862"/>
    <s v="2023 08 1532 619"/>
    <n v="337.54"/>
    <x v="101"/>
    <s v="Redacción EBSyS para proyecto &quot;&quot;Renovación de redes abastecimiento y saneamiento: Refuerzo firme C/ López Gómez&quot;&quot;.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420"/>
    <s v="AD"/>
    <d v="2023-02-14T00:00:00"/>
    <n v="22023002147"/>
    <s v="2023 08 1301 22706"/>
    <n v="2329.86"/>
    <x v="194"/>
    <s v="Control Calidad Urbanización calle Seo Enero 2023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301"/>
    <s v="1301. Dirección del área de seguridad"/>
    <s v="22"/>
    <s v="22706"/>
  </r>
  <r>
    <n v="220230009036"/>
    <s v="AD"/>
    <d v="2023-03-20T00:00:00"/>
    <n v="22023003181"/>
    <s v="2023 08 1301 22706"/>
    <n v="4453.1899999999996"/>
    <x v="194"/>
    <s v="Control Calidad Urbanización calle Seo Enero 2023"/>
    <s v="220"/>
    <s v="ZARATAN"/>
    <s v="VALLADOLID"/>
    <x v="1"/>
    <s v="PrAbier - Procedimiento Abierto"/>
    <s v="UniC - Único Criterio"/>
    <x v="1"/>
    <x v="0"/>
    <s v="2"/>
    <s v="2. Gastos corrientes en bienes y servicios"/>
    <s v="08"/>
    <x v="0"/>
    <s v="1301"/>
    <s v="1301. Dirección del área de seguridad"/>
    <s v="22"/>
    <s v="22706"/>
  </r>
  <r>
    <n v="220229000029"/>
    <s v="AD"/>
    <d v="2023-01-01T00:00:00"/>
    <n v="22023000868"/>
    <s v="2023 10 2312 216"/>
    <n v="1066.3900000000001"/>
    <x v="377"/>
    <s v="MANT.Y REPARAC. EQUIPOS INFORMATICOS DE CPMS ARCA R,Z.ES.HTA Y CENTRO AÑO 2023 DE 1/1 A 28/2 DE 2023 -EXPTE.SESS12/19 P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04"/>
    <s v="AD"/>
    <d v="2023-02-13T00:00:00"/>
    <n v="22023001585"/>
    <s v="2023 02 9332 213"/>
    <n v="2770.9"/>
    <x v="378"/>
    <s v="REPARACIÓN DE FUGAS EN INSTALAC. DE CALEFACCIÓN DEL EDIF DE SAN BENITO (PUERTAS 18 Y 20 SERVIC. DE CONTROL DE LEGALIDAD)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786"/>
    <s v="AD"/>
    <d v="2023-02-17T00:00:00"/>
    <n v="22023002465"/>
    <s v="2023 06 3232 213"/>
    <n v="7260"/>
    <x v="148"/>
    <s v="CTTO SERVICIOS CORRECTIVOS EN  PCI TRAS INSPECCIÓN POR OCAS EN CEIPS(LOTE 1) FUERA DEL CTTO DE MANTENIMIENTO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020"/>
    <s v="ADO"/>
    <d v="2023-02-13T00:00:00"/>
    <n v="22023002168"/>
    <s v="2023 07 1721 22100"/>
    <n v="20.61"/>
    <x v="379"/>
    <s v="COMPENSACION BONO SOCIAL REMESA FACTURAS FOTOVOLTAICAS DEL MES DE ENERO 2023"/>
    <s v="240"/>
    <s v="BILBAO"/>
    <s v="VIZCAYA"/>
    <x v="4"/>
    <s v="AdDirec - Adjudicación Directa"/>
    <s v="MultiC - MultiCriterio"/>
    <x v="3"/>
    <x v="0"/>
    <s v="2"/>
    <s v="2. Gastos corrientes en bienes y servicios"/>
    <s v="07"/>
    <x v="4"/>
    <s v="1721"/>
    <s v="1721. Protección del medio ambiente"/>
    <s v="22"/>
    <s v="22100"/>
  </r>
  <r>
    <n v="220229000030"/>
    <s v="AD"/>
    <d v="2023-01-01T00:00:00"/>
    <n v="22023000869"/>
    <s v="2023 10 2312 216"/>
    <n v="266.58999999999997"/>
    <x v="377"/>
    <s v="MANT.Y REPARAC. EQUIPOS INFORMATICOS DE CPM VICTORIA AÑO 2023 DE 1/1 A  28/2 DE 2023-EXPTE.SESS12/19 PS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012"/>
    <s v="D"/>
    <d v="2023-02-13T00:00:00"/>
    <n v="22023001963"/>
    <s v="2023 08 1532 619"/>
    <n v="2741.28"/>
    <x v="166"/>
    <s v="Ensayos Control calidad Lote 1 obras de remodelación de la avenida Reyes Católicos en Valladolid (expediente 1/2022)."/>
    <s v="300"/>
    <s v="MALAGA"/>
    <s v="MALAG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3033"/>
    <s v="D"/>
    <d v="2023-02-13T00:00:00"/>
    <n v="22023002053"/>
    <s v="2023 07 1711 213"/>
    <n v="2023.73"/>
    <x v="380"/>
    <s v="ACEITE HIDRAULICO HY-GARD / SIGAUS / CASQUILLO EJE DELANTERO / BULON EJE DELANTERO / ROTULA ESFERICA DIRECCION / ROTUL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5"/>
    <s v="D"/>
    <d v="2023-02-13T00:00:00"/>
    <n v="22023002053"/>
    <s v="2023 07 1711 213"/>
    <n v="1968.5"/>
    <x v="380"/>
    <s v="VÁSTAGO / SOLDADURA DE MATERIA PRIMA / BRIDA PLASTICO 295X4,8MM / CATADIOPTRICO / DISCO CORTE PROF. 115X1 / FARO / MAN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1"/>
    <s v="D"/>
    <d v="2023-02-13T00:00:00"/>
    <n v="22023002053"/>
    <s v="2023 07 1711 213"/>
    <n v="293.13"/>
    <x v="380"/>
    <s v="TERMINAL OJAL Nº50 / BATERÍA CON CARGA LÍQUIDA/ CABLE MANGUERA 3X2,50 DÓMESTICO / FUNDA TERMORETRACTIL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10"/>
    <s v="AD"/>
    <d v="2023-02-13T00:00:00"/>
    <n v="22023002364"/>
    <s v="2023 01 9207 22001"/>
    <n v="1456"/>
    <x v="304"/>
    <s v="ADJUDICA RENOVACIÓN DOS SUSCRIPCIONES ANUALES A EL NORTE DE CASTILLA AÑO 2023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29000150"/>
    <s v="AD"/>
    <d v="2023-01-01T00:00:00"/>
    <n v="22023000906"/>
    <s v="2023 02 1511 609"/>
    <n v="5345.78"/>
    <x v="101"/>
    <s v="ASISTENCIA TÉC. PARA LA COORDINACIÓN DE SEGURIDAD Y SALUD OBRA PASOS INFERIORES PANADEROS/LABRADORES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197"/>
    <s v="AD"/>
    <d v="2023-01-01T00:00:00"/>
    <n v="22023000929"/>
    <s v="2023 10 2311 22799"/>
    <n v="4000"/>
    <x v="86"/>
    <s v="Servicio de celaduría en COMEDOR SOCIAL de 1/1/2023 A 31/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035"/>
    <s v="D"/>
    <d v="2023-02-13T00:00:00"/>
    <n v="22023002053"/>
    <s v="2023 07 1711 213"/>
    <n v="4341.71"/>
    <x v="381"/>
    <s v="MANO DE OBRA / STIHL JOGO DE JUNTAS DE VEDAÇÃO 42820071010 / STIHL VÁLVULA DE ADMISIÓN 42820251801 / STIHL  VÁLVULA DE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37"/>
    <s v="D"/>
    <d v="2023-02-13T00:00:00"/>
    <n v="22023002053"/>
    <s v="2023 07 1711 213"/>
    <n v="3442.67"/>
    <x v="381"/>
    <s v="STIHL  CINTURÓN DE HERRAMIENTAS CUERO, NEGRO 8810602 / STIHL TIRANTES STIHL 8841510 / Campo Grande / STIHL RG DESMALEZA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3"/>
    <s v="D"/>
    <d v="2023-02-13T00:00:00"/>
    <n v="22023002053"/>
    <s v="2023 07 1711 213"/>
    <n v="810.1"/>
    <x v="381"/>
    <s v="MANO DE OBRA / STIHL FILTRO ACEITE 0001 020 9602 / KAWASAKI FILTRO DE AIRE REF. 110290032 / TORO CUCHILLA REF. 133-8183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1"/>
    <s v="D"/>
    <d v="2023-02-13T00:00:00"/>
    <n v="22023002053"/>
    <s v="2023 07 1711 213"/>
    <n v="39.99"/>
    <x v="381"/>
    <s v="STIHL  LLAVE UNIVERSAL 890340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9"/>
    <s v="D"/>
    <d v="2023-02-13T00:00:00"/>
    <n v="22023002053"/>
    <s v="2023 07 1711 213"/>
    <n v="493.41"/>
    <x v="382"/>
    <s v="Albarán OT/ 135788 de 19/01/2023 ( REPARACIÓN EN TALLER DE CORTACÉSPED HONDA RH 536 REF.: HUERTA DEL REY 1 VALE Nº: 141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3027"/>
    <s v="D"/>
    <d v="2023-02-13T00:00:00"/>
    <n v="22023002053"/>
    <s v="2023 07 1711 213"/>
    <n v="340.32"/>
    <x v="382"/>
    <s v="ALBARÁN OT/ 135405 DE 15 y 22/12/2022 ( REPARACIÓN EN TALLER DE CORTASETOS HUSQVARNA 536 LI HD60X RETIRADO EL 27/12/2022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29000312"/>
    <s v="AD"/>
    <d v="2023-01-01T00:00:00"/>
    <n v="22023001143"/>
    <s v="2023 02 1511 609"/>
    <n v="981.98"/>
    <x v="101"/>
    <s v="ADJ.SEGURIDAD Y SALUD EXPT.46/21 REURB.PZA.DE LA COMUNICACIÓN (ANTIGUA AP25-1 ARIZA) EN CALLE ADOLFO SUAREZ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9000395"/>
    <s v="AD"/>
    <d v="2023-01-01T00:00:00"/>
    <n v="22023001171"/>
    <s v="2023 08 1341 619"/>
    <n v="1277.8"/>
    <x v="101"/>
    <s v="2ª PRÓRROGA SEGURIDAD Y SALUD LOTE 2 SEÑALIZACIÓN HORIZONTAL (Enero-Julio 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0068103"/>
    <s v="AD"/>
    <d v="2023-03-29T00:00:00"/>
    <n v="22022006965"/>
    <s v="2023 02 1511 619"/>
    <n v="1947.7"/>
    <x v="101"/>
    <s v="ASISTENCIA TECNICA Y DIREC.OBRAS REURBANIZACIÓN AVDA. NORTE DE CASTILLA(FASE 1) POL. ARGALES EXPTE 6/22.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3435"/>
    <s v="AD"/>
    <d v="2023-02-14T00:00:00"/>
    <n v="22023001682"/>
    <s v="2023 03 9241 632"/>
    <n v="57141.89"/>
    <x v="59"/>
    <s v="MODIFICADO OBRA REHABILITACIÓN ANTIGUO FRONTÓN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30003241"/>
    <s v="AD"/>
    <d v="2023-02-14T00:00:00"/>
    <n v="22023002418"/>
    <s v="2023 11 1621 203"/>
    <n v="845"/>
    <x v="121"/>
    <s v="MANTENIMIENTO EQUIPO POU (FUENTE DE AGUA) DURANTE EL 2023 PARA EL SERVICIO DE LIMPIEZA."/>
    <s v="220"/>
    <s v="TAMARES"/>
    <s v="SEVILL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3"/>
  </r>
  <r>
    <n v="220230003423"/>
    <s v="AD"/>
    <d v="2023-02-14T00:00:00"/>
    <n v="22023002411"/>
    <s v="2023 05 4331 203"/>
    <n v="477.71"/>
    <x v="252"/>
    <s v="Alquiler y mantenimiento de fuente de agua en Agencia de Innovación, Cl Vega Sicilia 2. Año 2023"/>
    <s v="220"/>
    <s v="MADRID"/>
    <s v="MADR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3"/>
  </r>
  <r>
    <n v="220230003231"/>
    <s v="AD"/>
    <d v="2023-02-14T00:00:00"/>
    <n v="22023002117"/>
    <s v="2023 10 2312 212"/>
    <n v="187.68"/>
    <x v="383"/>
    <s v="SUMINISTRO DE CISTERNA  PARA EL CENTRO OCUPACIONAL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251"/>
    <s v="AD"/>
    <d v="2023-02-14T00:00:00"/>
    <n v="22023002200"/>
    <s v="2023 07 1721 22799"/>
    <n v="1028.5"/>
    <x v="384"/>
    <s v="RETIRADA RESIDUOS DEL LABORATORIO DE LA RED DE CONTAMINACION"/>
    <s v="220"/>
    <s v="TUDELA DE DUERO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33"/>
    <s v="AD"/>
    <d v="2023-02-14T00:00:00"/>
    <n v="22023002247"/>
    <s v="2023 07 1711 213"/>
    <n v="1500"/>
    <x v="385"/>
    <s v="REPARACIÓN DE DUMPERS.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32"/>
    <s v="AD"/>
    <d v="2023-02-14T00:00:00"/>
    <n v="22023002376"/>
    <s v="2023 10 2412 212"/>
    <n v="249.99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30003432"/>
    <s v="AD"/>
    <d v="2023-02-14T00:00:00"/>
    <n v="22023002373"/>
    <s v="2023 10 2412 213"/>
    <n v="267.8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4"/>
    <s v="2023 10 2412 213"/>
    <n v="380.96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432"/>
    <s v="AD"/>
    <d v="2023-02-14T00:00:00"/>
    <n v="22023002375"/>
    <s v="2023 10 2412 213"/>
    <n v="601.19000000000005"/>
    <x v="67"/>
    <s v="MANTENIMIENTO CALEFACCION DEL JACINTO BENAVENTE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3232"/>
    <s v="AD"/>
    <d v="2023-02-14T00:00:00"/>
    <n v="22023002187"/>
    <s v="2023 07 1711 213"/>
    <n v="4000"/>
    <x v="372"/>
    <s v="Reparación y trabajos en plataformas elevadoras. Ejercicio 2023."/>
    <s v="220"/>
    <s v="CABEZON DE PISUERGA"/>
    <s v="VALLADOLID"/>
    <x v="1"/>
    <s v="AdDirec - Adjudicación Directa"/>
    <s v="MultiC - MultiCriterio"/>
    <x v="3"/>
    <x v="0"/>
    <s v="2"/>
    <s v="2. Gastos corrientes en bienes y servicios"/>
    <s v="07"/>
    <x v="4"/>
    <s v="1711"/>
    <s v="1711. Parques y jardines"/>
    <s v="21"/>
    <s v="213"/>
  </r>
  <r>
    <n v="220230003230"/>
    <s v="AD"/>
    <d v="2023-02-14T00:00:00"/>
    <n v="22023002097"/>
    <s v="2023 10 2412 22199"/>
    <n v="2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6"/>
    <s v="2023 10 2412 22199"/>
    <n v="175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5"/>
    <s v="2023 10 2412 22199"/>
    <n v="10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0"/>
    <s v="AD"/>
    <d v="2023-02-14T00:00:00"/>
    <n v="22023002098"/>
    <s v="2023 10 2412 22199"/>
    <n v="5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99"/>
  </r>
  <r>
    <n v="220230003237"/>
    <s v="AD"/>
    <d v="2023-02-14T00:00:00"/>
    <n v="22023002343"/>
    <s v="2023 07 1711 213"/>
    <n v="4000"/>
    <x v="289"/>
    <s v="Mantenimiento y reparación nueva máquina retro-excavadora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3"/>
  </r>
  <r>
    <n v="220230003422"/>
    <s v="AD"/>
    <d v="2023-02-14T00:00:00"/>
    <n v="22023002394"/>
    <s v="2023 05 4331 22799"/>
    <n v="550.38"/>
    <x v="153"/>
    <s v="RENOVACIÓN Y CONTRATACIÓN DE DOMIOS DE LA AGENCIA DE INNOVACIÓN Y DESARROLLO ECONOMICO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428"/>
    <s v="AD"/>
    <d v="2023-02-14T00:00:00"/>
    <n v="22023002344"/>
    <s v="2023 10 2312 22615"/>
    <n v="1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428"/>
    <s v="AD"/>
    <d v="2023-02-14T00:00:00"/>
    <n v="22023002345"/>
    <s v="2023 10 2312 22699"/>
    <n v="300"/>
    <x v="292"/>
    <s v="PETICIONES DE IMPRESION A LA IMPRENTA MUNICIPAL DEL SERVICIO DE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29000397"/>
    <s v="AD"/>
    <d v="2023-01-01T00:00:00"/>
    <n v="22023001173"/>
    <s v="2023 08 1341 619"/>
    <n v="464.66"/>
    <x v="101"/>
    <s v="2ª PRÓRROGA SEGURIDAD Y SALUD LOTE 1 SEÑALIZACIÓN VERTICAL (Enero-Julio'2023)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29000552"/>
    <s v="AD"/>
    <d v="2023-01-01T00:00:00"/>
    <n v="22023001216"/>
    <s v="2023 05 4312 22799"/>
    <n v="12408.55"/>
    <x v="386"/>
    <s v="MONTAJE Y DESMONTAJE CASETAS BAZAR NAVIDEÑO.30% AL FINALIZAR EL MONTAJE Y EL 70% AL FINALIZAR EL DESMONTAJE."/>
    <s v="220"/>
    <s v="MOSTOL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29000652"/>
    <s v="AD"/>
    <d v="2023-01-01T00:00:00"/>
    <n v="22023001260"/>
    <s v="2023 10 2311 213"/>
    <n v="2603.98"/>
    <x v="367"/>
    <s v="MANTENIMIENTO SIST.SEGURIDAD Y VIDEO-VIGIL.CENTROS INTERVENCIÓN SOCIAL -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29000658"/>
    <s v="AD"/>
    <d v="2023-01-01T00:00:00"/>
    <n v="22023001266"/>
    <s v="2023 10 2412 213"/>
    <n v="1228.33"/>
    <x v="367"/>
    <s v="Mantenimiento sistema de seguridad y video vigilancia del Centro de Formación Jacinto Benavente.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7170"/>
    <s v="AD/"/>
    <d v="2023-03-02T00:00:00"/>
    <n v="22023001266"/>
    <s v="2023 10 2412 213"/>
    <n v="-1228.33"/>
    <x v="367"/>
    <s v="Mantenimiento sistema de seguridad y video vigilancia del Centro de Formación Jacinto Benavente. AÑO 2023. BARRAD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29000703"/>
    <s v="AD"/>
    <d v="2023-01-01T00:00:00"/>
    <n v="22023001288"/>
    <s v="2023 06 2314 22799"/>
    <n v="18578.55"/>
    <x v="376"/>
    <s v="PRÓRROGA CONTRATO SERVICIOS GESTION DE LA ESCUELA DE FORMACIÓN Y ANIMACIÓN JUVENIL / 29/01/23 A 28/01/24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3421"/>
    <s v="AD"/>
    <d v="2023-02-14T00:00:00"/>
    <n v="22023002159"/>
    <s v="2023 10 2412 22104"/>
    <n v="4660.92"/>
    <x v="170"/>
    <s v="VESTUARIO PARA EL CURSO DE PARQUES Y JARDINES IV DEL CENTRO DE FORMACION PARA EL EMPLEO- JACINTO BENAVENTE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04"/>
  </r>
  <r>
    <n v="220230012866"/>
    <s v="AD"/>
    <d v="2023-03-31T00:00:00"/>
    <n v="22023003577"/>
    <s v="2023 08 1532 619"/>
    <n v="21.63"/>
    <x v="101"/>
    <s v="Redacción Estudio Seguridad y Salud para el proyecto &quot;&quot;Reparación de la Urbanización Santa Ana:  Calle Atenas&quot;&quot;.-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2638"/>
    <s v="AD"/>
    <d v="2023-02-09T00:00:00"/>
    <n v="22023002171"/>
    <s v="2023 06 2315 22611"/>
    <n v="704"/>
    <x v="88"/>
    <s v="TALLERES MEDIACIÓN LECTORA CENTRO MUNICIPAL DE LA IGUALDAD / FEBRERO A ABRIL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67"/>
    <s v="AD"/>
    <d v="2023-03-01T00:00:00"/>
    <n v="22023002171"/>
    <s v="2023 06 2315 22611"/>
    <n v="893.2"/>
    <x v="88"/>
    <s v="TALLERES MEDIACIÓN LECTORA CENTRO MUNICIPAL DE LA IGUALDAD / MARZO, MAYO, JUNIO 2023"/>
    <s v="220"/>
    <s v="SAN MIGUEL DEL PIN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24"/>
    <s v="AD"/>
    <d v="2023-02-14T00:00:00"/>
    <n v="22023001679"/>
    <s v="2023 10 2311 212"/>
    <n v="104.06"/>
    <x v="339"/>
    <s v="SUSTITUCIÓN DE UN VIDRIO MATE ROTO, EN VIVIENDA MUNICIPAL DE PLAZA CHURRERÍA Nº 7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226"/>
    <s v="AD"/>
    <d v="2023-02-14T00:00:00"/>
    <n v="22023001694"/>
    <s v="2023 10 2312 212"/>
    <n v="461.66"/>
    <x v="339"/>
    <s v="REPARACION VENTANA DE 2 HOJAS CORREDERAS  DEL CPM DELICIAS- DUR 1 DIA"/>
    <s v="220"/>
    <s v="ZARATAN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747"/>
    <s v="AD"/>
    <d v="2023-01-01T00:00:00"/>
    <n v="22023001316"/>
    <s v="2023 11 3111 22700"/>
    <n v="6923.45"/>
    <x v="78"/>
    <s v="PRORROGA CONTRATO  LIMPIEZA DE DEPENDENCIAS MUNICIPALES AÑO 2023 PARA CENTRO MUNICIPAL DE PROTECCION ANIMAL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9000748"/>
    <s v="AD"/>
    <d v="2023-01-01T00:00:00"/>
    <n v="22023001317"/>
    <s v="2023 11 3111 22700"/>
    <n v="3465.58"/>
    <x v="78"/>
    <s v="PRORROGA CONTRATO LIMPIEZA DE DEPENDENCIAS MUNICIPALES AÑO 2023 PARA EL CONSULTORIO DEL PINAR DE ANTEQUERA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0"/>
  </r>
  <r>
    <n v="220220015831"/>
    <s v="AD"/>
    <d v="2023-03-29T00:00:00"/>
    <n v="22022003382"/>
    <s v="2023 11 1321 632"/>
    <n v="6259.14"/>
    <x v="387"/>
    <s v="DIRECCIÓN FACULTATIVA OBRAS ADAPTACIÓN EDIFICIO DE JEFATURA POLICÍA MUNICIPAL. FASE II."/>
    <s v="220"/>
    <s v="VALLADOLID"/>
    <s v="VALLADOLID"/>
    <x v="1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20014383"/>
    <s v="AD"/>
    <d v="2023-03-29T00:00:00"/>
    <n v="22022003101"/>
    <s v="2023 02 1511 600"/>
    <n v="6050"/>
    <x v="388"/>
    <s v="ASISTENCIA TÉCNICA.REDAC.PROYECTO ACTUACIÓN DETERMINACIONES COMPLETAS REP.SECTOR 53 CIUDAD JARDIN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0"/>
  </r>
  <r>
    <n v="220230002946"/>
    <s v="AD"/>
    <d v="2023-02-10T00:00:00"/>
    <n v="22023002342"/>
    <s v="2023 03 9241 22199"/>
    <n v="419.87"/>
    <x v="389"/>
    <s v="SUM. E INST. MICRÓFONO INALÁMBRICO DUAL EN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3792"/>
    <s v="AD"/>
    <d v="2023-02-17T00:00:00"/>
    <n v="22023002474"/>
    <s v="2023 03 9241 22699"/>
    <n v="231.84"/>
    <x v="389"/>
    <s v="REPROGRAMACIÓN DIMMER Y FOCOS LED ESCENARIO CC CAMPILLO Y KIT DE CABLEADO PARA CC ZONA SU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417"/>
    <s v="AD"/>
    <d v="2023-02-22T00:00:00"/>
    <n v="22023002640"/>
    <s v="2023 03 9241 22699"/>
    <n v="30.25"/>
    <x v="389"/>
    <s v="SUMINISTRO DE CABLE ADAPTADOR PARA CC CAMPILLO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2870"/>
    <s v="AD"/>
    <d v="2023-03-31T00:00:00"/>
    <n v="22023003686"/>
    <s v="2023 03 9241 22699"/>
    <n v="1205.1600000000001"/>
    <x v="389"/>
    <s v="SUMINISTRO DE DOS ORDENADORES PORTÁTILES PARA CC ESGUEVA Y CC PARQUESOL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5"/>
    <s v="AD"/>
    <d v="2023-03-23T00:00:00"/>
    <n v="22023003078"/>
    <s v="2023 05 4331 22799"/>
    <n v="15306.5"/>
    <x v="390"/>
    <s v="ALQUILER EQUIPAMIENTO DE ILUMINACIÓN, SONIDO Y VIDEO PARA LA CELEBRACIÓN DEL&quot;&quot;TOUR DEL TALENTO&quot;&quot;  DEL 13 AL 17 DE MARZO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1675"/>
    <s v="AD"/>
    <d v="2023-03-28T00:00:00"/>
    <n v="22023003079"/>
    <s v="2023 05 4331 22602"/>
    <n v="7159.57"/>
    <x v="391"/>
    <s v="ALQUILER MARQUESINAS Y RED MUPIS MUNICIPALES. SEMANA TOUR DEL TALENTO EN VALLADOLID DEL 13 AL 18 DE MARZO DE 2023."/>
    <s v="23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20076748"/>
    <s v="AD"/>
    <d v="2023-03-29T00:00:00"/>
    <n v="22022006221"/>
    <s v="2023 08 1341 625"/>
    <n v="54437.9"/>
    <x v="391"/>
    <s v="SUMINISTRO INSTALACIÓN DE ASEO PÚBLICO AUTOMÁTICO ACCESIBLE"/>
    <s v="220"/>
    <s v="MADRID"/>
    <s v="MADRID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5"/>
  </r>
  <r>
    <n v="220230012963"/>
    <s v="AD"/>
    <d v="2023-03-31T00:00:00"/>
    <n v="22023003720"/>
    <s v="2023 0850 1341 609"/>
    <n v="369642.9"/>
    <x v="391"/>
    <s v="ADQ. &quot;&quot;PANELES INFORMACIÓN SAE (Tecnología incluida)&quot;&quot; para proy. PRTR &quot;&quot;Ciudades Conectadas&quot;&quot;. AD 22022/76749 rmte. incorp."/>
    <s v="220"/>
    <s v="MADRID"/>
    <s v="MADRID"/>
    <x v="3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4196"/>
    <s v="AD"/>
    <d v="2023-02-20T00:00:00"/>
    <n v="22023002597"/>
    <s v="2023 06 3321 22001"/>
    <n v="20"/>
    <x v="392"/>
    <s v="CTTO SUMINISTRO SUSCRIPCIÓN REVISTA &quot;&quot;PRINCIPIA KIDS&quot;&quot; PARA BIBLIOTECAS PÚBLICAS//AÑO 2023"/>
    <s v="220"/>
    <s v="CUENCA"/>
    <s v="CUENC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86"/>
    <s v="AD"/>
    <d v="2023-03-15T00:00:00"/>
    <n v="22023002989"/>
    <s v="2023 03 9241 22609"/>
    <n v="605"/>
    <x v="393"/>
    <s v="TEATRO EN CIC EMPECINADO EL DÍA 07/05/2023. MFS"/>
    <s v="220"/>
    <s v="ALDEA DE SAN MIGUEL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80"/>
    <s v="AD"/>
    <d v="2023-03-15T00:00:00"/>
    <n v="22023002983"/>
    <s v="2023 03 9241 22609"/>
    <n v="665.5"/>
    <x v="394"/>
    <s v="NEONYMUS: CONCIERTO DIDÁCTICO EN CC JOSÉ MARÍA LUELMO EL DÍA 15/04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787"/>
    <s v="AD"/>
    <d v="2023-02-17T00:00:00"/>
    <n v="22023002466"/>
    <s v="2023 06 3232 213"/>
    <n v="7260"/>
    <x v="253"/>
    <s v="CTTO SERVICIOS CORRECTIVOS EN PCI TRAS INSPECCIÓN POR OCAS EN CEIPS (LOTE 2) FUERA DE CTTO DE MANTENIMIENTO//2023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1979"/>
    <s v="AD"/>
    <d v="2023-02-03T00:00:00"/>
    <n v="22023001327"/>
    <s v="2023 04 9321 22799"/>
    <n v="5968.81"/>
    <x v="395"/>
    <s v="REPARTO Y BUZONEO DE LA GUÍA DEL CONTRIBUYENTE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2927"/>
    <s v="AD"/>
    <d v="2023-02-10T00:00:00"/>
    <n v="22023001348"/>
    <s v="2023 04 9321 22799"/>
    <n v="1100.32"/>
    <x v="396"/>
    <s v="IMPRESIÓN Y ENCUADERNACIÓN DE 120 EJEMPLARES DE LAS ORDENANZAS FISCALES-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1172"/>
    <s v="ADO"/>
    <d v="2023-02-02T00:00:00"/>
    <n v="22023001490"/>
    <s v="2023 10 2311 213"/>
    <n v="1442.56"/>
    <x v="253"/>
    <s v="F - 440 - MANTENIMIENTO INSTALACION PROTECCION CONTRA INCENDIOS - CEAS - (LOTE 4) -  ANUALIDAD 2022 - JOMAR SEGURIDAD SL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0013"/>
    <s v="AD"/>
    <d v="2023-01-01T00:00:00"/>
    <n v="22023000488"/>
    <s v="2023 08 1341 22799"/>
    <n v="18263.599999999999"/>
    <x v="397"/>
    <s v="SISTEMA AUTOMATIZADO PRESTAMO BICICLETAS VALLABICI"/>
    <s v="220"/>
    <s v="OSSA DE MONTIEL"/>
    <s v="ALBACETE"/>
    <x v="0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799"/>
  </r>
  <r>
    <n v="220230001175"/>
    <s v="ADO"/>
    <d v="2023-02-02T00:00:00"/>
    <n v="22023001517"/>
    <s v="2023 02 9332 213"/>
    <n v="443.57"/>
    <x v="398"/>
    <s v="MANTENIMIENTO DE APARATOS ELEVADORES PZA. SANTA ANA, 6 // PERIODO 01-12-2022/31-12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2051"/>
    <s v="AD"/>
    <d v="2023-02-06T00:00:00"/>
    <n v="22023001614"/>
    <s v="2023 03 9241 22706"/>
    <n v="6897"/>
    <x v="95"/>
    <s v="REDACCIÓN DE PROYECTOS SELECCIONADOS EN EL PROCESO DE PRESUPUESTOS PARTICIPATIVOS 2022// EXP. SPC 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6"/>
  </r>
  <r>
    <n v="220229000792"/>
    <s v="AD"/>
    <d v="2023-01-01T00:00:00"/>
    <n v="22023001870"/>
    <s v="2023 07 1711 22700"/>
    <n v="18102.810000000001"/>
    <x v="395"/>
    <s v="lLIMPIEZA VESTUARIOS DE PARQUES Y JARDINES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4"/>
    <s v="1711"/>
    <s v="1711. Parques y jardines"/>
    <s v="22"/>
    <s v="22700"/>
  </r>
  <r>
    <n v="220230001049"/>
    <s v="AD"/>
    <d v="2023-01-01T00:00:00"/>
    <n v="22023001912"/>
    <s v="2023 0850 1341 609"/>
    <n v="1385.34"/>
    <x v="101"/>
    <s v="Coordinación de PSS contrato obras instalación elevadores urbanos ladera este Parquesol (expediente 50/2021 SEMEU)"/>
    <s v="220"/>
    <s v="VALLADOLID"/>
    <s v="VALLADOLID"/>
    <x v="2"/>
    <s v="PrAbier - Procedimiento Abierto"/>
    <s v="MultiC - MultiCriterio"/>
    <x v="1"/>
    <x v="0"/>
    <n v="6"/>
    <s v="6. Inversiones reales"/>
    <s v="08"/>
    <x v="0"/>
    <n v="1341"/>
    <s v="1341. Movilidad"/>
    <n v="60"/>
    <n v="609"/>
  </r>
  <r>
    <n v="220229000857"/>
    <s v="AD"/>
    <d v="2023-01-01T00:00:00"/>
    <n v="22023001953"/>
    <s v="2023 03 9241 203"/>
    <n v="13431"/>
    <x v="351"/>
    <s v="CONTRATO DE SUMINISTRO EN RÉGIMEN DE ALQUILER DE INSTALACIONES ELÉCTRICAS TEMPORALES (LOTE 2)"/>
    <s v="220"/>
    <s v="VALLADOLID"/>
    <s v="VALLADOLID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30000166"/>
    <s v="AD"/>
    <d v="2023-01-01T00:00:00"/>
    <n v="22023000799"/>
    <s v="2023 10 2311 213"/>
    <n v="1287.8599999999999"/>
    <x v="253"/>
    <s v="Mant. inst. protección contra incendios INTERVENCIÓN SOC. AÑO 22, AÑO 23 y AÑO 24 (LOTE 4).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1"/>
    <s v="213"/>
  </r>
  <r>
    <n v="220230001917"/>
    <s v="ADO"/>
    <d v="2023-02-03T00:00:00"/>
    <n v="22023002082"/>
    <s v="2023 06 3232 213"/>
    <n v="43.62"/>
    <x v="399"/>
    <s v="CTO-PR: 486467 RAE: 15127 PS JUAN CARLOS I 84 CEIP NARCISO ALONSO //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19000879"/>
    <s v="AD"/>
    <d v="2023-01-01T00:00:00"/>
    <n v="22023002133"/>
    <s v="2023 08 1341 619"/>
    <n v="2869.89"/>
    <x v="101"/>
    <s v="SEGURIDAD Y SALUD CONTRATO GISCCT (2022-2023-1 enero a 31 agosto'2024)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341"/>
    <s v="1341. Movilidad"/>
    <s v="61"/>
    <s v="619"/>
  </r>
  <r>
    <n v="220230008911"/>
    <s v="D"/>
    <d v="2023-03-17T00:00:00"/>
    <n v="22023002275"/>
    <s v="2023 08 1532 619"/>
    <n v="13250"/>
    <x v="101"/>
    <s v="Seguridad y Salud obras del contrato de conservación, reparación y reforma de las infraestructuras viarias, lote 1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12"/>
    <s v="D"/>
    <d v="2023-03-17T00:00:00"/>
    <n v="22023002277"/>
    <s v="2023 08 1532 619"/>
    <n v="1000"/>
    <x v="101"/>
    <s v="Seguridad y Salud obras del contrato de conservación, reparación y reforma de las infraestructuras viarias, lote 3"/>
    <s v="300"/>
    <s v="VALLADOLID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9199"/>
    <s v="D"/>
    <d v="2023-03-21T00:00:00"/>
    <n v="22023002460"/>
    <s v="2023 05 4331 212"/>
    <n v="9"/>
    <x v="400"/>
    <s v="SPRAY SEGOPI-TECH BLANCO BRILLO RAL 9010 0,4LT                              ( DESARROLLO EMPRESARIAL )"/>
    <s v="30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1"/>
    <s v="212"/>
  </r>
  <r>
    <n v="220230005403"/>
    <s v="AD"/>
    <d v="2023-02-22T00:00:00"/>
    <n v="22023002579"/>
    <s v="2023 10 2312 22700"/>
    <n v="665.5"/>
    <x v="401"/>
    <s v="LIMPIEZA DE LOS CRISTRALES DEL CENTRO DE VIDA ACTIVA PARQUESOL, UBICADO EN LA C/ ENRIQUE CUBERO, 1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0"/>
  </r>
  <r>
    <n v="220219000875"/>
    <s v="AD"/>
    <d v="2023-01-01T00:00:00"/>
    <n v="22023003337"/>
    <s v="2023 08 1532 619"/>
    <n v="14822.5"/>
    <x v="402"/>
    <s v="Redacción del Proyecto y A.T. a la Dirección de obra de Rehabilitación integral del Puente Colgante en Valladolid.-"/>
    <s v="220"/>
    <s v="ARROYO DE LA ENCOMIENDA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3796"/>
    <s v="AD"/>
    <d v="2023-02-17T00:00:00"/>
    <n v="22023002500"/>
    <s v="2023 11 1321 213"/>
    <n v="7253.95"/>
    <x v="148"/>
    <s v="REVISIÓN, RETIMBRADO Y RELLENADO DE EXTINTORES EN DEPENDENCIAS Y VEHÍCULOS DE LA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487"/>
    <s v="D"/>
    <d v="2023-02-15T00:00:00"/>
    <n v="22023002053"/>
    <s v="2023 07 1711 213"/>
    <n v="34.729999999999997"/>
    <x v="380"/>
    <s v="ACEITE HY-GARD LATA 5.Lts / SIGAUS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0164"/>
    <s v="AD"/>
    <d v="2023-01-01T00:00:00"/>
    <n v="22023000797"/>
    <s v="2023 10 2412 213"/>
    <n v="474.06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3509"/>
    <s v="D"/>
    <d v="2023-02-15T00:00:00"/>
    <n v="22023001956"/>
    <s v="2023 07 1711 214"/>
    <n v="38.72"/>
    <x v="361"/>
    <s v="ENVASE GLOBAL 10W40 SMART ( MORERAS 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513"/>
    <s v="D"/>
    <d v="2023-02-15T00:00:00"/>
    <n v="22023001956"/>
    <s v="2023 07 1711 214"/>
    <n v="172.8"/>
    <x v="366"/>
    <s v="REPARACIÓN VARIOS VEHÍCULOS // ALINEADO DE CAMION / REPARAR RUEDA TURISMO / EQUILIBRAR RUEDA TURISMO / EQUILIBRAR RUED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3647"/>
    <s v="AD"/>
    <d v="2023-02-16T00:00:00"/>
    <n v="22023000210"/>
    <s v="2023 10 2311 22799"/>
    <n v="251553"/>
    <x v="17"/>
    <s v="AMPLIACION LOTE 2 COMIDAS SERVICIO A DOMICILIO/ SESS/97/19 PS 13/ENERO-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30003652"/>
    <s v="AD"/>
    <d v="2023-02-16T00:00:00"/>
    <n v="22023002233"/>
    <s v="2023 07 1711 22113"/>
    <n v="5000"/>
    <x v="403"/>
    <s v="SUMINISTRO DE ANIMALES PARA LA FAUNA URBANA (CEREALES Y PIENSO).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3"/>
  </r>
  <r>
    <n v="220230003632"/>
    <s v="AD"/>
    <d v="2023-02-16T00:00:00"/>
    <n v="22023002357"/>
    <s v="2023 06 2315 22611"/>
    <n v="360"/>
    <x v="404"/>
    <s v="TALLERES BORDAL POSTAL Y MUJERES POR CARTA EN EL CENTRO MUNICIPAL DE LA IGUALDAD"/>
    <s v="220"/>
    <s v="BARCELONA"/>
    <s v="BARCELON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33"/>
    <s v="AD"/>
    <d v="2023-02-16T00:00:00"/>
    <n v="22023002382"/>
    <s v="2023 06 2315 22611"/>
    <n v="907.5"/>
    <x v="405"/>
    <s v="CONFERENCIA HOMENAJE MUJERES EXPLORADORAS EN MUSEO DE LA CIENCIA DE VALLADOLID. DIA MUJER Y LA NIÑA CIENCIA / FEB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625"/>
    <s v="AD"/>
    <d v="2023-02-16T00:00:00"/>
    <n v="22023002458"/>
    <s v="2023 09 3301 22799"/>
    <n v="342.84"/>
    <x v="406"/>
    <s v="CONTRATO PUENTE HASTA EJECUCIÓN  CONTRATO DE DE SERVICIO DE MANTENIMIENTO DEL OBSERVATORIO TURISTICO ENER Y FEBR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3780"/>
    <s v="AD"/>
    <d v="2023-02-16T00:00:00"/>
    <n v="22023001663"/>
    <s v="2023 04 3121 22106"/>
    <n v="18000"/>
    <x v="407"/>
    <s v="SUMINISTRO MATERIAL SANITARIO DESECHABLE, E INSTRUMENTAL QUIRURGICO. DEPARATAMENT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03642"/>
    <s v="AD"/>
    <d v="2023-02-16T00:00:00"/>
    <n v="22023002433"/>
    <s v="2023 03 9241 22609"/>
    <n v="2200"/>
    <x v="274"/>
    <s v="ESPECTÁCULO &quot;&quot;EFECTO MATILDA&quot;&quot; EN CC MOSQUERA Y EN CC ZONA ESTE (DÍAS 6 Y 9 DE MARZO) CELEBRACIÓN DIA INTNAL. DE LA MUJER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8"/>
    <s v="AD"/>
    <d v="2023-02-16T00:00:00"/>
    <n v="22023002427"/>
    <s v="2023 03 9241 22609"/>
    <n v="500"/>
    <x v="408"/>
    <s v="BATUCADA EN CIC EMPECINADO 20/2/23.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9"/>
    <s v="AD"/>
    <d v="2023-02-16T00:00:00"/>
    <n v="22023002428"/>
    <s v="2023 03 9241 22609"/>
    <n v="200"/>
    <x v="409"/>
    <s v="ACTUACIÓN PASACALLES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37"/>
    <s v="AD"/>
    <d v="2023-02-16T00:00:00"/>
    <n v="22023002426"/>
    <s v="2023 03 9241 22609"/>
    <n v="600"/>
    <x v="410"/>
    <s v="ESPECTÁCULO DE CIRCO EN CC CASA CUNA 17/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3651"/>
    <s v="AD"/>
    <d v="2023-02-16T00:00:00"/>
    <n v="22023001662"/>
    <s v="2023 11 1621 219"/>
    <n v="9075"/>
    <x v="411"/>
    <s v="REPARACIONES Y MANTENIMIENTO DE CONTENEDORES DE RECOGIDA SELECTIVA DE PAPEL Y CARTÓN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3648"/>
    <s v="AD"/>
    <d v="2023-02-16T00:00:00"/>
    <n v="22023000212"/>
    <s v="2023 10 2311 22799"/>
    <n v="8666"/>
    <x v="19"/>
    <s v="AMPLIACION PROG. CONSTRUYENDO MI FUTURO EN CONTRATO GESTION PROY.SOCIOEDUC.Y DES.COM-HAST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311"/>
    <s v="2311. Intervención social"/>
    <s v="22"/>
    <s v="22799"/>
  </r>
  <r>
    <n v="220209000816"/>
    <s v="AD"/>
    <d v="2023-01-01T00:00:00"/>
    <n v="22023000514"/>
    <s v="2023 07 1721 213"/>
    <n v="3872"/>
    <x v="412"/>
    <s v="CALIBRACIONES SONÓMETROS MEDIO AMBIENTE. EXPEDIENTE VS 7/2020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026"/>
    <s v="AD"/>
    <d v="2023-01-01T00:00:00"/>
    <n v="22023000505"/>
    <s v="2023 04 9204 216"/>
    <n v="2196.73"/>
    <x v="99"/>
    <s v="MANTENIMIENTO DE LA RED DE VOZ Y DATOS DEL AYUNTAMIENTO DE VALLADOLID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30010333"/>
    <s v="AD"/>
    <d v="2023-03-23T00:00:00"/>
    <n v="22023003080"/>
    <s v="2023 05 4331 22609"/>
    <n v="7260"/>
    <x v="413"/>
    <s v="GESTION Y PRODUCCION ACTUACION OCER Y RADE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38"/>
    <s v="AD"/>
    <d v="2023-03-23T00:00:00"/>
    <n v="22023003079"/>
    <s v="2023 05 4331 22602"/>
    <n v="8409.5"/>
    <x v="413"/>
    <s v="PROMOCION Y DIFUSION ENTE LOS JOVENES DE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8185"/>
    <s v="AD"/>
    <d v="2023-03-13T00:00:00"/>
    <n v="22023002856"/>
    <s v="2023 03 9241 22602"/>
    <n v="1996.5"/>
    <x v="414"/>
    <s v="GRABACIÓN DE VIDEO Y CUÑAS PARA ENTREGAR A LOS MEDIOS ENCARGADOS DE SU DIFUSIÓN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798"/>
    <s v="AD"/>
    <d v="2023-02-17T00:00:00"/>
    <n v="22023002509"/>
    <s v="2023 01 9203 22799"/>
    <n v="3960"/>
    <x v="415"/>
    <s v="RECOGIDA PAPEL EDIFICIOS MUNICIPALES CASA CONSISTORIAL, SAN BENITO Y SANTA ANA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799"/>
  </r>
  <r>
    <n v="220229000768"/>
    <s v="AD"/>
    <d v="2023-01-01T00:00:00"/>
    <n v="22023000758"/>
    <s v="2023 11 1621 212"/>
    <n v="41487.629999999997"/>
    <x v="416"/>
    <s v="REPARACIÓN FACHADA EDIFICIO DEL SERVICIO DE LIMPIEZA EN CALLE TOPACIO"/>
    <s v="220"/>
    <s v="VALDESTILLAS"/>
    <s v="VALLADOLID"/>
    <x v="2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2"/>
  </r>
  <r>
    <n v="220230008984"/>
    <s v="AD"/>
    <d v="2023-03-17T00:00:00"/>
    <n v="22023002963"/>
    <s v="2023 02 9332 212"/>
    <n v="4815.8"/>
    <x v="258"/>
    <s v="SUSTITUCIÓN DE LINOELUN ABOMBADO EXISTENTE SOBRE TARIMA TAPADA EN OFICINA DE SAN BENITO PUERTA Nº9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509"/>
    <s v="AD"/>
    <d v="2023-03-21T00:00:00"/>
    <n v="22023003492"/>
    <s v="2023 11 1321 212"/>
    <n v="889.35"/>
    <x v="258"/>
    <s v="REPARACIÓN E INSTALACIÓN SUELO VINÍLICO EN DEPENDENCIAS DISTRITO 1º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2"/>
  </r>
  <r>
    <n v="220230003749"/>
    <s v="ADO"/>
    <d v="2023-02-16T00:00:00"/>
    <n v="22023002457"/>
    <s v="2023 03 9241 22602"/>
    <n v="491.64"/>
    <x v="417"/>
    <s v="CARTELES EXPOSICIONES CENTROS CÍVICOS MESES DE NOV Y DIC 2022"/>
    <s v="240"/>
    <s v="LA VALCUEVA"/>
    <s v="LEON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903"/>
    <s v="AD"/>
    <d v="2023-02-17T00:00:00"/>
    <n v="22023002240"/>
    <s v="2023 06 3231 22799"/>
    <n v="395508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9"/>
    <s v="2023 06 3231 22799"/>
    <n v="385608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4"/>
    <s v="2023 06 3231 22799"/>
    <n v="290628.57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5"/>
    <s v="2023 06 3231 22799"/>
    <n v="276371.42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7"/>
    <s v="2023 06 3231 22799"/>
    <n v="216490.67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2"/>
    <s v="2023 06 3231 22799"/>
    <n v="152911.41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5"/>
    <s v="2023 06 3231 22799"/>
    <n v="143648.9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2"/>
    <s v="2023 06 3231 22799"/>
    <n v="143336.88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3"/>
    <s v="AD"/>
    <d v="2023-02-17T00:00:00"/>
    <n v="22023002239"/>
    <s v="2023 06 3231 22799"/>
    <n v="142832"/>
    <x v="20"/>
    <s v="EXPTE SE-EIJI 10/22 PS11. PRORROGA CTTO GESTION EIM EL PRINCIPITO. LOTE 3. 2023. ENLAZADO A PROYECTO: 142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1"/>
    <s v="AD"/>
    <d v="2023-02-17T00:00:00"/>
    <n v="22023002248"/>
    <s v="2023 06 3231 22799"/>
    <n v="139232"/>
    <x v="21"/>
    <s v="EXPTE SE-EIJI 10/22 PS11. PRORROGA CTTO GESTION EIM MAFALDA Y GUILLE. LOTE 7. 2023. ENLAZADO A PROYECTO: 139.23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7"/>
    <s v="2023 06 3231 22799"/>
    <n v="135768.57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6"/>
    <s v="2023 06 3231 22799"/>
    <n v="130008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7"/>
    <s v="AD"/>
    <d v="2023-02-17T00:00:00"/>
    <n v="22023002243"/>
    <s v="2023 06 3231 22799"/>
    <n v="114331.43"/>
    <x v="27"/>
    <s v="EXPTE SE-EIJI 10/22 PS 11. PRORROGA CTTO GESTION EIM LA COMETA. LOTE 5. 2023. 114331,43 ¿ ENLAZADO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9"/>
    <s v="AD"/>
    <d v="2023-02-17T00:00:00"/>
    <n v="22023002234"/>
    <s v="2023 06 3231 22799"/>
    <n v="108628.58"/>
    <x v="20"/>
    <s v="EXPTE SE-EIJI 10/22 PS 11. PRORROGA CTTO GESTION EIM CAMPANILLA LOTE 1. AÑO 23. (108.628,58 ENLAZADO A PROYECTO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1"/>
    <s v="AD"/>
    <d v="2023-02-17T00:00:00"/>
    <n v="22023002236"/>
    <s v="2023 06 3231 22799"/>
    <n v="78229.33"/>
    <x v="33"/>
    <s v="EXPTE SE-EIJI 10/22 PS11. PRORROGA CTTO GESTION EIM CASCANUECES. LOTE 2. AÑO 2023 (ENLAZADO A PROYECTO: 78.229,33)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3"/>
    <s v="AD"/>
    <d v="2023-02-17T00:00:00"/>
    <n v="22023002251"/>
    <s v="2023 06 3231 22799"/>
    <n v="73387.679999999993"/>
    <x v="43"/>
    <s v="EXPTE SE-EIJI 10/22 PS11. PRORROGA CTTO GESTION EIM PLATERO. LOTE 8. 2023. ENLAZADO A PROYECTO: 73.387,68 ¿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9"/>
    <s v="AD"/>
    <d v="2023-02-17T00:00:00"/>
    <n v="22023002245"/>
    <s v="2023 06 3231 22799"/>
    <n v="61832"/>
    <x v="51"/>
    <s v="EXPTE SE-EIJI 10/22 PS11. PRORROGA CTTO GESTION EIM EL TOBOGAN.  LOTE 6. 2023. ENLAZADO A PROYECTO: 61.832,0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5"/>
    <s v="AD"/>
    <d v="2023-02-17T00:00:00"/>
    <n v="22023002254"/>
    <s v="2023 06 3231 22799"/>
    <n v="41792.29"/>
    <x v="53"/>
    <s v="EXPTE SE-EIJI 10/22 PS11. PRORROGA CTTO GESTION EIM EL GLOBO. LOTE 9. 2023. ENLAZADO A PROYECTO: 41.792,29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5"/>
    <s v="AD"/>
    <d v="2023-02-17T00:00:00"/>
    <n v="22023002241"/>
    <s v="2023 06 3231 22799"/>
    <n v="41703.120000000003"/>
    <x v="21"/>
    <s v="EXPTE SE-EIJI 10/22 PS11. PRORROGA CTTO GESTION EIM FANTASIA. LOTE 4. AÑO 2023. ENLAZADO A PROYECTO 41.703,1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7"/>
    <s v="AD"/>
    <d v="2023-02-17T00:00:00"/>
    <n v="22023002256"/>
    <s v="2023 06 3231 22799"/>
    <n v="39540.720000000001"/>
    <x v="53"/>
    <s v="EXPTE SE-EIJI 10/22 PS11. PRORROGA CTTO GESTION EIM CABALLITO BLANCO. LOTE 10. 2023. ENLAZADO A PROYECTO: 39.540,72 ¿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4003"/>
    <s v="D"/>
    <d v="2023-02-17T00:00:00"/>
    <n v="22023001514"/>
    <s v="2023 11 1361 22199"/>
    <n v="7.5"/>
    <x v="418"/>
    <s v="DISCO CAUCHO QUITA ADHESIVOS STAND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33"/>
    <s v="ADO"/>
    <d v="2023-02-17T00:00:00"/>
    <n v="22023002280"/>
    <s v="2023 10 2312 213"/>
    <n v="238.37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33"/>
    <s v="ADO"/>
    <d v="2023-02-17T00:00:00"/>
    <n v="22023002281"/>
    <s v="2023 10 2312 213"/>
    <n v="476.74"/>
    <x v="419"/>
    <s v="CAMBIO DE BATERIA INTERNA - SCHILLER FRED PA-1, DE LOS DESFIBRILADORES DEL CPM PTE. COLGANTE- CPM H. DEL REY E INEA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3912"/>
    <s v="AD/"/>
    <d v="2023-02-17T00:00:00"/>
    <n v="22023000916"/>
    <s v="2023 06 3231 22799"/>
    <n v="-226299.09"/>
    <x v="43"/>
    <s v="EXPTE SE-EIJI 10/2022 PS 11. PROR CTTO GESTION EIM PLATERO. L 8. AÑO 2023 Y 01/01 A 31/08/2024. REAJUSTE A PROYECTO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898"/>
    <s v="AD/"/>
    <d v="2023-02-17T00:00:00"/>
    <n v="22023000910"/>
    <s v="2023 06 3231 22799"/>
    <n v="-385000"/>
    <x v="20"/>
    <s v="EXPTE SE-EIJI 10/2022 PS 11. PROR CTTO  GESTION EIM CAMPANILLA. L 1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02"/>
    <s v="AD/"/>
    <d v="2023-02-17T00:00:00"/>
    <n v="22023000912"/>
    <s v="2023 06 3231 22799"/>
    <n v="-538340"/>
    <x v="20"/>
    <s v="EXPTE SE-EIJI 10/2022 PS 11. PROR CTTO GESTION EIM EL PRINCIPITO. L 3. AÑO 2023 Y 01/01 A 31/08/2024. REAJUSTE A PROYECT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797"/>
    <s v="AD"/>
    <d v="2023-02-17T00:00:00"/>
    <n v="22023002503"/>
    <s v="2023 06 3261 22799"/>
    <n v="330"/>
    <x v="420"/>
    <s v="CTTO SERVICIOS PARA PRESENTACIÓN Y ANIMACIÓN DE LA ACTIVIDAD &quot;&quot;CARNAVAL DE LOS COLEGIOS&quot;&quot; EL 17-02-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3932"/>
    <s v="ADO"/>
    <d v="2023-02-17T00:00:00"/>
    <n v="22023002151"/>
    <s v="2023 10 2311 212"/>
    <n v="2937.82"/>
    <x v="276"/>
    <s v="F - 146 - FABRICACIÓN,SUMINISTRO E INSTALACIÓN DE PUERTAS Y AUTOMS. EN CEAS MONSEÑOR O.ROMERO Y CEAS PL NIEVES -BENADOOR"/>
    <s v="24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3794"/>
    <s v="AD"/>
    <d v="2023-02-17T00:00:00"/>
    <n v="22023002477"/>
    <s v="2023 06 3321 22001"/>
    <n v="4010.47"/>
    <x v="421"/>
    <s v="CTTO SUMINISTRO SUSCRIPCIÓN VARIAS REVISTAS DE BAYARD REVISTAS S.A.U PARA BIBLIOTECAS PÚBLICAS// 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3791"/>
    <s v="AD"/>
    <d v="2023-02-17T00:00:00"/>
    <n v="22023002473"/>
    <s v="2023 03 9241 22699"/>
    <n v="705.43"/>
    <x v="422"/>
    <s v="TROFEOS CONCURSO DISFRACES CARNAVAL (PIEZAS CERÁMICA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3801"/>
    <s v="AD"/>
    <d v="2023-02-17T00:00:00"/>
    <n v="22023002543"/>
    <s v="2023 10 2313 22699"/>
    <n v="5426.42"/>
    <x v="350"/>
    <s v="DISEÑO E IMPRESIÓN DE MEMORIA // CONCEJALÍA SERVICIOS SOCIALES Y MEDIACIÓN COMUNITARIA // MANDATO 2019-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799"/>
    <s v="AD"/>
    <d v="2023-02-17T00:00:00"/>
    <n v="22023002514"/>
    <s v="2023 11 1321 213"/>
    <n v="6806.25"/>
    <x v="283"/>
    <s v="MANTENIMIENTO DE LA INFRAESTRUCTURA TETRA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3997"/>
    <s v="D"/>
    <d v="2023-02-17T00:00:00"/>
    <n v="22023001514"/>
    <s v="2023 11 1361 22199"/>
    <n v="264.70999999999998"/>
    <x v="358"/>
    <s v="MT CABLE H07RN-F FLEX  3G2,5 450/750V / PROLONGA GEWISS GW62004 IP44 2P+T 16A 230V 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391"/>
    <s v="AD"/>
    <d v="2023-02-22T00:00:00"/>
    <n v="22023002567"/>
    <s v="2023 02 9332 213"/>
    <n v="1760.4"/>
    <x v="148"/>
    <s v="Adecuaciones en las instalaciones de protección contra incendios en Casa Consistorial, San Benito y Archivo Municip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10626"/>
    <s v="ADO"/>
    <d v="2023-03-24T00:00:00"/>
    <n v="22023003049"/>
    <s v="2023 06 3232 213"/>
    <n v="592.98"/>
    <x v="148"/>
    <s v="SUSTITUYE F/2023/347 // MNTO INST P.C.I. // COLEGIOS / EXPTE: SE EIJI 27/21 - LOTE 1 /  MES DE DICIEMBRE-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4008"/>
    <s v="D"/>
    <d v="2023-02-17T00:00:00"/>
    <n v="22023001514"/>
    <s v="2023 11 1361 22199"/>
    <n v="197.3"/>
    <x v="358"/>
    <s v="PROYECTOR LEDVANCE LED 165W 4000K NG IP65/TASA ECORAEE  (R.DECRETO 208/2005) / MT CABLE H07Z1/SERV. 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031"/>
    <s v="D"/>
    <d v="2023-02-17T00:00:00"/>
    <n v="22023001578"/>
    <s v="2023 11 3111 22199"/>
    <n v="193.85"/>
    <x v="358"/>
    <s v="CONMUTADOR LEGRAND 69711 MONOBL.10A / DETECTOR LEGRAND 48941  EMP. 360º  IP41 / DOWN DISANO ECOLEX3 1729 20W 4K CELL-D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1"/>
    <s v="D"/>
    <d v="2023-02-17T00:00:00"/>
    <n v="22023001578"/>
    <s v="2023 11 3111 22199"/>
    <n v="160.97"/>
    <x v="358"/>
    <s v="CAJA EST OBO T350OE 280X200 IP66 CIEGA / Mt CANAL UNEX 73071-2  40x 60  PVC-BA / CAJA EST LEGRAND 92012 // CENTRO CANIN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3924"/>
    <s v="AD/"/>
    <d v="2023-02-17T00:00:00"/>
    <n v="22023001310"/>
    <s v="2023 06 3231 22799"/>
    <n v="-9616.17"/>
    <x v="150"/>
    <s v="PROGRAMA DE HUERTOS ESCOLARES ESCUELAS INFANTILES MUNICIPALES CURSO 2022-2023 (ENERO A AGOSTO 2023) REAJUSTE A PROYECTO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0"/>
    <s v="2023 06 3231 22799"/>
    <n v="3546.74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30003925"/>
    <s v="AD"/>
    <d v="2023-02-17T00:00:00"/>
    <n v="22023002331"/>
    <s v="2023 06 3231 22799"/>
    <n v="6069.43"/>
    <x v="150"/>
    <s v="PROGRAMA HUERTOS ESCOLARES EIM CURSO 22-23 (ENERO A AGOSTO 23) ENLAZADO A PROYECTO: 3.546,74"/>
    <s v="220"/>
    <s v="ARENILLAS DE SAN PELAYO"/>
    <s v="PALENCIA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799"/>
  </r>
  <r>
    <n v="220229000673"/>
    <s v="AD"/>
    <d v="2023-01-01T00:00:00"/>
    <n v="22023001276"/>
    <s v="2023 06 2315 22611"/>
    <n v="720"/>
    <x v="423"/>
    <s v="TALLER DE SEXUALIDAD EN LA MADUREZ Y VEJEZ(prende la llama): Enero 2023.EN EL CENTRO DE IGUALDAD (CMI)"/>
    <s v="220"/>
    <s v="ZARATA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236"/>
    <s v="AD"/>
    <d v="2023-02-14T00:00:00"/>
    <n v="22023002319"/>
    <s v="2023 07 1711 214"/>
    <n v="300"/>
    <x v="424"/>
    <s v="Lavado de vehículos. Ejercicio 2023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1"/>
    <s v="214"/>
  </r>
  <r>
    <n v="220230011714"/>
    <s v="AD"/>
    <d v="2023-03-29T00:00:00"/>
    <n v="22023003582"/>
    <s v="2023 06 3321 22799"/>
    <n v="110"/>
    <x v="425"/>
    <s v="CTTO SERVICIOS DISEÑO MARCAPÁGINAS NUEVA BIBLIOTECA PARQUESOL Y ACTUALIZACIÓN CONTACTOS CARTELERÍA//1SEMANA//2023"/>
    <s v="220"/>
    <s v="SIMANCAS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8919"/>
    <s v="AD"/>
    <d v="2023-03-17T00:00:00"/>
    <n v="22023003054"/>
    <s v="2023 06 2314 22613"/>
    <n v="435.6"/>
    <x v="426"/>
    <s v="MIGRACIÓN WEB MUNICIPAL DEMOEXPRESS.ES / DURANTE 2023"/>
    <s v="220"/>
    <s v="MIJAS"/>
    <s v="MALAGA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20030371"/>
    <s v="AD"/>
    <d v="2023-03-29T00:00:00"/>
    <n v="22022002950"/>
    <s v="2023 07 1711 619"/>
    <n v="32.020000000000003"/>
    <x v="194"/>
    <s v="CONTROL DE CALIDAD-ASISTENCIA TÉCNICA, ACTUACIONES EXPTE. V6/2020-LOTE 1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919"/>
    <s v="AD"/>
    <d v="2023-02-17T00:00:00"/>
    <n v="22023002320"/>
    <s v="2023 06 3231 22100"/>
    <n v="22314.29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19"/>
    <s v="AD"/>
    <d v="2023-02-17T00:00:00"/>
    <n v="22023002321"/>
    <s v="2023 06 3231 22100"/>
    <n v="32685.71"/>
    <x v="23"/>
    <s v="PR-SE 13/21. CTTO SUMINISTRO DE ENERGÍA ELÉCTRICA EIM. ENLAZADO A PROYECTO: 22.314,29 ¿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1"/>
    <s v="AD"/>
    <d v="2023-02-17T00:00:00"/>
    <n v="22023002322"/>
    <s v="2023 06 3231 22102"/>
    <n v="21778.74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21"/>
    <s v="AD"/>
    <d v="2023-02-17T00:00:00"/>
    <n v="22023002323"/>
    <s v="2023 06 3231 22102"/>
    <n v="31901.26"/>
    <x v="72"/>
    <s v="PR-SE 16/22 (PS 6 EXPTE SE 10/2019) PRORR SUMINISTRO GAS EN EIM 1/1/23 A 31/9/23 ENLAZADO A PROYECTO: 21.778,74 ¿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20023165"/>
    <s v="AD"/>
    <d v="2023-03-29T00:00:00"/>
    <n v="22022002956"/>
    <s v="2023 07 1711 619"/>
    <n v="11.9"/>
    <x v="194"/>
    <s v="CONTROL DE CALIDAD-ASISTENCIA TÉCNICA, ACTUACIONES EXPTE. V6/2020-LOTE 2."/>
    <s v="220"/>
    <s v="ZARATAN"/>
    <s v="VALLADOLID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646"/>
    <s v="AD"/>
    <d v="2023-02-16T00:00:00"/>
    <n v="22023000129"/>
    <s v="2023 10 2312 216"/>
    <n v="1332.95"/>
    <x v="377"/>
    <s v="Mant. y Rep. eq. informaticos  del  cpm la  Victoria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645"/>
    <s v="AD"/>
    <d v="2023-02-16T00:00:00"/>
    <n v="22023000128"/>
    <s v="2023 10 2312 216"/>
    <n v="5331.95"/>
    <x v="377"/>
    <s v="Mant. y Rep. eq. informaticos cpms no trans, Arca R., Z.Este, H.Rey y F.Luis León(Centro) de 1/3/23 a 31/12/23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6"/>
  </r>
  <r>
    <n v="220230003784"/>
    <s v="AD"/>
    <d v="2023-02-17T00:00:00"/>
    <n v="22023002407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3784"/>
    <s v="AD"/>
    <d v="2023-02-17T00:00:00"/>
    <n v="22023002408"/>
    <s v="2023 10 2312 22199"/>
    <n v="2032.8"/>
    <x v="170"/>
    <s v="SUMINISTRO DE BOLSAS LARGAS PARA LAS MÁQUINAS DE EMBOLSAR PARAGUAS PARA LOS CPM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4039"/>
    <s v="D"/>
    <d v="2023-02-17T00:00:00"/>
    <n v="22023001578"/>
    <s v="2023 11 3111 22199"/>
    <n v="199.42"/>
    <x v="170"/>
    <s v="MANGO METALICO 140CM / GUANTE HYFLEX 11-800 T-8 / GUANTE HYFLEX 11-800 T-9 / GUANTE PIEL T/FLOR BLANCO T-9 / GUANTE NITR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13"/>
    <s v="D"/>
    <d v="2023-02-17T00:00:00"/>
    <n v="22023001513"/>
    <s v="2023 11 1361 214"/>
    <n v="51.2"/>
    <x v="427"/>
    <s v="OR: 10665 - MATRICULA: 6263LCL / BARRA DE ANTENA ( 2394923 )/SERVICIO DE EXTINCION DE INCENDIOS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33"/>
    <s v="D"/>
    <d v="2023-02-17T00:00:00"/>
    <n v="22023001578"/>
    <s v="2023 11 3111 22199"/>
    <n v="5.12"/>
    <x v="181"/>
    <s v="ALBARAN: AV23/00399 F: 26/01/2023 / TACO FISCHER SX 6. / CASA DEL BARCO / ID: 34879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43"/>
    <s v="D"/>
    <d v="2023-02-17T00:00:00"/>
    <n v="22023001578"/>
    <s v="2023 11 3111 22199"/>
    <n v="4.0199999999999996"/>
    <x v="181"/>
    <s v="ALBARAN: AV23/00358 F: 24/01/2023 / SUJETACABLE 3/8&quot;&quot;-10MM ZN. / PERRERA MUNICIPAL /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05"/>
    <s v="D"/>
    <d v="2023-02-17T00:00:00"/>
    <n v="22023001514"/>
    <s v="2023 11 1361 22199"/>
    <n v="121.97"/>
    <x v="177"/>
    <s v="PILA LITIO PROCELL-DURACELL CR123A 3V  CR17345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3904"/>
    <s v="AD/"/>
    <d v="2023-02-17T00:00:00"/>
    <n v="22023000913"/>
    <s v="2023 06 3231 22799"/>
    <n v="-185040"/>
    <x v="21"/>
    <s v="EXPTE SE-EIJI 10/2022 PS 11. PROR CTTO GESTION EIM FANTASIA. L 4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03910"/>
    <s v="AD/"/>
    <d v="2023-02-17T00:00:00"/>
    <n v="22023000915"/>
    <s v="2023 06 3231 22799"/>
    <n v="-524840"/>
    <x v="21"/>
    <s v="EXPTE SE-EIJI 10/2022 PS 11. PROR CTTO GESTION EIM MAFALDA Y GUILLE. L 7. AÑO 2023 Y 01/01 A 31/08/2024. REAJUSTE A PROY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29000639"/>
    <s v="AD"/>
    <d v="2023-01-01T00:00:00"/>
    <n v="22023000471"/>
    <s v="2023 01 9312 22706"/>
    <n v="20479.25"/>
    <x v="428"/>
    <s v="ADJUDICACION CONTRATO PROGRAMA INFORMATICO DE DIGITALIZACION DE LA FRB DEL AYUNTAMIENTO Y ORGANISMOS AUTONOMOS (2023)"/>
    <s v="220"/>
    <s v="SANTIAGO DE COMPOSTELA"/>
    <s v="A CORUÑ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3990"/>
    <s v="D"/>
    <d v="2023-02-17T00:00:00"/>
    <n v="22023001130"/>
    <s v="2023 07 1721 22199"/>
    <n v="108.89"/>
    <x v="381"/>
    <s v="ID 0035102 / CIERRA.TELESCO 33AT50PL PLATA C/RETENC.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99"/>
  </r>
  <r>
    <n v="220229000825"/>
    <s v="AD"/>
    <d v="2023-01-01T00:00:00"/>
    <n v="22023001891"/>
    <s v="2023 03 9241 22609"/>
    <n v="14000"/>
    <x v="429"/>
    <s v="PROYECTO DE TEATRO COMUNITARIO EN CC JL MOSQUERA, JM LUELMO Y BAILARIN VICENTE ESCUDERO (ENE-JUN 2023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967"/>
    <s v="AD"/>
    <d v="2023-02-03T00:00:00"/>
    <n v="22023001458"/>
    <s v="2023 11 1321 22199"/>
    <n v="38"/>
    <x v="430"/>
    <s v="ADQUISICIÓN DE DOS BALONES DE BALONMANO PARA LA ACADEMIA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29000676"/>
    <s v="AD"/>
    <d v="2023-01-01T00:00:00"/>
    <n v="22023001279"/>
    <s v="2023 06 2315 22611"/>
    <n v="166.98"/>
    <x v="431"/>
    <s v="TALLER ADORNOS DE MADE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61"/>
    <s v="D"/>
    <d v="2023-02-17T00:00:00"/>
    <n v="22023001956"/>
    <s v="2023 07 1711 214"/>
    <n v="117.08"/>
    <x v="362"/>
    <s v="8842FJC. SUSTITUCION HEBILLA CINTURON TRASERO DERECHO  Y PLACA MATRICULA DELANTERA / 0 8200684050A - HEBILLA CINTURON /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4035"/>
    <s v="D"/>
    <d v="2023-02-17T00:00:00"/>
    <n v="22023001578"/>
    <s v="2023 11 3111 22199"/>
    <n v="28.76"/>
    <x v="217"/>
    <s v="CENTRO CANINO // PUNTA ZOLA 901 C PHILLIPS 1/4 3 - / TOR.ROSC.CHAPA 5.5 X50 250UD / BROCA CASTILLO HSS DIN 338  4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5916"/>
    <s v="AD"/>
    <d v="2023-02-23T00:00:00"/>
    <n v="22023002619"/>
    <s v="2023 06 2315 22614"/>
    <n v="167"/>
    <x v="431"/>
    <s v="TALLER CUPULAS GEODESICAS EN EL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4"/>
  </r>
  <r>
    <n v="220230008577"/>
    <s v="AD"/>
    <d v="2023-03-15T00:00:00"/>
    <n v="22023002980"/>
    <s v="2023 03 9241 22609"/>
    <n v="500"/>
    <x v="432"/>
    <s v="LAS CHAMANAS: REPRESENTACIÓN DE LA OBRA &quot;&quot;CUENTOS EN MALETAS&quot;&quot; EN CM PUENTE DUERO EL DÍA 19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420"/>
    <s v="AD"/>
    <d v="2023-02-22T00:00:00"/>
    <n v="22023002644"/>
    <s v="2023 03 9241 22699"/>
    <n v="412.5"/>
    <x v="433"/>
    <s v="TROFEOS EN GRES CARNAVA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4199"/>
    <s v="AD"/>
    <d v="2023-02-20T00:00:00"/>
    <n v="22023002602"/>
    <s v="2023 06 2315 22611"/>
    <n v="870"/>
    <x v="434"/>
    <s v="TALLER AMORES, RUPTURAS Y DUELOS EN EL CENTRO MUNICIPAL DE LA IGUALDAD"/>
    <s v="220"/>
    <s v="HUARTE"/>
    <s v="NAVAR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11"/>
    <s v="AD"/>
    <d v="2023-02-03T00:00:00"/>
    <n v="22023001501"/>
    <s v="2023 03 9241 22799"/>
    <n v="834.9"/>
    <x v="435"/>
    <s v="REVISIÓN ANUAL DE SEGURIDAD DE PLATAFORMAS ELEVADORAS DE CC: J.M. LUELMO, BAILARÍN VICENTE ESCUDERO Y PARQUESOL"/>
    <s v="220"/>
    <s v="MONTMELO"/>
    <s v="BARCELON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799"/>
  </r>
  <r>
    <n v="220230006129"/>
    <s v="ADO"/>
    <d v="2023-02-23T00:00:00"/>
    <n v="22023002705"/>
    <s v="2023 06 3231 213"/>
    <n v="41.41"/>
    <x v="399"/>
    <s v="Contrato/PR: 440195 RAE: 6352 CL HERMANITAS DE LA CRUZ 2A EIM LA COMETA  Contrato/PR: ORONA SB Periodo: 12/2022 - 12/20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254"/>
    <s v="AD"/>
    <d v="2023-02-14T00:00:00"/>
    <n v="22023002203"/>
    <s v="2023 07 1721 22199"/>
    <n v="2009.04"/>
    <x v="436"/>
    <s v="MATERIAL FUNGIBLE LABORATORIO DE CONTAMINACION"/>
    <s v="220"/>
    <s v="LOGROÑO"/>
    <s v="LOGROÑO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29000827"/>
    <s v="AD"/>
    <d v="2023-01-01T00:00:00"/>
    <n v="22023001892"/>
    <s v="2023 11 1321 22799"/>
    <n v="12947"/>
    <x v="437"/>
    <s v="CONTRATACIÓN DEL SERVICIO DE VIDEOVIGILANCIA EN TÚNELES VÍA PÚBLIC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799"/>
  </r>
  <r>
    <n v="220230003918"/>
    <s v="AD/"/>
    <d v="2023-02-17T00:00:00"/>
    <n v="22023000587"/>
    <s v="2023 06 3231 22100"/>
    <n v="-55000"/>
    <x v="23"/>
    <s v="PR-SE 13/2021. NUEVO CTTO SUMINISTRO DE ENERGÍA ELÉCTRICA. ESCUELAS INFANTILES. REAJUSTE A PROYECTO."/>
    <s v="220"/>
    <s v="BILBAO"/>
    <s v="VIZCAY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0"/>
  </r>
  <r>
    <n v="220230003920"/>
    <s v="AD/"/>
    <d v="2023-02-17T00:00:00"/>
    <n v="22023000950"/>
    <s v="2023 06 3231 22102"/>
    <n v="-53680"/>
    <x v="72"/>
    <s v="PR-SE 16/2022 (PS 6 EXPTE SE 10/2019). PROR SUMINISTRO GAS EN EIM. 01/01/2023 A 31/09/2023. REAJUSTE A PROYECTOS."/>
    <s v="220"/>
    <s v="BARCELONA"/>
    <s v="BARCELONA"/>
    <x v="3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2"/>
    <s v="22102"/>
  </r>
  <r>
    <n v="220230003995"/>
    <s v="D"/>
    <d v="2023-02-17T00:00:00"/>
    <n v="22023001514"/>
    <s v="2023 11 1361 22199"/>
    <n v="104.58"/>
    <x v="438"/>
    <s v="ALB: 22-238192 PED: 22-062530-1003 S/PED:  / MACHON RED. LATON 3&quot;&quot;-21/2 / MANGUITO LATON HEMBRA 3&quot;&quot;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0032"/>
    <s v="AD"/>
    <d v="2023-01-01T00:00:00"/>
    <n v="22023000519"/>
    <s v="2023 11 3111 22706"/>
    <n v="4270.8900000000003"/>
    <x v="439"/>
    <s v="CONTROL DE POBLACIONES DE PALOMA BRAVIA, PALOMA TORCAZ Y ESTORNINOS EN EL TERMINO MUNICIPAL DE VALLADOLID -LOTE 2-"/>
    <s v="22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706"/>
  </r>
  <r>
    <n v="220230004028"/>
    <s v="D"/>
    <d v="2023-02-17T00:00:00"/>
    <n v="22023001578"/>
    <s v="2023 11 3111 22199"/>
    <n v="165.17"/>
    <x v="209"/>
    <s v="AFUMEX CLASS 1000V RZ1-K AS 5G6MM2 (ROLLO4241344)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4037"/>
    <s v="D"/>
    <d v="2023-02-17T00:00:00"/>
    <n v="22023001578"/>
    <s v="2023 11 3111 22199"/>
    <n v="161.38999999999999"/>
    <x v="209"/>
    <s v="TAPA DOBLE RJ45 KEYSTONE POLAR / PUESTO DE TRABAJO 3 COLUMNAS SUP. POLAR / 78 MOLDURA SIN TABIQUE BLANCO RAL9010 20X30 U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1977"/>
    <s v="AD"/>
    <d v="2023-02-03T00:00:00"/>
    <n v="22023001539"/>
    <s v="2023 11 3111 22706"/>
    <n v="7260"/>
    <x v="439"/>
    <s v="CONTROL POBLACIONAL INTENSIVO DE ADULTOS DE PALOMAS TORCACES"/>
    <s v="220"/>
    <s v="ASTORGA"/>
    <s v="LEON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06"/>
  </r>
  <r>
    <n v="220230008922"/>
    <s v="AD"/>
    <d v="2023-03-17T00:00:00"/>
    <n v="22023003071"/>
    <s v="2023 11 1361 213"/>
    <n v="411.4"/>
    <x v="440"/>
    <s v="Reparación de motor de una electrobomba sumergible IDEAL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191"/>
    <s v="AD"/>
    <d v="2023-03-13T00:00:00"/>
    <n v="22023003055"/>
    <s v="2023 11 1361 22199"/>
    <n v="600"/>
    <x v="441"/>
    <s v="Acopio anual para suministro de aditivo Ad_Blue para vehículos diésel; SEISYPC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4011"/>
    <s v="D"/>
    <d v="2023-02-17T00:00:00"/>
    <n v="22023001513"/>
    <s v="2023 11 1361 214"/>
    <n v="380.82"/>
    <x v="442"/>
    <s v="7587GMS/ H.M.O., MONTAR TOMAS DE EXTRAPOLACION DE FRENADA /PLACA TOMA ITV /RACOR CODO 16 / KIT FRENOS ITV 1 EJE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5"/>
    <s v="D"/>
    <d v="2023-02-17T00:00:00"/>
    <n v="22023001513"/>
    <s v="2023 11 1361 214"/>
    <n v="269.70999999999998"/>
    <x v="442"/>
    <s v="6484BRD/ H.M.O., CAMBIO DE ACEITE Y FILTROS/H.M.O.,  REV. NIVELES, LUCES, ESTADO DE CORREAS, FRENOS Y NEUMATICOS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017"/>
    <s v="D"/>
    <d v="2023-02-17T00:00:00"/>
    <n v="22023001513"/>
    <s v="2023 11 1361 214"/>
    <n v="146.47"/>
    <x v="442"/>
    <s v="4918JLF/ H.M.O.REVISAR-CORREGIR PERDIDA  AIRE POR TUBERIA /H.M.O.REVISAR  AVERIAS-RESETEAR PARA PASAR ITV/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8581"/>
    <s v="AD"/>
    <d v="2023-03-15T00:00:00"/>
    <n v="22023002984"/>
    <s v="2023 03 9241 22609"/>
    <n v="605"/>
    <x v="443"/>
    <s v="MAGIA DIVERTIDA DE LUIS JOYRA EN CC DELICIAS EL DÍA 16/04/2023. MFS"/>
    <s v="220"/>
    <s v="ARANDA DE DUERO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78"/>
    <s v="AD"/>
    <d v="2023-02-20T00:00:00"/>
    <n v="22023001654"/>
    <s v="2023 11 1621 219"/>
    <n v="9075"/>
    <x v="444"/>
    <s v="REPARACIONES Y MANTENIMIENTO DE CONTENEDORES DE RECOGIDA SELECTIVA DE PAPEL Y CARTÓN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4001"/>
    <s v="D"/>
    <d v="2023-02-17T00:00:00"/>
    <n v="22023001514"/>
    <s v="2023 11 1361 22199"/>
    <n v="1311.26"/>
    <x v="445"/>
    <s v="RACORD DIN-11851 NW-50 MACHO PM-50MM INOX / RACORD DIN-11851 NW-50 HEMBRA PM-50MM INOX / ABRAZADERA KB-50 63-67MM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5912"/>
    <s v="AD"/>
    <d v="2023-02-23T00:00:00"/>
    <n v="22023002590"/>
    <s v="2023 06 2315 22611"/>
    <n v="600"/>
    <x v="446"/>
    <s v="TALLER RUTA FORMATIVA POR LA CIUDAD DE VALLADOLI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3999"/>
    <s v="D"/>
    <d v="2023-02-17T00:00:00"/>
    <n v="22023001514"/>
    <s v="2023 11 1361 22199"/>
    <n v="510.32"/>
    <x v="447"/>
    <s v="BARRA ANCLAJE 062217 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1780"/>
    <s v="AD"/>
    <d v="2023-02-03T00:00:00"/>
    <n v="22023000035"/>
    <s v="2023 07 1721 22706"/>
    <n v="3448.5"/>
    <x v="448"/>
    <s v="DESARROLLO PROTOCOLO DE COMUNICACIÓN DE LOS NANOSENSORES DE LA ZONA DE BAJAS EMISIONE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30003959"/>
    <s v="D"/>
    <d v="2023-02-17T00:00:00"/>
    <n v="22023002053"/>
    <s v="2023 07 1711 213"/>
    <n v="211.08"/>
    <x v="382"/>
    <s v="ALBARÁN OT/ 135925 DE 26 Y 27/01/2023 //REPARACIÓN EN TALLER DE MOTOAZADA HONDA F205 REF.: MORERAS Nº 1 VALE Nº: 143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1"/>
    <s v="AD"/>
    <d v="2023-02-20T00:00:00"/>
    <n v="22023002227"/>
    <s v="2023 06 3231 22700"/>
    <n v="157521.04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81"/>
    <s v="AD"/>
    <d v="2023-02-20T00:00:00"/>
    <n v="22023002226"/>
    <s v="2023 06 3231 22700"/>
    <n v="55577.72"/>
    <x v="44"/>
    <s v="PR-SE 43/22 (PR-SE31/20PS5) 1º PRORROGA CTTO LIMPIEZA EIM (LOTE 7) 2023 (55.577,72 ENLAZADO A PROYECTO)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4192"/>
    <s v="AD"/>
    <d v="2023-02-20T00:00:00"/>
    <n v="22023002548"/>
    <s v="2023 03 9241 22609"/>
    <n v="200"/>
    <x v="449"/>
    <s v="ACTUACIÓN EN CC PILARICA CELEBRACIÓN DÍA DE LA NIÑA Y LA MUJER EN LA CIENCIA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1"/>
    <s v="AD"/>
    <d v="2023-02-20T00:00:00"/>
    <n v="22023002547"/>
    <s v="2023 03 9241 22609"/>
    <n v="450"/>
    <x v="450"/>
    <s v="ACTUACIÓN EN CC CANAL DE CASTILLA, DÍA 07/03/2023 CELEBRACIÓN DÍA INTERNACIONAL DE LA MUJER"/>
    <s v="220"/>
    <s v="HONTANARES DE ERESMA"/>
    <s v="SEGOVI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4193"/>
    <s v="AD"/>
    <d v="2023-02-20T00:00:00"/>
    <n v="22023002549"/>
    <s v="2023 06 2315 22611"/>
    <n v="363"/>
    <x v="451"/>
    <s v="TALLER CENTRO MUNICIPAL DE LA IGUALDAD &quot;&quot;NO DES PUNTADA SIN HILO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3"/>
    <s v="AD"/>
    <d v="2023-02-06T00:00:00"/>
    <n v="22023001844"/>
    <s v="2023 03 9241 22699"/>
    <n v="125.45"/>
    <x v="452"/>
    <s v="SUM. DE PIZARRA VELEDA TRANASPARENTE PARA CC ESGUEV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2587"/>
    <s v="AD"/>
    <d v="2023-02-08T00:00:00"/>
    <n v="22023002021"/>
    <s v="2023 07 1711 22199"/>
    <n v="1500"/>
    <x v="452"/>
    <s v="SUMINISTRO DE PLÁSTICOS Y MALLAS ESPECIALES PARA JARDINERÍA. EJERCICI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99"/>
  </r>
  <r>
    <n v="220230003641"/>
    <s v="AD"/>
    <d v="2023-02-16T00:00:00"/>
    <n v="22023002430"/>
    <s v="2023 03 9241 22609"/>
    <n v="1452"/>
    <x v="453"/>
    <s v="DISCO MÓVIL EN CC DELICIAS 21/02/23. PROGRAMA CARNAVAL 2023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6"/>
    <s v="AD"/>
    <d v="2023-02-23T00:00:00"/>
    <n v="22023002665"/>
    <s v="2023 06 2315 22611"/>
    <n v="2847"/>
    <x v="454"/>
    <s v="TALLERES DE INFORMACION Y SENSIBILIZACIÓN CONTRA LA TRATA DE MUJERES"/>
    <s v="220"/>
    <s v="BOHADILLA DEL MONTE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17"/>
    <s v="AD"/>
    <d v="2023-02-23T00:00:00"/>
    <n v="22023002623"/>
    <s v="2023 06 2315 22611"/>
    <n v="108.9"/>
    <x v="455"/>
    <s v="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3"/>
    <s v="AD"/>
    <d v="2023-03-29T00:00:00"/>
    <n v="22023002623"/>
    <s v="2023 06 2315 22611"/>
    <n v="109"/>
    <x v="455"/>
    <s v="AMPLIACION TALLER CMI &quot;&quot;PINTANDO MI CAJA INTERIOR&quot;&quot;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60"/>
    <s v="AD"/>
    <d v="2023-02-03T00:00:00"/>
    <n v="22023001410"/>
    <s v="2023 07 1701 22110"/>
    <n v="1411"/>
    <x v="456"/>
    <s v="Productos de limpieza y aseo para los edificios Casa del Barco y Anexo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110"/>
  </r>
  <r>
    <n v="220230003234"/>
    <s v="AD"/>
    <d v="2023-02-14T00:00:00"/>
    <n v="22023002287"/>
    <s v="2023 07 1711 22110"/>
    <n v="3500"/>
    <x v="456"/>
    <s v="SUMINISTRO DE PRODUCTOS DE LIMPIEZA E HIGIENICO PARA VESTUARIOS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10"/>
  </r>
  <r>
    <n v="220230002036"/>
    <s v="AD"/>
    <d v="2023-02-03T00:00:00"/>
    <n v="22023001809"/>
    <s v="2023 07 1721 214"/>
    <n v="363"/>
    <x v="457"/>
    <s v="LIMPIEZA VEHICULOS SERVICIO MEDIO AMBIENTE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4"/>
  </r>
  <r>
    <n v="220230002029"/>
    <s v="AD"/>
    <d v="2023-02-03T00:00:00"/>
    <n v="22023001685"/>
    <s v="2023 11 1321 213"/>
    <n v="4000"/>
    <x v="457"/>
    <s v="LAVADO INTERIOR Y EXTERIOR DE VEHÍCULOS DE LA POLICÍA MUNICIPAL (2023)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943"/>
    <s v="AD"/>
    <d v="2023-02-10T00:00:00"/>
    <n v="22023002031"/>
    <s v="2023 04 3121 22199"/>
    <n v="2420"/>
    <x v="458"/>
    <s v="CALIBRACION EQUIPOS MEDICOS. DEPARTAMENTO PREVENCION Y SALUD LABORAL"/>
    <s v="220"/>
    <s v="VALDESTILLAS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4522"/>
    <s v="ADO"/>
    <d v="2023-02-21T00:00:00"/>
    <n v="22023002604"/>
    <s v="2023 11 3111 22606"/>
    <n v="2470.41"/>
    <x v="439"/>
    <s v="EXPTE: 2.6.0.2.002/2018 CONTROL DE POBLACIONES DE PALOMA BRAVÍA/ TORCAZ Y ESTORNINOS// DICIEMBRE DE 2022"/>
    <s v="240"/>
    <s v="ASTORGA"/>
    <s v="LEON"/>
    <x v="1"/>
    <s v="PrAbier - Procedimiento Abierto"/>
    <s v="MultiC - MultiCriterio"/>
    <x v="0"/>
    <x v="0"/>
    <s v="2"/>
    <s v="2. Gastos corrientes en bienes y servicios"/>
    <s v="11"/>
    <x v="6"/>
    <s v="3111"/>
    <s v="3111. Protección de la salubridad pública"/>
    <s v="22"/>
    <s v="22606"/>
  </r>
  <r>
    <n v="220230004473"/>
    <s v="D"/>
    <d v="2023-02-21T00:00:00"/>
    <n v="22023000213"/>
    <s v="2023 11 1321 214"/>
    <n v="6024.94"/>
    <x v="459"/>
    <s v="REPARAR VEHÍCULO  TOYOTA PRIUS 1962LTT / ALINEADO DIRECCION / LLANTA DELANTERA DERECH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6"/>
    <s v="D"/>
    <d v="2023-02-21T00:00:00"/>
    <n v="22023000270"/>
    <s v="2023 11 1321 214"/>
    <n v="1193.05"/>
    <x v="460"/>
    <s v="ACUERDO MARCO. REPARACIÓN VEHÍCULO 476CCS  //  MANO DE OBRA // M.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9"/>
    <s v="ADO"/>
    <d v="2023-02-21T00:00:00"/>
    <n v="22023002515"/>
    <s v="2023 06 3321 22699"/>
    <n v="2461.14"/>
    <x v="461"/>
    <s v="SUJETALIBROS PARA BIBLIOTECAS MUNICIPALES-"/>
    <s v="24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4434"/>
    <s v="D"/>
    <d v="2023-02-21T00:00:00"/>
    <n v="22023001514"/>
    <s v="2023 11 1361 22199"/>
    <n v="182.71"/>
    <x v="358"/>
    <s v="PROYECTOR LEDVANCE LED 165W 4000K NG IP65 / TASA ECORAEE   (R.DECRETO 208/2005) // PARQUE BOMBER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18"/>
    <s v="D"/>
    <d v="2023-02-21T00:00:00"/>
    <n v="22023000268"/>
    <s v="2023 11 1321 213"/>
    <n v="137.72999999999999"/>
    <x v="358"/>
    <s v="ACUERDO MARCO. SUMINISTRO DE MATERIAL DE ELECTRICIDAD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23"/>
    <s v="ADO"/>
    <d v="2023-02-21T00:00:00"/>
    <n v="22023002491"/>
    <s v="2023 03 9241 213"/>
    <n v="1031.46"/>
    <x v="462"/>
    <s v="SUMINISTRO RAMPA DE GAS // CC PILARICA // SEGUN PRESUPUESTO Nº 1726/154/22 DE FECHA 07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84"/>
    <s v="D"/>
    <d v="2023-02-21T00:00:00"/>
    <n v="22023000213"/>
    <s v="2023 11 1321 214"/>
    <n v="4658.74"/>
    <x v="359"/>
    <s v="ACUERDO MARCO.  TRABAJOS REPARACION MATRICULA 8831JXF / TOTAL PIEZAS / ANEXO DETALLE FTP000019843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05"/>
    <s v="D"/>
    <d v="2023-02-21T00:00:00"/>
    <n v="22023000213"/>
    <s v="2023 11 1321 214"/>
    <n v="3866.81"/>
    <x v="360"/>
    <s v="ACUERDO MARCO. REPARACION 8671-JXF //  KMS.132249 CAMBIAR VALVULA EGR / D-M CATALIZADOR, SUSTITUIR POR UN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24"/>
    <s v="ADO"/>
    <d v="2023-02-21T00:00:00"/>
    <n v="22023002492"/>
    <s v="2023 03 9241 213"/>
    <n v="808.12"/>
    <x v="462"/>
    <s v="SERVOMOTOR Y DISPLAY // CC DELICIAS // SEGUN PRESUPUESTO Nº 1726/153/22 DE FECHA 26/10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529"/>
    <s v="D"/>
    <d v="2023-02-21T00:00:00"/>
    <n v="22023000260"/>
    <s v="2023 04 3121 22706"/>
    <n v="16843.75"/>
    <x v="463"/>
    <s v="EXAMENES GINECOLOGICOS TRABAJADORAS DEL AYUNTAMIENTO. SERVICIO DE PREVENCION Y SALUD LABORAL"/>
    <s v="30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04486"/>
    <s v="D"/>
    <d v="2023-02-21T00:00:00"/>
    <n v="22023000273"/>
    <s v="2023 11 1321 22199"/>
    <n v="438.63"/>
    <x v="170"/>
    <s v="ACUERDO MARCO. CONOS  SINEX 50CM UN REFLECTANTE BASE GOM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523"/>
    <s v="D"/>
    <d v="2023-02-21T00:00:00"/>
    <n v="22023000273"/>
    <s v="2023 11 1321 22199"/>
    <n v="438.63"/>
    <x v="170"/>
    <s v="ACUERDO MARCO. SUMINISTRO DE CONOS NARANJA PVC FLEXIBLE 45CM REFLEX 20CM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81"/>
    <s v="D"/>
    <d v="2023-02-21T00:00:00"/>
    <n v="22023000213"/>
    <s v="2023 11 1321 214"/>
    <n v="544.0499999999999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9"/>
    <s v="D"/>
    <d v="2023-02-21T00:00:00"/>
    <n v="22023000213"/>
    <s v="2023 11 1321 214"/>
    <n v="403.99"/>
    <x v="361"/>
    <s v="ACUEERDO MARCO. REPARACIÓN DE MOTOCICLETAS DE POLICÍA MUNICIPAL (MALETAS)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5"/>
    <s v="D"/>
    <d v="2023-02-21T00:00:00"/>
    <n v="22023000268"/>
    <s v="2023 11 1321 213"/>
    <n v="60.51"/>
    <x v="177"/>
    <s v="ACUERDO MARCO. SUMINISTRO DE TEMPORIZADOR T-20 230V AUTOMATICO ESCALERA RAIL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88"/>
    <s v="D"/>
    <d v="2023-02-21T00:00:00"/>
    <n v="22023000268"/>
    <s v="2023 11 1321 213"/>
    <n v="20.329999999999998"/>
    <x v="177"/>
    <s v="ACUERDOMARCO. SUMINISTRO DE MATERIAL DE ELECTRÓNICA PARA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36"/>
    <s v="D"/>
    <d v="2023-02-21T00:00:00"/>
    <n v="22023001514"/>
    <s v="2023 11 1361 22199"/>
    <n v="20.059999999999999"/>
    <x v="381"/>
    <s v="ALAMBRE GALVA. 1,3MM Nº 8 BOBINAX 50MT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7"/>
    <s v="D"/>
    <d v="2023-02-21T00:00:00"/>
    <n v="22023000273"/>
    <s v="2023 11 1321 22199"/>
    <n v="82.98"/>
    <x v="381"/>
    <s v="ACUERDO MARCO. SUMINISTRO DE MATERIAL DE FERRETERÍA PARA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38"/>
    <s v="D"/>
    <d v="2023-02-21T00:00:00"/>
    <n v="22023001514"/>
    <s v="2023 11 1361 22199"/>
    <n v="55.13"/>
    <x v="217"/>
    <s v="CUCHILLA TAJIMA RECAMB. LCB-50 - / ALCOTANA BELLOTA 5932-0 - / ACEITE WD-40 200ML / 3 EN UNO CERRADURA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20"/>
    <s v="D"/>
    <d v="2023-02-21T00:00:00"/>
    <n v="22023000273"/>
    <s v="2023 11 1321 22199"/>
    <n v="36.840000000000003"/>
    <x v="217"/>
    <s v="ACUERDO MARCO.   SUMINISTRO DE  CIERRAPUERTAS SR 1003 PLATA FAC 32103 PARA DEPENDENCIAS DE JEFATURA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394"/>
    <s v="ADO"/>
    <d v="2023-02-21T00:00:00"/>
    <n v="22023002482"/>
    <s v="2023 10 2312 212"/>
    <n v="40.29"/>
    <x v="217"/>
    <s v="OPA N 220220077063 . SUMINISTRO DE MATERIALES PARA REPARACIONES DEL CPM SAN JUAN-"/>
    <s v="24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46"/>
    <s v="D"/>
    <d v="2023-02-21T00:00:00"/>
    <n v="22023001514"/>
    <s v="2023 11 1361 22199"/>
    <n v="59.04"/>
    <x v="438"/>
    <s v="ALB: 23-200199 PED: 23-000037-1017/ REPUESTO P-01445 INTERRUPTOR (148) / SERVICIOS LOGISTICOS INTEGRADOS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509"/>
    <s v="D"/>
    <d v="2023-02-21T00:00:00"/>
    <n v="22023000268"/>
    <s v="2023 11 1321 213"/>
    <n v="303.02"/>
    <x v="209"/>
    <s v="ACUERDO MARCO. SUMINISTRO DE MATERIAL DE ELECTRÓNICA PARA DEPENDENCIAS DE POLICÍA MUNICIPAL."/>
    <s v="300"/>
    <s v="BARCELONA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0"/>
    <s v="D"/>
    <d v="2023-02-21T00:00:00"/>
    <n v="22023001514"/>
    <s v="2023 11 1361 22199"/>
    <n v="223.85"/>
    <x v="209"/>
    <s v="PUPITRE MICROFONICO DE 6 ZONAS PARA LA SERIE MAV//SERVICIO DE EXTINCION DE INCENDIOS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699"/>
    <s v="AD"/>
    <d v="2023-03-29T00:00:00"/>
    <n v="22023003603"/>
    <s v="2023 04 3121 623"/>
    <n v="3496.9"/>
    <x v="458"/>
    <s v="Bomba de succion y cableado de 12 derivaciones para realizacion de ECG. DEPARTAMENTO DE PREVENCION Y SALUD LABORAL"/>
    <s v="220"/>
    <s v="VALDESTILLAS"/>
    <s v="VALLADOLID"/>
    <x v="3"/>
    <s v="AdDirec - Adjudicación Directa"/>
    <s v="SinC - Sin Criterio"/>
    <x v="3"/>
    <x v="0"/>
    <s v="6"/>
    <s v="6. Inversiones reales"/>
    <s v="04"/>
    <x v="5"/>
    <s v="3121"/>
    <s v="3121. Prevención y salud laboral"/>
    <s v="62"/>
    <s v="623"/>
  </r>
  <r>
    <n v="220230004494"/>
    <s v="D"/>
    <d v="2023-02-21T00:00:00"/>
    <n v="22023000268"/>
    <s v="2023 11 1321 213"/>
    <n v="383.63"/>
    <x v="445"/>
    <s v="ACUERDO MARCO. SUMINISTRO DE MATERIAL PARA MATENIMIENTO DE LAS DEPENDENCIAS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4442"/>
    <s v="D"/>
    <d v="2023-02-21T00:00:00"/>
    <n v="22023001514"/>
    <s v="2023 11 1361 22199"/>
    <n v="341.23"/>
    <x v="445"/>
    <s v="933-10X100 TORNILLO  C/ HEXAGONAL LATON TODO ROSCA / 01021012 KG HILO SOLDAR HMK 70S 0.8MM X 5 KGS - D200 HOKMAND/SEIS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67"/>
    <s v="D"/>
    <d v="2023-02-21T00:00:00"/>
    <n v="22023000273"/>
    <s v="2023 11 1321 22199"/>
    <n v="38.72"/>
    <x v="445"/>
    <s v="ACUERDO MARCO. SUMINISTRO DE DIVERSO MATERIAL PARA MANTENIMIENTO DE DEPENDENCIAS Y OTROS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4499"/>
    <s v="D"/>
    <d v="2023-02-21T00:00:00"/>
    <n v="22023000213"/>
    <s v="2023 11 1321 214"/>
    <n v="2563.25"/>
    <x v="464"/>
    <s v="ACUERDO MARCO. RUEDAS VEHÍCULOS 205/60R16 MICH. PRIM4 92H ( 1960-LTT) / S.I. GEST.  (  CAT. B  1960-LTT  ) / 195/55R20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50"/>
    <s v="D"/>
    <d v="2023-02-21T00:00:00"/>
    <n v="22023001513"/>
    <s v="2023 11 1361 214"/>
    <n v="2622.12"/>
    <x v="464"/>
    <s v="CUBIERTA NUEVA ( 275/70R22,5 CONTINENTAL 148M VA-42345-VE  ) / S.I. GESTION DE NFU CAT.D ( VA-42345-VE ) SEISPC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04492"/>
    <s v="D"/>
    <d v="2023-02-21T00:00:00"/>
    <n v="22023000270"/>
    <s v="2023 11 1321 214"/>
    <n v="644.57000000000005"/>
    <x v="465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5"/>
    <s v="D"/>
    <d v="2023-02-21T00:00:00"/>
    <n v="22023000270"/>
    <s v="2023 11 1321 214"/>
    <n v="140.53"/>
    <x v="465"/>
    <s v="ACUERDO MARCO. SUMINISTRO DE MATERIAL PARA TALLER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511"/>
    <s v="D"/>
    <d v="2023-02-21T00:00:00"/>
    <n v="22023000270"/>
    <s v="2023 11 1321 214"/>
    <n v="474.0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7"/>
    <s v="D"/>
    <d v="2023-02-21T00:00:00"/>
    <n v="22023000270"/>
    <s v="2023 11 1321 214"/>
    <n v="179.78"/>
    <x v="466"/>
    <s v="ACUERDO MARCO. SUMINISTRO DE MATERIAL PARA TALLER DE REPARACIÓN DE VEHÍCULO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4"/>
    <s v="D"/>
    <d v="2023-02-21T00:00:00"/>
    <n v="22023001514"/>
    <s v="2023 11 1361 22199"/>
    <n v="8.08"/>
    <x v="467"/>
    <s v="F/VF23/258.1 // CERRADURA 161-162-163-164/ 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497"/>
    <s v="D"/>
    <d v="2023-02-21T00:00:00"/>
    <n v="22023000270"/>
    <s v="2023 11 1321 214"/>
    <n v="585.6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69"/>
    <s v="D"/>
    <d v="2023-02-21T00:00:00"/>
    <n v="22023000270"/>
    <s v="2023 11 1321 214"/>
    <n v="250.41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48"/>
    <s v="D"/>
    <d v="2023-02-21T00:00:00"/>
    <n v="22023001514"/>
    <s v="2023 11 1361 22199"/>
    <n v="580.79999999999995"/>
    <x v="468"/>
    <s v="SEPIOLITA 20 KG 30-60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4395"/>
    <s v="ADO"/>
    <d v="2023-02-21T00:00:00"/>
    <n v="22023002485"/>
    <s v="2023 10 2312 212"/>
    <n v="13.01"/>
    <x v="469"/>
    <s v="OPA N 220220077066-  SUMINISTRO DE MATERIALES PARA REPARACIONES DEL CPM RONDILLA-"/>
    <s v="24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490"/>
    <s v="D"/>
    <d v="2023-02-21T00:00:00"/>
    <n v="22023000213"/>
    <s v="2023 11 1321 214"/>
    <n v="673.75"/>
    <x v="325"/>
    <s v="ACUERDO MARCO REPARACIÓN VEHÍCULO 2747CCZ: POLEA ALTERNADOR,VALVULA CONTROL PRESION, ELECTROVALVULA DE CAUD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4471"/>
    <s v="D"/>
    <d v="2023-02-21T00:00:00"/>
    <n v="22023000213"/>
    <s v="2023 11 1321 214"/>
    <n v="210.04"/>
    <x v="470"/>
    <s v="ACUERDO MARCO. REPARACIÓN VEHÍCULOS POLICIA MUNICIPAL: 8742DHV // 1 8200656008 - VALVULA RECICLAJE / 1 8200259649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5531"/>
    <s v="ADO"/>
    <d v="2023-02-22T00:00:00"/>
    <n v="22023002621"/>
    <s v="2023 10 2312 213"/>
    <n v="156.09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531"/>
    <s v="ADO"/>
    <d v="2023-02-22T00:00:00"/>
    <n v="22023002622"/>
    <s v="2023 10 2312 213"/>
    <n v="312.18"/>
    <x v="419"/>
    <s v="ALQUILER TEMPORAL ESPACIO CARDIOPROTEGIDO,DURANTE REPARACION DE DESFIBRLADORES DEL CPM PTE. COLG., HUERTA DEL  E INEA-"/>
    <s v="240"/>
    <s v="COSLADA"/>
    <s v="MADR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5423"/>
    <s v="AD"/>
    <d v="2023-02-22T00:00:00"/>
    <n v="22023002683"/>
    <s v="2023 04 9231 22799"/>
    <n v="4885.3599999999997"/>
    <x v="406"/>
    <s v="OBSERVATORIO URBANO DESDE 1 DE ENERO DE 2023 A 31 DE MARZ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31"/>
    <s v="9231. Información, registro y gestión del padrón"/>
    <s v="22"/>
    <s v="22799"/>
  </r>
  <r>
    <n v="220230005414"/>
    <s v="AD"/>
    <d v="2023-02-22T00:00:00"/>
    <n v="22023002637"/>
    <s v="2023 06 3232 212"/>
    <n v="791.34"/>
    <x v="471"/>
    <s v="CTTO SUMINISTRO VALLA ELECTROSOLDADA PARA EL CEIP JORGE GUILLÉN//15 DÍA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0"/>
    <s v="AD"/>
    <d v="2023-02-22T00:00:00"/>
    <n v="22023002614"/>
    <s v="2023 10 2312 22706"/>
    <n v="605"/>
    <x v="472"/>
    <s v="PLAN DE AUTOPROTECCION DEL EDIFICIO PARA CENTRO DE VIDA ACTIVA Y ESTANCIAS DIURNAS PARQUESOL- 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706"/>
  </r>
  <r>
    <n v="220230005416"/>
    <s v="AD"/>
    <d v="2023-02-22T00:00:00"/>
    <n v="22023002639"/>
    <s v="2023 03 9241 22699"/>
    <n v="1085.93"/>
    <x v="100"/>
    <s v="SUMINISTRO DE LÁMPARA PARA VIDEOPROYECTOR Y DIADEMA AKG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5559"/>
    <s v="D"/>
    <d v="2023-02-22T00:00:00"/>
    <n v="22023002181"/>
    <s v="2023 06 3232 212"/>
    <n v="271.86"/>
    <x v="358"/>
    <s v="MT CABLE H07Z1-K ZEROH FLEX  1X2,5 NEGRO / REGLETA  OBO 78CE BL  (TS16NA) 2056550 / ANGUL PL UNEX 93220-2  50x 80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19001136"/>
    <s v="AD"/>
    <d v="2023-01-01T00:00:00"/>
    <n v="22023003277"/>
    <s v="2023 02 9332 213"/>
    <n v="4124.45"/>
    <x v="148"/>
    <s v="SE-EIJI 27/2021. ADJ. EXPTE.MANT. INSTALACIONES DE PROTEC. CONTRA INCENDIOS.(LOTE 3) EDIFICIOS MUNICIPALES. CG 65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05473"/>
    <s v="D"/>
    <d v="2023-02-22T00:00:00"/>
    <n v="22023001411"/>
    <s v="2023 10 2311 212"/>
    <n v="226.88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622"/>
    <s v="D"/>
    <d v="2023-02-22T00:00:00"/>
    <n v="22023002181"/>
    <s v="2023 06 3232 212"/>
    <n v="133.32"/>
    <x v="358"/>
    <s v="C.Nª Sª DEL DUERO / INTERRUP NIESSEN 8101 MECANISMO /D.INTERR NIESSEN 8111 MECANISMO/ TECLA I NIESSEN 8201-BA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396"/>
    <s v="AD"/>
    <d v="2023-02-22T00:00:00"/>
    <n v="22023002673"/>
    <s v="2023 08 1532 210"/>
    <n v="7260"/>
    <x v="473"/>
    <s v="SUMINISTRO DE PINTURAS DE TODO TIPO, disolventes, herramientas de pintor, etc. según necesidade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575"/>
    <s v="D"/>
    <d v="2023-02-22T00:00:00"/>
    <n v="22023002181"/>
    <s v="2023 06 3232 212"/>
    <n v="99.14"/>
    <x v="358"/>
    <s v="MATERIAL ELECTRICO COLEGIOS. APLICO ABONO A 2022 183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09"/>
    <s v="AD"/>
    <d v="2023-02-22T00:00:00"/>
    <n v="22023002612"/>
    <s v="2023 06 2315 22611"/>
    <n v="170"/>
    <x v="153"/>
    <s v="DOMINIO IGUALDADVALLADOLID.ES Y HOSTING DURANTE E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73"/>
    <s v="D"/>
    <d v="2023-02-22T00:00:00"/>
    <n v="22023001412"/>
    <s v="2023 10 2311 212"/>
    <n v="90.07"/>
    <x v="358"/>
    <s v="F - 889 - MANGUERA Y REGLETA PARA CEAS DELICIAS Y DESHUMIFICADOR PARA COMEDOR SOCIAL - CADIELSA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394"/>
    <s v="AD"/>
    <d v="2023-02-22T00:00:00"/>
    <n v="22023002654"/>
    <s v="2023 11 3111 22103"/>
    <n v="1900"/>
    <x v="12"/>
    <s v="SUMINISTRO DE PELLET DE MADERA PARA CALDERA DE BIOMASA DEL CENTRO MUNICIPAL DE PROTECCIÓN ANIMAL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5477"/>
    <s v="D"/>
    <d v="2023-02-22T00:00:00"/>
    <n v="22023001412"/>
    <s v="2023 10 2311 212"/>
    <n v="81.010000000000005"/>
    <x v="358"/>
    <s v="F - 479 - APLIQUE ORBIS PIR 16W 360 - EIF CALLE PATO, 3 - CADIELSA GRUPO SLU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09"/>
    <s v="D"/>
    <d v="2023-02-22T00:00:00"/>
    <n v="22023001467"/>
    <s v="2023 10 2312 212"/>
    <n v="28.25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4"/>
    <s v="D"/>
    <d v="2023-02-22T00:00:00"/>
    <n v="22023002185"/>
    <s v="2023 06 3231 212"/>
    <n v="24.04"/>
    <x v="358"/>
    <s v="CONMUTADOR SE U5.203.18 C/BASTIDOR(POLAR) / CONMUTADOR LEGRAND 69711 MONOBL.10A / INTERRUP NIESSEN 2101-BA / 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37"/>
    <s v="D"/>
    <d v="2023-02-22T00:00:00"/>
    <n v="22023001131"/>
    <s v="2023 07 1721 22112"/>
    <n v="13.6"/>
    <x v="358"/>
    <s v="MT CANAL LEGRAND 30008    20X12,5 / CLAVIJA SOLERA 6566 / BASE 3TO SOLERA 8003 S/CABLE // CASA BARC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112"/>
  </r>
  <r>
    <n v="220230005471"/>
    <s v="D"/>
    <d v="2023-02-22T00:00:00"/>
    <n v="22023001412"/>
    <s v="2023 10 2311 212"/>
    <n v="11.98"/>
    <x v="358"/>
    <s v="F - 161 - PORTALAMPARAS SOLERA BLANCO - VVDA CALLE CADIZ, 13 - CADIELSA SLU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0191"/>
    <s v="AD"/>
    <d v="2023-01-01T00:00:00"/>
    <n v="22023000826"/>
    <s v="2023 04 3121 22706"/>
    <n v="743.59"/>
    <x v="474"/>
    <s v="3ª prórroga contrato exámenes ginecológicos para Departamento de Prevención y Salud Laboral. Febrero 2022 a febrer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3121"/>
    <s v="3121. Prevención y salud laboral"/>
    <s v="22"/>
    <s v="22706"/>
  </r>
  <r>
    <n v="220230010322"/>
    <s v="AD"/>
    <d v="2023-03-23T00:00:00"/>
    <n v="22023002566"/>
    <s v="2023 09 3341 213"/>
    <n v="9493.66"/>
    <x v="475"/>
    <s v="REPARACION DOBLE PUERTA TELESCOPICA DE CRISTAL EXTERIOR DE LA CUPULA DEL MILENIO"/>
    <s v="220"/>
    <s v="SANT CUGAT DEL VALLES"/>
    <s v="BARCELONA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8082"/>
    <s v="ADO"/>
    <d v="2023-03-09T00:00:00"/>
    <n v="22023002661"/>
    <s v="2023 11 1351 224"/>
    <n v="75.72"/>
    <x v="476"/>
    <s v="EMBARCACIONES DEPORTIVAS||&quot;&quot;PÓLIZA&quot;&quot;:0631770004865||&quot;&quot;RECIBO&quot;&quot;:8437137600||&quot;&quot;:En trámite/ DE 01-01-23 A 01-01-24/PR. CIVIL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09"/>
    <s v="D"/>
    <d v="2023-02-22T00:00:00"/>
    <n v="22023001468"/>
    <s v="2023 10 2312 212"/>
    <n v="6.37"/>
    <x v="358"/>
    <s v="MANT. SUMINISTRO DE MATERIALES PARA REPARACIONES DEL CPM PTE. COLGANTE Y RIO ESGUEVA- INICITIVAS SOCIALE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8083"/>
    <s v="ADO"/>
    <d v="2023-03-09T00:00:00"/>
    <n v="22023002662"/>
    <s v="2023 11 1351 224"/>
    <n v="75.72"/>
    <x v="476"/>
    <s v="EMBARCACIONES DEPORTIVAS||&quot;&quot;PÓLIZA:0631770012601||&quot;&quot;RECIBO&quot;&quot;:8427226540||&quot;&quot;MATRICULA/BAST&quot;&quot;:chd2313|/31-12-2022 a 31-12-2023/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4"/>
    <s v="ADO"/>
    <d v="2023-03-09T00:00:00"/>
    <n v="22023002663"/>
    <s v="2023 11 1351 224"/>
    <n v="75.72"/>
    <x v="476"/>
    <s v="EMBARCACIONES DEPORTIVAS||&quot;&quot;PÓLIZA&quot;&quot;:0631770012557||&quot;&quot;RECIBO&quot;&quot;:8427226486||&quot;&quot;MATRICULA/BAST&quot;&quot;:chd2388||31-12-2022 a 31-12-2023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5521"/>
    <s v="D"/>
    <d v="2023-02-22T00:00:00"/>
    <n v="22023001956"/>
    <s v="2023 07 1711 214"/>
    <n v="73.37"/>
    <x v="360"/>
    <s v="R23 38 5536854-ALBARAN23 38 12/01/2023 500025218L LITRO AD BLUE / 5537962-ALBARAN23 58 17/01/2023 0500038601 LAMPARA 24V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8085"/>
    <s v="ADO"/>
    <d v="2023-03-09T00:00:00"/>
    <n v="22023002664"/>
    <s v="2023 11 1351 224"/>
    <n v="75.72"/>
    <x v="476"/>
    <s v="EMBARCACIONES DEPORTIVAS||&quot;&quot;PÓLIZA&quot;&quot;:0631770003062||&quot;&quot;RECIBO&quot;&quot;:8437137526||&quot;&quot;MATRICULA&quot;&quot;:CHD - 9219||&quot;&quot;01-01-2023 a 01-01-2024"/>
    <s v="240"/>
    <s v="MAJADAHONDA"/>
    <s v="MADR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8086"/>
    <s v="ADO"/>
    <d v="2023-03-09T00:00:00"/>
    <n v="22023002666"/>
    <s v="2023 11 1351 224"/>
    <n v="270.70999999999998"/>
    <x v="477"/>
    <s v="ACCIDENTES COLECTIVOS||&quot;&quot;PÓLIZA&quot;&quot;:0551780088803||&quot;&quot;RECIBO&quot;&quot;:8414251639||&quot;&quot;RIESGO&quot;&quot;: 001SUMAS GRUPOS//31-12-2022 a 31-1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03229"/>
    <s v="AD"/>
    <d v="2023-02-14T00:00:00"/>
    <n v="22023002092"/>
    <s v="2023 10 2311 213"/>
    <n v="175.45"/>
    <x v="478"/>
    <s v="DESATRANQUE BAÑO PLANTA INFERIOR ALBERGUE MUNICIPAL."/>
    <s v="220"/>
    <s v="SIMANCAS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573"/>
    <s v="D"/>
    <d v="2023-02-22T00:00:00"/>
    <n v="22023002181"/>
    <s v="2023 06 3232 212"/>
    <n v="1160.54"/>
    <x v="479"/>
    <s v="MATERIAL VARIO CONSTRUCCION // C. P. LEON FELIPE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8"/>
    <s v="D"/>
    <d v="2023-02-22T00:00:00"/>
    <n v="22023002053"/>
    <s v="2023 07 1711 213"/>
    <n v="210.76"/>
    <x v="380"/>
    <s v="JUEGO CUCHILLAS DE SEGADORA / JUEGO CUCHILLAS DE SEGADO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4183"/>
    <s v="AD"/>
    <d v="2023-02-20T00:00:00"/>
    <n v="22023002410"/>
    <s v="2023 04 9202 22607"/>
    <n v="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32"/>
    <s v="D"/>
    <d v="2023-02-22T00:00:00"/>
    <n v="22023001956"/>
    <s v="2023 07 1711 214"/>
    <n v="85"/>
    <x v="361"/>
    <s v="CASCO JET NERO DECOR T-L PANTALL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5"/>
    <s v="D"/>
    <d v="2023-02-22T00:00:00"/>
    <n v="22023002181"/>
    <s v="2023 06 3232 212"/>
    <n v="36.49"/>
    <x v="181"/>
    <s v="ALBARAN: AV23/00307 F: 23/01/2023 / TORNILLO SPAX-S BICROMATADO 4.5*45MM. / TACO AUTOPERFORANTE GK. / GE0012478 / ID-336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616"/>
    <s v="D"/>
    <d v="2023-02-22T00:00:00"/>
    <n v="22023002185"/>
    <s v="2023 06 3231 212"/>
    <n v="21.86"/>
    <x v="181"/>
    <s v="ALBARAN: AV23/00421 F: 27/01/2023 / CARTUCHO SELLADOR MS PLUS CRISTAL FISCHER /  E.I. EL GLOBO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07"/>
    <s v="D"/>
    <d v="2023-02-22T00:00:00"/>
    <n v="22023001565"/>
    <s v="2023 07 1711 619"/>
    <n v="660"/>
    <x v="481"/>
    <s v="EXPDTE.: V.36/2017 ACUERDO MARCO SUMINISTRO / ALBARÁN: 3/23000036 / CUPRESSUS SEMPERVIRENS 250-300"/>
    <s v="300"/>
    <s v="SAN SEBASTIAN DE LOS REYES"/>
    <s v="MADR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5475"/>
    <s v="D"/>
    <d v="2023-02-22T00:00:00"/>
    <n v="22023001412"/>
    <s v="2023 10 2311 212"/>
    <n v="85.33"/>
    <x v="177"/>
    <s v="F - 447 - DETECTOR PIR 360 LEGRAND - CEAS DELICIAS - ENERGINOBA.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47"/>
    <s v="D"/>
    <d v="2023-02-22T00:00:00"/>
    <n v="22023002181"/>
    <s v="2023 06 3232 212"/>
    <n v="1592.53"/>
    <x v="381"/>
    <s v="ID:0033225-CEIP MIGUEL DE CERVANTEAS / SILICONA SOUDAL NEUTRA 300ML TRANSPARENTE / ID: 0034755-CEIP PEDRO GOMEZ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67"/>
    <s v="D"/>
    <d v="2023-02-22T00:00:00"/>
    <n v="22023002181"/>
    <s v="2023 06 3232 212"/>
    <n v="391.41"/>
    <x v="381"/>
    <s v="ID: 0033582-CEIP VICENTE ALEXANDRE C/ DOSCTOR MORENO / BROCA HSS RECT. COBALTO 03,00 / BROCA HSS RECT. COBALTO 04,00 / B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1"/>
    <s v="D"/>
    <d v="2023-02-22T00:00:00"/>
    <n v="22023001468"/>
    <s v="2023 10 2312 212"/>
    <n v="278.05"/>
    <x v="381"/>
    <s v="MANT. SUMINISTRO DE CIERRA.DORMA BTS 84 EN-3 ,DORMA PLACA INOX BTS, PARA EL CPM RIO ESGUEVA- INICIATIVAS SOCIAL-DUR 1 DI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618"/>
    <s v="D"/>
    <d v="2023-02-22T00:00:00"/>
    <n v="22023002185"/>
    <s v="2023 06 3231 212"/>
    <n v="61.64"/>
    <x v="381"/>
    <s v="ID 35204-ESCUELA INFANTIL CASCANUECES / ANTIP. TESA CERRADURA CF50ASR9Z / ANTIP. TESA CUADRADILLO 9 / 9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612"/>
    <s v="D"/>
    <d v="2023-02-22T00:00:00"/>
    <n v="22023002185"/>
    <s v="2023 06 3231 212"/>
    <n v="40.17"/>
    <x v="381"/>
    <s v="ID: 0034711-EI CASCABEL / ARMARIO LLAVES   30 JOMA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5593"/>
    <s v="D"/>
    <d v="2023-02-22T00:00:00"/>
    <n v="22023001956"/>
    <s v="2023 07 1711 214"/>
    <n v="891.67"/>
    <x v="362"/>
    <s v="VEHÍCULO 4272GHL // SUSTITUCION DISCO, MAZA Y COLARIN EMBRAGUE / 2 302102TB1A - CUBIERTA EMBRAGU / 2 301002TB1B - DISCOS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496"/>
    <s v="D"/>
    <d v="2023-02-22T00:00:00"/>
    <n v="22023001956"/>
    <s v="2023 07 1711 214"/>
    <n v="532.44000000000005"/>
    <x v="362"/>
    <s v="7254GWW MANTENIMIENTO ANUAL / CAMBIO ACEITE FILTRO ACEITE FILTRO AIRE FILTRO POLEN ACEITE CAJA CAMBIOS Y DIFERENCIAL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903"/>
    <s v="AD"/>
    <d v="2023-02-23T00:00:00"/>
    <n v="22023002699"/>
    <s v="2023 04 9202 22607"/>
    <n v="338.8"/>
    <x v="480"/>
    <s v="PSICOTECNICO POLICI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7165"/>
    <s v="AD/"/>
    <d v="2023-03-02T00:00:00"/>
    <n v="22023002410"/>
    <s v="2023 04 9202 22607"/>
    <n v="-338"/>
    <x v="480"/>
    <s v="PSICOTÉCNICO POLICÍA MUNICIPAL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05517"/>
    <s v="D"/>
    <d v="2023-02-22T00:00:00"/>
    <n v="22023001467"/>
    <s v="2023 10 2312 212"/>
    <n v="126.92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69"/>
    <s v="D"/>
    <d v="2023-02-22T00:00:00"/>
    <n v="22023002181"/>
    <s v="2023 06 3232 212"/>
    <n v="108.48"/>
    <x v="217"/>
    <s v="CAJA MULTIUSO RATIO 380X310X60 MM / FLEXOMETRO 19/5MTS MAGNETICO EHL / PUNTA C/PLANA 17X70 EHL / PUNTA C/PLANA 20X100 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79"/>
    <s v="D"/>
    <d v="2023-02-22T00:00:00"/>
    <n v="22023001412"/>
    <s v="2023 10 2311 212"/>
    <n v="101.11"/>
    <x v="217"/>
    <s v="F - 994 - DOS CERRADURAS TESA 2030 50 - PARA CENTRO INTEGRADO - FERRETERIA ORTIZ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05517"/>
    <s v="D"/>
    <d v="2023-02-22T00:00:00"/>
    <n v="22023001468"/>
    <s v="2023 10 2312 212"/>
    <n v="29.48"/>
    <x v="217"/>
    <s v="MANT. SUMINSTRO DE IMATERIALES PARA REPARACIONES DEL CPM ARCA REALY CPM LA VITORIA- INICITIVAS 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00"/>
    <s v="D"/>
    <d v="2023-02-22T00:00:00"/>
    <n v="22023001467"/>
    <s v="2023 10 2312 212"/>
    <n v="28.52"/>
    <x v="217"/>
    <s v="MANT. SUMINISTRO DE MATERIAL PARA REPARACIONES DEL CPM PTE. COLGANTE- DURACION 1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4195"/>
    <s v="AD"/>
    <d v="2023-02-20T00:00:00"/>
    <n v="22023002561"/>
    <s v="2023 06 2315 22611"/>
    <n v="968"/>
    <x v="482"/>
    <s v="TALLER GESTIÓN EN LOS PROCESOS DE RUPTURA DE PAREJ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2074"/>
    <s v="AD"/>
    <d v="2023-02-06T00:00:00"/>
    <n v="22023002020"/>
    <s v="2023 06 2315 22611"/>
    <n v="3600"/>
    <x v="483"/>
    <s v="TALLERES DE DANZA Y LITERA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12"/>
    <s v="AD"/>
    <d v="2023-03-23T00:00:00"/>
    <n v="22023003487"/>
    <s v="2023 06 2315 22611"/>
    <n v="250"/>
    <x v="483"/>
    <s v="TALLER 1911 CENTRO MUNICIPAL DE LA IGUALDAD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1"/>
    <s v="AD"/>
    <d v="2023-02-03T00:00:00"/>
    <n v="22023000201"/>
    <s v="2023 06 2315 22611"/>
    <n v="2541"/>
    <x v="484"/>
    <s v="TALLER MERCADO CANALLA EN LOS ESPACIOS JOVENES ENERO Y MARZO"/>
    <s v="220"/>
    <s v="CABANILLAS DEL CAMPO"/>
    <s v="GUADALAJAR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668"/>
    <s v="AD"/>
    <d v="2023-01-01T00:00:00"/>
    <n v="22023001272"/>
    <s v="2023 05 4312 22706"/>
    <n v="713.78"/>
    <x v="194"/>
    <s v="COSTE DIR. FAC. OBRA MDO MUNICIPAL MARQUESINA EXPTE 05-IDEEC_M_MAR_2022"/>
    <s v="220"/>
    <s v="ZARATAN"/>
    <s v="VALLADOLID"/>
    <x v="1"/>
    <s v="PrAbier - Procedimiento Abierto"/>
    <s v="MultiC - MultiCriterio"/>
    <x v="1"/>
    <x v="0"/>
    <s v="2"/>
    <s v="2. Gastos corrientes en bienes y servicios"/>
    <s v="05"/>
    <x v="7"/>
    <s v="4312"/>
    <s v="4312. Mercados, abastos y lonjas"/>
    <s v="22"/>
    <s v="22706"/>
  </r>
  <r>
    <n v="220230005387"/>
    <s v="D"/>
    <d v="2023-02-22T00:00:00"/>
    <n v="22023001964"/>
    <s v="2023 08 1532 619"/>
    <n v="1667.65"/>
    <x v="101"/>
    <s v="Coordinación Seguridad y Salud en obras de remodelación de la avenida Reyes Católicos en Valladolid (expediente 1/2022)"/>
    <s v="300"/>
    <s v="VALLADOLID"/>
    <s v="VALLADOLID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30005505"/>
    <s v="D"/>
    <d v="2023-02-22T00:00:00"/>
    <n v="22023001548"/>
    <s v="2023 07 1711 22106"/>
    <n v="50.71"/>
    <x v="485"/>
    <s v="PASTA CICATRIZANTE (1 Kg) 6185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79"/>
    <s v="D"/>
    <d v="2023-02-22T00:00:00"/>
    <n v="22023002181"/>
    <s v="2023 06 3232 212"/>
    <n v="251.11"/>
    <x v="438"/>
    <s v="ALB: 23-201145 PED: 23-001849-1003 S/PED: CP JORGE GUILLEN / BARRA 6 ML.POLIETILENO PE100 AD PN16  63 / MANGUITO UNION P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8"/>
    <s v="D"/>
    <d v="2023-02-22T00:00:00"/>
    <n v="22023002181"/>
    <s v="2023 06 3232 212"/>
    <n v="245.45"/>
    <x v="438"/>
    <s v="ALB: 23-202932 PED: 23-004716-1003 S/PED:  / REGISTRO ALUMINIO ESTANCO NORMAL KN25 40x40 / EDUCACION ESPECIAL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6"/>
    <s v="D"/>
    <d v="2023-02-22T00:00:00"/>
    <n v="22023002181"/>
    <s v="2023 06 3232 212"/>
    <n v="202.55"/>
    <x v="438"/>
    <s v="ALB: 23-200496 PED: 23-000806-1003 // S/PED: CP LEON FELIPE // CODO 90º  LATON T-T 63 / ENLACE ROSCA MACHO LATON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44"/>
    <s v="D"/>
    <d v="2023-02-22T00:00:00"/>
    <n v="22023002181"/>
    <s v="2023 06 3232 212"/>
    <n v="197.98"/>
    <x v="438"/>
    <s v="ALB: 22-238101 PED: 22-062358-1020 S/PED: JORGE GUILLEN / BOTE HILO TEFLON UNILOCK 160M TANGIT / BOLSA 5 UDS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54"/>
    <s v="D"/>
    <d v="2023-02-22T00:00:00"/>
    <n v="22023002181"/>
    <s v="2023 06 3232 212"/>
    <n v="147.21"/>
    <x v="438"/>
    <s v="ALB: 23-200565 PED: 23-000955-1003  // S/PED: CP LEON FELIPE // ENLACE ROSCA MACHO LATON 63-2&quot;&quot; / BARRA 6 ML. PO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8590"/>
    <s v="AD"/>
    <d v="2023-03-15T00:00:00"/>
    <n v="22023002993"/>
    <s v="2023 03 9241 22609"/>
    <n v="605"/>
    <x v="260"/>
    <s v="PIE IZQUIERDO: REPRESENTACIÓN DE LA OBRA &quot;&quot;LA MUJER QUE PLANTA ÁRBOLES&quot;&quot; EN CM LAS FLORES EL DÍA 20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577"/>
    <s v="D"/>
    <d v="2023-02-22T00:00:00"/>
    <n v="22023002181"/>
    <s v="2023 06 3232 212"/>
    <n v="47.35"/>
    <x v="438"/>
    <s v="ALB: 23-201159 PED: 23-001884-1003 S// PED: CP JORGE GUILLEN // MANGUITO UNION PE TUB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5"/>
    <s v="D"/>
    <d v="2023-02-22T00:00:00"/>
    <n v="22023002181"/>
    <s v="2023 06 3232 212"/>
    <n v="23.68"/>
    <x v="438"/>
    <s v="ALB: 23-202662 PED: 23-004259-1017 S/PED: CENTRO EDUCACION / DAK ARQUETA PLASTICO HERMETICA 25X25 +TAPA+J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29000677"/>
    <s v="AD"/>
    <d v="2023-01-01T00:00:00"/>
    <n v="22023001280"/>
    <s v="2023 06 2315 22611"/>
    <n v="1300"/>
    <x v="486"/>
    <s v="8 TALLERES SOBRE MANUALIDADES ARTÍSTICAS CON ENFOQUE DE GENERO EN EL CENTRO DE IGUALDAD(CMI). Tod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42"/>
    <s v="D"/>
    <d v="2023-02-22T00:00:00"/>
    <n v="22023002181"/>
    <s v="2023 06 3232 212"/>
    <n v="44.67"/>
    <x v="209"/>
    <s v="CAJA DERIVACION C/CONOS 8X M25 Y 2X M32 150X116X67 GRIS CLAR / 73 CANAL BLANCO RAL9010 40X60 U23X. ENERO"/>
    <s v="300"/>
    <s v="BARCELONA"/>
    <s v="BARCELONA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13"/>
    <s v="D"/>
    <d v="2023-02-22T00:00:00"/>
    <n v="22023001468"/>
    <s v="2023 10 2312 212"/>
    <n v="40.14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5513"/>
    <s v="D"/>
    <d v="2023-02-22T00:00:00"/>
    <n v="22023001467"/>
    <s v="2023 10 2312 212"/>
    <n v="29.23"/>
    <x v="209"/>
    <s v="MANT. SUMINISTRO DE MATERIALES PARA REPARACIONES DEL CPM PTE. COLGANTE Y Z. ESTE- INICITIVAS SOCIALES.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2028"/>
    <s v="AD"/>
    <d v="2023-02-03T00:00:00"/>
    <n v="22023001652"/>
    <s v="2023 06 2315 22611"/>
    <n v="2200"/>
    <x v="487"/>
    <s v="TALLERES DE MUSICA EN FAMIL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35"/>
    <s v="AD"/>
    <d v="2023-03-29T00:00:00"/>
    <n v="22023003590"/>
    <s v="2023 06 2315 22611"/>
    <n v="726"/>
    <x v="488"/>
    <s v="TALLER SOBRE DISCRIMINACIÓN SOCIAL POR RAZONES DE SEXO EN EL CENTRO MUNICIPAL DE LA IGUALDAD"/>
    <s v="220"/>
    <s v="VILLARIEZO"/>
    <s v="BURGOS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0020"/>
    <s v="AD"/>
    <d v="2023-01-01T00:00:00"/>
    <n v="22023000495"/>
    <s v="2023 09 3301 22799"/>
    <n v="7865"/>
    <x v="489"/>
    <s v="CONTRATO SERVICIO ASESORAMIENTO FISCAL AYUNTAMIENTO Y ENTIDADES DEPENDIENTES AÑOS 2020-21-22 Y 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4"/>
    <s v="AD"/>
    <d v="2023-01-01T00:00:00"/>
    <n v="22023003380"/>
    <s v="2023 09 3301 22799"/>
    <n v="3146"/>
    <x v="489"/>
    <s v="REAJUSTE ANUALIDADES CONTRATO SERVICIO ASESORAMIENTO FISCAL AYUNTAMIENTO Y ENTIDADES DEPENDIENTES 2020, 2021, 2022,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199000495"/>
    <s v="AD"/>
    <d v="2023-01-01T00:00:00"/>
    <n v="22023000497"/>
    <s v="2023 09 3301 22799"/>
    <n v="1887.6"/>
    <x v="489"/>
    <s v="REAJUSTE CONTRATO SERVICIO ASESORAMIENTO FISCAL AYUNTAMIENTO Y ENTIDADES DEPENDIENTES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01"/>
    <s v="3301. Dirección del área de cultura"/>
    <s v="22"/>
    <s v="22799"/>
  </r>
  <r>
    <n v="220230005581"/>
    <s v="D"/>
    <d v="2023-02-22T00:00:00"/>
    <n v="22023002181"/>
    <s v="2023 06 3232 212"/>
    <n v="437.48"/>
    <x v="467"/>
    <s v="CEIP PABLO PICASO / - / ROLLO CORCHO 5 MM / COLA EUROPANOL 7803 DE 6K 1200454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83"/>
    <s v="D"/>
    <d v="2023-02-22T00:00:00"/>
    <n v="22023002181"/>
    <s v="2023 06 3232 212"/>
    <n v="213.66"/>
    <x v="467"/>
    <s v="TERMOCEL PACT-POL 5mm / COLEGIO PUBLICO PARQUE ALAMED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71"/>
    <s v="D"/>
    <d v="2023-02-22T00:00:00"/>
    <n v="22023002181"/>
    <s v="2023 06 3232 212"/>
    <n v="191.81"/>
    <x v="467"/>
    <s v="C.P. FEDERICO GARCIA LORCA / TAPETA MDF BLANCA 106 2700*90*10 / CEIP CARDENAL MENDOZA / PUERTA PLANA MDF / RECERCO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524"/>
    <s v="D"/>
    <d v="2023-02-22T00:00:00"/>
    <n v="22023001548"/>
    <s v="2023 07 1711 22106"/>
    <n v="363"/>
    <x v="490"/>
    <s v="OSMOCOTE TOPDRESS 19-6-11+MgO+Fe (5-6 MESES) SACO 25 KG"/>
    <s v="300"/>
    <s v="MOJADO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5534"/>
    <s v="D"/>
    <d v="2023-02-22T00:00:00"/>
    <n v="22023001547"/>
    <s v="2023 07 1711 214"/>
    <n v="224.49"/>
    <x v="468"/>
    <s v="IADBLUE 10L / FUSIBLE DIODO / ACEITE URANIA  5W30  URANIA 5000 / Terminal batería standard + / Terminal batería standard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5562"/>
    <s v="D"/>
    <d v="2023-02-22T00:00:00"/>
    <n v="22023002181"/>
    <s v="2023 06 3232 212"/>
    <n v="63.02"/>
    <x v="491"/>
    <s v="TUBO EVACUACION Ø 110 &quot;&quot;B&quot;&quot; 3 ML. ENCOLAR / E.RAPIDO MANGUERA 15 GARDENA / E.RAPIDO MANGUERA 20 GARDENA / LANZA RIEGO REGU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023"/>
    <s v="AD"/>
    <d v="2023-02-03T00:00:00"/>
    <n v="22023001644"/>
    <s v="2023 06 2315 22611"/>
    <n v="1270.58"/>
    <x v="492"/>
    <s v="ACTIVIDADES DE ESCRITURA CREATIVA Y LECTUR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922"/>
    <s v="AD"/>
    <d v="2023-02-03T00:00:00"/>
    <n v="22023000256"/>
    <s v="2023 06 2315 22611"/>
    <n v="7250.32"/>
    <x v="493"/>
    <s v="DISEÑO, MAQUETACIÓN Y ADAPTACIÓN A REDES DEL BOLETÍN DEL CMI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51"/>
    <s v="D"/>
    <d v="2023-02-22T00:00:00"/>
    <n v="22023002181"/>
    <s v="2023 06 3232 212"/>
    <n v="1192.6400000000001"/>
    <x v="469"/>
    <s v="C.P. FRAY L. DE LEON // CP JOSE ZORRILLA // C.P. LEON FELIPE //  ENERO"/>
    <s v="300"/>
    <s v="VALDELAFUENTE"/>
    <s v="LEON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591"/>
    <s v="AD"/>
    <d v="2023-02-08T00:00:00"/>
    <n v="22023002175"/>
    <s v="2023 06 2315 22611"/>
    <n v="459.8"/>
    <x v="493"/>
    <s v="TALLERES LA NIÑA Y LA MUJER EN LA CIENCIA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502"/>
    <s v="D"/>
    <d v="2023-02-22T00:00:00"/>
    <n v="22023001468"/>
    <s v="2023 10 2312 212"/>
    <n v="52.97"/>
    <x v="469"/>
    <s v="MANT. SUMINISTRO DE MATERIAL PARA REPARACIONES DEL CPM Z. SUR 38.15 Y Z.ESTE 14,82 - DURA 1 DIA"/>
    <s v="300"/>
    <s v="VALDELAFUENTE"/>
    <s v="LEON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7173"/>
    <s v="AD"/>
    <d v="2023-03-02T00:00:00"/>
    <n v="22023003002"/>
    <s v="2023 06 3231 22602"/>
    <n v="907.5"/>
    <x v="493"/>
    <s v="CTTO SERVICIOS ADAPTACIÓN CARTEL Y FOLLETO GENERAL EIM CURSO 2023-2024//1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5498"/>
    <s v="D"/>
    <d v="2023-02-22T00:00:00"/>
    <n v="22023002053"/>
    <s v="2023 07 1711 213"/>
    <n v="576.23"/>
    <x v="382"/>
    <s v="ALBARÁN OT/ 135973 DE 1 Y 2/02/2023 //REPARACIÓN EN TALLER DE CORTACÉSPED HONDA HRH536HXE REF.: MORERAS VALE Nº 1449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11681"/>
    <s v="AD"/>
    <d v="2023-03-28T00:00:00"/>
    <n v="22023003509"/>
    <s v="2023 11 1361 22199"/>
    <n v="78.17"/>
    <x v="494"/>
    <s v="Reparaciones de prendas y materiales; Servicio de Extinción de Incendios, Salvamento y Protección Civi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5404"/>
    <s v="AD"/>
    <d v="2023-02-22T00:00:00"/>
    <n v="22023002584"/>
    <s v="2023 06 2315 22611"/>
    <n v="1800"/>
    <x v="495"/>
    <s v="TALLER CENTRO MUNICIPAL DE LA IGUALDAD &quot;&quot;RESILIENCIA Y AUTOCUIDADO&quot;&quot; / 3 MESES 2023"/>
    <s v="220"/>
    <s v="PALENCIA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401"/>
    <s v="AD"/>
    <d v="2023-02-22T00:00:00"/>
    <n v="22023002537"/>
    <s v="2023 05 4331 204"/>
    <n v="676.36"/>
    <x v="470"/>
    <s v="ALQUILER BATERIA VEHICULO ELECTRICO TWIZY MATRICULA 2499HKJ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0"/>
    <s v="204"/>
  </r>
  <r>
    <n v="220219000639"/>
    <s v="AD"/>
    <d v="2023-01-01T00:00:00"/>
    <n v="22023003318"/>
    <s v="2023 06 2315 22619"/>
    <n v="15617.28"/>
    <x v="496"/>
    <s v="CONTRATO DE SERVICIOS DE GESTION Y DESARROLLO DE LAS ACTIVIDADES INFANTILES EN EP. DE VACACIONES ESCOLARES | 2022 Y 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619"/>
  </r>
  <r>
    <n v="220230005930"/>
    <s v="AD"/>
    <d v="2023-02-23T00:00:00"/>
    <n v="22023002750"/>
    <s v="2023 08 1532 22199"/>
    <n v="1100"/>
    <x v="497"/>
    <s v="Adquisición de agua mineral en garrafas para el Parque de Vías Públicas, durante el ejercicio 2023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99"/>
  </r>
  <r>
    <n v="220230005900"/>
    <s v="AD"/>
    <d v="2023-02-23T00:00:00"/>
    <n v="22023002688"/>
    <s v="2023 06 2315 22611"/>
    <n v="300"/>
    <x v="498"/>
    <s v="CONCIERTO 8 MARZO CON MOTIVO DEL DIA INTERNACIONAL DE LA MUJER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1"/>
    <s v="AD"/>
    <d v="2023-02-23T00:00:00"/>
    <n v="22023002691"/>
    <s v="2023 06 2315 22699"/>
    <n v="2500"/>
    <x v="336"/>
    <s v="MONTAJE Y DESMONTAJE DE LONAS EN LAS FACHADAS DE SAN BENITO Y AYTO EVENTOS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30005911"/>
    <s v="AD"/>
    <d v="2023-02-23T00:00:00"/>
    <n v="22023002583"/>
    <s v="2023 06 2315 22611"/>
    <n v="1000"/>
    <x v="499"/>
    <s v="REPRESENTACIÓN OBRA LAS MUJERES EN DELIBES DENTRO DE LAS ACTIVIDADES DE LA SEMANA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06"/>
    <s v="AD"/>
    <d v="2023-02-23T00:00:00"/>
    <n v="22023002696"/>
    <s v="2023 02 1511 22699"/>
    <n v="218.58"/>
    <x v="147"/>
    <s v="REPROGRAMACIÓN EN FUNCIÓN DE ESCANEANDO EN EQUIPO MULTIFUNCIÓN NUM.FC003378. CONFIGURACIÓN FOTOCOPIADO   CLX-9201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699"/>
  </r>
  <r>
    <n v="220230005915"/>
    <s v="AD"/>
    <d v="2023-02-23T00:00:00"/>
    <n v="22023002593"/>
    <s v="2023 06 2315 22611"/>
    <n v="1000"/>
    <x v="500"/>
    <s v="TALLER CENTRO CIVICO PANDERETERAS Y PANDERERAS - PROTAGONISTAS DE LA TRADICION CYL / 14 MARZO 2023"/>
    <s v="220"/>
    <s v="SAN MIGUEL DEL ARROY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135"/>
    <s v="D"/>
    <d v="2023-02-23T00:00:00"/>
    <n v="22023002181"/>
    <s v="2023 06 3232 212"/>
    <n v="29.37"/>
    <x v="358"/>
    <s v="ALONSO BERRUGUETE // PUNTERA CEMBRE PKE1612 16.0MM L=12 BLANCA / MT TUBO GEWISS ¤DX25720 RKB M20 GRIS /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907"/>
    <s v="AD"/>
    <d v="2023-02-23T00:00:00"/>
    <n v="22023002704"/>
    <s v="2023 06 3232 22103"/>
    <n v="3150"/>
    <x v="12"/>
    <s v="CTTO SUMINISTRO PELLETS CALDERA BIOMASA DEL CEIP NUESTRA SEÑORA DEL DUERO//2 MESES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103"/>
  </r>
  <r>
    <n v="220230005904"/>
    <s v="AD"/>
    <d v="2023-02-23T00:00:00"/>
    <n v="22023002692"/>
    <s v="2023 07 1701 22699"/>
    <n v="74.290000000000006"/>
    <x v="292"/>
    <s v="Carteles y folletos campaña concienciación del uso de la escombrera. Plazo 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1993"/>
    <s v="AD"/>
    <d v="2023-02-03T00:00:00"/>
    <n v="22023001602"/>
    <s v="2023 06 3321 22799"/>
    <n v="900"/>
    <x v="501"/>
    <s v="CTTO SERVICIOS REALIZACIÓN 6 TALLERES PARA LA CELEBRACIÓN DEL DÍA INTERN DE LA MUJER Y LA NIÑA EN LA Cª//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6760"/>
    <s v="AD"/>
    <d v="2023-03-01T00:00:00"/>
    <n v="22023002768"/>
    <s v="2023 10 2312 22699"/>
    <n v="200"/>
    <x v="502"/>
    <s v="CENTROS FLORALES, 3 UNIDADES PARA IMNAGURACION DEL CENTRO DE VIDA ACTIVA PARQUESOL EN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2083"/>
    <s v="AD"/>
    <d v="2023-02-06T00:00:00"/>
    <n v="22023002086"/>
    <s v="2023 06 3261 22799"/>
    <n v="6000"/>
    <x v="503"/>
    <s v="TALLERES/VISITAS RECURSOS PATRIMONIALES DE NUESTRA CIUDAD PARA CENTROS EDUCATIVOS Y DE ADULTOS. ENERO A JUNIO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875"/>
    <s v="AD"/>
    <d v="2023-01-01T00:00:00"/>
    <n v="22023002062"/>
    <s v="2023 06 2315 22611"/>
    <n v="500"/>
    <x v="504"/>
    <s v="TALLER DE ARTESANIA TEXTIL EN EL CENTRO MUNICIPAL DE LA IGUALDAD"/>
    <s v="220"/>
    <s v="TABERNA DE CERRATO"/>
    <s v="P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7"/>
    <s v="AD"/>
    <d v="2023-02-23T00:00:00"/>
    <n v="22023002669"/>
    <s v="2023 06 2315 22611"/>
    <n v="7018"/>
    <x v="505"/>
    <s v="ACTUACION DIA INTERNACIONAL DE LA MUJER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7"/>
    <s v="AD"/>
    <d v="2023-03-21T00:00:00"/>
    <n v="22023003463"/>
    <s v="2023 06 3321 22199"/>
    <n v="609.48"/>
    <x v="506"/>
    <s v="CTTO SUMINISTRO CAJAS EMBALAJE PARA MUDANZA LIBROS A LA NUEVA BIBLIOTECA PARQUESOL.MARZO 2023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06127"/>
    <s v="D"/>
    <d v="2023-02-23T00:00:00"/>
    <n v="22023001607"/>
    <s v="2023 08 1532 210"/>
    <n v="6953.45"/>
    <x v="181"/>
    <s v="ALBARAN: AV22/06230 F: 18/11/2022 / MARTILLO PERF.GBH 12-52  DV BOSCH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137"/>
    <s v="D"/>
    <d v="2023-02-23T00:00:00"/>
    <n v="22023002181"/>
    <s v="2023 06 3232 212"/>
    <n v="219"/>
    <x v="217"/>
    <s v="CP ENTRE RIOS // CUERDA EHL POLIPR 4MMX20 MT VD/BL / EXPERT SDS PLUS-7X (ARMADO): 12 X 150 X 215 / EXPERT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6130"/>
    <s v="D"/>
    <d v="2023-02-23T00:00:00"/>
    <n v="22023002185"/>
    <s v="2023 06 3231 212"/>
    <n v="44"/>
    <x v="217"/>
    <s v="RUEDA SIRVEX 1-0130 GIR. ESPIGA LISA // ESCUELAS INFANTILES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2021"/>
    <s v="AD"/>
    <d v="2023-02-03T00:00:00"/>
    <n v="22023001699"/>
    <s v="2023 06 3261 22699"/>
    <n v="1028.5"/>
    <x v="507"/>
    <s v="CTTO SUMINISTRO MARCAPÁGINAS, CARTELERÍA, DÍPTICOS... PARA DIFUSIÓN DE VARIOS EVENTOS EDUCATIVO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935"/>
    <s v="AD"/>
    <d v="2023-02-03T00:00:00"/>
    <n v="22023001349"/>
    <s v="2023 11 1321 22699"/>
    <n v="1452"/>
    <x v="507"/>
    <s v="ELABORACIÓN DE CARTELERÍA PARA JEFATURA Y DISTRITOS DE POLICÍA MUNICIPAL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397"/>
    <s v="AD"/>
    <d v="2023-02-22T00:00:00"/>
    <n v="22023002475"/>
    <s v="2023 05 4331 22799"/>
    <n v="290.39999999999998"/>
    <x v="507"/>
    <s v="EMISIÓN DISTINTIVOS DE VEHÍCULO ELÉCTRICO, CATEGORÍA VELID. MAQUETACIÓN E IMPRESIÓN DE LOS MISMOS Y ENTREGA EN LA AI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735"/>
    <s v="AD"/>
    <d v="2023-03-01T00:00:00"/>
    <n v="22023002648"/>
    <s v="2023 10 2312 22699"/>
    <n v="103.15"/>
    <x v="507"/>
    <s v="LONA ROLLON-UP PARA EL  CENTRO DE VIDA ACTIVA PARQUESOL- INICITIVAS SOCIALES- FEBRERO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7157"/>
    <s v="AD"/>
    <d v="2023-03-02T00:00:00"/>
    <n v="22023002874"/>
    <s v="2023 03 9241 22602"/>
    <n v="476.44"/>
    <x v="507"/>
    <s v="CARTELES MUPPYS COLOR : INFO ASAMBLEAS Y VOTACIONES PPTOS. PARTICIPATIV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186"/>
    <s v="AD"/>
    <d v="2023-03-13T00:00:00"/>
    <n v="22023002908"/>
    <s v="2023 03 9241 22602"/>
    <n v="213.44"/>
    <x v="507"/>
    <s v="IMPRESIÓN DE 100 TRÍPTICOS PROGRAMACIÓN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12"/>
    <s v="AD"/>
    <d v="2023-03-21T00:00:00"/>
    <n v="22023003507"/>
    <s v="2023 03 9241 22602"/>
    <n v="446.61"/>
    <x v="507"/>
    <s v="PAPELETAS PARA VOTACIONES PRESUPUESTOS PARTICIPATIVOS 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4"/>
    <s v="AD"/>
    <d v="2023-03-21T00:00:00"/>
    <n v="22023003457"/>
    <s v="2023 06 3231 22602"/>
    <n v="635.25"/>
    <x v="507"/>
    <s v="CTTO SUMINISTRO MUPIS 120 X 175 cm IMPRESOS 4/0 PARA PUBLICITAR PROCESO ESCOLARIZACIÓN DE EIM DEL CURSO 23-24//1 SEMAN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2"/>
    <s v="22602"/>
  </r>
  <r>
    <n v="220230009481"/>
    <s v="AD"/>
    <d v="2023-03-21T00:00:00"/>
    <n v="22023003435"/>
    <s v="2023 06 3321 22199"/>
    <n v="1500"/>
    <x v="507"/>
    <s v="CTTO SERVICIOS CARTELERÍA DESARROLLO II PLAN MUNICIPAL DE LECTURA DE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199"/>
  </r>
  <r>
    <n v="220230011682"/>
    <s v="AD"/>
    <d v="2023-03-28T00:00:00"/>
    <n v="22023003536"/>
    <s v="2023 06 2315 22611"/>
    <n v="200.1"/>
    <x v="507"/>
    <s v="IMPRESIÓN ROLL-UP &quot;&quot;QUEERGRESO&quot;&quot; / 23 Y 24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8"/>
    <s v="AD"/>
    <d v="2023-03-29T00:00:00"/>
    <n v="22023003567"/>
    <s v="2023 06 2314 22613"/>
    <n v="1655.28"/>
    <x v="507"/>
    <s v="PANELES EXPOSITIVO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893"/>
    <s v="AD"/>
    <d v="2023-02-17T00:00:00"/>
    <n v="22023002519"/>
    <s v="2023 07 1721 22112"/>
    <n v="6292"/>
    <x v="508"/>
    <s v="MANTENIMIENTO Y MATERIAL PARA EL EQUIPO AQUAPURA DEL LABORATORIO DE LA RED"/>
    <s v="220"/>
    <s v="MADRID"/>
    <s v="MADRID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3235"/>
    <s v="AD"/>
    <d v="2023-02-14T00:00:00"/>
    <n v="22023002309"/>
    <s v="2023 07 1711 22106"/>
    <n v="600"/>
    <x v="509"/>
    <s v="PRODUCTOS FARMACÉUITICOS 2023"/>
    <s v="220"/>
    <s v="VALLADOLID"/>
    <s v="VALLADOLID"/>
    <x v="3"/>
    <s v="AdDirec - Adjudicación Directa"/>
    <s v="SinC - Sin Criterio"/>
    <x v="3"/>
    <x v="0"/>
    <s v="2"/>
    <s v="2. Gastos corrientes en bienes y servicios"/>
    <s v="07"/>
    <x v="4"/>
    <s v="1711"/>
    <s v="1711. Parques y jardines"/>
    <s v="22"/>
    <s v="22106"/>
  </r>
  <r>
    <n v="220230006406"/>
    <s v="AD"/>
    <d v="2023-02-28T00:00:00"/>
    <n v="22023002574"/>
    <s v="2023 11 1361 22199"/>
    <n v="62"/>
    <x v="509"/>
    <s v="LIMONADA ALCALINA Y VENDAS ELÁSTICA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554"/>
    <s v="AD"/>
    <d v="2023-02-28T00:00:00"/>
    <n v="22023001655"/>
    <s v="2023 04 3121 22106"/>
    <n v="16000"/>
    <x v="509"/>
    <s v="SUMINISTRO DE MEDICAMENTOS PARA EL SERVICIO DE PREVENCION Y SALUD LABORAL"/>
    <s v="220"/>
    <s v="VALLADOLID"/>
    <s v="VALLADOLID"/>
    <x v="3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06"/>
  </r>
  <r>
    <n v="220230011738"/>
    <s v="AD"/>
    <d v="2023-03-29T00:00:00"/>
    <n v="22023003543"/>
    <s v="2023 11 1361 22199"/>
    <n v="416"/>
    <x v="509"/>
    <s v="1.000 mascarillas FFP2 para las intervenciones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8"/>
    <s v="AD"/>
    <d v="2023-02-03T00:00:00"/>
    <n v="22023001328"/>
    <s v="2023 01 9205 22199"/>
    <n v="7253.95"/>
    <x v="510"/>
    <s v="ADJUDICA SUMINISTRO TINTAS OFFSETY OTROS MATERIALES PARA TRABAJOS DE IMPRENTA -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30"/>
    <s v="AD"/>
    <d v="2023-02-03T00:00:00"/>
    <n v="22023000190"/>
    <s v="2023 05 4331 22799"/>
    <n v="6534"/>
    <x v="511"/>
    <s v="ORGANIZACION DE I JORNADAS DE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0038"/>
    <s v="AD"/>
    <d v="2023-01-01T00:00:00"/>
    <n v="22023000525"/>
    <s v="2023 03 9241 213"/>
    <n v="6451.91"/>
    <x v="462"/>
    <s v="LOTE 1: MANTENIMIENTO CALEFACCIÓN Y CLIMATIZACIÓN EDIFICIOS DEPENDIENTES SERVICIO PARTICIPACIÓN CIUDADANA"/>
    <s v="220"/>
    <s v="VALLADOLID"/>
    <s v="MADR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2018"/>
    <s v="AD"/>
    <d v="2023-02-03T00:00:00"/>
    <n v="22023001510"/>
    <s v="2023 03 9241 213"/>
    <n v="4140.2700000000004"/>
    <x v="462"/>
    <s v="REPARACIONES EN SISTEMAS DE CALEFACCIÓN CENTROS SPC, SEGÚN PPTOS. APROBADOS DEL 157 AL 161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89"/>
    <s v="AD"/>
    <d v="2023-02-17T00:00:00"/>
    <n v="22023002471"/>
    <s v="2023 03 9241 213"/>
    <n v="328.85"/>
    <x v="462"/>
    <s v="SUM. E INST. DE VÁLVULA MARIPOSA EN CC ESGUEVA Y DE VÁLVULA DE LLENADO AUT. Y JUNTAS EN CIC EMPECINADO. PPTOS. 163 Y 164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125"/>
    <s v="D"/>
    <d v="2023-02-23T00:00:00"/>
    <n v="22023001608"/>
    <s v="2023 08 1532 214"/>
    <n v="180"/>
    <x v="366"/>
    <s v="MATRÍCULA: 9992FVL //CUB 205/55R16 91V EFF PER 2 GOODYEAR / NFU N2 / MONTAJE+EQUILIBRADO+VALVULA TURISMO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3788"/>
    <s v="AD"/>
    <d v="2023-02-17T00:00:00"/>
    <n v="22023002470"/>
    <s v="2023 03 9241 213"/>
    <n v="1444.74"/>
    <x v="462"/>
    <s v="SUM. E INST. CUADRO ELÉCTRICO MANIOBRA MANUAL DE ENFRIADORAS CC PARQUESOL, SEGÚN PPTO. APROBADO Nº 16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3790"/>
    <s v="AD"/>
    <d v="2023-02-17T00:00:00"/>
    <n v="22023002472"/>
    <s v="2023 03 9241 213"/>
    <n v="1559.14"/>
    <x v="462"/>
    <s v="SUM E INST COLECTOR SUELO RADIANTE EN CC PARQUESOL Y 2 RADIADORES ALUMINIO EN CIC EMPECINADO. SEGÚN PPTOS. 165 Y 166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4422"/>
    <s v="ADO"/>
    <d v="2023-02-21T00:00:00"/>
    <n v="22023002490"/>
    <s v="2023 03 9241 213"/>
    <n v="387.27"/>
    <x v="462"/>
    <s v="SUMINISTRO REGULADOR Y FILTRO DE GAS CC ESGUEVA SEGUN PRESUPUESTO Nº 1726/156/22 DE FECHA 09/11/2022"/>
    <s v="24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9501"/>
    <s v="AD"/>
    <d v="2023-03-21T00:00:00"/>
    <n v="22023003420"/>
    <s v="2023 03 9241 213"/>
    <n v="6966.76"/>
    <x v="462"/>
    <s v="COMPRESOR Y CARGA DE REFRIGERANTE EN CC PARQUESOL (PPTO 168) Y SUSTITUCIÓN TERMOSTATO CM LA OVERUELA (PPTO. 167)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13"/>
    <s v="D"/>
    <d v="2023-02-24T00:00:00"/>
    <n v="22023001469"/>
    <s v="2023 11 1631 214"/>
    <n v="1034.99"/>
    <x v="97"/>
    <s v="REPARACION EQUIPO LAVADO FURGON 1307 KMD/COLLARINES/PISTON/MANGUERA CRISTAL REFORZADA.../ 23-2020 / LIMPIEZA VIARI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1"/>
    <s v="D"/>
    <d v="2023-02-24T00:00:00"/>
    <n v="22023001462"/>
    <s v="2023 11 1621 214"/>
    <n v="2724.91"/>
    <x v="418"/>
    <s v="TIJERA ELECTRICISTA BGS/FILTRO ACEITE BOSCH/FILTRO COMBUSTIBLE MANN/FILTRO AIR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7"/>
    <s v="D"/>
    <d v="2023-02-24T00:00:00"/>
    <n v="22023001462"/>
    <s v="2023 11 1621 214"/>
    <n v="1212.29"/>
    <x v="418"/>
    <s v="PASTILLA FRENO R.H *SX* / AVISADOR FRENO IVECO DAILY / AVISADOR FRENO IVECO DAILY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400"/>
    <s v="AD"/>
    <d v="2023-02-24T00:00:00"/>
    <n v="22023002668"/>
    <s v="2023 05 4331 22799"/>
    <n v="12500"/>
    <x v="512"/>
    <s v="SERVICIOS DE TRADUCCION, EDICION, REVISION DE DOCUMENTOS Y TRADUCCION SIMULTANEA. AÑO HASTA DIC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6291"/>
    <s v="D"/>
    <d v="2023-02-24T00:00:00"/>
    <n v="22023001459"/>
    <s v="2023 11 1621 214"/>
    <n v="300.08"/>
    <x v="513"/>
    <s v="REPARACION BALLESTAS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3"/>
    <s v="D"/>
    <d v="2023-02-24T00:00:00"/>
    <n v="22023001462"/>
    <s v="2023 11 1621 214"/>
    <n v="81.540000000000006"/>
    <x v="358"/>
    <s v="SELECTOR SE ZB4-BD5  3POS.MANETA CORTA / CAMARA C SE ZB4-BZ103 2NA // 0848BVS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6"/>
    <s v="D"/>
    <d v="2023-02-24T00:00:00"/>
    <n v="22023001462"/>
    <s v="2023 11 1621 214"/>
    <n v="65.7"/>
    <x v="358"/>
    <s v="SERVICIO LIMPIEZA // DETECTOR SE XS5-30B1PAL2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1"/>
    <s v="D"/>
    <d v="2023-02-24T00:00:00"/>
    <n v="22023001462"/>
    <s v="2023 11 1621 214"/>
    <n v="46.63"/>
    <x v="358"/>
    <s v="BOTONERA SE XAL-K178 SETA EMERG. TTR // 7419LDY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5"/>
    <s v="D"/>
    <d v="2023-02-24T00:00:00"/>
    <n v="22023001466"/>
    <s v="2023 11 1621 22199"/>
    <n v="25.98"/>
    <x v="358"/>
    <s v="CONMUTADOR SE U5.203.18 C/BASTIDOR / BASE 2P+T LEGRAND 69733 SUP.GR PLEXO / CLAVIJ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77"/>
    <s v="D"/>
    <d v="2023-02-24T00:00:00"/>
    <n v="22023001578"/>
    <s v="2023 11 3111 22199"/>
    <n v="5.46"/>
    <x v="358"/>
    <s v="DEPOSITO CANINO // CINTA SCOTCH 3M Nº23 BULK HC00058881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6340"/>
    <s v="D"/>
    <d v="2023-02-24T00:00:00"/>
    <n v="22023001459"/>
    <s v="2023 11 1621 214"/>
    <n v="894.73"/>
    <x v="359"/>
    <s v="TOTAL TRABAJOS OPERACION M1 0373GTW / TOTAL PIEZAS / ANEXO DETALLE FTM000008163.../ 23-2020 / 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3"/>
    <s v="D"/>
    <d v="2023-02-24T00:00:00"/>
    <n v="22023001459"/>
    <s v="2023 11 1621 214"/>
    <n v="879.13"/>
    <x v="359"/>
    <s v="ALB. 0026845 MAT. 2515FXC: 690,26 ALB. 0026871 TAPACUBOS: 36,29 SE ADJUNTA ALBARANES.../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9"/>
    <s v="D"/>
    <d v="2023-02-24T00:00:00"/>
    <n v="22023001459"/>
    <s v="2023 11 1621 214"/>
    <n v="152.57"/>
    <x v="359"/>
    <s v="TOTAL TRABAJOS REPARACION MATRICULA 2515FXC / ANEXO DETALLE FTP000019850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7"/>
    <s v="D"/>
    <d v="2023-02-24T00:00:00"/>
    <n v="22023001459"/>
    <s v="2023 11 1621 214"/>
    <n v="146.91999999999999"/>
    <x v="359"/>
    <s v="TOTAL TRABAJOS REPARACION MATRICULA 0373GTW / ANEXO DETALLE FTP000019869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5"/>
    <s v="D"/>
    <d v="2023-02-24T00:00:00"/>
    <n v="22023001459"/>
    <s v="2023 11 1621 214"/>
    <n v="1475.33"/>
    <x v="360"/>
    <s v="TA23 17 REPARACION 9049-KVH // KMS.97604 METER EASY PARA VER AVERIAS, HACER PRU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1"/>
    <s v="D"/>
    <d v="2023-02-24T00:00:00"/>
    <n v="22023001459"/>
    <s v="2023 11 1621 214"/>
    <n v="1024.9100000000001"/>
    <x v="360"/>
    <s v="TA23 77 REPARACION 8080-CCV/SUSTITUIR PARAGOLPES, CAPO Y ALETA DERECHA, ENDEREZAR SOP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3"/>
    <s v="ADO"/>
    <d v="2023-02-24T00:00:00"/>
    <n v="22023002635"/>
    <s v="2023 11 1631 22103"/>
    <n v="744.69"/>
    <x v="94"/>
    <s v="USO TARJETA CEPSA // 2453-FZB-3855-GLG-SOPLADOR1-2-3- 3247-KGK-2947-KGK-5593-LBJ // DICIEMBRE-2022"/>
    <s v="24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30006315"/>
    <s v="D"/>
    <d v="2023-02-24T00:00:00"/>
    <n v="22023001459"/>
    <s v="2023 11 1621 214"/>
    <n v="941.11"/>
    <x v="360"/>
    <s v="TA23 94 REPARACION 3456-BCS/D-M CAJA CAMBIOS PARA SUSTITUIR EMBRAGUE/SUSTITUIR BOMB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97"/>
    <s v="D"/>
    <d v="2023-02-24T00:00:00"/>
    <n v="22023001459"/>
    <s v="2023 11 1621 214"/>
    <n v="40.840000000000003"/>
    <x v="360"/>
    <s v="TA23 35 REP E-3465-BGW/KMS.53442 REV.AVERIAS ELECTRICAS DE VENTILADOR Y TECLA CEPILLOS0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7"/>
    <s v="D"/>
    <d v="2023-02-24T00:00:00"/>
    <n v="22023001473"/>
    <s v="2023 11 1631 214"/>
    <n v="4914.5200000000004"/>
    <x v="514"/>
    <s v="CEGUI/210600004 - CITY CAT 5000 CEPILLO LATERAL MEZCLA / CEGUI/210600014 - 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87"/>
    <s v="D"/>
    <d v="2023-02-24T00:00:00"/>
    <n v="22023001473"/>
    <s v="2023 11 1631 214"/>
    <n v="3415.7"/>
    <x v="514"/>
    <s v="CEGUI/210600014 - RAVO CEPILLO LATERAL NYLON-ACERO TRENZADO / CEGUI/210600003 - CITY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5"/>
    <s v="D"/>
    <d v="2023-02-24T00:00:00"/>
    <n v="22023001462"/>
    <s v="2023 11 1621 214"/>
    <n v="1650.14"/>
    <x v="514"/>
    <s v="4459KLP/DIESE/462099-SENSOR D NIVEL DE ACEITE 15X7X3-(4976-HSK)ASPOC/40209113-TULIP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4"/>
    <s v="D"/>
    <d v="2023-02-24T00:00:00"/>
    <n v="22023001462"/>
    <s v="2023 11 1621 214"/>
    <n v="1612"/>
    <x v="514"/>
    <s v="(6015-DXW) / JURID/2913109560 - PASTILLAS V.I. JUEGO / RYME/10207F - AVISADOR  ELSA22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5"/>
    <s v="D"/>
    <d v="2023-02-24T00:00:00"/>
    <n v="22023001462"/>
    <s v="2023 11 1621 214"/>
    <n v="937.57"/>
    <x v="514"/>
    <s v="TEXTO/ - 0432KMP / SWF/132705 - DAS ORIGINAL TRUCKS MB -SCANIA VOLVO / TEXTO/ - 5297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89"/>
    <s v="D"/>
    <d v="2023-02-24T00:00:00"/>
    <n v="22023001462"/>
    <s v="2023 11 1621 214"/>
    <n v="917.25"/>
    <x v="514"/>
    <s v="0120GJY/DIESE/773125 ESPEJO PRINCIPAL 95X50X28/BOSCH/0281004107SENSOR OXIGENO 4848GZT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23"/>
    <s v="D"/>
    <d v="2023-02-24T00:00:00"/>
    <n v="22023001462"/>
    <s v="2023 11 1621 214"/>
    <n v="802.29"/>
    <x v="514"/>
    <s v="DIESE/653009 - BARRA DE ACOPLAMIENTO 175X9X12 / TEXTO/ - 0755-DWR / TEXTO/ - 9049-K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47"/>
    <s v="D"/>
    <d v="2023-02-24T00:00:00"/>
    <n v="22023001465"/>
    <s v="2023 11 1621 22110"/>
    <n v="392.04"/>
    <x v="170"/>
    <s v="J720943 / RADIAL HIKOKI G18DSL2WUZ 2X5AH / PORTES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243"/>
    <s v="D"/>
    <d v="2023-02-24T00:00:00"/>
    <n v="22023001466"/>
    <s v="2023 11 1621 22199"/>
    <n v="203.55"/>
    <x v="170"/>
    <s v="TABLERO CORCHO 90X60CM / KIT FORESTAL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85"/>
    <s v="D"/>
    <d v="2023-02-24T00:00:00"/>
    <n v="22023001464"/>
    <s v="2023 11 1621 22104"/>
    <n v="174.19"/>
    <x v="170"/>
    <s v="BOTA PVC NITRILO -S5- VERDE / BOTA PVC NITRILO -S5- VERDE / BOTA PVC NITRILO -S5- VE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283"/>
    <s v="D"/>
    <d v="2023-02-24T00:00:00"/>
    <n v="22023001464"/>
    <s v="2023 11 1621 22104"/>
    <n v="48.29"/>
    <x v="170"/>
    <s v="ZAPATO ACEBO FRESH S3 MF Nº49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6176"/>
    <s v="D"/>
    <d v="2023-02-24T00:00:00"/>
    <n v="22023002297"/>
    <s v="2023 11 1361 213"/>
    <n v="3839.67"/>
    <x v="515"/>
    <s v="CONTRATO PREST SERV MANT CONSERV MÁQUINAS, EQUIPOS, HERRAM Y MATER 7 ; LOTE 3: MANT PREV PUERTAS SECC Y CORRED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7"/>
    <s v="D"/>
    <d v="2023-02-24T00:00:00"/>
    <n v="22023002302"/>
    <s v="2023 11 1361 213"/>
    <n v="1300.75"/>
    <x v="220"/>
    <s v="CONTRATO PREST SERV MANT CONSERV MÁQUINAS, EQUIPOS, HERRAM Y MATER 7 ; LOTE 6: MANT PREV GIMNASIO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8"/>
    <s v="D"/>
    <d v="2023-02-24T00:00:00"/>
    <n v="22023002308"/>
    <s v="2023 11 1361 213"/>
    <n v="1497.38"/>
    <x v="148"/>
    <s v="CONTRATO PREST SER MANT CONSERV MÁQU,EQUIPOS,HERRAM Y MATER 7/LOTE 7:MANT PREVENTIVO EXTINTORES PORTATILES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6179"/>
    <s v="D"/>
    <d v="2023-02-24T00:00:00"/>
    <n v="22023001520"/>
    <s v="2023 10 2312 22799"/>
    <n v="169576.75"/>
    <x v="53"/>
    <s v="Contrato gestión Centro Ocupacional de 15 febrero 2023 a 14 febrero 2026 - anualidad 2023 de 15 febrero a 31 diciembre."/>
    <s v="30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6333"/>
    <s v="D"/>
    <d v="2023-02-24T00:00:00"/>
    <n v="22023001459"/>
    <s v="2023 11 1621 214"/>
    <n v="2541.08"/>
    <x v="427"/>
    <s v="1375LMR/CAMBIAR FILTRO ACEITE CAJA CAMBIOS ALISON / KIT REPARA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1"/>
    <s v="D"/>
    <d v="2023-02-24T00:00:00"/>
    <n v="22023001459"/>
    <s v="2023 11 1621 214"/>
    <n v="868.24"/>
    <x v="427"/>
    <s v="OR: 10749 - MATRICULA: 0432KMP / SENSOR NOX ( 2294290 ).../ 23-2020 / SERVICIO DE LIMPIEZA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31"/>
    <s v="D"/>
    <d v="2023-02-24T00:00:00"/>
    <n v="22023001459"/>
    <s v="2023 11 1621 214"/>
    <n v="78.819999999999993"/>
    <x v="427"/>
    <s v="OR: 10806 - MATRICULA: 0432KMP / MANDO ( 1498838 ).../ 23-2020 / SERVICIO DE LIMPIEZA."/>
    <s v="300"/>
    <s v="FUENSALDAÑA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9"/>
    <s v="D"/>
    <d v="2023-02-24T00:00:00"/>
    <n v="22023001474"/>
    <s v="2023 11 1631 22104"/>
    <n v="97.76"/>
    <x v="181"/>
    <s v="ALBARAN: AV22/06809 F: 21/12/2022 / ZAPATO T.SERRAJE AZUL MARINO BRUSONI S1 P T-39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53"/>
    <s v="D"/>
    <d v="2023-02-24T00:00:00"/>
    <n v="22023001474"/>
    <s v="2023 11 1631 22104"/>
    <n v="66.19"/>
    <x v="181"/>
    <s v="ALBARAN: AV23/00034 F: 05/01/2023 / BOTA YOUTH S3 SRC T-41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04"/>
  </r>
  <r>
    <n v="220230006225"/>
    <s v="D"/>
    <d v="2023-02-24T00:00:00"/>
    <n v="22023001466"/>
    <s v="2023 11 1621 22199"/>
    <n v="7.53"/>
    <x v="177"/>
    <s v="BT-L-120 - TERMOSTATO DE CONTACTO NC 120ºC 10A 240V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49"/>
    <s v="D"/>
    <d v="2023-02-24T00:00:00"/>
    <n v="22023001461"/>
    <s v="2023 11 1621 213"/>
    <n v="136.35"/>
    <x v="381"/>
    <s v="STIHL ACEITE HP SUPER 5L 7813198055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3"/>
  </r>
  <r>
    <n v="220230006255"/>
    <s v="D"/>
    <d v="2023-02-24T00:00:00"/>
    <n v="22023001466"/>
    <s v="2023 11 1621 22199"/>
    <n v="90.39"/>
    <x v="381"/>
    <s v="MANDO DISTANCIA SR-48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1703"/>
    <s v="AD"/>
    <d v="2023-03-29T00:00:00"/>
    <n v="22023003611"/>
    <s v="2023 03 9241 213"/>
    <n v="812.1"/>
    <x v="462"/>
    <s v="MATERIALES PARA REPARACIONES CALEFACCIÓN CC CANAL DE CASTILLA Y CC RONDILLA SEGÚN PPTOS. APROBADOS 170 Y 172"/>
    <s v="220"/>
    <s v="VALLADOLID"/>
    <s v="MADR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6354"/>
    <s v="D"/>
    <d v="2023-02-24T00:00:00"/>
    <n v="22023001476"/>
    <s v="2023 11 1631 22199"/>
    <n v="292.70999999999998"/>
    <x v="217"/>
    <s v="COPIA LLAVE NORMAL / CERRADURA AGA 135 C-40 CROMADO / CERRADURA KEYA 201342 CR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1"/>
    <s v="D"/>
    <d v="2023-02-24T00:00:00"/>
    <n v="22023001476"/>
    <s v="2023 11 1631 22199"/>
    <n v="46.15"/>
    <x v="217"/>
    <s v="AMBIENTADOR ELECTRICO AMIBIPUR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57"/>
    <s v="D"/>
    <d v="2023-02-24T00:00:00"/>
    <n v="22023001476"/>
    <s v="2023 11 1631 22199"/>
    <n v="24.21"/>
    <x v="217"/>
    <s v="COPIA LLAVE NORMAL / COPIA LLAVE NORMA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19"/>
    <s v="D"/>
    <d v="2023-02-24T00:00:00"/>
    <n v="22023001462"/>
    <s v="2023 11 1621 214"/>
    <n v="329.88"/>
    <x v="438"/>
    <s v="ALB: 23-200139 PED: 23-000236-1020 S/PED: REPUESTOS TALLER / RACORD BARCELONA RED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03"/>
    <s v="D"/>
    <d v="2023-02-24T00:00:00"/>
    <n v="22023001466"/>
    <s v="2023 11 1621 22199"/>
    <n v="161.55000000000001"/>
    <x v="438"/>
    <s v="ALB: 22-237963 PED: 22-062091-1020 S/PED: REPUESTOS TALLER / RACORD BARCELONA B25 M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01"/>
    <s v="D"/>
    <d v="2023-02-24T00:00:00"/>
    <n v="22023001466"/>
    <s v="2023 11 1621 22199"/>
    <n v="136.29"/>
    <x v="438"/>
    <s v="ALB: 22-237845 PED: 22-061904-1104 S/PED:  / ABRAZADERA SUPER INOX 304 DN 68 - 73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69"/>
    <s v="D"/>
    <d v="2023-02-24T00:00:00"/>
    <n v="22023001476"/>
    <s v="2023 11 1631 22199"/>
    <n v="102.61"/>
    <x v="209"/>
    <s v="CLAVIJA 10-16A-250V DIAMETRO 4,8 CON TT LATERAL DE COLOR BLANCO / PANEL C.../ 36-2017 / LIMPIEZA VIARIA.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303"/>
    <s v="D"/>
    <d v="2023-02-24T00:00:00"/>
    <n v="22023001459"/>
    <s v="2023 11 1621 214"/>
    <n v="3153.8"/>
    <x v="442"/>
    <s v="6671KWD/H.M.O.DESM-MONT. CAJA CAMBIOS Y ACCESORIOS PARA SUST KIT EMBRAGUE, ROD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19"/>
    <s v="D"/>
    <d v="2023-02-24T00:00:00"/>
    <n v="22023001469"/>
    <s v="2023 11 1631 214"/>
    <n v="2752.51"/>
    <x v="442"/>
    <s v="TUBER.ACEITE PR/PLACA INTERMEDI/LUZ PLAFON/MANGUITO CAUCHO/CIERRE/CERRADUR/SOPORTE ABAJ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05"/>
    <s v="D"/>
    <d v="2023-02-24T00:00:00"/>
    <n v="22023001459"/>
    <s v="2023 11 1621 214"/>
    <n v="2005.5"/>
    <x v="442"/>
    <s v="7333LWL/EO,CAMBIO ACEITE-FILTRO/SUST FILTRO SECADOR/SUST FILTRO BLOW-BY REVISAR NIV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7"/>
    <s v="D"/>
    <d v="2023-02-24T00:00:00"/>
    <n v="22023001459"/>
    <s v="2023 11 1621 214"/>
    <n v="1192.6600000000001"/>
    <x v="442"/>
    <s v="0120GJY/REVISAR TESTIGO CUADRO, RESETEAR CENTRALITA, BORRAR FALLOS-PROBAR/ACC. A CENT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09"/>
    <s v="D"/>
    <d v="2023-02-24T00:00:00"/>
    <n v="22023001459"/>
    <s v="2023 11 1621 214"/>
    <n v="776.08"/>
    <x v="442"/>
    <s v="8500LRN/REVISAR PERDIDA AIRE, SUST.TUBERIAS FRENO DE MANO, POSICIONAR PARA QUE N ROCE.../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66"/>
    <s v="D"/>
    <d v="2023-02-24T00:00:00"/>
    <n v="22023001466"/>
    <s v="2023 11 1621 22199"/>
    <n v="759.05"/>
    <x v="445"/>
    <s v="1433749 (6460275) REMACHE FLOR 4.8x25 GESIPA / 9021-M 5 ZN ARAND.PL.ALA ANCH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11"/>
    <s v="D"/>
    <d v="2023-02-24T00:00:00"/>
    <n v="22023001466"/>
    <s v="2023 11 1621 22199"/>
    <n v="704.68"/>
    <x v="445"/>
    <s v="62303-2RS1/C3 RODAMIENTO BOLAS SKF / 607349 188.8 MANGO 1/4 CON CUADRADO MACHO 150 U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60"/>
    <s v="D"/>
    <d v="2023-02-24T00:00:00"/>
    <n v="22023001463"/>
    <s v="2023 11 1621 22103"/>
    <n v="3335.55"/>
    <x v="466"/>
    <s v="SASH-HIDROL-M 46 B-200L / APORTACION SIGAUS 200 LITROS / TOTAL RUBIA TIR 9900 FE 5W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9"/>
    <s v="D"/>
    <d v="2023-02-24T00:00:00"/>
    <n v="22023001463"/>
    <s v="2023 11 1621 22103"/>
    <n v="2326.1"/>
    <x v="466"/>
    <s v="SASH-HIDROL-M 46 B-200L / APORTACION SIGAUS 200 LITROS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62"/>
    <s v="D"/>
    <d v="2023-02-24T00:00:00"/>
    <n v="22023001463"/>
    <s v="2023 11 1621 22103"/>
    <n v="1621.4"/>
    <x v="466"/>
    <s v="ADBLUE A GRANEL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7"/>
    <s v="D"/>
    <d v="2023-02-24T00:00:00"/>
    <n v="22023001463"/>
    <s v="2023 11 1621 22103"/>
    <n v="1529.44"/>
    <x v="466"/>
    <s v="ADBLUE A GRANEL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235"/>
    <s v="D"/>
    <d v="2023-02-24T00:00:00"/>
    <n v="22023001463"/>
    <s v="2023 11 1621 22103"/>
    <n v="1456.54"/>
    <x v="466"/>
    <s v="AK-ADIGAS 6 CTN 25 L / KLINER FUNGY OIL B2B OPACA BLANCA 25L.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3"/>
  </r>
  <r>
    <n v="220230006358"/>
    <s v="D"/>
    <d v="2023-02-24T00:00:00"/>
    <n v="22023001462"/>
    <s v="2023 11 1621 214"/>
    <n v="580.79999999999995"/>
    <x v="466"/>
    <s v="DYNAMIC-GRASA DYNAKOTE EP-00 EC 18 K.../ 36-2017 / 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13"/>
    <s v="D"/>
    <d v="2023-02-24T00:00:00"/>
    <n v="22023001462"/>
    <s v="2023 11 1621 214"/>
    <n v="387.2"/>
    <x v="466"/>
    <s v="DYNAMIC-ANTICONGELANTE 3000 50% 185 K / .../ V36/2017 / SERVICIO DE LIMPIEZA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1"/>
    <s v="D"/>
    <d v="2023-02-24T00:00:00"/>
    <n v="22023001473"/>
    <s v="2023 11 1631 214"/>
    <n v="1294.78"/>
    <x v="468"/>
    <s v="TUBO PARA ALETAS / SOPORTE ALETA FIJACION DIRECTA / MICROINTERRUPTOR UNIVERS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17"/>
    <s v="D"/>
    <d v="2023-02-24T00:00:00"/>
    <n v="22023001462"/>
    <s v="2023 11 1621 214"/>
    <n v="1087"/>
    <x v="516"/>
    <s v="CAMBIO DE PANAL RADIADOR BARRERORA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59"/>
    <s v="D"/>
    <d v="2023-02-24T00:00:00"/>
    <n v="22023001476"/>
    <s v="2023 11 1631 22199"/>
    <n v="708"/>
    <x v="517"/>
    <s v="ESCOBIJO BARRENDERO CON MANGO 90MM  00001450 / BARRENDERO ROJO 520 5/F 520X65MM  AR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61"/>
    <s v="D"/>
    <d v="2023-02-24T00:00:00"/>
    <n v="22023001466"/>
    <s v="2023 11 1621 22199"/>
    <n v="534.83000000000004"/>
    <x v="517"/>
    <s v="PINTURA SPRAY 0.5 LT MARCAJE AMARILLO / PILA DURACELL MN21 12V ALCALINA A23/K23A L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199"/>
    <s v="D"/>
    <d v="2023-02-24T00:00:00"/>
    <n v="22023001466"/>
    <s v="2023 11 1621 22199"/>
    <n v="121.51"/>
    <x v="517"/>
    <s v="GANCHO GATILLO GIRATORIO AL 5.3TN / PUNTA 1/4 HEXAGONAL 8MM / ADAPTADOR PARA ATORNILLADOR 892/0...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180"/>
    <s v="AD"/>
    <d v="2023-03-13T00:00:00"/>
    <n v="22023002873"/>
    <s v="2023 11 1361 22199"/>
    <n v="275"/>
    <x v="518"/>
    <s v="Regalos para el día del niño de nuestro patrón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6346"/>
    <s v="D"/>
    <d v="2023-02-24T00:00:00"/>
    <n v="22023001462"/>
    <s v="2023 11 1621 214"/>
    <n v="4843.9399999999996"/>
    <x v="519"/>
    <s v="ROTULA PARA ARTICULACION DEL BASTIDOR / ANILLO DISTANCIADOR / TUERCA RAVO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31"/>
    <s v="D"/>
    <d v="2023-02-24T00:00:00"/>
    <n v="22023001475"/>
    <s v="2023 11 1631 22110"/>
    <n v="3067.35"/>
    <x v="519"/>
    <s v="BOLSA NEGRA 90X95 G-140 BDRPLTOTAL(1000 unid)/BOLSA NEGRA 115X150 G-150 BDRPLTOTAL(1000uni)../V36/2017/SERVICIO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350"/>
    <s v="D"/>
    <d v="2023-02-24T00:00:00"/>
    <n v="22023001473"/>
    <s v="2023 11 1631 214"/>
    <n v="2594.89"/>
    <x v="519"/>
    <s v="RUEDA COMPLETA BOCA ASPIRACION / PORTES MAF / LABIO DELANTERO PARA BOCA ASPI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241"/>
    <s v="D"/>
    <d v="2023-02-24T00:00:00"/>
    <n v="22023001462"/>
    <s v="2023 11 1621 214"/>
    <n v="2232.87"/>
    <x v="519"/>
    <s v="BOMBA DE AGUA C/ACOPLAMIENTO ELECTROMAG. BARREDORA RAVO / 5.5KG VARILLA A-304L Ø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352"/>
    <s v="D"/>
    <d v="2023-02-24T00:00:00"/>
    <n v="22023001465"/>
    <s v="2023 11 1621 22110"/>
    <n v="2044.9"/>
    <x v="519"/>
    <s v="BOLSA NEGRA 90X95 G-140 BDRPLTOTAL (1000 unid)  / BOLSA NEGRA 115X150 G-150 B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10"/>
  </r>
  <r>
    <n v="220230006348"/>
    <s v="D"/>
    <d v="2023-02-24T00:00:00"/>
    <n v="22023001466"/>
    <s v="2023 11 1621 22199"/>
    <n v="1393.75"/>
    <x v="519"/>
    <s v="LLAVE COMBINADA 34 MM  / ESLINGA AL S C/GUARDACABOS 10MM 1 MTRO / ADAPTADOR IM.../ 36-2017 / 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275"/>
    <s v="D"/>
    <d v="2023-02-24T00:00:00"/>
    <n v="22023001462"/>
    <s v="2023 11 1621 214"/>
    <n v="1263.9100000000001"/>
    <x v="519"/>
    <s v="PORTES MAF / PORTES MAF / BOMBA AGUA P/ASPERSOR CEPILLO S/ACOPLA ELECT / M CA.../ 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9"/>
    <s v="D"/>
    <d v="2023-02-24T00:00:00"/>
    <n v="22023001475"/>
    <s v="2023 11 1631 22110"/>
    <n v="1022.45"/>
    <x v="519"/>
    <s v="BOLSA NEGRA 90X95 G-140 BDRPLTOTAL (1000 unid) .../ 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06273"/>
    <s v="D"/>
    <d v="2023-02-24T00:00:00"/>
    <n v="22023001462"/>
    <s v="2023 11 1621 214"/>
    <n v="330.33"/>
    <x v="519"/>
    <s v="PATIN VERTICAL ELEVACONTINEDORES COMP CON EQUI MAZZOCCHIA / PORTES MAF.../ 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6277"/>
    <s v="D"/>
    <d v="2023-02-24T00:00:00"/>
    <n v="22023001476"/>
    <s v="2023 11 1631 22199"/>
    <n v="118.76"/>
    <x v="519"/>
    <s v="JGO 9 LLAVES ALLEN HEX CON BOLA CLIP  / MARTILLO DE BOLA C  / TUERCA DIN 985 M-06 8 ZN.../ 36-2017 / LIMPIEZA VIA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229"/>
    <s v="D"/>
    <d v="2023-02-24T00:00:00"/>
    <n v="22023001466"/>
    <s v="2023 11 1621 22199"/>
    <n v="73.930000000000007"/>
    <x v="519"/>
    <s v="ABRAZADERA TORRO W2 16-27/9 ( ASFA-L) / ABRAZADERA TORRO W2 8-16/9 ( ASFA-L) / ABRAZ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6342"/>
    <s v="D"/>
    <d v="2023-02-24T00:00:00"/>
    <n v="22023001638"/>
    <s v="2023 11 3111 214"/>
    <n v="351.8"/>
    <x v="520"/>
    <s v="VEHÍCULO 0521BBH /MANO DE OBRA / DISCOS DE FRENO DL / PASTILLAS DE FRENO DELANTERO / FILTRO DE AIRE / FILTRO DE HABITACU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1"/>
    <s v="214"/>
  </r>
  <r>
    <n v="220230006325"/>
    <s v="D"/>
    <d v="2023-02-24T00:00:00"/>
    <n v="22023001469"/>
    <s v="2023 11 1631 214"/>
    <n v="5711.2"/>
    <x v="521"/>
    <s v="CILINDRO HID. DOBLE EFECTO 70X110X1180 - PORTES (MATRICULA 5277KWD) .../ 23-2020 / SERVICIO DE LIMPIEZA.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3"/>
    <s v="D"/>
    <d v="2023-02-24T00:00:00"/>
    <n v="22023001469"/>
    <s v="2023 11 1631 214"/>
    <n v="375.71"/>
    <x v="521"/>
    <s v="CARGADOR BATERIA-GANCHO GIRATORIO DE 5.4 T(MATERIAL RETIRADO SR ANGEL GARCIA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7"/>
    <s v="D"/>
    <d v="2023-02-24T00:00:00"/>
    <n v="22023001469"/>
    <s v="2023 11 1631 214"/>
    <n v="288.16000000000003"/>
    <x v="521"/>
    <s v="REGULACION SENSOR DE APOYO-MONTAR BLOQUE Y REGULAR PRESION (MATRICULA 6728 KTS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1"/>
    <s v="D"/>
    <d v="2023-02-24T00:00:00"/>
    <n v="22023001469"/>
    <s v="2023 11 1631 214"/>
    <n v="132.74"/>
    <x v="521"/>
    <s v="REVISION ANUAL GRUA FASSI F65B.0.21 AÑO 2020 Nº 0650-0860 (MATRICULA 2756 LLV SUSTITU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6329"/>
    <s v="D"/>
    <d v="2023-02-24T00:00:00"/>
    <n v="22023001469"/>
    <s v="2023 11 1631 214"/>
    <n v="128.26"/>
    <x v="521"/>
    <s v="BATERIA SCANRECO (RETIRADO SR PEDRO RINCON).../ 23-2020 / SERVICIO DE LIMPIEZA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2641"/>
    <s v="AD"/>
    <d v="2023-02-09T00:00:00"/>
    <n v="22023002184"/>
    <s v="2023 06 3321 22001"/>
    <n v="40.5"/>
    <x v="522"/>
    <s v="CTTO SUMINISTRO SUSCRIPCIÓN REVISTA MOTOCICLISMO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410"/>
    <s v="AD"/>
    <d v="2023-02-28T00:00:00"/>
    <n v="22023002721"/>
    <s v="2023 03 9241 22602"/>
    <n v="2115.69"/>
    <x v="523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7138"/>
    <s v="AD"/>
    <d v="2023-03-02T00:00:00"/>
    <n v="22023002558"/>
    <s v="2023 10 2316 22799"/>
    <n v="4500"/>
    <x v="524"/>
    <s v="REALIZACIÓN DE 50 TALLERES EN PREVENCIÓN DE LA INTOLERANCIA Y DELITOS DE ODIO EN EL ÁMBITO EDUCATIVO.DE FEB A JU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799"/>
  </r>
  <r>
    <n v="220230006415"/>
    <s v="AD"/>
    <d v="2023-02-28T00:00:00"/>
    <n v="22023002737"/>
    <s v="2023 03 9241 22602"/>
    <n v="2420"/>
    <x v="304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553"/>
    <s v="AD"/>
    <d v="2023-02-28T00:00:00"/>
    <n v="22023002571"/>
    <s v="2023 06 3321 22001"/>
    <n v="9191.23"/>
    <x v="304"/>
    <s v="CTTO SUMINISTRO SUSCRIPCIÓN DEL NORTE DE CASTILLA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10039531"/>
    <s v="AD"/>
    <d v="2023-03-29T00:00:00"/>
    <n v="22021004992"/>
    <s v="2023 02 1511 609"/>
    <n v="7909.38"/>
    <x v="525"/>
    <s v="A.T. VIGILANCIA HOMOLOGADA LÍNEA FERROVIARIA AV TRASLADO TEMPORAL ELEMENTOS INFRAES.FERROVIARIA Y ELECTRIFI-CACIÓN."/>
    <s v="220"/>
    <s v="ZAIDÍN"/>
    <s v="HUESC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0"/>
    <s v="609"/>
  </r>
  <r>
    <n v="220230009478"/>
    <s v="AD"/>
    <d v="2023-03-21T00:00:00"/>
    <n v="22023003427"/>
    <s v="2023 06 3321 223"/>
    <n v="726"/>
    <x v="526"/>
    <s v="CTTO SEVICIOS TRANSPORTE LIBROS Y MATERIAL DEL CENTRO CÍVICO PARQUESOL A LA NUEVA BIBLIOTECA PARQUESOL//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29000669"/>
    <s v="AD"/>
    <d v="2023-01-01T00:00:00"/>
    <n v="22023002180"/>
    <s v="2023 06 2314 22602"/>
    <n v="3746.16"/>
    <x v="527"/>
    <s v="ELABORACION SOPORTES DIVULGATIVOS UNIVERSIDAD DE VALLADOLID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02"/>
  </r>
  <r>
    <n v="220230006414"/>
    <s v="AD"/>
    <d v="2023-02-28T00:00:00"/>
    <n v="22023002735"/>
    <s v="2023 03 9241 22602"/>
    <n v="2420"/>
    <x v="528"/>
    <s v="CAMPAÑA PUBLICIDAD EN PRENSA DIGITAL PROCESO DE VOTACIONES PPTOS. PARTICIPATIVOS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09"/>
    <s v="AD"/>
    <d v="2023-02-28T00:00:00"/>
    <n v="22023002720"/>
    <s v="2023 03 9241 22602"/>
    <n v="3021.61"/>
    <x v="529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3"/>
    <s v="AD"/>
    <d v="2023-02-28T00:00:00"/>
    <n v="22023002728"/>
    <s v="2023 03 9241 22602"/>
    <n v="3630"/>
    <x v="530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6"/>
    <s v="AD"/>
    <d v="2023-02-28T00:00:00"/>
    <n v="22023002738"/>
    <s v="2023 03 9241 22602"/>
    <n v="2413.9499999999998"/>
    <x v="332"/>
    <s v="CAMPAÑA PUBLICIDAD EN PRENSA DIGITAL PROCESO DE VOTACIONES PPTOS. PARTICIPATIVOS 2023"/>
    <s v="220"/>
    <s v="SALAMANCA"/>
    <s v="SALAMANCA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1"/>
    <s v="AD"/>
    <d v="2023-02-28T00:00:00"/>
    <n v="22023002726"/>
    <s v="2023 03 9241 22602"/>
    <n v="2420"/>
    <x v="368"/>
    <s v="CAMPAÑA PUBLICIDAD RADIO PROCESO VOTACIONES PPTOS. PARTICIPATIVOS 2023 (DEL 23 FEB. AL 20 MARZO)"/>
    <s v="220"/>
    <s v="S.S.DE LOS REYES"/>
    <s v="MADR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412"/>
    <s v="AD"/>
    <d v="2023-02-28T00:00:00"/>
    <n v="22023002727"/>
    <s v="2023 03 9241 22602"/>
    <n v="1512.5"/>
    <x v="531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6725"/>
    <s v="AD"/>
    <d v="2023-03-01T00:00:00"/>
    <n v="22023002269"/>
    <s v="2023 06 2314 22799"/>
    <n v="138285.56"/>
    <x v="49"/>
    <s v="PRÓRROGA SE-EIJI 6/2020 P.S.7 CONTRATO SERVICIOS GESTION INTEGRAL ESPACIO JOVEN NORTE LOTE 1. 01/05 A 31/12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2"/>
    <s v="22799"/>
  </r>
  <r>
    <n v="220230006729"/>
    <s v="AD"/>
    <d v="2023-03-01T00:00:00"/>
    <n v="22023002758"/>
    <s v="2023 06 3232 632"/>
    <n v="7260"/>
    <x v="532"/>
    <s v="CTTO SUMIN INSTAL ESTORES ENROLLY VENECIANAS POR DETERIORO EN VARIOS CEIP//2023//INVER CONDIC. AUTORIZ PRESTAMO JCYL"/>
    <s v="220"/>
    <s v="VALLADOLID"/>
    <s v="VALLADOLID"/>
    <x v="3"/>
    <s v="AdDirec - Adjudicación Directa"/>
    <s v="SinC - Sin Criterio"/>
    <x v="3"/>
    <x v="0"/>
    <s v="6"/>
    <s v="6. Inversiones reales"/>
    <s v="06"/>
    <x v="2"/>
    <s v="3232"/>
    <s v="3232. Conservación y mantenimiento centros educación infantil y primaria"/>
    <s v="63"/>
    <s v="632"/>
  </r>
  <r>
    <n v="220230006795"/>
    <s v="AD"/>
    <d v="2023-03-01T00:00:00"/>
    <n v="22023002855"/>
    <s v="2023 08 1532 203"/>
    <n v="2420"/>
    <x v="533"/>
    <s v="Alquiler maquinaria sin conductor (rodillos compactadores, carretillas elevadoras, barredoras, mini-retros...) a demanda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33"/>
    <s v="AD"/>
    <d v="2023-03-01T00:00:00"/>
    <n v="22023002636"/>
    <s v="2023 10 2313 22699"/>
    <n v="272.25"/>
    <x v="271"/>
    <s v="IMPRESIÓN DE ROLL-UP DE &quot;&quot;VALLADOLID SOCIAL&quot;&quot; DE LA CONCEJALÍA DE SERVICIOS SOCIALES Y MEDIACIÓN COMUNITAR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6738"/>
    <s v="AD"/>
    <d v="2023-03-01T00:00:00"/>
    <n v="22023002671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38"/>
    <s v="AD"/>
    <d v="2023-03-01T00:00:00"/>
    <n v="22023002672"/>
    <s v="2023 10 2312 213"/>
    <n v="344.85"/>
    <x v="131"/>
    <s v="INSPECCIONES OBLIGATORIAS DE LOS ASCENSORES DE ROND- VICT-PTE. COLG, Z.ESTE(DOS ASCENSORES)Y FRAY LUIS EN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6797"/>
    <s v="AD"/>
    <d v="2023-03-01T00:00:00"/>
    <n v="22023002901"/>
    <s v="2023 08 1532 210"/>
    <n v="7260"/>
    <x v="534"/>
    <s v="Suministro de hormigones y morteros, tanto en obra como mediante retirada en planta con vehículos municipales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6769"/>
    <s v="AD"/>
    <d v="2023-03-01T00:00:00"/>
    <n v="22023002773"/>
    <s v="2023 08 1532 203"/>
    <n v="387.2"/>
    <x v="385"/>
    <s v="Alquiler de 74 Ud. de valla de obra electrosoldada, tipo europeo, con sus pies correspondientes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63"/>
    <s v="AD"/>
    <d v="2023-03-01T00:00:00"/>
    <n v="22023002779"/>
    <s v="2023 06 3321 22001"/>
    <n v="136"/>
    <x v="535"/>
    <s v="CTTO SUMINISTRO REVISTA &quot;&quot;PEONZA&quot;&quot; PARA BIBLIOTECAS PÚBLICAS//AÑO 2023"/>
    <s v="220"/>
    <s v="SANTANDER"/>
    <s v="SANTANDER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6794"/>
    <s v="AD"/>
    <d v="2023-03-01T00:00:00"/>
    <n v="22023002833"/>
    <s v="2023 08 1532 203"/>
    <n v="2420"/>
    <x v="288"/>
    <s v="Alquier y retirada de contenedores de obra, a demanda y según necesidades.-"/>
    <s v="220"/>
    <s v="LA FLECHA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6793"/>
    <s v="AD"/>
    <d v="2023-03-01T00:00:00"/>
    <n v="22023002769"/>
    <s v="2023 08 1532 22103"/>
    <n v="2642.64"/>
    <x v="12"/>
    <s v="SUMINISTRO DE 2.600 L. GASÓLEO C  PARA CALDERA DEL PARQUE VÍAS PÚBLICAS, C/ Títulos, 51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1981"/>
    <s v="AD"/>
    <d v="2023-02-03T00:00:00"/>
    <n v="22023001489"/>
    <s v="2023 06 2314 22799"/>
    <n v="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5929"/>
    <s v="AD/"/>
    <d v="2023-02-23T00:00:00"/>
    <n v="22023001489"/>
    <s v="2023 06 2314 22799"/>
    <n v="-3746.16"/>
    <x v="527"/>
    <s v="ELABORACION DE SOPORTES DIVULGATIVOS PARA UNIVERSIDAD DE VALLADOLID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30001797"/>
    <s v="AD"/>
    <d v="2023-02-03T00:00:00"/>
    <n v="22023000239"/>
    <s v="2023 11 1361 22199"/>
    <n v="33.6"/>
    <x v="536"/>
    <s v="4 pletinas de aluminio 40X2X1000; Servicio de Extinción de Incendios, Salvamento y Protección Civi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1680"/>
    <s v="AD"/>
    <d v="2023-03-28T00:00:00"/>
    <n v="22023003505"/>
    <s v="2023 04 9202 22699"/>
    <n v="22.91"/>
    <x v="537"/>
    <s v="ADQUISICION DE MANDO PARA PASAR DIAPOSITIVAS EN ORDENADOR DEL AULA DE FORMACON, MODELO PRESENTER K-109 USB"/>
    <s v="220"/>
    <s v="VALLADOLID"/>
    <s v="VALLADOLID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99"/>
  </r>
  <r>
    <n v="220230002001"/>
    <s v="AD"/>
    <d v="2023-02-03T00:00:00"/>
    <n v="22023001639"/>
    <s v="2023 06 3232 212"/>
    <n v="14.17"/>
    <x v="538"/>
    <s v="CTTO SUMINISTRO MANÓMETRO Y JUNTAS PARA BOMBA VERTICAL PARA EL CEIP FRANCISCO PINO//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21"/>
    <s v="AD"/>
    <d v="2023-02-22T00:00:00"/>
    <n v="22023002674"/>
    <s v="2023 02 9332 213"/>
    <n v="439.23"/>
    <x v="538"/>
    <s v="Sustitución de servomotor en circuito de calefacción de la Imprenta y el Centro de Mantenimient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3242"/>
    <s v="AD"/>
    <d v="2023-02-14T00:00:00"/>
    <n v="22023002419"/>
    <s v="2023 11 1631 214"/>
    <n v="1500"/>
    <x v="539"/>
    <s v="SUMINISTRO DE REPUESTOS PARA CIRCUITOS NEUMÁTICOS PARA REPARACIÓN DE VEHÍCULOS DE LIMPIEZA VIAR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31"/>
    <s v="1631. Limpieza viaria"/>
    <s v="21"/>
    <s v="214"/>
  </r>
  <r>
    <n v="220230002009"/>
    <s v="AD"/>
    <d v="2023-02-03T00:00:00"/>
    <n v="22023001499"/>
    <s v="2023 03 9241 212"/>
    <n v="4670.6000000000004"/>
    <x v="540"/>
    <s v="SUMINISTRO DE MATERIALES PARA REPARACIÓN DE ESCALERAS ACCESO AL CC J.M. LUELMO"/>
    <s v="220"/>
    <s v="LAGUNA DE DUERO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5928"/>
    <s v="AD"/>
    <d v="2023-02-23T00:00:00"/>
    <n v="22023002677"/>
    <s v="2023 06 2315 22699"/>
    <n v="370.01"/>
    <x v="541"/>
    <s v="TRANSPORTE, ALOJAMIENTO, SEGURO PONENTE TALLER INFORMACION Y SENSIBILIZACION TRATA DE MUJER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99"/>
  </r>
  <r>
    <n v="220229000121"/>
    <s v="AD"/>
    <d v="2023-01-01T00:00:00"/>
    <n v="22023000300"/>
    <s v="2023 01 9206 22799"/>
    <n v="9147.6"/>
    <x v="542"/>
    <s v="LOTE 2 DE CONTRATO DE APOYO A LA GESTIÓN BIBLIOTECARIA, ARCHIVO MUNICIPAL."/>
    <s v="220"/>
    <s v="SAN SEBASTIAN DE LOS REYES"/>
    <s v="MADRID"/>
    <x v="1"/>
    <s v="PrAbier - Procedimiento Abierto"/>
    <s v="MultiC - MultiCriterio"/>
    <x v="0"/>
    <x v="0"/>
    <s v="2"/>
    <s v="2. Gastos corrientes en bienes y servicios"/>
    <s v="01"/>
    <x v="8"/>
    <s v="9206"/>
    <s v="9206. Archivo municipal"/>
    <s v="22"/>
    <s v="22799"/>
  </r>
  <r>
    <n v="220230012864"/>
    <s v="AD"/>
    <d v="2023-03-31T00:00:00"/>
    <n v="22023003080"/>
    <s v="2023 05 4331 22609"/>
    <n v="14520"/>
    <x v="543"/>
    <s v="CONCIERTOS CUPULA. AGUACERO,ISKENDERS, SAMURAI Y GLOSEMANA TOUR DEL TALENTO EN VALLADOLID DEL 13 AL 18 DE MARZO DE 2023."/>
    <s v="230"/>
    <s v="MEDINA DEL CAMPO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7171"/>
    <s v="AD"/>
    <d v="2023-03-02T00:00:00"/>
    <n v="22023002857"/>
    <s v="2023 10 2412 213"/>
    <n v="219.3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5628"/>
    <s v="AD"/>
    <d v="2023-02-22T00:00:00"/>
    <n v="22023002608"/>
    <s v="2023 11 1321 213"/>
    <n v="1183.3800000000001"/>
    <x v="99"/>
    <s v="DESMONTAJE Y RETIRADA DE CABLEADO DE RACK PERTENECIENTE A POLICÍA MUNICIPAL."/>
    <s v="220"/>
    <s v="ALDEAMAYOR DE SAN MARTIN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8584"/>
    <s v="AD"/>
    <d v="2023-03-15T00:00:00"/>
    <n v="22023002987"/>
    <s v="2023 03 9241 22609"/>
    <n v="605"/>
    <x v="544"/>
    <s v="ACTUACIÓN TEATRAL DE ZOLOPOTROKO EN CC RONDILLA EL DÍA 06/05/2023. MFS"/>
    <s v="220"/>
    <s v="CABEZON DE PISUER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671"/>
    <s v="AD"/>
    <d v="2023-01-01T00:00:00"/>
    <n v="22023001274"/>
    <s v="2023 06 2315 22611"/>
    <n v="1742.4"/>
    <x v="545"/>
    <s v="TALLERES DE YOGA INFANTIL Y ADOLESCENTE EN EL CENTRO MUNICIPAL DE LA IGUALDAD / PRIMER TRIMESTR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1729"/>
    <s v="AD"/>
    <d v="2023-03-29T00:00:00"/>
    <n v="22023003568"/>
    <s v="2023 06 2315 22611"/>
    <n v="5227.2"/>
    <x v="545"/>
    <s v="TALLERES DE YOGA INFANTIL Y ADOLESCENTE EN EL CENTRO MUNICIPAL DE LA IGUALDAD / DURANTE 2023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8"/>
    <s v="AD"/>
    <d v="2023-03-02T00:00:00"/>
    <n v="22023002893"/>
    <s v="2023 08 1532 210"/>
    <n v="5445"/>
    <x v="546"/>
    <s v="Suministro de áridos (arena lavada, arena de mina, piñón, gravas...) y retirada con vehículos municipales.-"/>
    <s v="220"/>
    <s v="VALLADOLID (POLIGONO SAN CRISTOBAL)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5390"/>
    <s v="AD"/>
    <d v="2023-02-22T00:00:00"/>
    <n v="22023002565"/>
    <s v="2023 02 9332 22699"/>
    <n v="203.66"/>
    <x v="547"/>
    <s v="Inspección periódica de la instalación de Baja Tensión del Centro de Prevención Municipal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7152"/>
    <s v="AD"/>
    <d v="2023-03-02T00:00:00"/>
    <n v="22023002770"/>
    <s v="2023 03 9241 213"/>
    <n v="2057"/>
    <x v="547"/>
    <s v="INSPECCIÓN OBLIGATORIA DE LAS INST. DE BAJA TENSIÓN EN 17 EDIFICIOS SPC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2636"/>
    <s v="AD"/>
    <d v="2023-02-09T00:00:00"/>
    <n v="22023002162"/>
    <s v="2023 06 3321 22001"/>
    <n v="1658.68"/>
    <x v="548"/>
    <s v="CTTO SUMINISTRO SUSCRIPCIÓN VARIAS REVISTAS DE OCU EDICIONE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855"/>
    <s v="AD"/>
    <d v="2023-01-01T00:00:00"/>
    <n v="22023001951"/>
    <s v="2023 04 9204 216"/>
    <n v="19299.5"/>
    <x v="15"/>
    <s v="ASISTENCIA TÉCNICA, OPERACIÓN Y MTO. DEL SOFTWARE DE BASE (54/2022) LOTE 2 , SERV. BAJO DEMANDA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6"/>
  </r>
  <r>
    <n v="220229000665"/>
    <s v="AD"/>
    <d v="2023-01-01T00:00:00"/>
    <n v="22023001269"/>
    <s v="2023 04 9204 22799"/>
    <n v="2316.3000000000002"/>
    <x v="15"/>
    <s v="ASIST. TÉCNICA  ELABORACIÓN  DOCUMENTACIÓN JUSTIFIC VINCULADA CON LOS PROYECTOS PRTR DEL  ÁREA  PLANIFICACIÓN Y RECURSOS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4"/>
    <s v="9204. Tecnologías de la información y comunicación"/>
    <s v="22"/>
    <s v="22799"/>
  </r>
  <r>
    <n v="220230007143"/>
    <s v="AD"/>
    <d v="2023-03-02T00:00:00"/>
    <n v="22023002864"/>
    <s v="2023 11 1621 219"/>
    <n v="1989.28"/>
    <x v="97"/>
    <s v="REPARACIÓN CHAPAS SUPERIORES DEL ALOJAMIENTO DEL CONTENEDOR SOTERRADO EN C/ BOSTON FRENTE SEG. SOC. Sº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5923"/>
    <s v="AD"/>
    <d v="2023-02-23T00:00:00"/>
    <n v="22023002647"/>
    <s v="2023 06 2315 22611"/>
    <n v="120"/>
    <x v="549"/>
    <s v="TALLER CHARLA DEBATE MASCULINIDADES EN EL CENTRO MUNICIPAL DE LA IGUALDAD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7145"/>
    <s v="AD"/>
    <d v="2023-03-02T00:00:00"/>
    <n v="22023002872"/>
    <s v="2023 06 3231 212"/>
    <n v="300"/>
    <x v="532"/>
    <s v="MATERIAL PERSIANAS PARA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8924"/>
    <s v="AD"/>
    <d v="2023-03-17T00:00:00"/>
    <n v="22023003077"/>
    <s v="2023 06 3232 213"/>
    <n v="3025"/>
    <x v="130"/>
    <s v="CTTO SUMINISTRO Y SUSTITUCIÓN DE PIEZAS DE ASCENSORES EN CEIPS POR FIN DE VIDA ÚTIL EXPTE 58/2020 (LOTE 1)//2023"/>
    <s v="220"/>
    <s v="VIGO"/>
    <s v="PONTEVEDRA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7149"/>
    <s v="AD"/>
    <d v="2023-03-02T00:00:00"/>
    <n v="22023002554"/>
    <s v="2023 07 1721 22706"/>
    <n v="3929.43"/>
    <x v="472"/>
    <s v="DIRECCION TECNICA SUMINISTRO E INSTALACION SISTEMAS CONTROL ACCESOS ZBE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2"/>
    <s v="22706"/>
  </r>
  <r>
    <n v="220230007142"/>
    <s v="AD"/>
    <d v="2023-03-02T00:00:00"/>
    <n v="22023002042"/>
    <s v="2023 09 3341 22699"/>
    <n v="47.85"/>
    <x v="336"/>
    <s v="AMPLIACION PROPUESTA GASTO MATERIAL IMPRESO INAUGURACION DEL CENTRO MARCELINA PONCELA PARA INCLUIR PANEL TEXTO PVC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7147"/>
    <s v="AD"/>
    <d v="2023-03-02T00:00:00"/>
    <n v="22023002889"/>
    <s v="2023 11 1321 213"/>
    <n v="529.53"/>
    <x v="550"/>
    <s v="CERTIFICADO DE VERIFICACIÓN PERIÓDICA ANUAL ETILÓMETRO DE INSPECCIÓN CENTRAL DE GUARDIA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53"/>
    <s v="AD"/>
    <d v="2023-03-02T00:00:00"/>
    <n v="22023002775"/>
    <s v="2023 03 9241 212"/>
    <n v="1604.05"/>
    <x v="77"/>
    <s v="REPARACIÓN DE DAÑOS POR ROBO Y VANDALISMO EN ASEOS MASCULINOS 2ª PTA.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7144"/>
    <s v="AD"/>
    <d v="2023-03-02T00:00:00"/>
    <n v="22023002867"/>
    <s v="2023 06 3231 212"/>
    <n v="1500"/>
    <x v="339"/>
    <s v="SUMINISTRO CRISTALERIA ESCUELAS INFANTILES MUNICIPALES DEPENDIENTES DEL SERVICIO DE EDUCACIÓN. AÑO 2023"/>
    <s v="220"/>
    <s v="ZARATAN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6864"/>
    <s v="D"/>
    <d v="2023-03-02T00:00:00"/>
    <n v="22023002182"/>
    <s v="2023 06 3321 212"/>
    <n v="125.27"/>
    <x v="358"/>
    <s v="CAC CONSTANZA MARTÍN // CABLE INFOR/DATOS UTP-6 LSZH L.HAL (BOBINA / Mt CANAL UNEX 78043-2  20x30   PVC-BA / CONECTR H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7156"/>
    <s v="AD"/>
    <d v="2023-03-02T00:00:00"/>
    <n v="22023002841"/>
    <s v="2023 03 9241 22699"/>
    <n v="275.88"/>
    <x v="152"/>
    <s v="DISEÑO DE DIPLOMAS PARA PARTICIPANTES EN LAS  MUESTRAS 2022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6845"/>
    <s v="D"/>
    <d v="2023-03-02T00:00:00"/>
    <n v="22023002182"/>
    <s v="2023 06 3321 212"/>
    <n v="24.78"/>
    <x v="358"/>
    <s v="DOWN.EMP IRELUZ IRD-2405 BL RED. 25W 4000K / TASA ECORAEE   (R.DECRETO 208/2005) /BIBLI. Fº PIN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59"/>
    <s v="D"/>
    <d v="2023-03-02T00:00:00"/>
    <n v="22023001578"/>
    <s v="2023 11 3111 22199"/>
    <n v="16.940000000000001"/>
    <x v="358"/>
    <s v="DIRECCION DEL AREA DE M.AMBIENTE // LAMPARA LED REFLECTORA R80 10W E27 4000K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0051"/>
    <s v="AD"/>
    <d v="2023-01-01T00:00:00"/>
    <n v="22023000543"/>
    <s v="2023 04 9204 626"/>
    <n v="21780"/>
    <x v="551"/>
    <s v="SUMINISTRO, INSTALACIÓN, CONFIGURACIÓN Y PUESTA EN MARCHA DE ESTACIONES DE TRABAJO, LOTE 3 , ENERO 22 A JUNIO 23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15"/>
    <s v="D"/>
    <d v="2023-03-02T00:00:00"/>
    <n v="22023000268"/>
    <s v="2023 11 1321 213"/>
    <n v="88.33"/>
    <x v="358"/>
    <s v="ACUERDO MARCO. SUMINISTRO MATERIAL DE ELECTRICIDAD PARA MANTENIMIENTO DEPENDENCIAS DE POLICÍ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6879"/>
    <s v="D"/>
    <d v="2023-03-02T00:00:00"/>
    <n v="22023001608"/>
    <s v="2023 08 1532 214"/>
    <n v="141.22"/>
    <x v="360"/>
    <s v="TA23 72 REPARACION 7073-DRZ // KMS.67147 REVISAR FALLO EN WARNING, CAMBIAR RELE DE INTERMITENCIAS. / 4330629 RELE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5902"/>
    <s v="AD/"/>
    <d v="2023-02-23T00:00:00"/>
    <n v="22023000543"/>
    <s v="2023 04 9204 626"/>
    <n v="-21780"/>
    <x v="551"/>
    <s v="SUMIN., INST, CONFIG. PUESTA EN MARCHA ESTAC. TRABAJO, LOTE 3 , ENERO-JUNIO 23. ANUL. POR AD/  220229/780 AL 31-12-22"/>
    <s v="220"/>
    <s v="BARCELONA"/>
    <s v="BARCELONA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2"/>
    <s v="626"/>
  </r>
  <r>
    <n v="220230006887"/>
    <s v="D"/>
    <d v="2023-03-02T00:00:00"/>
    <n v="22023002139"/>
    <s v="2023 08 1341 22699"/>
    <n v="23.07"/>
    <x v="170"/>
    <s v="PILA PARA BALIZA ISSA 6 VOLT.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29000790"/>
    <s v="AD"/>
    <d v="2023-01-01T00:00:00"/>
    <n v="22023001935"/>
    <s v="2023 07 1721 22799"/>
    <n v="17787"/>
    <x v="552"/>
    <s v="CONTRATO GESTIÓN Y SEGUIMIENTO CONSUMO Y FACTURACIÓN TODOS CONTRATOS SUMINISTRO ENERGIA ELÉCT. Y GAS DEL AYUNT. VS 4/22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799"/>
  </r>
  <r>
    <n v="220230006811"/>
    <s v="D"/>
    <d v="2023-03-02T00:00:00"/>
    <n v="22023000213"/>
    <s v="2023 11 1321 214"/>
    <n v="451.9"/>
    <x v="361"/>
    <s v="ACUERDO MARCO. REPARAC.  MOTOC. KIT TRANSM. RK VERSYS-650 15X45X520 XS0 / KIT DE TRANSM. RV V-STROM 650 15X47X118 525XSO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162"/>
    <s v="AD"/>
    <d v="2023-03-02T00:00:00"/>
    <n v="22023002600"/>
    <s v="2023 01 9207 22602"/>
    <n v="3025"/>
    <x v="553"/>
    <s v="AM 2021/37 ADJUDICA PUBLICIDAD AYTOVA EN TV POR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63"/>
    <s v="AD"/>
    <d v="2023-03-02T00:00:00"/>
    <n v="22023002656"/>
    <s v="2023 01 9207 22602"/>
    <n v="60.5"/>
    <x v="553"/>
    <s v="AM 2021/37 COMPLEMENTARIO AD 920230002743 ERROR CALCULO IVA (2550+21% NO 3.025) PUBLICIDAD AYTO EN FERIA FIMASCOTA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7137"/>
    <s v="AD"/>
    <d v="2023-03-02T00:00:00"/>
    <n v="22023000073"/>
    <s v="2023 04 9321 22602"/>
    <n v="5000"/>
    <x v="303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30007136"/>
    <s v="AD"/>
    <d v="2023-03-02T00:00:00"/>
    <n v="22023000072"/>
    <s v="2023 04 9321 22602"/>
    <n v="5500"/>
    <x v="304"/>
    <s v="INSERCIONES PUBLICITARIAS EN MATERIA TRIBUTARIA PARA 2023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5"/>
    <s v="9321"/>
    <s v="9321. Gestión de ingresos e inspección"/>
    <s v="22"/>
    <s v="22602"/>
  </r>
  <r>
    <n v="220219001099"/>
    <s v="AD"/>
    <d v="2023-01-01T00:00:00"/>
    <n v="22023003293"/>
    <s v="2023 04 9204 22200"/>
    <n v="16843.2"/>
    <x v="554"/>
    <s v="SERVICIOS DE RESPALDO, LOTE 2"/>
    <s v="220"/>
    <s v="POZUELO DE ALARCON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200"/>
  </r>
  <r>
    <n v="220229000727"/>
    <s v="AD"/>
    <d v="2023-01-01T00:00:00"/>
    <n v="22023001307"/>
    <s v="2023 06 3232 213"/>
    <n v="6487.8"/>
    <x v="399"/>
    <s v="SE 58-20 P.S.4 PRORROGA CTTO MANTENIMIENTO ASCENSORES LOTE 2. COLEGIOS PUBLICOS. AÑOS 2023 Y 2024.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21"/>
    <s v="AD"/>
    <d v="2023-01-01T00:00:00"/>
    <n v="22023001302"/>
    <s v="2023 06 3231 213"/>
    <n v="497.03"/>
    <x v="399"/>
    <s v="SE 58-20 P.S. 4 PRORROGA CTTO MANTENIMIENTO ASCENSORES. LOTE 2 ESCUELAS INFANTILES MUNICIPALES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26"/>
    <s v="AD"/>
    <d v="2023-01-01T00:00:00"/>
    <n v="22023001306"/>
    <s v="2023 06 2314 213"/>
    <n v="497.03"/>
    <x v="399"/>
    <s v="SE 58-20 P.S.4 PRORROGA CTTO MANTENIMIENTO ASCENSORES LOTE 2: ESPACIO JOVEN SUR. AÑOS 2023 Y 2024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972"/>
    <s v="AD"/>
    <d v="2023-02-03T00:00:00"/>
    <n v="22023001491"/>
    <s v="2023 11 1321 213"/>
    <n v="2310"/>
    <x v="399"/>
    <s v="MANTENIMIENTO ASCENSOR DE LAS DEPENDENCIAS DEL DISTRITO 3º DE POLICÍA. EJERCICI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7171"/>
    <s v="AD"/>
    <d v="2023-03-02T00:00:00"/>
    <n v="22023002858"/>
    <s v="2023 10 2412 213"/>
    <n v="311.95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49"/>
    <s v="D"/>
    <d v="2023-03-02T00:00:00"/>
    <n v="22023002182"/>
    <s v="2023 06 3321 212"/>
    <n v="11.2"/>
    <x v="381"/>
    <s v="ID: 0034937-BIBLIOTECA SAN JUAN / MANILLA ALMA MANUBRIO REF. 6085 NE 9005M ( JGO )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2647"/>
    <s v="AD"/>
    <d v="2023-02-09T00:00:00"/>
    <n v="22023002265"/>
    <s v="2023 06 3232 213"/>
    <n v="1210"/>
    <x v="399"/>
    <s v="CTTO SUMINISTRO Y SUSTITUCIÓN DE PIEZAS DE ASCENSORES DE LOS COLEGIOS PÚBLICOS PARA SU CORRECTO FUNCIONAMIENTO//AÑO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5407"/>
    <s v="AD"/>
    <d v="2023-02-22T00:00:00"/>
    <n v="22023002601"/>
    <s v="2023 10 2312 213"/>
    <n v="1694"/>
    <x v="399"/>
    <s v="MANTENIMIENTO ASCENSORES DEL CENTRO DE VIDA ACTIVA PARQUESOL PARA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7171"/>
    <s v="AD"/>
    <d v="2023-03-02T00:00:00"/>
    <n v="22023002859"/>
    <s v="2023 10 2412 213"/>
    <n v="492.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6851"/>
    <s v="D"/>
    <d v="2023-03-02T00:00:00"/>
    <n v="22023002182"/>
    <s v="2023 06 3321 212"/>
    <n v="306.35000000000002"/>
    <x v="217"/>
    <s v="ARANDELA DIN 127 GROWER ZINCADA M- 8 / RUEDA SIRVEX 1-0557 21BSRFN50 FRENO N / FLEXOMETRO 16/3MTS MAGNETICO EHL / TORNI.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47"/>
    <s v="D"/>
    <d v="2023-03-02T00:00:00"/>
    <n v="22023002182"/>
    <s v="2023 06 3321 212"/>
    <n v="95.87"/>
    <x v="217"/>
    <s v="TACO FISCHER HM 4X45 S (50UD) / *TACO FISCHER HM 5X65 S REF 62312 / *TACO FISCHER SX  8X40 NYLON 100UD * / TACO FISCH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62"/>
    <s v="D"/>
    <d v="2023-03-02T00:00:00"/>
    <n v="22023002182"/>
    <s v="2023 06 3321 212"/>
    <n v="5.51"/>
    <x v="217"/>
    <s v="PILA LITIO CR2032 MAXELL RENAT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6813"/>
    <s v="D"/>
    <d v="2023-03-02T00:00:00"/>
    <n v="22023000273"/>
    <s v="2023 11 1321 22199"/>
    <n v="6.27"/>
    <x v="217"/>
    <s v="ACUERDO MARCO.  /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7171"/>
    <s v="AD"/>
    <d v="2023-03-02T00:00:00"/>
    <n v="22023002860"/>
    <s v="2023 10 2412 213"/>
    <n v="204.73"/>
    <x v="367"/>
    <s v="AJUSTE PRESUPUESTARIO DEL MANTENIMIENTO DE SEGURIDAD Y VIDEOVIGILANCIA DEL CENTRO DE FORMACION PARA EL EMPLEO EN 2023-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12853"/>
    <s v="AD"/>
    <d v="2023-03-31T00:00:00"/>
    <n v="22023003072"/>
    <s v="2023 11 1621 213"/>
    <n v="2205.12"/>
    <x v="399"/>
    <s v="CONTRATO MANTENIMIENTO ANUAL ASCENSOR C/ TOPACIO 63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08575"/>
    <s v="AD"/>
    <d v="2023-03-15T00:00:00"/>
    <n v="22023002941"/>
    <s v="2023 03 9241 22609"/>
    <n v="605"/>
    <x v="555"/>
    <s v="HABICHUELA CUENTACUENTOS EN CIC NATIVIDAD ÁLVAREZ CHACÓN EL DÍA 12/03/2023. MFS"/>
    <s v="220"/>
    <s v="SALAMANCA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45"/>
    <s v="AD"/>
    <d v="2023-02-09T00:00:00"/>
    <n v="22023002261"/>
    <s v="2023 06 2315 22611"/>
    <n v="653.4"/>
    <x v="556"/>
    <s v="DISEÑO, CAMPAÑA Y ADAPTACIÓN WEB CAMPAÑA MUJER, NIÑA Y CIENCIA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5925"/>
    <s v="AD"/>
    <d v="2023-02-23T00:00:00"/>
    <n v="22023002657"/>
    <s v="2023 06 2315 22611"/>
    <n v="1754.5"/>
    <x v="556"/>
    <s v="DISEÑO, MAQUETACIÓN Y ARTE FINAL DE LA CAMPAÑA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875"/>
    <s v="D"/>
    <d v="2023-03-02T00:00:00"/>
    <n v="22023001607"/>
    <s v="2023 08 1532 210"/>
    <n v="1363.34"/>
    <x v="557"/>
    <s v="3 IPN 80 A 6M S 275 JR / TUBO CUADRADO 80X80X2 DD11 / TUBO CUADRADO 40X40X1,5 DD11 / TUBO RECTANGULAR 40X30X1,5 DD11 / T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918"/>
    <s v="AD"/>
    <d v="2023-03-17T00:00:00"/>
    <n v="22023003052"/>
    <s v="2023 06 2315 22611"/>
    <n v="108.9"/>
    <x v="556"/>
    <s v="DISEÑO, MAQUETACION Y ARTE FINAL INVITACION ACT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591"/>
    <s v="AD"/>
    <d v="2023-03-15T00:00:00"/>
    <n v="22023002994"/>
    <s v="2023 03 9241 22609"/>
    <n v="665.5"/>
    <x v="558"/>
    <s v="ESPECTÁCULO DE MAGIA EN CIC SEGUNDO MONTES EL DÍA 20/05/2023. MFS"/>
    <s v="220"/>
    <s v="SARDON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1796"/>
    <s v="AD"/>
    <d v="2023-02-03T00:00:00"/>
    <n v="22023000225"/>
    <s v="2023 11 1361 22199"/>
    <n v="7.56"/>
    <x v="559"/>
    <s v="Manguera de goma para conexión de la botella de argón para soldadura; SEISYPC,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3243"/>
    <s v="AD"/>
    <d v="2023-02-14T00:00:00"/>
    <n v="22023002421"/>
    <s v="2023 11 1621 214"/>
    <n v="5000"/>
    <x v="560"/>
    <s v="SUMINISTRO MATERIAL FÉRRICO PARA REPARACIÓN DE VEHÍCULOS DEL SERVICIO DE LIMPIEZA."/>
    <s v="220"/>
    <s v="LA CISTERNIGA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2026"/>
    <s v="AD"/>
    <d v="2023-02-03T00:00:00"/>
    <n v="22023001650"/>
    <s v="2023 11 1321 213"/>
    <n v="500"/>
    <x v="561"/>
    <s v="REVISIÓN DEL CAÑÓN DE OZONO PARA DESINFECCIÓN DE VEHÍCULOS DE LA POLICÍA MUNICIPAL."/>
    <s v="220"/>
    <s v="PINTO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2600"/>
    <s v="AD"/>
    <d v="2023-02-08T00:00:00"/>
    <n v="22023001669"/>
    <s v="2023 08 1651 22706"/>
    <n v="1932.38"/>
    <x v="194"/>
    <s v="GASTO COMPLEMENTARIO de la Redacción Proyecto Iluminación Fachada Principal del Ayuntamiento.-"/>
    <s v="220"/>
    <s v="ZARATAN"/>
    <s v="VALLADOLID"/>
    <x v="1"/>
    <s v="PrAbier - Procedimiento Abierto"/>
    <s v="MultiC - MultiCriterio"/>
    <x v="1"/>
    <x v="0"/>
    <s v="2"/>
    <s v="2. Gastos corrientes en bienes y servicios"/>
    <s v="08"/>
    <x v="0"/>
    <s v="1651"/>
    <s v="1651. Alumbrado público"/>
    <s v="22"/>
    <s v="22706"/>
  </r>
  <r>
    <n v="220230001956"/>
    <s v="AD"/>
    <d v="2023-02-03T00:00:00"/>
    <n v="22023001382"/>
    <s v="2023 01 9206 22001"/>
    <n v="1185.8"/>
    <x v="562"/>
    <s v="SUSCRIPCIÓN ANUAL A BASES DE DATOS INFOCONCURSAL &quot;&quot;INFORME DE DATOS&quot;&quot; Y &quot;&quot;USUARIO PROFESIONAL&quot;&quot;, AÑO 2023."/>
    <s v="220"/>
    <s v="BOECILLO"/>
    <s v="VALLADOL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41"/>
    <s v="AD"/>
    <d v="2023-03-29T00:00:00"/>
    <n v="22023003584"/>
    <s v="2023 05 4314 22799"/>
    <n v="1512.5"/>
    <x v="563"/>
    <s v="SERVICIOS DE MAQUETACION PLAN DE COMERCIO 23-26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06817"/>
    <s v="D"/>
    <d v="2023-03-02T00:00:00"/>
    <n v="22023000270"/>
    <s v="2023 11 1321 214"/>
    <n v="115.6"/>
    <x v="466"/>
    <s v="ACUERDO MARCO. SUMINISTRO DE MATERIAL PARA TALLER DE REPARACIONES DE POLICÍA MUNICIPAL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6882"/>
    <s v="D"/>
    <d v="2023-03-02T00:00:00"/>
    <n v="22023001607"/>
    <s v="2023 08 1532 210"/>
    <n v="1217.03"/>
    <x v="467"/>
    <s v="SEPI / TABLERO ABEDUL CARROCERIA 21MM / NORTE V TRATADO U-4  CEPILLADO 63-75 /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7159"/>
    <s v="AD"/>
    <d v="2023-03-02T00:00:00"/>
    <n v="22023002891"/>
    <s v="2023 01 9207 22602"/>
    <n v="7250.32"/>
    <x v="529"/>
    <s v="ADJUDICA CAMPAÑA NACIONAL PROMOCIÓN RADIOFÓNICA SEMANA SANTA 2023 - GOBIERNO Y RELACIONES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28"/>
    <s v="D"/>
    <d v="2023-03-02T00:00:00"/>
    <n v="22023001607"/>
    <s v="2023 08 1532 210"/>
    <n v="1310.31"/>
    <x v="564"/>
    <s v="0/0 - CONOS SEÑALIZAC.BANDA C-SOPORT / ADPRO/BLUE10 - BLUE10 / 0/0 - LATIGUILLO REFORZ.S.MUESTRA MAQU.RETRO / 0/0 - TAPI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8430"/>
    <s v="ADO"/>
    <d v="2023-03-15T00:00:00"/>
    <n v="22023002885"/>
    <s v="2023 06 3232 213"/>
    <n v="496.69"/>
    <x v="399"/>
    <s v="CONTRATOS /PR: ORONA SB + TELEFONIA // CENTROS CEIP /// MES DE DICIEMBRE DE 2022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8973"/>
    <s v="AD"/>
    <d v="2023-03-17T00:00:00"/>
    <n v="22023003172"/>
    <s v="2023 05 4331 22699"/>
    <n v="6759.42"/>
    <x v="565"/>
    <s v="CONTRATO PATROCINIO ASISTENCIA GAME CONNECTION AWARDS Y GAME DEVELOPES CONFERENCE. 20 A 24 MARZO 2023"/>
    <s v="220"/>
    <s v="VALLADOLID"/>
    <s v="VALLADOLID"/>
    <x v="4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08585"/>
    <s v="AD"/>
    <d v="2023-03-15T00:00:00"/>
    <n v="22023002988"/>
    <s v="2023 03 9241 22609"/>
    <n v="605"/>
    <x v="261"/>
    <s v="KATUA &amp; GALEA: CUENTOS Y TÍTERES EN CM PINAR DE ANTEQUERA EL DÍA 07/05/2023. MFS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5924"/>
    <s v="AD"/>
    <d v="2023-02-23T00:00:00"/>
    <n v="22023002653"/>
    <s v="2023 06 2315 22611"/>
    <n v="462.71"/>
    <x v="566"/>
    <s v="MATERIAL DE DIFUSIÓN CAMPAÑA DIA INTERNACIONAL DE LA MUJER 8M / MARZ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727"/>
    <s v="AD"/>
    <d v="2023-03-01T00:00:00"/>
    <n v="22023002679"/>
    <s v="2023 06 3321 212"/>
    <n v="1497.13"/>
    <x v="567"/>
    <s v="CTTO SERVICIOS TRABAJOS DE PINTURA EN EL PUNTO DE LECTURA SAN PEDRO REGALADO//1 SEMANA//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1"/>
    <s v="212"/>
  </r>
  <r>
    <n v="220230003626"/>
    <s v="AD"/>
    <d v="2023-02-16T00:00:00"/>
    <n v="22023002016"/>
    <s v="2023 01 9203 22699"/>
    <n v="323.07"/>
    <x v="568"/>
    <s v="PLACA METACRILATO POLIDEPORTIVO DELICI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2"/>
    <s v="22699"/>
  </r>
  <r>
    <n v="220230006889"/>
    <s v="D"/>
    <d v="2023-03-02T00:00:00"/>
    <n v="22023002138"/>
    <s v="2023 08 1341 214"/>
    <n v="120.65"/>
    <x v="325"/>
    <s v="ACUERDO MARCO_2543HTB:BATERIA 56AH480 BOSCH Y SUSITUTIRL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341"/>
    <s v="1341. Movilidad"/>
    <s v="21"/>
    <s v="214"/>
  </r>
  <r>
    <n v="220230008968"/>
    <s v="AD"/>
    <d v="2023-03-17T00:00:00"/>
    <n v="22023003094"/>
    <s v="2023 06 2314 213"/>
    <n v="722.98"/>
    <x v="568"/>
    <s v="MANTENIMIENTO CARTELES ALBERGUE JUVENIL &quot;&quot;EL CALLEJÓN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5920"/>
    <s v="AD"/>
    <d v="2023-02-23T00:00:00"/>
    <n v="22023002627"/>
    <s v="2023 10 2412 213"/>
    <n v="84.6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7160"/>
    <s v="AD"/>
    <d v="2023-03-02T00:00:00"/>
    <n v="22023002892"/>
    <s v="2023 01 9207 22602"/>
    <n v="1210"/>
    <x v="332"/>
    <s v="AM SECT 2021/37 ADJUDICA CAMPAÑA PUBLICIDAD MEDIO DIGITAL APERTURA NUEVO CENTRO PERSONAS MAYORES PARQUESOL"/>
    <s v="22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6877"/>
    <s v="D"/>
    <d v="2023-03-02T00:00:00"/>
    <n v="22023001608"/>
    <s v="2023 08 1532 214"/>
    <n v="35.74"/>
    <x v="520"/>
    <s v="VEHÍCULO 0556FVP // BOMBILLA DE CRUCE IZQUIERDA / MANO DE OBR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7351"/>
    <s v="AD"/>
    <d v="2023-03-03T00:00:00"/>
    <n v="22023002176"/>
    <s v="2023 11 1361 22104"/>
    <n v="30976"/>
    <x v="569"/>
    <s v="EXPTE.: SPSC 013_2021; PRIMERA PRÓRROGA CONTRATO SUMINISTRO VESTUARIO; LOTE 3: TRAJE DE AGUA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49"/>
    <s v="AD"/>
    <d v="2023-03-03T00:00:00"/>
    <n v="22023002173"/>
    <s v="2023 11 1361 22104"/>
    <n v="24805"/>
    <x v="569"/>
    <s v="EXPTE.: SPSC 013_2021; PRIMERA PRÓRROGA CONTRATO SUMINISTRO VESTUARIO; LOTE 1: ROPA DE PARQUE; SEISYPC"/>
    <s v="220"/>
    <s v="ARNEDO"/>
    <s v="LA RIOJ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7"/>
    <s v="AD"/>
    <d v="2023-03-03T00:00:00"/>
    <n v="22023002887"/>
    <s v="2023 07 1721 22199"/>
    <n v="7260"/>
    <x v="570"/>
    <s v="MANTNIMIENTO Y MATERIAL FUNGIBLE DEL EQUIPO DE GASES AGILENT DEL LABORATORIO DE LA RED DE CONTAMINACION"/>
    <s v="220"/>
    <s v="LAS ROZAS"/>
    <s v="MADR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7352"/>
    <s v="AD"/>
    <d v="2023-03-03T00:00:00"/>
    <n v="22023002177"/>
    <s v="2023 11 1361 22104"/>
    <n v="3630"/>
    <x v="571"/>
    <s v="EXPTE.: SPSC 013_2021; PRIMERA PRÓRROGA CONTRATO SUMINISTRO VESTUARIO; LOTE 4: BOTAS Y ZAPATOS; SEISYPC"/>
    <s v="220"/>
    <s v="CARMONA"/>
    <s v="SEVILLA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6"/>
    <s v="AD"/>
    <d v="2023-03-03T00:00:00"/>
    <n v="22023002742"/>
    <s v="2023 05 4331 22699"/>
    <n v="9680"/>
    <x v="572"/>
    <s v="ELDIARIO.ES REALIZA EN FEBRERO EL II EVENTO DE ECONOMÍA CIRCULAR. PONENCIAS, MESAS DE DEBATE Y ENTREVISTAS EN DIRECTO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30010343"/>
    <s v="AD"/>
    <d v="2023-03-23T00:00:00"/>
    <n v="22023003396"/>
    <s v="2023 10 2412 22110"/>
    <n v="16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7350"/>
    <s v="AD"/>
    <d v="2023-03-03T00:00:00"/>
    <n v="22023002174"/>
    <s v="2023 11 1361 22104"/>
    <n v="16879.5"/>
    <x v="170"/>
    <s v="EXPTE.: SPSC 013_2021; PRIMERA PRÓRROGA CONTRATO SUMINISTRO VESTUARIO; LOTE 2: COMPLEMENTOS TÉCNICOS; SEISYPC"/>
    <s v="220"/>
    <s v="VALLADOLID"/>
    <s v="VALLADOL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4"/>
  </r>
  <r>
    <n v="220230007353"/>
    <s v="D"/>
    <d v="2023-03-03T00:00:00"/>
    <n v="22023002295"/>
    <s v="2023 11 1361 213"/>
    <n v="54208"/>
    <x v="574"/>
    <s v="CONTRATO PREST SERV MANT CONSERV MÁQUINAS, EQUIPOS, HERRAM Y MATER 7 ; LOTE 1: MANT PREV EQUIPOS RESP AUTÓNOMA;SEISYPC"/>
    <s v="30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07354"/>
    <s v="D"/>
    <d v="2023-03-03T00:00:00"/>
    <n v="22023002307"/>
    <s v="2023 11 1361 213"/>
    <n v="9052.5"/>
    <x v="575"/>
    <s v="CONTRATO PREST SERV MANT CONSERV MAQU,EQUIP,HERRAMIENTAS Y MATERIALES 7/LOTE 5:MANT PREVENT EQ HERR EXCARCELACION/SEISPC"/>
    <s v="300"/>
    <s v="MOS"/>
    <s v="PONTEVEDRA"/>
    <x v="1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1"/>
    <s v="213"/>
  </r>
  <r>
    <n v="220230010343"/>
    <s v="AD"/>
    <d v="2023-03-23T00:00:00"/>
    <n v="22023003393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11710"/>
    <s v="AD"/>
    <d v="2023-03-29T00:00:00"/>
    <n v="22023003601"/>
    <s v="2023 06 2314 22613"/>
    <n v="395"/>
    <x v="576"/>
    <s v="2 BONOS ANUALES BIKI PARA SORTEO HORA DEL PLANETA / DÍ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7411"/>
    <s v="D"/>
    <d v="2023-03-08T00:00:00"/>
    <n v="22023001462"/>
    <s v="2023 11 1621 214"/>
    <n v="2382.2800000000002"/>
    <x v="418"/>
    <s v="KIT TRANS. LADO RUEDA / KIT MONTAJED Dr)CI Jumper/FI Ducato / RÓTULA DE SUSP. DEL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6"/>
    <s v="D"/>
    <d v="2023-03-08T00:00:00"/>
    <n v="22023001459"/>
    <s v="2023 11 1621 214"/>
    <n v="2094.4699999999998"/>
    <x v="460"/>
    <s v="VEHÍCULO 0755DWR // MANO DE OBRA / M.O.DE DESMONTAR Y MONTAR INYECTORES DE VE.../ V36/2017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18"/>
    <s v="D"/>
    <d v="2023-03-08T00:00:00"/>
    <n v="22023001459"/>
    <s v="2023 11 1621 214"/>
    <n v="623.21"/>
    <x v="360"/>
    <s v="TA23 243 REPARACION 4795-JCT // KMS.249611 METER VEHICULO EN FRENOMETRO / CA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1"/>
    <s v="D"/>
    <d v="2023-03-08T00:00:00"/>
    <n v="22023001459"/>
    <s v="2023 11 1621 214"/>
    <n v="122.52"/>
    <x v="360"/>
    <s v="TA23 266 REPARACION VA-1089-AC // KMS.520721 REV.CAMBIO NO ENTRA LA MARCHA ATRAS. C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31"/>
    <s v="D"/>
    <d v="2023-03-08T00:00:00"/>
    <n v="22023001462"/>
    <s v="2023 11 1621 214"/>
    <n v="2060.75"/>
    <x v="514"/>
    <s v="DIESE/460638 - INTERRUPTOR INTERMITENTE DE AVISO 5X5X8.5 / JURID/2925305390 - PAST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72"/>
    <s v="D"/>
    <d v="2023-03-08T00:00:00"/>
    <n v="22023001466"/>
    <s v="2023 11 1621 22199"/>
    <n v="464.81"/>
    <x v="170"/>
    <s v="Nº SERIE  J620115 / TALADRO HITACHI DV18DBL2WPZ 2X5AH / PUNTA ALLEN 840/1Z SW8X2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7400"/>
    <s v="D"/>
    <d v="2023-03-08T00:00:00"/>
    <n v="22023001549"/>
    <s v="2023 07 1711 22199"/>
    <n v="323.02999999999997"/>
    <x v="170"/>
    <s v="JARDINES / BOTA HAYA S2+CI+SRC Nº40 / BOTA HAYA S2+CI+SRC Nº41 / BOTA HAYA S2+CI+SRC Nº43 / BOTA HAYA S2+CI+SRC Nº44 /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40"/>
    <s v="D"/>
    <d v="2023-03-08T00:00:00"/>
    <n v="22023001578"/>
    <s v="2023 11 3111 22199"/>
    <n v="183.92"/>
    <x v="170"/>
    <s v="CENTRO MUNICIPAL DE PROTECCIÓN ANIMAL C/ PADRE BERNARDO HOYOS. 6 // LANZA DE RIEGO DE LATON / BOTA PU PRADO VE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7474"/>
    <s v="D"/>
    <d v="2023-03-08T00:00:00"/>
    <n v="22023001464"/>
    <s v="2023 11 1621 22104"/>
    <n v="35.03"/>
    <x v="170"/>
    <s v="ZAPATO FLOR NEGRO 258 Nº37.../ V36/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04"/>
  </r>
  <r>
    <n v="220230007405"/>
    <s v="D"/>
    <d v="2023-03-08T00:00:00"/>
    <n v="22023000213"/>
    <s v="2023 11 1321 214"/>
    <n v="359.73"/>
    <x v="361"/>
    <s v="ACUERDO MARCO. REPARACIÓN PIÑA DE LUCES DERECHA V-STROM / MANETA DE FRENO DELANTERO MOTOC.  HONDA CB-500-X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397"/>
    <s v="D"/>
    <d v="2023-03-08T00:00:00"/>
    <n v="22023001549"/>
    <s v="2023 07 1711 22199"/>
    <n v="564.16999999999996"/>
    <x v="181"/>
    <s v="ALBARAN: AV23/00285 F: 20/01/2023 / GAFA UNIVERSAL PHOEBE AHUMADO ANTIVAHO 10228 SAFETOP / AEROSOL LUBRICANTE DOBLE ACCI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86"/>
    <s v="D"/>
    <d v="2023-03-08T00:00:00"/>
    <n v="22023002181"/>
    <s v="2023 06 3232 212"/>
    <n v="12.52"/>
    <x v="383"/>
    <s v="TAPON LIMP. URINARIO. CEIP ALLUE MORER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7402"/>
    <s v="D"/>
    <d v="2023-03-08T00:00:00"/>
    <n v="22023001563"/>
    <s v="2023 07 1711 619"/>
    <n v="7941.85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7424"/>
    <s v="D"/>
    <d v="2023-03-08T00:00:00"/>
    <n v="22023001459"/>
    <s v="2023 11 1621 214"/>
    <n v="1322.97"/>
    <x v="442"/>
    <s v="MATRÍCULA 5461BZY // H.M.O.DESM-MONT. CAMBIO PARA SUST. KIT EMBRAGUE /  H.M.O., SUS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428"/>
    <s v="D"/>
    <d v="2023-03-08T00:00:00"/>
    <n v="22023001469"/>
    <s v="2023 11 1631 214"/>
    <n v="475.28"/>
    <x v="442"/>
    <s v="MATRÍCULA: 7418LDY // MATRÍCULA: 6671KWD // H.M.O., REVISAR FRENOS EN FRENOM.../ SP23/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07395"/>
    <s v="D"/>
    <d v="2023-03-08T00:00:00"/>
    <n v="22023001549"/>
    <s v="2023 07 1711 22199"/>
    <n v="2.36"/>
    <x v="445"/>
    <s v="98- 5 PASADOR R (114774) // 98- 6 PASADOR R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7413"/>
    <s v="D"/>
    <d v="2023-03-08T00:00:00"/>
    <n v="22023001462"/>
    <s v="2023 11 1621 214"/>
    <n v="162.02000000000001"/>
    <x v="519"/>
    <s v="LINEA DE COMBUSTIBLE.../ V36/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393"/>
    <s v="D"/>
    <d v="2023-03-08T00:00:00"/>
    <n v="22023002536"/>
    <s v="2023 01 9203 214"/>
    <n v="203.38"/>
    <x v="325"/>
    <s v="ACUERDO MARCO REPARACION VEHICULO OFICIAL RENAULT VEL SATIS 3161GFG, R.I."/>
    <s v="30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3"/>
    <s v="9203. Unidad de régimen interior"/>
    <s v="21"/>
    <s v="214"/>
  </r>
  <r>
    <n v="220230007479"/>
    <s v="D"/>
    <d v="2023-03-08T00:00:00"/>
    <n v="22023000213"/>
    <s v="2023 11 1321 214"/>
    <n v="2554.9"/>
    <x v="520"/>
    <s v="ACUERDO MARCO. REPARACIÓN VEHÍCULO DE POLICÍA 3715KGB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7966"/>
    <s v="AD"/>
    <d v="2023-03-09T00:00:00"/>
    <n v="22023002871"/>
    <s v="2023 07 1701 22699"/>
    <n v="1503.37"/>
    <x v="577"/>
    <s v="Renovación póliza colectivos (accidentes) seguro huertos urbanos. Año 2023"/>
    <s v="220"/>
    <s v="MADRID"/>
    <s v="MADR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20045290"/>
    <s v="AD"/>
    <d v="2023-03-29T00:00:00"/>
    <n v="22022005694"/>
    <s v="2023 02 9332 632"/>
    <n v="296.45"/>
    <x v="194"/>
    <s v="Redacción Del Proyecto Parcial De Estructuras De La Azucarera De Santa Victoria"/>
    <s v="220"/>
    <s v="ZARATAN"/>
    <s v="VALLADOLID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10343"/>
    <s v="AD"/>
    <d v="2023-03-23T00:00:00"/>
    <n v="22023003394"/>
    <s v="2023 10 2412 22110"/>
    <n v="5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8088"/>
    <s v="ADO"/>
    <d v="2023-03-09T00:00:00"/>
    <n v="22023002781"/>
    <s v="2023 08 1341 22699"/>
    <n v="7139"/>
    <x v="304"/>
    <s v="PATROCINIO DÍA DE LA BICI 2022 | Soporte: El Norte de Castilla - NDC - Ed. General Producto: Patrocinio Evento (P)"/>
    <s v="24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30010343"/>
    <s v="AD"/>
    <d v="2023-03-23T00:00:00"/>
    <n v="22023003395"/>
    <s v="2023 10 2412 22110"/>
    <n v="700"/>
    <x v="573"/>
    <s v="SUMINISTRO DE  MATERIAL DE LIMPIEZA PARA EL CENTRO DE FORMACION PARA EL EMPLEO JACINTO BENAVENTE-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110"/>
  </r>
  <r>
    <n v="220230001989"/>
    <s v="AD"/>
    <d v="2023-02-03T00:00:00"/>
    <n v="22023001573"/>
    <s v="2023 09 3341 22199"/>
    <n v="800.05"/>
    <x v="578"/>
    <s v="SUMINISTRO MATERIAL DE RESTAURACION PARA EL CENTRO MARCELINA PONCELA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2654"/>
    <s v="AD"/>
    <d v="2023-02-09T00:00:00"/>
    <n v="22023001573"/>
    <s v="2023 09 3341 22199"/>
    <n v="168.01"/>
    <x v="578"/>
    <s v="SUMINISTRO MATERIAL RESTAURACION PARA EL CENTRO MARCELINA PONCELA. SE AMPLIA LA PROPUESTA POR ERROR EN EL IMPORTE"/>
    <s v="220"/>
    <s v="GETAFE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926"/>
    <s v="AD"/>
    <d v="2023-03-17T00:00:00"/>
    <n v="22023003087"/>
    <s v="2023 11 1361 22199"/>
    <n v="3668.12"/>
    <x v="579"/>
    <s v="Quince mangueras contraincendios, calidad 4k, de 70mm de diámetro y 15 m longitud; SEISYPC"/>
    <s v="220"/>
    <s v="SANTO DOMINGO DE LA CALZADA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29000904"/>
    <s v="AD"/>
    <d v="2023-01-01T00:00:00"/>
    <n v="22023002051"/>
    <s v="2023 11 1631 22104"/>
    <n v="17378.63"/>
    <x v="580"/>
    <s v="CONTRATO SUMINISTRO DE VESTUARIO Y COMPLEMENTOS PARA EL PERSONAL DE LIMPIEZA VIARI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688"/>
    <s v="AD"/>
    <d v="2023-01-01T00:00:00"/>
    <n v="22023000472"/>
    <s v="2023 11 1621 22104"/>
    <n v="11585.75"/>
    <x v="580"/>
    <s v="CONTRATO SUMINISTRO DE VESTUARIO Y COMPLEMENTOS PARA EL PERSONAL DEL SERVICIO DE LIMPIEZA. AÑO 2023 (LOTE 1)"/>
    <s v="220"/>
    <s v="ZARAGOZA"/>
    <s v="ZARAGOZ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19000950"/>
    <s v="AD"/>
    <d v="2023-01-01T00:00:00"/>
    <n v="22023003373"/>
    <s v="2023 11 1361 623"/>
    <n v="0.01"/>
    <x v="569"/>
    <s v="EXPTE.: SPSC 014_2021; Contrato Suministro EPIs; LOTE 2: EPIs interv resc técnico, altura e incendios forestal; SEISYPC."/>
    <s v="220"/>
    <s v="ARNEDO"/>
    <s v="LA RIOJA"/>
    <x v="3"/>
    <s v="PrAbier - Procedimiento Abierto"/>
    <s v="MultiC - MultiCriterio"/>
    <x v="0"/>
    <x v="0"/>
    <s v="6"/>
    <s v="6. Inversiones reales"/>
    <s v="11"/>
    <x v="6"/>
    <s v="1361"/>
    <s v="1361. Prevención y extinción de incencios"/>
    <s v="62"/>
    <s v="623"/>
  </r>
  <r>
    <n v="220230003795"/>
    <s v="AD"/>
    <d v="2023-02-17T00:00:00"/>
    <n v="22023002479"/>
    <s v="2023 11 1361 22104"/>
    <n v="5617.79"/>
    <x v="569"/>
    <s v="60 bolsas de tránsito personal para la D.O.I.; Servicio de Extinción de Incendios, Salvamento y Protección Civil."/>
    <s v="220"/>
    <s v="ARNEDO"/>
    <s v="LA RIOJ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04"/>
  </r>
  <r>
    <n v="220230008193"/>
    <s v="AD"/>
    <d v="2023-03-13T00:00:00"/>
    <n v="22023003059"/>
    <s v="2023 11 1361 213"/>
    <n v="640.09"/>
    <x v="515"/>
    <s v="Mantenimiento enero y febrero de 2023 de las puertas de los parques de bomberos; SEISYPC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1"/>
    <s v="213"/>
  </r>
  <r>
    <n v="220230008951"/>
    <s v="AD"/>
    <d v="2023-03-17T00:00:00"/>
    <n v="22023003124"/>
    <s v="2023 01 9207 22602"/>
    <n v="3545.3"/>
    <x v="581"/>
    <s v="ADJUDICA CAMPAÑA PUBLICIDAD SEMANA SANTA VALLADOLID EN IL MESSAGGERO DE ROMA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5914"/>
    <s v="AD"/>
    <d v="2023-02-23T00:00:00"/>
    <n v="22023002592"/>
    <s v="2023 06 2315 22611"/>
    <n v="300"/>
    <x v="582"/>
    <s v="CURSO PLANES DE IGUALDAD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277"/>
    <s v="AD"/>
    <d v="2023-01-01T00:00:00"/>
    <n v="22023000321"/>
    <s v="2023 11 1621 22104"/>
    <n v="13764.96"/>
    <x v="108"/>
    <s v="CONCURSO CONTRATO SUMINISTRO VESTUARIO PERSONAL SERVICIO LIMPIEZA EJERCICIO 2023, LOTE 1"/>
    <s v="220"/>
    <s v="GIJON"/>
    <s v="ASTURIAS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30011726"/>
    <s v="AD"/>
    <d v="2023-03-29T00:00:00"/>
    <n v="22023003565"/>
    <s v="2023 06 2314 22613"/>
    <n v="1733.33"/>
    <x v="583"/>
    <s v="ENTREGA CAMISETAS Y MOCHILAS HORA DEL PLANETA DIA 25 DE MARZO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50"/>
    <s v="AD"/>
    <d v="2023-02-10T00:00:00"/>
    <n v="22023002350"/>
    <s v="2023 05 4312 212"/>
    <n v="332.75"/>
    <x v="584"/>
    <s v="REPARACION DE LA PERSIANA DEL PUESTO NUMERO 24 DEL MERCADO DEL VAL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1"/>
    <s v="212"/>
  </r>
  <r>
    <n v="220230008599"/>
    <s v="AD"/>
    <d v="2023-03-15T00:00:00"/>
    <n v="22023003037"/>
    <s v="2023 01 9205 22199"/>
    <n v="611.04999999999995"/>
    <x v="585"/>
    <s v="ADJUDICA SUMINISTRO JABÓN DE MANOS Y OTROS PARA LIMPIEZA DE TINTAS OFFSET - IMPRENTA"/>
    <s v="220"/>
    <s v="MALAGA"/>
    <s v="MALAGA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8576"/>
    <s v="AD"/>
    <d v="2023-03-15T00:00:00"/>
    <n v="22023002943"/>
    <s v="2023 03 9241 22609"/>
    <n v="550"/>
    <x v="586"/>
    <s v="ACTUACIÓN DE DANZA EN CIC CONDE ANSÚREZ EL DÍA 18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2628"/>
    <s v="AD"/>
    <d v="2023-02-09T00:00:00"/>
    <n v="22023002218"/>
    <s v="2023 09 3341 22799"/>
    <n v="3025"/>
    <x v="587"/>
    <s v="REALIZACION DISEÑO GRAFICO DE LA IMAGEN CORPORATIVA DEL CENTRO MARCELINA PONCEL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10330"/>
    <s v="AD"/>
    <d v="2023-03-23T00:00:00"/>
    <n v="22023003080"/>
    <s v="2023 05 4331 22609"/>
    <n v="1694"/>
    <x v="588"/>
    <s v="RANDOM PODCAST ESCENICO. SEMANA DEL TOUR DEL TALENTO."/>
    <s v="230"/>
    <s v="RENEDO DE ESGUEVA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02642"/>
    <s v="AD"/>
    <d v="2023-02-09T00:00:00"/>
    <n v="22023002186"/>
    <s v="2023 06 3321 22001"/>
    <n v="6217.13"/>
    <x v="589"/>
    <s v="CTTO SUMINISTRO SUSCRIPCIÓN 9 REVISTAS PARA BIBLIOTECAS MUNICIPALES//AÑO 2023"/>
    <s v="220"/>
    <s v="BARCELONA"/>
    <s v="BARCELONA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8593"/>
    <s v="AD"/>
    <d v="2023-03-15T00:00:00"/>
    <n v="22023002997"/>
    <s v="2023 08 1532 210"/>
    <n v="4950"/>
    <x v="590"/>
    <s v="Suministro áridos reciclados, zahorras y recepción de escombros a granel, con retirada o entrega por medios municip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568"/>
    <s v="AD"/>
    <d v="2023-01-01T00:00:00"/>
    <n v="22023000693"/>
    <s v="2023 11 1631 22103"/>
    <n v="10000"/>
    <x v="94"/>
    <s v="CONTRATO SUMINISTRO GASOLINA PARA VEHÍCULOS Y MAQUINARIA DEL SERVICIO DE LIMPIEZA 2023 y 2024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3"/>
  </r>
  <r>
    <n v="220229000571"/>
    <s v="AD"/>
    <d v="2023-01-01T00:00:00"/>
    <n v="22023000696"/>
    <s v="2023 02 9332 22103"/>
    <n v="7000"/>
    <x v="94"/>
    <s v="PREVISIÓN GASTO GASOLINA 95 NUEVO CONTRATO VEHÍCULOS DEL SERVICIO DE MANTENIMIENTO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30008407"/>
    <s v="D"/>
    <d v="2023-03-15T00:00:00"/>
    <n v="22023001549"/>
    <s v="2023 07 1711 22199"/>
    <n v="604.03"/>
    <x v="591"/>
    <s v="SASU // SACA SUBSTRATO 1,5 M3 ( Prop. 1 SUBST )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70"/>
    <s v="AD"/>
    <d v="2023-03-15T00:00:00"/>
    <n v="22023002933"/>
    <s v="2023 03 9241 22609"/>
    <n v="605"/>
    <x v="420"/>
    <s v="Alicia Maravillas: Cuenta cuentos cantinela en CIC Santiago López el día 25/02/2023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94"/>
    <s v="ADO"/>
    <d v="2023-03-15T00:00:00"/>
    <n v="22023002626"/>
    <s v="2023 07 1623 22700"/>
    <n v="319376.84000000003"/>
    <x v="592"/>
    <s v="TN. RECOGIDA RESIDUOS VOLUMINOSOS ENERO 2023. CENTRO DE TRATAMIENTO Y ELIMINACIÓN DE RESIDUOS"/>
    <s v="250"/>
    <s v="VALLADOLID"/>
    <s v="VALLADOLID"/>
    <x v="6"/>
    <s v="PrAbier - Procedimiento Abierto"/>
    <s v="MultiC - MultiCriterio"/>
    <x v="0"/>
    <x v="0"/>
    <s v="2"/>
    <s v="2. Gastos corrientes en bienes y servicios"/>
    <s v="07"/>
    <x v="4"/>
    <s v="1623"/>
    <s v="1623. Tratamiento de residuos"/>
    <s v="22"/>
    <s v="22700"/>
  </r>
  <r>
    <n v="220230008589"/>
    <s v="AD"/>
    <d v="2023-03-15T00:00:00"/>
    <n v="22023002992"/>
    <s v="2023 03 9241 22609"/>
    <n v="665.5"/>
    <x v="593"/>
    <s v="CANCIONES ANIMADAS&quot;&quot; ACTUACIÓN DE JAIME LAFUENTE Y JESÚS RONDA EN CC CAMPILLO EL DÍA 14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1"/>
    <s v="AD"/>
    <d v="2023-03-15T00:00:00"/>
    <n v="22023002935"/>
    <s v="2023 03 9241 22609"/>
    <n v="550"/>
    <x v="594"/>
    <s v="MARGARITO Y CÍA: ESPECTÁCULO DE PAYASOS EN CC BAILARÍN VICENTE ESCUDERO EL DÍA 26/02/2023. MFS"/>
    <s v="220"/>
    <s v="BURGOS"/>
    <s v="BURGOS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69"/>
    <s v="AD"/>
    <d v="2023-03-15T00:00:00"/>
    <n v="22023002843"/>
    <s v="2023 08 1532 203"/>
    <n v="740.52"/>
    <x v="385"/>
    <s v="ALQUILER DE CARRETILLA ELEVADORA, TODO TERRENO, DURANTE 4 DÍAS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0"/>
    <s v="203"/>
  </r>
  <r>
    <n v="220230008572"/>
    <s v="AD"/>
    <d v="2023-03-15T00:00:00"/>
    <n v="22023002936"/>
    <s v="2023 03 9241 22609"/>
    <n v="550"/>
    <x v="410"/>
    <s v="ESPECTÁCULO DE CIRCO EN CC PILARICA 04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79"/>
    <s v="AD"/>
    <d v="2023-03-15T00:00:00"/>
    <n v="22023002982"/>
    <s v="2023 03 9241 22609"/>
    <n v="500"/>
    <x v="595"/>
    <s v="EL CALABACÍN ERRANTE: CUENTA CUENTOS EN CM LA OVERUELA EL DÍA 26/03/2023. MFS"/>
    <s v="220"/>
    <s v="TUDELA DE DUERO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597"/>
    <s v="AD"/>
    <d v="2023-03-15T00:00:00"/>
    <n v="22023003029"/>
    <s v="2023 06 2314 22613"/>
    <n v="1400"/>
    <x v="596"/>
    <s v="COLABORACIÓN STAND PARA XVII SALÓN DEL COMIC Y MANGA DE CASTILLA Y LEÓN EN FERIA DE VALLADOLID / 11 Y 12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8474"/>
    <s v="D"/>
    <d v="2023-03-15T00:00:00"/>
    <n v="22023001344"/>
    <s v="2023 03 9241 213"/>
    <n v="554.92999999999995"/>
    <x v="358"/>
    <s v="VARIOS CENTROS CÍVICOS // MT TUBO GEWISS ¤DX25720 RKB M20 GRIS / MANGUITO GEWISS ¤DX40020 RKM M20 GR PRE ZH IP40 / CURV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4"/>
    <s v="D"/>
    <d v="2023-03-15T00:00:00"/>
    <n v="22023001344"/>
    <s v="2023 03 9241 213"/>
    <n v="377.37"/>
    <x v="358"/>
    <s v="MT CABLE H07Z1-K ZEROH FLEX  1X2,5 NEGRO / MT CANAL LEGRAND 30008    20X12,5 / C.I.C. NATIVIDAD Y CC BAILARIN VICEN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42"/>
    <s v="D"/>
    <d v="2023-03-15T00:00:00"/>
    <n v="22023001344"/>
    <s v="2023 03 9241 213"/>
    <n v="350.43"/>
    <x v="358"/>
    <s v="MAGNETOT SE IC60N  2P 25A  D  A9F75225 / MAGNETOT SE IDPN F 1P+N C 10A A9P53610 /CIC EMPECINADO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56"/>
    <s v="D"/>
    <d v="2023-03-15T00:00:00"/>
    <n v="22023001344"/>
    <s v="2023 03 9241 213"/>
    <n v="202.69"/>
    <x v="358"/>
    <s v="ANGUL PL LEGRAND 30223 / MT CANAL LEGRAND 648905 ADHESIVA 20X12,5 / CLAVIJA SOLERA 6566 / BASE 3TO SOLERA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31"/>
    <s v="ADO"/>
    <d v="2023-03-15T00:00:00"/>
    <n v="22023002780"/>
    <s v="2023 07 1721 22100"/>
    <n v="10.38"/>
    <x v="379"/>
    <s v="COMPENSACION BONO SOCIAL REMESA FACTURAS FOTOVOLTAICAS FEBRERO 2023"/>
    <s v="240"/>
    <s v="BILBAO"/>
    <s v="VIZCAYA"/>
    <x v="4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00"/>
  </r>
  <r>
    <n v="220230008398"/>
    <s v="D"/>
    <d v="2023-03-15T00:00:00"/>
    <n v="22023001549"/>
    <s v="2023 07 1711 22199"/>
    <n v="154.47999999999999"/>
    <x v="358"/>
    <s v="INT.HORA ORBIS DOMO DT-30 24H ANALOG.ENCHU / FLUORESCENTE PH TLE 32W/865 CIRCULAR 84055100 / TASA ECORAEE   (R.DECRETO 2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52"/>
    <s v="D"/>
    <d v="2023-03-15T00:00:00"/>
    <n v="22023001344"/>
    <s v="2023 03 9241 213"/>
    <n v="126.92"/>
    <x v="358"/>
    <s v="CC RONDILLA // MT CABLE RV-K FLEX  3G1,5   0,6/1KV / ANGULO   LEGRAND 30221   Ext/Int / ANGUL PL LEGRAND 30223 /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592"/>
    <s v="AD"/>
    <d v="2023-03-15T00:00:00"/>
    <n v="22023002995"/>
    <s v="2023 03 9241 22609"/>
    <n v="550"/>
    <x v="597"/>
    <s v="ACTUACIÓN TEATRAL EN CC ZONA SUR EL DÍA 21/05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454"/>
    <s v="D"/>
    <d v="2023-03-15T00:00:00"/>
    <n v="22023001344"/>
    <s v="2023 03 9241 213"/>
    <n v="32.659999999999997"/>
    <x v="358"/>
    <s v="ANGULO LEGRAND 30221 Ext/Int /MT CANAL LEGRAND 648905 ADHESIVA 20X12,5 /CLAVIJA SOLERA 6566/BASE 3TO/ CC JL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403"/>
    <s v="D"/>
    <d v="2023-03-15T00:00:00"/>
    <n v="22023001549"/>
    <s v="2023 07 1711 22199"/>
    <n v="14.59"/>
    <x v="358"/>
    <s v="TUBO LED PH CORE.PRO   60CM   8W/865C G13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29000569"/>
    <s v="AD"/>
    <d v="2023-01-01T00:00:00"/>
    <n v="22023000694"/>
    <s v="2023 08 1532 22103"/>
    <n v="5000"/>
    <x v="94"/>
    <s v="SUMINISTRO DE GASOLINA TIPO A PARA LOS VEHÍCULOS DEL S.E.P.I.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29000566"/>
    <s v="AD"/>
    <d v="2023-01-01T00:00:00"/>
    <n v="22023001220"/>
    <s v="2023 08 1341 22103"/>
    <n v="2000"/>
    <x v="94"/>
    <s v="GASOLINA VEHÍCULOS CENTRO DE MOVILIDAD URBANA 2023/2024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341"/>
    <s v="1341. Movilidad"/>
    <s v="22"/>
    <s v="22103"/>
  </r>
  <r>
    <n v="220230008383"/>
    <s v="ADO"/>
    <d v="2023-03-15T00:00:00"/>
    <n v="22023002763"/>
    <s v="2023 04 9202 22799"/>
    <n v="701.8"/>
    <x v="148"/>
    <s v="CARGA EXTINTOR CO2-5 PARA PRACTICAS / CARGA EXTINTOR HD-10 PARA PRACTICAS / PRECINTOS EXTINTOR."/>
    <s v="24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799"/>
  </r>
  <r>
    <n v="220230008420"/>
    <s v="ADO"/>
    <d v="2023-03-15T00:00:00"/>
    <n v="22023002866"/>
    <s v="2023 10 2412 212"/>
    <n v="691.76"/>
    <x v="598"/>
    <s v="TRABAJOS ELECTRICOS REALIZADOS EN EL CENTRO DE FORMACION JACINTO BENAVENTE ACORDE AL PRESUPUESTO Nº 06722-2022"/>
    <s v="240"/>
    <s v="SANTOVENIA DE PISUERGA"/>
    <s v="VALLADOLID"/>
    <x v="3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2"/>
  </r>
  <r>
    <n v="220229000565"/>
    <s v="AD"/>
    <d v="2023-01-01T00:00:00"/>
    <n v="22023000691"/>
    <s v="2023 11 1361 22103"/>
    <n v="1500"/>
    <x v="94"/>
    <s v="CONTRATO SUMINISTRO GASOLINA 95 PARA VEHÍCULOS; SERVICIO DE EXTINCIÓN DE INCENDIOS, SALVAMENTO Y PROTECCIÓN CIVIL."/>
    <s v="220"/>
    <s v="MADRID"/>
    <s v="MADRID"/>
    <x v="3"/>
    <s v="PrAbier - Procedimiento Abierto"/>
    <s v="MultiC - MultiCriterio"/>
    <x v="0"/>
    <x v="0"/>
    <s v="2"/>
    <s v="2. Gastos corrientes en bienes y servicios"/>
    <s v="11"/>
    <x v="6"/>
    <s v="1361"/>
    <s v="1361. Prevención y extinción de incencios"/>
    <s v="22"/>
    <s v="22103"/>
  </r>
  <r>
    <n v="220229000564"/>
    <s v="AD"/>
    <d v="2023-01-01T00:00:00"/>
    <n v="22023000690"/>
    <s v="2023 11 3111 22103"/>
    <n v="1000"/>
    <x v="94"/>
    <s v="SUMINISTRO GASOLINA 95º VEHICULOS ADSCRITOS SERVICIO SALUD PUBLICA. AÑOS 2023 Y 2024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30008410"/>
    <s v="D"/>
    <d v="2023-03-15T00:00:00"/>
    <n v="22023001549"/>
    <s v="2023 07 1711 22199"/>
    <n v="115.51"/>
    <x v="599"/>
    <s v="PACHIRA / CIL.FARNESE 30 CM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05"/>
    <s v="D"/>
    <d v="2023-03-15T00:00:00"/>
    <n v="22023001549"/>
    <s v="2023 07 1711 22199"/>
    <n v="7.2"/>
    <x v="599"/>
    <s v="PISTOLA INSECTICI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4"/>
    <s v="D"/>
    <d v="2023-03-15T00:00:00"/>
    <n v="22023001343"/>
    <s v="2023 03 9241 212"/>
    <n v="66.260000000000005"/>
    <x v="479"/>
    <s v="MATERIAL VARIO CONSTRUCCION // CENTRO CIVICO DELICIA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29000572"/>
    <s v="AD"/>
    <d v="2023-01-01T00:00:00"/>
    <n v="22023000697"/>
    <s v="2023 07 1721 22103"/>
    <n v="1000"/>
    <x v="94"/>
    <s v="SUMINISTRO DE GASOLINA PARA LOS VEHÍCULOS DEL SERVICIO DE MEDIO AMBIENTE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29000573"/>
    <s v="AD"/>
    <d v="2023-01-01T00:00:00"/>
    <n v="22023000464"/>
    <s v="2023 10 2412 22103"/>
    <n v="550"/>
    <x v="94"/>
    <s v="CONTRATO SUMINISTRO DE GASOLINA PARA EL TRACTOR Y MAQUINARIA DE JARDINERIA DEL CENTRO DE FORMACIÓN DE EMPLEO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563"/>
    <s v="AD"/>
    <d v="2023-01-01T00:00:00"/>
    <n v="22023000689"/>
    <s v="2023 01 9203 22103"/>
    <n v="4000"/>
    <x v="94"/>
    <s v="CONTRATO SUMINISTRO GASOLINA VEHICULOS R.I., AÑOS 2023 Y 2024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8401"/>
    <s v="D"/>
    <d v="2023-03-15T00:00:00"/>
    <n v="22023001549"/>
    <s v="2023 07 1711 22199"/>
    <n v="1609.05"/>
    <x v="181"/>
    <s v="ALBARAN: AV22/06912 F: 29/12/2022 / PARKA BOREAL MARINO T-M / PARKA BOREAL MARINO T-L / PANTALON TREKKING AZUL MARINO D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32"/>
    <s v="ADO"/>
    <d v="2023-03-15T00:00:00"/>
    <n v="22023002890"/>
    <s v="2023 03 9241 22602"/>
    <n v="1815"/>
    <x v="304"/>
    <s v="PÁGINA ENTREVISTA ALBERTO BUSTOS CAMPAÑA DE FOMENTO DE LA PARTICIPCIÓN CIUDADANA DIC 2022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10"/>
    <s v="9241"/>
    <s v="9241. Participación ciudadana"/>
    <s v="22"/>
    <s v="22602"/>
  </r>
  <r>
    <n v="220230008510"/>
    <s v="D"/>
    <d v="2023-03-15T00:00:00"/>
    <n v="22023002378"/>
    <s v="2023 09 3341 213"/>
    <n v="49.13"/>
    <x v="177"/>
    <s v="SUMINISTRO TIMBRE CAMPANA ESPACIO GALERIAS VALLADOLID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08468"/>
    <s v="D"/>
    <d v="2023-03-15T00:00:00"/>
    <n v="22023001344"/>
    <s v="2023 03 9241 213"/>
    <n v="39.26"/>
    <x v="177"/>
    <s v="048941 - DETECTOR PIR 360º EMPOTRAR LEGRAND / CC CASA CUN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6808"/>
    <s v="ADO"/>
    <d v="2023-03-02T00:00:00"/>
    <n v="22023002595"/>
    <s v="2023 07 1721 22103"/>
    <n v="61.14"/>
    <x v="94"/>
    <s v="USO TARJETA CEPSA // 4250-KFK / DICIEMBRE-22"/>
    <s v="240"/>
    <s v="MADRID"/>
    <s v="MADRID"/>
    <x v="3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2"/>
    <s v="22103"/>
  </r>
  <r>
    <n v="220230008470"/>
    <s v="D"/>
    <d v="2023-03-15T00:00:00"/>
    <n v="22023001343"/>
    <s v="2023 03 9241 212"/>
    <n v="287.99"/>
    <x v="381"/>
    <s v="ID:0035048-CC. ZONA SUR / BISAGRA ESTANDAR EMBUTIR 70MM NEGRA DERECHA / BISAGRA ESTANDAR EMBUTIR/ 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58"/>
    <s v="D"/>
    <d v="2023-03-15T00:00:00"/>
    <n v="22023001343"/>
    <s v="2023 03 9241 212"/>
    <n v="93.75"/>
    <x v="381"/>
    <s v="ID: 0034977-CC JOSE LUIS MOSQUERA / ANTIP. TESA CERRADURA CF50ASR9Z / ID: 0035037-CC PARQUESOL / ID: 0035291-CC ZONA SUR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8"/>
    <s v="D"/>
    <d v="2023-03-15T00:00:00"/>
    <n v="22023001343"/>
    <s v="2023 03 9241 212"/>
    <n v="13.21"/>
    <x v="381"/>
    <s v="ID: 0034847-CIZE / ECO MANILLA CORTAFUEGO M1 NEGRO ( JGO ) CC ZONA ESTE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60"/>
    <s v="D"/>
    <d v="2023-03-15T00:00:00"/>
    <n v="22023001343"/>
    <s v="2023 03 9241 212"/>
    <n v="503.87"/>
    <x v="217"/>
    <s v="VARIOS CENTROS CÍVICOS //CERRADURA TESA EMBUTIR 2010P 50 HL * Y OTROS MATERIAL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46"/>
    <s v="D"/>
    <d v="2023-03-15T00:00:00"/>
    <n v="22023001343"/>
    <s v="2023 03 9241 212"/>
    <n v="386.98"/>
    <x v="217"/>
    <s v="MOLDE BIZCOCHO 30X18  COD. 188Y1430 / VASOS AGUA COD. 330Y181 / MANTA MARCA IGNIFUGA MODELO 238/ VARIOS CC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72"/>
    <s v="D"/>
    <d v="2023-03-15T00:00:00"/>
    <n v="22023001343"/>
    <s v="2023 03 9241 212"/>
    <n v="267.74"/>
    <x v="217"/>
    <s v="VARIOS CENTROS CÍVICOS // MATERIALES REPARACION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12"/>
    <s v="D"/>
    <d v="2023-03-15T00:00:00"/>
    <n v="22023001549"/>
    <s v="2023 07 1711 22199"/>
    <n v="60.6"/>
    <x v="217"/>
    <s v="CERRADURA MCM 1650-21 EMBUTIR MET // COPIA LLAVE NORMAL / TORNI. DIN 7505 C/AVE.POZ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564"/>
    <s v="D"/>
    <d v="2023-03-15T00:00:00"/>
    <n v="22023002739"/>
    <s v="2023 02 9332 212"/>
    <n v="45.99"/>
    <x v="217"/>
    <s v="GUIA COLLEL 840/ 406 MM JGO / SECRETARIO GENERAL// ACEITE WD-40 500ML DOB ACC / SECRETARIA GENERAL // FEIA DE MUESTRAS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595"/>
    <s v="AD"/>
    <d v="2023-03-15T00:00:00"/>
    <n v="22023002996"/>
    <s v="2023 10 2316 22616"/>
    <n v="429.55"/>
    <x v="600"/>
    <s v="INSTALACIÓN Y DESINSTALACIÓN PANELES EXPO.&quot;&quot;NI NUEVA, NI AJENA&quot;&quot; EN SAN BENITO, ACTIVIDADES DIA CONTRA DISC. RACIAL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20016314"/>
    <s v="AD"/>
    <d v="2023-03-29T00:00:00"/>
    <n v="22022002963"/>
    <s v="2023 11 1321 632"/>
    <n v="35175.519999999997"/>
    <x v="601"/>
    <s v="OBRAS DE ADAPTACIÓN EN VESTUARIO Y ZONAS DE ASEO EN DEPENDENCIAS DEL DISTRITO 4º. EXPTE. PM 1/2022."/>
    <s v="220"/>
    <s v="VALLADOLID"/>
    <s v="VALLADOLID"/>
    <x v="2"/>
    <s v="AdDirec - Adjudicación Directa"/>
    <s v="SinC - Sin Criterio"/>
    <x v="3"/>
    <x v="0"/>
    <s v="6"/>
    <s v="6. Inversiones reales"/>
    <s v="11"/>
    <x v="6"/>
    <s v="1321"/>
    <s v="1321. Policía municipal"/>
    <s v="63"/>
    <s v="632"/>
  </r>
  <r>
    <n v="220219001265"/>
    <s v="AD"/>
    <d v="2023-01-01T00:00:00"/>
    <n v="22023003296"/>
    <s v="2023 04 9204 213"/>
    <n v="4621.08"/>
    <x v="602"/>
    <s v="MANTENIMIENTO DE LOS SISTEMAS DE CLIMATIZACIÓN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1954"/>
    <s v="AD"/>
    <d v="2023-02-03T00:00:00"/>
    <n v="22023001377"/>
    <s v="2023 01 9206 22001"/>
    <n v="912"/>
    <x v="603"/>
    <s v="3 SUSCRIPCIONES ANUALES A REVISTA TRIBUTOS LOCALES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593"/>
    <s v="AD"/>
    <d v="2023-02-08T00:00:00"/>
    <n v="22023002119"/>
    <s v="2023 11 3111 22106"/>
    <n v="428.04"/>
    <x v="604"/>
    <s v="CONTENEDORES HIGIENICOS DE CASA DEL BARCO. 2023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6"/>
  </r>
  <r>
    <n v="220230005920"/>
    <s v="AD"/>
    <d v="2023-02-23T00:00:00"/>
    <n v="22023002628"/>
    <s v="2023 10 2412 213"/>
    <n v="120.4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8462"/>
    <s v="D"/>
    <d v="2023-03-15T00:00:00"/>
    <n v="22023001344"/>
    <s v="2023 03 9241 213"/>
    <n v="362.42"/>
    <x v="209"/>
    <s v="CAJA P/ 1 ELEMENTO SUJECION MEDIANTE 2 GARRAS ENLAZABLE MEDIDAS: Ø65X40MM IP30 / PANEL CONVECTOR PM-1005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8396"/>
    <s v="D"/>
    <d v="2023-03-15T00:00:00"/>
    <n v="22023001549"/>
    <s v="2023 07 1711 22199"/>
    <n v="6.06"/>
    <x v="209"/>
    <s v="MARCO 1E, LUMINA SOUL, BLANCO POLAR / TOMA SCHUKO, LUMINA, BLANCO POLAR / CLAVIJA 2P+T S/LATERAL BLANCA"/>
    <s v="300"/>
    <s v="BARCELONA"/>
    <s v="BARCELONA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10057024"/>
    <s v="AD"/>
    <d v="2023-03-29T00:00:00"/>
    <n v="22021006505"/>
    <s v="2023 02 9332 632"/>
    <n v="847"/>
    <x v="605"/>
    <s v="DOCUMENTACION TECNICA Y DIRECCION FACULTATIVA EJECUCION DE INSTALAC ELECTR -PLAZA DE LA SOLIDARIDAD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8502"/>
    <s v="D"/>
    <d v="2023-03-15T00:00:00"/>
    <n v="22023001549"/>
    <s v="2023 07 1711 22199"/>
    <n v="73.83"/>
    <x v="606"/>
    <s v="Nº VALE 1278 ( DESTINO: MORERAS ) / GUIA HUSQ. T-540 TECHLITE 12&quot;&quot; 0.50 3/8&quot;&quot; 45 ES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1953"/>
    <s v="AD"/>
    <d v="2023-02-03T00:00:00"/>
    <n v="22023001374"/>
    <s v="2023 01 9206 22001"/>
    <n v="305.76"/>
    <x v="607"/>
    <s v="SUSCRIPCIÓN ANUAL A REVISTA DERECHO URBANÍSTICO Y MEDIO AMBIENTE, AÑO 2023."/>
    <s v="220"/>
    <s v="MADRID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02639"/>
    <s v="AD"/>
    <d v="2023-02-09T00:00:00"/>
    <n v="22023002172"/>
    <s v="2023 06 3321 22001"/>
    <n v="175"/>
    <x v="608"/>
    <s v="CTTO SUMINISTRO 5 SUSCRIPCIONES ANUALES A LA &quot;&quot;REVISTA EMPRENDEDORES&quot;&quot; PARA BIBLIOTECAS PÚBLICAS//AÑO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2595"/>
    <s v="AD"/>
    <d v="2023-02-08T00:00:00"/>
    <n v="22023002123"/>
    <s v="2023 11 3111 22199"/>
    <n v="105.27"/>
    <x v="609"/>
    <s v="FICHAS RELOJ  DEL CMPA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8188"/>
    <s v="AD"/>
    <d v="2023-03-13T00:00:00"/>
    <n v="22023003027"/>
    <s v="2023 06 2315 22611"/>
    <n v="847"/>
    <x v="610"/>
    <s v="EQUIPACION SONIDO E ILUMINACIÓN 8M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9"/>
    <s v="AD"/>
    <d v="2023-03-23T00:00:00"/>
    <n v="22023003475"/>
    <s v="2023 06 2314 22613"/>
    <n v="1573"/>
    <x v="610"/>
    <s v="EQUIPACION SONIDO E ILUMINACIÓN &quot;&quot;FESTIVAL HORA DEL PLANETA 25 MARZO&quot;&quot;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3624"/>
    <s v="AD"/>
    <d v="2023-02-16T00:00:00"/>
    <n v="22023001922"/>
    <s v="2023 09 3341 22199"/>
    <n v="260.14999999999998"/>
    <x v="611"/>
    <s v="PORTA ETIQUETAS PARA LOS PEINES DEL CENTRO MARCELINA PONCELA"/>
    <s v="220"/>
    <s v="HOSPITALET DE LLOBREGAT"/>
    <s v="BARCELONA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11683"/>
    <s v="AD"/>
    <d v="2023-03-28T00:00:00"/>
    <n v="22023003532"/>
    <s v="2023 11 1621 214"/>
    <n v="1560.9"/>
    <x v="612"/>
    <s v="REVISIÓN 500 HORAS EN LOS EQUIPOS DE RECOGIDA LATERAL FARID MOD. FMOPLUS DE SEIS VEHÍCULOS RECOLECTORES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376"/>
    <s v="D"/>
    <d v="2023-03-15T00:00:00"/>
    <n v="22023001565"/>
    <s v="2023 07 1711 619"/>
    <n v="2171.13"/>
    <x v="613"/>
    <s v="LAURUS NOBILIS C-10 L / ADELFA NANA C-3 L / POTINEA C-10 L / TEUCRIUM C-3 L / ESCALONIA C-3 L / BOJ C-3 L / MADROÑO  / G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98"/>
    <s v="D"/>
    <d v="2023-03-15T00:00:00"/>
    <n v="22023001565"/>
    <s v="2023 07 1711 619"/>
    <n v="1701.15"/>
    <x v="613"/>
    <s v="ELEAGNUS 80/100 / LONICERA NITIDA C-3 L / PASSIONARIA M-15 / ROSAL DE MACETA / COTTONEASTER LACTEA C-3 L / VERONICA VARI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8"/>
    <s v="D"/>
    <d v="2023-03-15T00:00:00"/>
    <n v="22023001565"/>
    <s v="2023 07 1711 619"/>
    <n v="663.03"/>
    <x v="613"/>
    <s v="CASTAÑO SATIVA 18/20 CONT / LAVANDA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373"/>
    <s v="D"/>
    <d v="2023-03-15T00:00:00"/>
    <n v="22023001565"/>
    <s v="2023 07 1711 619"/>
    <n v="550"/>
    <x v="613"/>
    <s v="PRUNUS SERRULATA KANZAN 14/16 CEP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500"/>
    <s v="D"/>
    <d v="2023-03-15T00:00:00"/>
    <n v="22023001565"/>
    <s v="2023 07 1711 619"/>
    <n v="231"/>
    <x v="613"/>
    <s v="CUPRESSO LEYLANDII C-5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8405"/>
    <s v="D"/>
    <d v="2023-03-15T00:00:00"/>
    <n v="22023001549"/>
    <s v="2023 07 1711 22199"/>
    <n v="11.07"/>
    <x v="445"/>
    <s v="7487 SIKAFLEX 11 FC NEGRO CARTUCHO SIKA  (49885)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08466"/>
    <s v="D"/>
    <d v="2023-03-15T00:00:00"/>
    <n v="22023001343"/>
    <s v="2023 03 9241 212"/>
    <n v="55.3"/>
    <x v="467"/>
    <s v="CENTRO CIVICO PARQUESOL / XYLAZEL PATINA ANTICUARIO 250 / CERA EBANISTA 250ML / TACO DUOPOWER 8*40 UNIDAD 555008 / TIRAF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8436"/>
    <s v="D"/>
    <d v="2023-03-15T00:00:00"/>
    <n v="22023002282"/>
    <s v="2023 07 1721 214"/>
    <n v="509.73"/>
    <x v="366"/>
    <s v="9707-JVH  // 175/65R15 84H BLURESPONSE DUNLOP / NFU N2 / MONTAJE+EQUILIBRADO+VALVULA TURISMO / ALINEADO TURI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21"/>
    <s v="1721. Protección del medio ambiente"/>
    <s v="21"/>
    <s v="214"/>
  </r>
  <r>
    <n v="220230011740"/>
    <s v="AD"/>
    <d v="2023-03-29T00:00:00"/>
    <n v="22023003535"/>
    <s v="2023 11 1621 214"/>
    <n v="2468.4"/>
    <x v="612"/>
    <s v="RPERACIÓN DE CILINDRO ACTUADOR DEL SISTEMA ELEVACONTENEDORES RECOLECTOR VEHÍCULO 7334 LWL DEL Sº LIMPIEZA"/>
    <s v="220"/>
    <s v="TARREGA"/>
    <s v="LERID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08450"/>
    <s v="D"/>
    <d v="2023-03-15T00:00:00"/>
    <n v="22023001343"/>
    <s v="2023 03 9241 212"/>
    <n v="31.64"/>
    <x v="469"/>
    <s v="MATERIALES PARA CC ESGUEVA"/>
    <s v="300"/>
    <s v="VALDELAFUENTE"/>
    <s v="LEON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4190"/>
    <s v="AD"/>
    <d v="2023-02-20T00:00:00"/>
    <n v="22023002545"/>
    <s v="2023 06 2315 22611"/>
    <n v="300"/>
    <x v="614"/>
    <s v="TALLER CENTRO MUNICIPAL DE LA IGUALDAD &quot;&quot;FEMINISMO Y DIVERSIDAD FUNCIONAL&quot;&quot; / MARZO 2023"/>
    <s v="220"/>
    <s v="ONTINYENT"/>
    <s v="VALENCIA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1799"/>
    <s v="AD"/>
    <d v="2023-02-03T00:00:00"/>
    <n v="22023000284"/>
    <s v="2023 11 1361 22199"/>
    <n v="323.98"/>
    <x v="615"/>
    <s v="Montaje de vinilos troquelados de señalización reflectante en vehículo VMC 13, matr 2958JVV; 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12873"/>
    <s v="AD"/>
    <d v="2023-03-31T00:00:00"/>
    <n v="22023003695"/>
    <s v="2023 11 3111 22799"/>
    <n v="340.49"/>
    <x v="616"/>
    <s v="ELABORACION Y FABRICACION DE SIETE CARTELES EN ALUMINIO CON POSTE PARA IDENTIFICACION DE COLONIAS FELINAS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799"/>
  </r>
  <r>
    <n v="220230002012"/>
    <s v="AD"/>
    <d v="2023-02-03T00:00:00"/>
    <n v="22023001502"/>
    <s v="2023 03 9241 22699"/>
    <n v="1361.25"/>
    <x v="617"/>
    <s v="DISEÑO Y MAQUETACIÓN MEMORIA SPC 2021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08935"/>
    <s v="AD"/>
    <d v="2023-03-17T00:00:00"/>
    <n v="22023003112"/>
    <s v="2023 10 2311 212"/>
    <n v="330.45"/>
    <x v="383"/>
    <s v="SUSTITUCIÓN PLATO DE DUCHA ROTO EN VIVIENDA DE ALOJAMIENTOS PROVISIONALES SITA C/ GUARDERIA 6, BAJO D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8953"/>
    <s v="AD"/>
    <d v="2023-03-17T00:00:00"/>
    <n v="22023003147"/>
    <s v="2023 10 2312 22618"/>
    <n v="423.5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8953"/>
    <s v="AD"/>
    <d v="2023-03-17T00:00:00"/>
    <n v="22023003148"/>
    <s v="2023 10 2312 22618"/>
    <n v="508.2"/>
    <x v="271"/>
    <s v="Adaptación del nuevo imagotipo a todos los centros de vida activa. INICIATIVAS SOCIALES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19001267"/>
    <s v="AD"/>
    <d v="2023-01-01T00:00:00"/>
    <n v="22023003298"/>
    <s v="2023 04 9204 213"/>
    <n v="1045.44"/>
    <x v="130"/>
    <s v="MANTENIMIENTO DEL ASCENSOR Y PLATAFORMA ELEVADORA INDUSTRIAL, LOTE 3"/>
    <s v="220"/>
    <s v="VIGO"/>
    <s v="PONTEVEDRA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08952"/>
    <s v="AD"/>
    <d v="2023-03-17T00:00:00"/>
    <n v="22023003133"/>
    <s v="2023 06 2315 22611"/>
    <n v="214.17"/>
    <x v="618"/>
    <s v="ALQUIER MICROFONOS TALLER CONMEMORACION DIA INTERNACIONAL DE LA MUJER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23"/>
    <s v="AD"/>
    <d v="2023-03-17T00:00:00"/>
    <n v="22023003074"/>
    <s v="2023 09 3301 22799"/>
    <n v="171.42"/>
    <x v="406"/>
    <s v="CONTRATO DE SERVICIO DE MANTENIMIENTO DE &quot;&quot;VALLADOLID EN CIFRAS&quot;&quot; DEL OBSERVATORIO TURISTICO DURANTE EL MES DE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799"/>
  </r>
  <r>
    <n v="220230008930"/>
    <s v="AD"/>
    <d v="2023-03-17T00:00:00"/>
    <n v="22023003098"/>
    <s v="2023 03 9241 22609"/>
    <n v="1100"/>
    <x v="274"/>
    <s v="TEATRO DEL NAVEGANTE: REPRESENTACIÓN EN CENTRO PENITENCIARIO DE VILLANUBLA EL DÍA 11/03/2023"/>
    <s v="220"/>
    <s v="GERI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63"/>
    <s v="AD"/>
    <d v="2023-03-17T00:00:00"/>
    <n v="22023003178"/>
    <s v="2023 03 9241 22602"/>
    <n v="371"/>
    <x v="350"/>
    <s v="DISEÑO DE IMAGEN PROGRAMACIÓN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33"/>
    <s v="AD"/>
    <d v="2023-03-17T00:00:00"/>
    <n v="22023003107"/>
    <s v="2023 03 9241 22609"/>
    <n v="258"/>
    <x v="619"/>
    <s v="COLABORACIÓN DE PART. CIUD. Y DEPORTES EN LA ORGANIZACIÓN CICLO CONFERENCIAS DEL COLECTIVO INDIGNADO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32"/>
    <s v="AD"/>
    <d v="2023-03-17T00:00:00"/>
    <n v="22023003106"/>
    <s v="2023 03 9241 22609"/>
    <n v="300"/>
    <x v="620"/>
    <s v="COLABORACIÓN DE PART. CIUD Y DEPORTES EN LA 8ª GYMVASIÓN POR LA EDUCACIÓN FÍSICA 06/05/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58"/>
    <s v="AD"/>
    <d v="2023-03-17T00:00:00"/>
    <n v="22023003166"/>
    <s v="2023 06 2315 22611"/>
    <n v="500"/>
    <x v="621"/>
    <s v="RENOVACION CESION DE DERECHOS IMAGEN &quot;&quot;MUJER POR LA IGUALDAD&quot;&quot;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8941"/>
    <s v="AD"/>
    <d v="2023-03-17T00:00:00"/>
    <n v="22023003125"/>
    <s v="2023 10 2316 22616"/>
    <n v="300"/>
    <x v="622"/>
    <s v="EXPO.FOTO.OBRA TEATRAL LOS NIÑOS DE MORELIA - NIÑOS Y NIÑAS VICTIMAS DE UN CONFLICTO BÉLICO- DIFICULTADES DE INTEGRACION"/>
    <s v="220"/>
    <s v="VALLADOLID"/>
    <s v="VALLADOLID"/>
    <x v="4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21"/>
    <s v="AD"/>
    <d v="2023-03-17T00:00:00"/>
    <n v="22023003062"/>
    <s v="2023 10 2316 22616"/>
    <n v="350"/>
    <x v="623"/>
    <s v="ACT.MUSICAL DE ESTRELLA MENDOZA Y ACOMPAÑANTES EL DÍA 21 DE MARZO. ACTO DÍA CONTRA LA DISCRIMINACIÓN RACIAL Y ÉTNIC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8931"/>
    <s v="AD"/>
    <d v="2023-03-17T00:00:00"/>
    <n v="22023003099"/>
    <s v="2023 03 9241 22609"/>
    <n v="550"/>
    <x v="623"/>
    <s v="ACTUACIÓN EN CENTRO PENITENCIARIO VILLANUBLA EL DÍA 19/03/2023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8981"/>
    <s v="AD"/>
    <d v="2023-03-17T00:00:00"/>
    <n v="22023003123"/>
    <s v="2023 06 3261 22699"/>
    <n v="1210"/>
    <x v="624"/>
    <s v="CTTO SUMINISTRO ARTICULOS REGALO PARTICIPANTES ACTIVIDADES EDUCATIVAS DE LA GUÍA  REALIZADAS POR EL CPE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983"/>
    <s v="AD"/>
    <d v="2023-03-17T00:00:00"/>
    <n v="22023002962"/>
    <s v="2023 02 9332 213"/>
    <n v="500"/>
    <x v="625"/>
    <s v="TRABAJOS DE AFILADOS DE HOJAS DE SIERRA EN TALLER DEL CMEI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3"/>
  </r>
  <r>
    <n v="220230008927"/>
    <s v="AD"/>
    <d v="2023-03-17T00:00:00"/>
    <n v="22023003090"/>
    <s v="2023 03 9241 22602"/>
    <n v="211.75"/>
    <x v="626"/>
    <s v="PUBLICIDAD EN REVISTA DIGITAL Y WEB DEL PROGRAMA MENUDO FIN DE SEM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8960"/>
    <s v="AD"/>
    <d v="2023-03-17T00:00:00"/>
    <n v="22023003173"/>
    <s v="2023 11 1621 219"/>
    <n v="1048.3499999999999"/>
    <x v="627"/>
    <s v="SUMINISTRO DE REPUESTOS PARA CONTENEDORES 2.400 LITROS DESTINADOS A RECOGIDA DE RESIDUOS."/>
    <s v="220"/>
    <s v="GETAFE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08961"/>
    <s v="AD"/>
    <d v="2023-03-17T00:00:00"/>
    <n v="22023003176"/>
    <s v="2023 03 9241 212"/>
    <n v="965.7"/>
    <x v="339"/>
    <s v="SUM. DE CRISTALES PARA SUSTITUCIÓN ROTOS EN CIC CONDE ANSÚREZ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34"/>
    <s v="AD"/>
    <d v="2023-03-17T00:00:00"/>
    <n v="22023003111"/>
    <s v="2023 03 9241 22103"/>
    <n v="644.69000000000005"/>
    <x v="12"/>
    <s v="SUMINISTRO DE GASÓLEO PARA LOCAL C/ CONDE ARTECHE (SERVIDO 07/02/2023)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03"/>
  </r>
  <r>
    <n v="220230002056"/>
    <s v="AD"/>
    <d v="2023-02-06T00:00:00"/>
    <n v="22023001819"/>
    <s v="2023 02 1501 22699"/>
    <n v="1452"/>
    <x v="617"/>
    <s v="MAQUETACIÓN LIBROS JORNADAS V Y VI PATRIMONIO Y CIUDAD VILLA DEL PRADO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6728"/>
    <s v="AD"/>
    <d v="2023-03-01T00:00:00"/>
    <n v="22023002706"/>
    <s v="2023 05 4331 22799"/>
    <n v="7139"/>
    <x v="617"/>
    <s v="DISEÑO IDENTIDAD VISUAL, MAQUETACIÓN Y PRODUCCION PIEZAS DISTINTOS SOPORTES PARA AGENCIA DE INNOVACIÓ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8974"/>
    <s v="AD"/>
    <d v="2023-03-17T00:00:00"/>
    <n v="22023003175"/>
    <s v="2023 03 9241 22699"/>
    <n v="4362.05"/>
    <x v="617"/>
    <s v="DISEÑO Y MAQUETACIÓN DE CARTELES, MUPIS, BANNERS... PPTOS. PARTICIPATIVOS 2023 Y CAMBIOS EN MEMORIA 2021 PART. CIUD.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0337"/>
    <s v="AD"/>
    <d v="2023-03-23T00:00:00"/>
    <n v="22023003079"/>
    <s v="2023 05 4331 22602"/>
    <n v="1101.0999999999999"/>
    <x v="617"/>
    <s v="IMPRESION, COLOCACION Y RETIRADA DE MUPIS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2"/>
  </r>
  <r>
    <n v="220230001788"/>
    <s v="AD"/>
    <d v="2023-02-03T00:00:00"/>
    <n v="22023000070"/>
    <s v="2023 01 9207 22001"/>
    <n v="2142.91"/>
    <x v="628"/>
    <s v="ADJUDICA SUMINISTRO DIARIO PRENSA ESCRITA AÑO 2023 PARA ALCALDÍA, GABIENTE Y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43"/>
    <s v="AD"/>
    <d v="2023-03-17T00:00:00"/>
    <n v="22023003145"/>
    <s v="2023 05 4312 22199"/>
    <n v="46.26"/>
    <x v="479"/>
    <s v="Reparación techo  placas escayola  oficina C/ Hostieros venta ambulante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06726"/>
    <s v="AD"/>
    <d v="2023-03-01T00:00:00"/>
    <n v="22023002678"/>
    <s v="2023 06 3321 22001"/>
    <n v="1100"/>
    <x v="628"/>
    <s v="CTTO SUMINISTRO SUSCRIPCIÓN VARIAS REVISTAS PARA BIBLIOTECAS PÚBLICAS//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30007161"/>
    <s v="AD"/>
    <d v="2023-03-02T00:00:00"/>
    <n v="22023002900"/>
    <s v="2023 06 3261 22699"/>
    <n v="399.3"/>
    <x v="629"/>
    <s v="CTTO SUMINISTRO MINI-PUZZLES PARA PARTICIPANTES OLIMPIADAS MATEMÁTICAS 2023//FEBRERO-ABRIL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8181"/>
    <s v="AD"/>
    <d v="2023-03-13T00:00:00"/>
    <n v="22023002876"/>
    <s v="2023 11 1361 22199"/>
    <n v="353.93"/>
    <x v="629"/>
    <s v="Regalos para los alumnos del colegio San Juan de Dios, celebración en sus instalaciones del día  nuestro Patrón;SEISYPC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1932"/>
    <s v="AD"/>
    <d v="2023-02-03T00:00:00"/>
    <n v="22023001333"/>
    <s v="2023 10 2312 22615"/>
    <n v="118.58"/>
    <x v="630"/>
    <s v="TROQUELADO + CORTE DEL CALENDARIO DE PROYECTO HOMBRE- PLAN DE DROGAS- DUR 1 D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986"/>
    <s v="AD"/>
    <d v="2023-02-03T00:00:00"/>
    <n v="22023001568"/>
    <s v="2023 11 1321 22699"/>
    <n v="200"/>
    <x v="630"/>
    <s v="SUMINISTRO DE CARTULINAS ESPECIALES PARA BOLETINES DE DENUNCI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63"/>
    <s v="AD"/>
    <d v="2023-02-03T00:00:00"/>
    <n v="22023000594"/>
    <s v="2023 01 9205 22199"/>
    <n v="7210.39"/>
    <x v="630"/>
    <s v="ADJUDICA OTROS SUMINISTROS A IMPRENTA EN 2023: CARTONAJE Y TRABAJOS MANIPULACIÓN PROPIA DE ARTES GRÁFICAS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55"/>
    <s v="AD"/>
    <d v="2023-02-06T00:00:00"/>
    <n v="22023001818"/>
    <s v="2023 02 1501 22699"/>
    <n v="763.51"/>
    <x v="630"/>
    <s v="ENCUADERNACIÓN LIBROS JORNADAS V Y VI PATRIMONIO Y CIUDAD VILLA DEL PRADO.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1501"/>
    <s v="1501. Dirección del área de urbanismo"/>
    <s v="22"/>
    <s v="22699"/>
  </r>
  <r>
    <n v="220230002065"/>
    <s v="AD"/>
    <d v="2023-02-06T00:00:00"/>
    <n v="22023001836"/>
    <s v="2023 03 9241 22602"/>
    <n v="850.63"/>
    <x v="630"/>
    <s v="FOLLETO PROGRAMAS, ACTIVIDADES Y RECURSOS DEL SPC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3434"/>
    <s v="AD"/>
    <d v="2023-02-14T00:00:00"/>
    <n v="22023002388"/>
    <s v="2023 10 2312 22699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3434"/>
    <s v="AD"/>
    <d v="2023-02-14T00:00:00"/>
    <n v="22023002389"/>
    <s v="2023 10 2312 22615"/>
    <n v="250"/>
    <x v="630"/>
    <s v="TRAB. DE IMPRESION, GRAPADO, DOBLAJE, DE LAS PETICIONES REALIZADAS A LA IMPRENTA MUNICIPAL PARA EL SERVICIO DE INICIA. 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3227"/>
    <s v="AD"/>
    <d v="2023-02-14T00:00:00"/>
    <n v="22023001910"/>
    <s v="2023 10 2313 22699"/>
    <n v="1500"/>
    <x v="630"/>
    <s v="GASTO DE ENCUADERNACIÓN DE PUBLICACIONES DEL ÁREA DE SERVICIOS SOCIALES Y MEDIACIÓN COMUNITARIA PARA EL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03895"/>
    <s v="AD"/>
    <d v="2023-02-17T00:00:00"/>
    <n v="22023002570"/>
    <s v="2023 11 1321 22699"/>
    <n v="1000"/>
    <x v="630"/>
    <s v="PREPARACIÓN DE CARTULINAS PARA TRABAJOS REALIZADOS POR  LA IMPRENTA MUNICIPAL PARA POLICÍ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5419"/>
    <s v="AD"/>
    <d v="2023-02-22T00:00:00"/>
    <n v="22023002643"/>
    <s v="2023 03 9241 22602"/>
    <n v="53.24"/>
    <x v="630"/>
    <s v="CORTE Y PLASTIFICADO MARCAPÁGINAS ESCUELA DE CIUDADANÍ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500"/>
    <s v="AD"/>
    <d v="2023-03-21T00:00:00"/>
    <n v="22023003415"/>
    <s v="2023 03 9241 22609"/>
    <n v="665.5"/>
    <x v="631"/>
    <s v="GUILLERMO NATÁN: ACTUACIÓN EN CC ZONA ESTE EL DÍA 22/04/2023. MFS"/>
    <s v="220"/>
    <s v="BADAJOZ"/>
    <s v="BADAJOZ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9000745"/>
    <s v="AD"/>
    <d v="2023-01-01T00:00:00"/>
    <n v="22023001314"/>
    <s v="2023 10 2312 22799"/>
    <n v="16899.580000000002"/>
    <x v="7"/>
    <s v="PRORROGA ESTANCIAS DIURNAS-UC1 RONDILLA (16 PLAZAS) ENERO Y FEBRERO 2023-25,39 ¿/D/U + 4%IVAX40 DIA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5908"/>
    <s v="AD"/>
    <d v="2023-02-23T00:00:00"/>
    <n v="22023002713"/>
    <s v="2023 06 3232 22799"/>
    <n v="626.36"/>
    <x v="632"/>
    <s v="CTTO SERVICIOS 2023 MTO Y REVISIÓN DE EQUIPOS PROTECCIÓN TRABAJOS ALTURA CEE A. MACHADO Y CEIP MACIAS PICAVEA//10 DIA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2"/>
    <s v="22799"/>
  </r>
  <r>
    <n v="220230003244"/>
    <s v="AD"/>
    <d v="2023-02-14T00:00:00"/>
    <n v="22023002423"/>
    <s v="2023 11 1621 213"/>
    <n v="1720"/>
    <x v="633"/>
    <s v="CONTRATO MANTENIMIENTO DE LA MÁQUINA PARA LIMPIEZA DE PIEZAS PARA LAS REPARACIONES DE VEHÍCULOS DEL SERVICIO DE LIMPIEZA"/>
    <s v="220"/>
    <s v="COSLADA"/>
    <s v="MADR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2863"/>
    <s v="AD"/>
    <d v="2023-03-31T00:00:00"/>
    <n v="22023003046"/>
    <s v="2023 10 2316 22616"/>
    <n v="6050"/>
    <x v="634"/>
    <s v="CUATRO CONCIERTOS EN CENTROS EDUCATIVOS DE PRIMARIA POR PARTE DEL GRUPO HAPPENING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0196"/>
    <s v="AD"/>
    <d v="2023-01-01T00:00:00"/>
    <n v="22023000834"/>
    <s v="2023 11 1621 22700"/>
    <n v="20119.8"/>
    <x v="44"/>
    <s v="REAJUSTE ANUALIDADES CONTRATO SERVICIOS LIMPIEZA INSTALACIONES Sº LIMPIEZA 1-1-2022 AL 31-8-2023 (EXP PR-S.E. 31/2020)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29000715"/>
    <s v="AD"/>
    <d v="2023-01-01T00:00:00"/>
    <n v="22023001297"/>
    <s v="2023 06 3321 22700"/>
    <n v="16679.509999999998"/>
    <x v="44"/>
    <s v="PR-SE 43/2022 (PR-SE 31/2020PS5). 1ª PRORROGA CTO DE LIMPIEZA EDIFICIOS MUNICIPALES. AREA 06.BIBLI. PUBLICAS.LOTE 7.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321"/>
    <s v="3321. Bibliotecas públicas"/>
    <s v="22"/>
    <s v="22700"/>
  </r>
  <r>
    <n v="220229000796"/>
    <s v="AD"/>
    <d v="2023-01-01T00:00:00"/>
    <n v="22023001872"/>
    <s v="2023 06 3231 22700"/>
    <n v="16500"/>
    <x v="44"/>
    <s v="SE 11/2020 CTTO DE LIMPIEZA. MODIFICACIÓN LOTE 7 NUEVA EIM CASCABEL. AÑO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29000719"/>
    <s v="AD"/>
    <d v="2023-01-01T00:00:00"/>
    <n v="22023001300"/>
    <s v="2023 06 3261 22700"/>
    <n v="9610.64"/>
    <x v="44"/>
    <s v="PR-SE 43/2022 (PR-SE31/2020PS5). 1ª PRORROGA CTO DE LIMPIEZA EDIFICIOS MUNICIPALES. AREA 06.E.M.M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2"/>
    <s v="22700"/>
  </r>
  <r>
    <n v="220229000717"/>
    <s v="AD"/>
    <d v="2023-01-01T00:00:00"/>
    <n v="22023001298"/>
    <s v="2023 06 2315 22700"/>
    <n v="6165.61"/>
    <x v="44"/>
    <s v="PR-SE 43/2022 (PR-SE31/2020PS5). 1ª PRORROGA CTO DE LIMPIEZA EDIFICIOS MUNICIPALES. AREA 6. C.M.I. LOTE 7. 2023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2315"/>
    <s v="2315. Políticas de Igualdad e infancia"/>
    <s v="22"/>
    <s v="22700"/>
  </r>
  <r>
    <n v="220230001944"/>
    <s v="AD"/>
    <d v="2023-02-03T00:00:00"/>
    <n v="22023001398"/>
    <s v="2023 06 3261 22700"/>
    <n v="96.8"/>
    <x v="44"/>
    <s v="SERVICIO DE LIMPIEZA POR LA ACTUACIÓN TEATRO PARA LOS GRUPOS DE APRENDIZAJE A LO LARGO DE LA VIDA. 25 Y 26 ENERO"/>
    <s v="220"/>
    <s v="MADRID"/>
    <s v="MADR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00"/>
  </r>
  <r>
    <n v="220230004180"/>
    <s v="AD/"/>
    <d v="2023-02-20T00:00:00"/>
    <n v="22023001299"/>
    <s v="2023 06 3231 22700"/>
    <n v="-213098.76"/>
    <x v="44"/>
    <s v="PR-SE 43/2022 (PR-SE31/2020PS5). 1ª PROR CTTO LIMPIEZA  E.I.M.LOTE 7. 2023 . REAJUSTE A PROYECTO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00"/>
  </r>
  <r>
    <n v="220230000052"/>
    <s v="AD"/>
    <d v="2023-01-01T00:00:00"/>
    <n v="22023000546"/>
    <s v="2023 09 3301 22799"/>
    <n v="10054.86"/>
    <x v="194"/>
    <s v="SERVICIO INGENIERIA ASISTENCIA TECNICA AREA CULTURA Y TURISMO EN MATERIA SEGURIDAD CIUDADANA ESPECTACULOS PUBLICOS 22/23"/>
    <s v="220"/>
    <s v="ZARATAN"/>
    <s v="VALLADOLID"/>
    <x v="1"/>
    <s v="PrAbier - Procedimiento Abierto"/>
    <s v="MultiC - MultiCriterio"/>
    <x v="1"/>
    <x v="0"/>
    <s v="2"/>
    <s v="2. Gastos corrientes en bienes y servicios"/>
    <s v="09"/>
    <x v="9"/>
    <s v="3301"/>
    <s v="3301. Dirección del área de cultura"/>
    <s v="22"/>
    <s v="22799"/>
  </r>
  <r>
    <n v="220230008601"/>
    <s v="AD"/>
    <d v="2023-03-15T00:00:00"/>
    <n v="22023003040"/>
    <s v="2023 11 1321 22699"/>
    <n v="6110.5"/>
    <x v="635"/>
    <s v="SUMINISTRO DE OBJETOS DIVULGATIVOS CAMPAÑA PREVENCIÓN DE ADICCIONES Y VISITAS A POLICÍA CURSO 2023-24,"/>
    <s v="220"/>
    <s v="BILBAO"/>
    <s v="VIZCAYA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10331"/>
    <s v="AD"/>
    <d v="2023-03-23T00:00:00"/>
    <n v="22023003080"/>
    <s v="2023 05 4331 22609"/>
    <n v="1210"/>
    <x v="636"/>
    <s v="CONCIERTO CHACHO CÓSMICO Y SU BANDA &quot;&quot;CHACHO MIX 22&quot;&quot;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29000675"/>
    <s v="AD"/>
    <d v="2023-01-01T00:00:00"/>
    <n v="22023001278"/>
    <s v="2023 06 2315 22611"/>
    <n v="1720"/>
    <x v="637"/>
    <s v="TALLERES DE COCINA DIRIGIDOS A LA POBLACIÓN INFANTIL EN EL CENTRO MUNICIPAL DE LA IGUALDAD"/>
    <s v="220"/>
    <s v="FUENSALDAÑA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6401"/>
    <s v="AD"/>
    <d v="2023-02-24T00:00:00"/>
    <n v="22023002450"/>
    <s v="2023 05 4331 22799"/>
    <n v="13650"/>
    <x v="638"/>
    <s v="SERVICIO DE DESARROLLO DE LA ACTIVIDAD DENOMINADA PASEOS DE LA INNOVACIÓN EN EL MARCO DEL PLAN SMARTVA Y PLAN INTERREG 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1982"/>
    <s v="AD"/>
    <d v="2023-02-03T00:00:00"/>
    <n v="22023001515"/>
    <s v="2023 09 3341 223"/>
    <n v="474.32"/>
    <x v="91"/>
    <s v="TRASLADO ARMARIO Y SILLAS AL CENTRO MARCELINA PONCELA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3"/>
  </r>
  <r>
    <n v="220230001942"/>
    <s v="AD"/>
    <d v="2023-02-03T00:00:00"/>
    <n v="22023001396"/>
    <s v="2023 06 3261 22799"/>
    <n v="671.74"/>
    <x v="91"/>
    <s v="SONIDO Y CYD ACTUACIÓN TEATRO PARA GRUPOS APRENDIZAJE A LO LARGO DE LA VIDA EN EL LAVA. 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52"/>
    <s v="AD"/>
    <d v="2023-02-09T00:00:00"/>
    <n v="22023002352"/>
    <s v="2023 06 3261 22799"/>
    <n v="1016.4"/>
    <x v="91"/>
    <s v="CTTO SERVICIOS TRANSPORTE, MONTAJE Y DESMONTAJE DE MESAS Y  VALLAS ACTIVIDAD DE CARNAVAL DE LOS COLEGIOS//27-0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8949"/>
    <s v="AD"/>
    <d v="2023-03-17T00:00:00"/>
    <n v="22023003088"/>
    <s v="2023 06 2315 22611"/>
    <n v="816.75"/>
    <x v="91"/>
    <s v="TRANSPORTE, MONTAJE Y DESMONTAJE ESCENARIO DIA 8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0306"/>
    <s v="AD"/>
    <d v="2023-03-23T00:00:00"/>
    <n v="22023003189"/>
    <s v="2023 06 3261 22799"/>
    <n v="726"/>
    <x v="91"/>
    <s v="TRANSPORTE, MONTAJE Y DESMONTAJE MESAS ACTIVIDAD MATEMATICAS EN LA CALLE PARA EL 12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10334"/>
    <s v="AD"/>
    <d v="2023-03-23T00:00:00"/>
    <n v="22023003078"/>
    <s v="2023 05 4331 22799"/>
    <n v="4235"/>
    <x v="91"/>
    <s v="EQUIPOS Y PERSONAL PAR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3256"/>
    <s v="AD"/>
    <d v="2023-02-14T00:00:00"/>
    <n v="22023002208"/>
    <s v="2023 07 1721 22199"/>
    <n v="3000"/>
    <x v="639"/>
    <s v="MATERIAL PARA EL LABORATORIO DE CONTAMINACION"/>
    <s v="220"/>
    <s v="SENTMENAT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30008950"/>
    <s v="AD"/>
    <d v="2023-03-17T00:00:00"/>
    <n v="22023003122"/>
    <s v="2023 01 9207 22602"/>
    <n v="3025"/>
    <x v="332"/>
    <s v="ADJUDICA PUBLICIDAD REVISTA MÁS TRIBUNA, EDICIÓN PAPEL, NUEVOS PLANTEAMIENTOS VITALES PARA MEJORAR CALIDAD DE VIDA"/>
    <s v="220"/>
    <s v="SALAMANCA"/>
    <s v="SALAMANCA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30003908"/>
    <s v="AD/"/>
    <d v="2023-02-17T00:00:00"/>
    <n v="22023000914"/>
    <s v="2023 06 3231 22799"/>
    <n v="-191840"/>
    <x v="51"/>
    <s v="EXPTE SE-EIJI 10/2022 PS 11. PROR CTTO GESTION EIM EL TOBOGAN. L 6. AÑO 2023 Y 01/01 A 31/08/2024. REAJUSTE A PROYECTO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2"/>
    <s v="22799"/>
  </r>
  <r>
    <n v="220230011708"/>
    <s v="AD"/>
    <d v="2023-03-29T00:00:00"/>
    <n v="22023003669"/>
    <s v="2023 06 2314 22613"/>
    <n v="45"/>
    <x v="576"/>
    <s v="ADQUISICIÓN BONOBUS PARTICIPANTES RUTA DIA DEL PLANETA / MARZ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327"/>
    <s v="D"/>
    <d v="2023-03-21T00:00:00"/>
    <n v="22023000213"/>
    <s v="2023 11 1321 214"/>
    <n v="786.23"/>
    <x v="97"/>
    <s v="ACUERDO MARCO. MANTENIMIENTO ELEVADOR CASCOS 2 COL. CASCOS C-3-5 / MANTNIMIENTO ELEVADOR MOTOS CASCOS /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42"/>
    <s v="AD"/>
    <d v="2023-03-21T00:00:00"/>
    <n v="22023002108"/>
    <s v="2023 04 9204 641"/>
    <n v="45828.75"/>
    <x v="201"/>
    <s v="SUMINISTRO DE LICENCIAS Y SOPORTE TÉCNICO DE LOR PRODUCTOS ArcGIS, 68/2022, SEGUNDA PRÓRROGA"/>
    <s v="220"/>
    <s v="MADRID"/>
    <s v="MADRID"/>
    <x v="3"/>
    <s v="PrAbier - Procedimiento Abierto"/>
    <s v="MultiC - MultiCriterio"/>
    <x v="0"/>
    <x v="0"/>
    <s v="6"/>
    <s v="6. Inversiones reales"/>
    <s v="04"/>
    <x v="5"/>
    <s v="9204"/>
    <s v="9204. Tecnologías de la información y comunicación"/>
    <s v="64"/>
    <s v="641"/>
  </r>
  <r>
    <n v="220230009459"/>
    <s v="AD"/>
    <d v="2023-03-21T00:00:00"/>
    <n v="22023003383"/>
    <s v="2023 11 1321 213"/>
    <n v="1199.3"/>
    <x v="640"/>
    <s v="REPARACIÓN DE DRON PARA RECUPERAR LA OPERATIVIDAD DEL MISMO."/>
    <s v="220"/>
    <s v="ILLESCAS"/>
    <s v="TOLEDO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9"/>
    <s v="AD"/>
    <d v="2023-03-21T00:00:00"/>
    <n v="22023003429"/>
    <s v="2023 06 2315 22611"/>
    <n v="181.5"/>
    <x v="641"/>
    <s v="CONFERENCIA SOBRE MUJER, IGUALDAD Y VIOLENCIA DE GENERO A CARGO DE ALICIA MIYARES CON M DE MALVA / DURANTE 2023"/>
    <s v="220"/>
    <s v="LA CISTERNIGA (VALLADOLID)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09494"/>
    <s v="AD"/>
    <d v="2023-03-21T00:00:00"/>
    <n v="22023003450"/>
    <s v="2023 11 1321 213"/>
    <n v="189.37"/>
    <x v="125"/>
    <s v="ALQUILER  CASETA DE OBRA PARA VIGILANCIA DEPENDENCIAS DE POLICÍA DURANTE UN MES Y GASTOS RETIRADA."/>
    <s v="220"/>
    <s v="SANTOVENIA DE  PISUERGA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9471"/>
    <s v="AD"/>
    <d v="2023-03-21T00:00:00"/>
    <n v="22023003278"/>
    <s v="2023 02 9332 212"/>
    <n v="1000"/>
    <x v="532"/>
    <s v="SUMINISTRO DE PERSIANAS Y STORES EN OFICINAS MUNICPALES (CASA CONSISTORIAL, SAN BENITO Y SANTA ANA)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5"/>
    <s v="D"/>
    <d v="2023-03-21T00:00:00"/>
    <n v="22023001459"/>
    <s v="2023 11 1621 214"/>
    <n v="652.35"/>
    <x v="460"/>
    <s v="2941CBL/ MANO DE OBRA/ M.O. DETECTAR AVERIA/ COMPROBACIÓN DE INSTALACIÓN/ SPSC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457"/>
    <s v="AD"/>
    <d v="2023-03-21T00:00:00"/>
    <n v="22023003200"/>
    <s v="2023 10 2412 213"/>
    <n v="51.09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457"/>
    <s v="AD"/>
    <d v="2023-03-21T00:00:00"/>
    <n v="22023003201"/>
    <s v="2023 10 2412 213"/>
    <n v="63.86"/>
    <x v="131"/>
    <s v="INSPECCION OBLIGATORIA DEL ASCERSOR DEL CENTRO DE FORMACION PARA EL  EMPLEO EN OCT Y NOVIEMBRE D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1"/>
    <s v="213"/>
  </r>
  <r>
    <n v="220230009510"/>
    <s v="AD"/>
    <d v="2023-03-21T00:00:00"/>
    <n v="22023003503"/>
    <s v="2023 05 4312 22799"/>
    <n v="800.42"/>
    <x v="624"/>
    <s v="OBSEQUIO PARA ALUMNOS DE PRIMARIA DE 350 PORTADOCUMENTOS SERIGRAFIADOS A COLOR. PROYECTO &quot;&quot;CONOCE TU MERCADO&quot;&quot;"/>
    <s v="220"/>
    <s v="VALLADOLID"/>
    <s v="VALLADOLID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9475"/>
    <s v="AD"/>
    <d v="2023-03-21T00:00:00"/>
    <n v="22023003390"/>
    <s v="2023 09 3341 22200"/>
    <n v="2061.23"/>
    <x v="136"/>
    <s v="SERVICIO MANTENIMIENTO SISTEMA DE CONEXION A INTERNET MEDIANTE WIFI EN EL CENTRO GALERIAS VA. DEL 01-04-23 AL 31-03-2024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200"/>
  </r>
  <r>
    <n v="220230009470"/>
    <s v="AD"/>
    <d v="2023-03-21T00:00:00"/>
    <n v="22023003254"/>
    <s v="2023 05 4331 22606"/>
    <n v="2414.3000000000002"/>
    <x v="405"/>
    <s v="COFFEE BREAK Y COORDINACION ALMUERZO JORNADAS PAPEL DE LAS CIUDADES EN LA INNOVACION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6"/>
  </r>
  <r>
    <n v="220230009511"/>
    <s v="AD"/>
    <d v="2023-03-21T00:00:00"/>
    <n v="22023003504"/>
    <s v="2023 03 9241 22602"/>
    <n v="52.5"/>
    <x v="350"/>
    <s v="DISEÑO DE IMAGEN PROGRAMACIÓN PRIMAVERA MFS PARA POSTER Y FOLLETOS DE MANO (PARTE CORRESPONDIENTE AL 15% IRPF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80"/>
    <s v="AD"/>
    <d v="2023-03-21T00:00:00"/>
    <n v="22023003433"/>
    <s v="2023 06 3321 22799"/>
    <n v="1000"/>
    <x v="350"/>
    <s v="CTTO SERVICIOS DISEÑO Y MAQUETACIÓN PARA BIBLIOTECAS PÚBLICA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799"/>
  </r>
  <r>
    <n v="220230009458"/>
    <s v="AD"/>
    <d v="2023-03-21T00:00:00"/>
    <n v="22023003259"/>
    <s v="2023 06 2314 22613"/>
    <n v="400"/>
    <x v="642"/>
    <s v="ACTUACION EN EL XVII SALON DEL COMIC Y MANG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9450"/>
    <s v="AD"/>
    <d v="2023-03-21T00:00:00"/>
    <n v="22023003105"/>
    <s v="2023 08 1532 22104"/>
    <n v="1184.83"/>
    <x v="143"/>
    <s v="Suministro de ropa de trabajo y calzado de protección, para completar la entrega de Vestuario y EPI'S a los eventuales.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2"/>
    <s v="22104"/>
  </r>
  <r>
    <n v="220230009452"/>
    <s v="AD"/>
    <d v="2023-03-21T00:00:00"/>
    <n v="22023003182"/>
    <s v="2023 11 1321 223"/>
    <n v="18"/>
    <x v="643"/>
    <s v="GASTOS ENVIO ELECTRODOS PARA  DESFIBRILADORES."/>
    <s v="220"/>
    <s v="BURGOS"/>
    <s v="BURGOS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9454"/>
    <s v="AD"/>
    <d v="2023-03-21T00:00:00"/>
    <n v="22023003192"/>
    <s v="2023 10 2312 22199"/>
    <n v="179.08"/>
    <x v="644"/>
    <s v="4 MANDOS A DISTANCIA DE CUATRO CANALES PARA  LA PUERTA NUEVA DEL CENTRO DE VIDA ACTIVA PUENTE COLGANTE-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199"/>
  </r>
  <r>
    <n v="220230009455"/>
    <s v="AD"/>
    <d v="2023-03-21T00:00:00"/>
    <n v="22023003193"/>
    <s v="2023 10 2312 223"/>
    <n v="121"/>
    <x v="288"/>
    <s v="CONTENEDOR PARA RECOGER ESCOMBROS DEL CENTRO DE VIDA ACTIVA ZONA ESTE"/>
    <s v="220"/>
    <s v="LA FLECHA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30009499"/>
    <s v="AD"/>
    <d v="2023-03-21T00:00:00"/>
    <n v="22023003404"/>
    <s v="2023 03 9241 212"/>
    <n v="1338.43"/>
    <x v="339"/>
    <s v="SUMINISTRO DE VIDRIOS PARA SUSTITUCIÓN DE ROTOS EN CC ESGUEVA Y CC PARQUESOL"/>
    <s v="220"/>
    <s v="ZARATAN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474"/>
    <s v="AD"/>
    <d v="2023-03-21T00:00:00"/>
    <n v="22023003381"/>
    <s v="2023 02 9332 214"/>
    <n v="94.48"/>
    <x v="289"/>
    <s v="Adquisición de dos piezas para la Retro VA37960VE  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4"/>
  </r>
  <r>
    <n v="220230009476"/>
    <s v="AD"/>
    <d v="2023-03-21T00:00:00"/>
    <n v="22023003392"/>
    <s v="2023 05 4331 22799"/>
    <n v="2904"/>
    <x v="645"/>
    <s v="SERVICIO DE DOCUMENTACIÓN GRAFICA EVENTO LEVEL UP RELATIVO A LA INDUSTRIA DEL VIDEOJUEGO RETRO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507"/>
    <s v="AD"/>
    <d v="2023-03-21T00:00:00"/>
    <n v="22023003465"/>
    <s v="2023 03 9241 22602"/>
    <n v="111.44"/>
    <x v="292"/>
    <s v="SUM. DE PAPEL, SERVIDO EN IMPRENTA MUNICIPAL, PARA TRÍPTICOS MFS Y FLYERS AECC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30009466"/>
    <s v="AD"/>
    <d v="2023-03-21T00:00:00"/>
    <n v="22023003208"/>
    <s v="2023 03 9200 22699"/>
    <n v="4487.6000000000004"/>
    <x v="646"/>
    <s v="LIBRO ESCUELA DE CIUDADANÍ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00"/>
    <s v="9200. Dirección del area de participación ciudadana"/>
    <s v="22"/>
    <s v="22699"/>
  </r>
  <r>
    <n v="220230001802"/>
    <s v="AD"/>
    <d v="2023-02-03T00:00:00"/>
    <n v="22023000509"/>
    <s v="2023 11 1361 22199"/>
    <n v="141.35"/>
    <x v="374"/>
    <s v="Recarga de una botella de oxígeno medicinal; Servicio de Extinción de Incendios, Salvamento y Protección Civil."/>
    <s v="220"/>
    <s v="BARCELONA"/>
    <s v="BARCELONA"/>
    <x v="3"/>
    <s v="AdDirec - Adjudicación Directa"/>
    <s v="SinC - Sin Criterio"/>
    <x v="3"/>
    <x v="0"/>
    <s v="2"/>
    <s v="2. Gastos corrientes en bienes y servicios"/>
    <s v="11"/>
    <x v="6"/>
    <s v="1361"/>
    <s v="1361. Prevención y extinción de incencios"/>
    <s v="22"/>
    <s v="22199"/>
  </r>
  <r>
    <n v="220230009170"/>
    <s v="D"/>
    <d v="2023-03-21T00:00:00"/>
    <n v="22023001344"/>
    <s v="2023 03 9241 213"/>
    <n v="50.72"/>
    <x v="358"/>
    <s v="PORTALAMP. FENOP 4980 GU10 CERAM. C/CAB / TUBO LED LDV ST8V 20W 1500MM 4000K EM     2200LM / TASA ECORAEE/ CC MOSQUER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467"/>
    <s v="AD"/>
    <d v="2023-03-21T00:00:00"/>
    <n v="22023003251"/>
    <s v="2023 08 1532 210"/>
    <n v="1210"/>
    <x v="374"/>
    <s v="Recarga periódica de botellas de O2 y Ar/ CO2 para los equipos de oxicorte del C.C.V.P."/>
    <s v="220"/>
    <s v="BARCELONA"/>
    <s v="BARCELONA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29000267"/>
    <s v="AD"/>
    <d v="2023-01-01T00:00:00"/>
    <n v="22023000938"/>
    <s v="2023 09 3341 22701"/>
    <n v="248.29"/>
    <x v="647"/>
    <s v="MANTENIMIENTO SISTEMA SEGURIDAD EDIFICIO MARCELINA PONCELA (1 AÑO)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1"/>
  </r>
  <r>
    <n v="220230009180"/>
    <s v="D"/>
    <d v="2023-03-21T00:00:00"/>
    <n v="22023001514"/>
    <s v="2023 11 1361 22199"/>
    <n v="6.85"/>
    <x v="358"/>
    <s v="EXPTE:V.36_2017; LOTE 4; PARQUE BOMBEROS //FUENTE A.DR-UTP-DC12-2A-D 12V AC/DC 2A SOBREM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736"/>
    <s v="AD"/>
    <d v="2023-03-29T00:00:00"/>
    <n v="22023003495"/>
    <s v="2023 10 2312 213"/>
    <n v="290.39999999999998"/>
    <x v="647"/>
    <s v="MANTENIMIENTO DE ALARMAS DEL CENTRO DE VIDA ACTIVA PARQUESOL DE MARZO A DICIEMBRE DE 2023-INICIATIVAS SOCIALES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09220"/>
    <s v="D"/>
    <d v="2023-03-21T00:00:00"/>
    <n v="22023002739"/>
    <s v="2023 02 9332 212"/>
    <n v="484.35"/>
    <x v="358"/>
    <s v="SAN BENITO Y CASA CONSISTORIAL //MT CANAL LEGRAND 30008    20X12,5 / D.INTERR NIESSEN 8111 mecanismo / D.TECLA  NIESSEN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28"/>
    <s v="D"/>
    <d v="2023-03-21T00:00:00"/>
    <n v="22023002739"/>
    <s v="2023 02 9332 212"/>
    <n v="193.31"/>
    <x v="358"/>
    <s v="CENTRO MANTENIMIEMTO // CABLE RV-K FLEX  3G2,5   0,6/1KV / CLAVIJA LEGRAND 50342 CAU IP44 (ANT.50321 / BASE 2P+2+LEGRAND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6"/>
    <s v="D"/>
    <d v="2023-03-21T00:00:00"/>
    <n v="22023001467"/>
    <s v="2023 10 2312 212"/>
    <n v="294.11"/>
    <x v="358"/>
    <s v="MANT. SUMINISTRO DE MATERIAL PARA REPARACIONES DEL CPM RONDILLA 173,75 YCPM  PUENTE C.  120.36- DUR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288"/>
    <s v="D"/>
    <d v="2023-03-21T00:00:00"/>
    <n v="22023000268"/>
    <s v="2023 11 1321 213"/>
    <n v="1.21"/>
    <x v="358"/>
    <s v="ACUERDO MARCO.  TUBO LED LDV ST8V  15W 1200MM 6500K EM   1700LM / TASA ECORAEE   (R.DECRETO 208/2005) / TUBO LED LDV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48"/>
    <s v="D"/>
    <d v="2023-03-21T00:00:00"/>
    <n v="22023001477"/>
    <s v="2023 10 2412 212"/>
    <n v="20.62"/>
    <x v="358"/>
    <s v="MANT. SUMINISTRO PARA EL CENTRO DE FORMACIÓN , JACINTO BENAVENTE // MT CANAL LEGRAND 648905 ADHESIVA 20X12,5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95"/>
    <s v="D"/>
    <d v="2023-03-21T00:00:00"/>
    <n v="22023001468"/>
    <s v="2023 10 2312 212"/>
    <n v="38.270000000000003"/>
    <x v="358"/>
    <s v="MANT. SUMINISTRO DE MATERIALPARA REPARACIONES DEL CENTRO DE VIDA ACTIVA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079"/>
    <s v="D"/>
    <d v="2023-03-21T00:00:00"/>
    <n v="22023001956"/>
    <s v="2023 07 1711 214"/>
    <n v="1487.94"/>
    <x v="359"/>
    <s v="TOTAL TRABAJOS REPARACION MATRICULA 3856DDD / TOTAL PIEZAS / ANEXO DETALLE FTP000019971 Y VAL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0"/>
    <s v="D"/>
    <d v="2023-03-21T00:00:00"/>
    <n v="22023001956"/>
    <s v="2023 07 1711 214"/>
    <n v="202.51"/>
    <x v="360"/>
    <s v="TA23 259 REPARACION 5729-KJK // KMS.22996 CAMBIAR ACEITE MOTOR Y FILTRO DE ACEITE REV. LUCES, NIVELES Y FRENOS / DESC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12"/>
    <s v="D"/>
    <d v="2023-03-21T00:00:00"/>
    <n v="22023001956"/>
    <s v="2023 07 1711 214"/>
    <n v="1461.89"/>
    <x v="360"/>
    <s v="TA23 258 REPARACION 5833-BZK //  KMS.234075 CAMBIAR DISCOS, PASTILLAS Y RETENES FRENO TRAS. D-M PINZA DCH Y CAMBIAR JG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65"/>
    <s v="D"/>
    <d v="2023-03-21T00:00:00"/>
    <n v="22023001608"/>
    <s v="2023 08 1532 214"/>
    <n v="47.02"/>
    <x v="360"/>
    <s v="TA23 132 REPARACION 5417-JJX KMS.39660 METER EASY PARA VER AVERIAS EN CENTRALITA DEL REMOLQUE, CAMBIAR FUSIBLE Y BORRA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7"/>
    <s v="D"/>
    <d v="2023-03-21T00:00:00"/>
    <n v="22023001608"/>
    <s v="2023 08 1532 214"/>
    <n v="193.31"/>
    <x v="360"/>
    <s v="TA23 208 REPARACION VA-2049-AH // KMS.129473 CAMBIAR DEPOSITO Y MOTOR DE LOS LIMPIAPARAB. / 7700308814 - DEPOSITO LAVA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69"/>
    <s v="D"/>
    <d v="2023-03-21T00:00:00"/>
    <n v="22023001608"/>
    <s v="2023 08 1532 214"/>
    <n v="233.81"/>
    <x v="360"/>
    <s v="TA23 210 REPARACION VA-7568-AK KMS.115834  REV.PERDIDA DE ACEITE MOTOR, CAMBIAR BOMBIN DE ALIMENTACION DE GASOIL. / 0004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1"/>
    <s v="D"/>
    <d v="2023-03-21T00:00:00"/>
    <n v="22023001608"/>
    <s v="2023 08 1532 214"/>
    <n v="194.89"/>
    <x v="360"/>
    <s v="TA22 2408 REPARACION 5667-CFT KMS.112090 CAMBIAR ACEITE MOTOR Y FILTRO DE ACEITE. REV.NIVELES, FRENOS Y LUCES. CAMBIAR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373"/>
    <s v="D"/>
    <d v="2023-03-21T00:00:00"/>
    <n v="22023001608"/>
    <s v="2023 08 1532 214"/>
    <n v="262.23"/>
    <x v="360"/>
    <s v="TA23 252 REPARACION VA-8042-T // KMS.170088 ECHAR ANTICONGELANTE Y VERIFICAR /001808839200 - ABRAZADERA FIJA / 05000421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6768"/>
    <s v="AD"/>
    <d v="2023-03-01T00:00:00"/>
    <n v="22023002483"/>
    <s v="2023 08 1532 213"/>
    <n v="825.34"/>
    <x v="648"/>
    <s v="Mantenimiento correctivo del quemador Weishaupt WL5 de la caldera de asfalto fundido, limpieza, filtro, cables encendido"/>
    <s v="220"/>
    <s v="SONDIKA"/>
    <s v="VIZCAYA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3"/>
  </r>
  <r>
    <n v="220230009381"/>
    <s v="D"/>
    <d v="2023-03-21T00:00:00"/>
    <n v="22023002185"/>
    <s v="2023 06 3231 212"/>
    <n v="190.5"/>
    <x v="599"/>
    <s v="MANTILLO / ESTIERCOL DE CABALLO. EIM CASCABEL. EN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55"/>
    <s v="D"/>
    <d v="2023-03-21T00:00:00"/>
    <n v="22023002181"/>
    <s v="2023 06 3232 212"/>
    <n v="113.46"/>
    <x v="479"/>
    <s v="MATERIAL VARIO CONSTRUCCION COLEGIOS PEDRO GOMEZ BOSQUE Y MACIAS PICAVEA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387"/>
    <s v="D"/>
    <d v="2023-03-21T00:00:00"/>
    <n v="22023001343"/>
    <s v="2023 03 9241 212"/>
    <n v="61.26"/>
    <x v="479"/>
    <s v="MATERIAL VARIO CONSTRUCCION CC ZONA ESTE Y CIC SEGUNDO MONTE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187"/>
    <s v="D"/>
    <d v="2023-03-21T00:00:00"/>
    <n v="22023002053"/>
    <s v="2023 07 1711 213"/>
    <n v="3141.47"/>
    <x v="380"/>
    <s v="LIMPIADOR DESENGRASANTE / PRENSADO TL 1/2&quot;&quot; 1/2M / CASQUILLO OJAL ESFERICO 1/2&quot;&quot; MANG.1/2&quot;&quot; / MANGUERA PRESION 1/2&quot;&quot; SAE10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66"/>
    <s v="D"/>
    <d v="2023-03-21T00:00:00"/>
    <n v="22023002053"/>
    <s v="2023 07 1711 213"/>
    <n v="43.04"/>
    <x v="380"/>
    <s v="BULON DE MUELLE / PACK PASADORES &quot;&quot;R&quot;&quot; 3x55 / Pasador rompible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423"/>
    <s v="D"/>
    <d v="2023-03-21T00:00:00"/>
    <n v="22023001462"/>
    <s v="2023 11 1621 214"/>
    <n v="1226"/>
    <x v="514"/>
    <s v="DONAL/SH74177 - SH747177=95521410 / HELLA/8GH007157121 - LAMPARA H-7 12V.-55W / HELLA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9115"/>
    <s v="D"/>
    <d v="2023-03-21T00:00:00"/>
    <n v="22023002139"/>
    <s v="2023 08 1341 22699"/>
    <n v="132.69"/>
    <x v="170"/>
    <s v="SPRAY CRC MARKERPAINT BLANCO / SPRAY CRC MARKERPAINT VERDE / SPRAY CRC MARKERPAINT FUCSIA / BLISTER PILAS LR6 AA 4+2 ENE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341"/>
    <s v="1341. Movilidad"/>
    <s v="22"/>
    <s v="22699"/>
  </r>
  <r>
    <n v="220230002070"/>
    <s v="AD"/>
    <d v="2023-02-06T00:00:00"/>
    <n v="22023001841"/>
    <s v="2023 03 9241 212"/>
    <n v="90.33"/>
    <x v="400"/>
    <s v="SUM. DE MATERIALES PARA TRABAJOS DE PINTURA EN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062"/>
    <s v="AD"/>
    <d v="2023-02-06T00:00:00"/>
    <n v="22023002023"/>
    <s v="2023 06 3232 212"/>
    <n v="7260"/>
    <x v="400"/>
    <s v="SUMINISTRO DE PINTURA Y OTROS MATERIALES PARA REPARACIONES EN COLEGIOS PÚBLICO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644"/>
    <s v="AD"/>
    <d v="2023-02-09T00:00:00"/>
    <n v="22023002194"/>
    <s v="2023 11 1321 22199"/>
    <n v="2000"/>
    <x v="400"/>
    <s v="ADQUISICIÓN DE PINTURA PARA DEPENDENCIAS DE LA POLICÍ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2944"/>
    <s v="AD"/>
    <d v="2023-02-10T00:00:00"/>
    <n v="22023002339"/>
    <s v="2023 03 9241 212"/>
    <n v="9.2100000000000009"/>
    <x v="400"/>
    <s v="CINTA MASTER AZUL PARA CC ZONA SUR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2954"/>
    <s v="AD"/>
    <d v="2023-02-10T00:00:00"/>
    <n v="22023002290"/>
    <s v="2023 11 1621 22199"/>
    <n v="1500"/>
    <x v="400"/>
    <s v="SUMINISTRO DE MATERIAL DE PINTURA UTILIZADA PARA ELIMINACIÓN DE GRAFITIS POR PARTE DEL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99"/>
  </r>
  <r>
    <n v="220230003433"/>
    <s v="AD"/>
    <d v="2023-02-14T00:00:00"/>
    <n v="22023002386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3433"/>
    <s v="AD"/>
    <d v="2023-02-14T00:00:00"/>
    <n v="22023002387"/>
    <s v="2023 10 2312 212"/>
    <n v="1000"/>
    <x v="400"/>
    <s v="SUMINISTRO DE MATERIAL DE PINTURA PARA LOS CENTROS DE PERSONAS MAYORES DURANTE 2023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30009447"/>
    <s v="AD"/>
    <d v="2023-03-21T00:00:00"/>
    <n v="22023003024"/>
    <s v="2023 06 2315 22611"/>
    <n v="1210"/>
    <x v="303"/>
    <s v="SUPLEMENTO &quot;&quot;DIA INTERNACIONAL DE LA MUJER&quot;&quot; 8M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5"/>
    <s v="2315. Políticas de Igualdad e infancia"/>
    <s v="22"/>
    <s v="22611"/>
  </r>
  <r>
    <n v="220230009144"/>
    <s v="D"/>
    <d v="2023-03-21T00:00:00"/>
    <n v="22023001344"/>
    <s v="2023 03 9241 213"/>
    <n v="30.29"/>
    <x v="181"/>
    <s v="ALBARAN: AV23/01072 F: 28/02/2023 / CANDADO LINCE 300-50 IBO / CIC EL EMPECINADO / GE0003931 / ID: 35663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208"/>
    <s v="D"/>
    <d v="2023-03-21T00:00:00"/>
    <n v="22023002181"/>
    <s v="2023 06 3232 212"/>
    <n v="11.01"/>
    <x v="181"/>
    <s v="ALBARAN: AV23/00601 F: 03/02/2023 / TACO ANCLADUBEL 10*47 / GE0012478 / C.P. NUESTRA SRA. DEL DUERO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2"/>
    <s v="D"/>
    <d v="2023-03-21T00:00:00"/>
    <n v="22023002739"/>
    <s v="2023 02 9332 212"/>
    <n v="10.16"/>
    <x v="181"/>
    <s v="ALBARAN: AV23/00461 F: 30/01/2023 / TENTERA CUADRADA CIEGA 20*40 / CONTERA ESCALERA 34*55 / MANTENIMIENT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3"/>
    <s v="D"/>
    <d v="2023-03-21T00:00:00"/>
    <n v="22023002739"/>
    <s v="2023 02 9332 212"/>
    <n v="25.05"/>
    <x v="181"/>
    <s v="ALBARAN: AV23/01073 F: 28/02/2023 / POLVO COLORANTE AZUL 1000 GRS. ALYCO / GE0011750 / MANTENIMIENTO / ALBARAN: AV23/006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46"/>
    <s v="AD"/>
    <d v="2023-03-21T00:00:00"/>
    <n v="22023002969"/>
    <s v="2023 01 9207 22602"/>
    <n v="4114"/>
    <x v="304"/>
    <s v="AM SECT 2021/37 ADJUDICA PRESENCIA AYTOVA EN PUBLICACIÓN ESPECIAL MUNICIPALISMO 2023 RETOS HORIZONTES Y FUTURO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03634"/>
    <s v="AD"/>
    <d v="2023-02-16T00:00:00"/>
    <n v="22023002383"/>
    <s v="2023 06 2314 213"/>
    <n v="100"/>
    <x v="400"/>
    <s v="MANTENIMIENTO PINTURA ESPACIOS JOVEN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1"/>
    <s v="213"/>
  </r>
  <r>
    <n v="220230009133"/>
    <s v="D"/>
    <d v="2023-03-21T00:00:00"/>
    <n v="22023002182"/>
    <s v="2023 06 3321 212"/>
    <n v="40.49"/>
    <x v="177"/>
    <s v="PANEL LED 33W 4000K 600X600 UGR&lt;19 /  BIBLIOTECA ADOLFO MIAJA DE LA MU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09185"/>
    <s v="D"/>
    <d v="2023-03-21T00:00:00"/>
    <n v="22023001514"/>
    <s v="2023 11 1361 22199"/>
    <n v="34.99"/>
    <x v="177"/>
    <s v="EXPTE:V.36_2017; LOTE 12;  PDLR03 - PILA ALCALINA DURACELL PLUSs LR03 AAA 1,5V BLISTER / PDLR06 - PILA;SEISYPC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97"/>
    <s v="D"/>
    <d v="2023-03-21T00:00:00"/>
    <n v="22023002460"/>
    <s v="2023 05 4331 212"/>
    <n v="17.39"/>
    <x v="177"/>
    <s v="5550383 - DOWN LIGHT LED REDONDO 6W GRIS  4200K 650lm  ø120x / AGENCIA DE INNOVACIÓN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09247"/>
    <s v="D"/>
    <d v="2023-03-21T00:00:00"/>
    <n v="22023002740"/>
    <s v="2023 02 9332 213"/>
    <n v="48.93"/>
    <x v="177"/>
    <s v="PLR03 - PILA ALCALINA PANASONIC BRONCE LR03 AAA BLISTER 4  / PLR06 - PILA ALCALINA PANASONIC BRONCE LR06 AA BLISTER 4 U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3"/>
  </r>
  <r>
    <n v="220230009456"/>
    <s v="AD"/>
    <d v="2023-03-21T00:00:00"/>
    <n v="22023003197"/>
    <s v="2023 10 2412 22001"/>
    <n v="1362.33"/>
    <x v="200"/>
    <s v="SUMINIS. DE LIBROS  SOBRE ATENCION SOCIOSANITARA PARA LOS PARTICIPANTES DEL PROGRMA MIXTO VALLADOLID CUIDA VI-1 FASE"/>
    <s v="220"/>
    <s v="POZUELO DE ALARCON"/>
    <s v="MADR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001"/>
  </r>
  <r>
    <n v="220230009073"/>
    <s v="D"/>
    <d v="2023-03-21T00:00:00"/>
    <n v="22023002053"/>
    <s v="2023 07 1711 213"/>
    <n v="1426.9"/>
    <x v="381"/>
    <s v="STIHL  ACEITE ADHESIVO P. CADENA FORESTPLUS 5 L 7815166002 / STIHL ACEITE HP SUPER 5L 7813198055 / HILO STIHL CORTE RED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5"/>
    <s v="D"/>
    <d v="2023-03-21T00:00:00"/>
    <n v="22023002053"/>
    <s v="2023 07 1711 213"/>
    <n v="3492.81"/>
    <x v="381"/>
    <s v="MANO DE OBRA / STIHL BUJÍA NGK CMR6H 4007011 / STIHL  FILTRO 42371201800 / MANO DE OBRA / AFILADO CADENA MOTOSIERRA / M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077"/>
    <s v="D"/>
    <d v="2023-03-21T00:00:00"/>
    <n v="22023002053"/>
    <s v="2023 07 1711 213"/>
    <n v="2752.54"/>
    <x v="381"/>
    <s v="STIHL CHAQUETA PROTECCIÓN PROTECT MS L 883260405 / STIHL BOTAS DE CUERO MS FUNCTION 42 885320442 / STIHL BOTAS DE CU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142"/>
    <s v="D"/>
    <d v="2023-03-21T00:00:00"/>
    <n v="22023001343"/>
    <s v="2023 03 9241 212"/>
    <n v="44.85"/>
    <x v="381"/>
    <s v="ID: 0035560-CC PARQUESOL / MANILLA PRESION RODILLO NEGRA 423-ROD IZQ. / VECINO BARRIOS DELICIAS ID 35685 / BOMBILLO MCM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2"/>
    <s v="D"/>
    <d v="2023-03-21T00:00:00"/>
    <n v="22023002181"/>
    <s v="2023 06 3232 212"/>
    <n v="1003.02"/>
    <x v="381"/>
    <s v="COLEGIOS // ID: 0034551-CP MIGUEL DE CERVANTES / BOMBILLO MCM EAPN: 30-30 D-33212 / BOMBILLO MCM EAPN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24"/>
    <s v="D"/>
    <d v="2023-03-21T00:00:00"/>
    <n v="22023002739"/>
    <s v="2023 02 9332 212"/>
    <n v="371.71"/>
    <x v="381"/>
    <s v="SIN ID-MANTENIMIENTO / VENTOSA YAGUE YA-9702 200MM C/PULSADOR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415"/>
    <s v="AD"/>
    <d v="2023-02-22T00:00:00"/>
    <n v="22023002638"/>
    <s v="2023 03 9241 212"/>
    <n v="82.61"/>
    <x v="400"/>
    <s v="SUMINISTRO DE MATERIALES PARA TRABAJOS DE PINTURA EN EL LOCAL DE LA AV LA IS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9234"/>
    <s v="D"/>
    <d v="2023-03-21T00:00:00"/>
    <n v="22023002739"/>
    <s v="2023 02 9332 212"/>
    <n v="384.42"/>
    <x v="381"/>
    <s v="REAL DE LA FERIA // AMOLADORA 115 BOSCH GWS 880 /  / PERNIO SOLDAR 20x120 PAL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5392"/>
    <s v="AD"/>
    <d v="2023-02-22T00:00:00"/>
    <n v="22023002569"/>
    <s v="2023 02 9332 212"/>
    <n v="2000"/>
    <x v="400"/>
    <s v="SUMINISTRO DE MATERIALES Y ACCESORIOS DE PINTURA PARA TRABAJOS EN LOS EDIFICIOS MUNICIPALES DEL DEPENDIENTES DEL CMEI"/>
    <s v="220"/>
    <s v="VALLADOLID"/>
    <s v="VALLADOLID"/>
    <x v="3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1"/>
    <s v="212"/>
  </r>
  <r>
    <n v="220230005899"/>
    <s v="AD"/>
    <d v="2023-02-23T00:00:00"/>
    <n v="22023002686"/>
    <s v="2023 08 1532 210"/>
    <n v="126.2"/>
    <x v="400"/>
    <s v="SUMINISTRO DE PINTURA Y HERRAMIENTAS DE PINTOR.-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249"/>
    <s v="D"/>
    <d v="2023-03-21T00:00:00"/>
    <n v="22023002739"/>
    <s v="2023 02 9332 212"/>
    <n v="58.21"/>
    <x v="381"/>
    <s v="MANO DE OBRA / MANO DE OBRA / ACEITE MOTOR B&amp;S SAE-30   (LTS.)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51"/>
    <s v="D"/>
    <d v="2023-03-21T00:00:00"/>
    <n v="22023002739"/>
    <s v="2023 02 9332 212"/>
    <n v="683.3"/>
    <x v="381"/>
    <s v="SIN ID-CERRAJERIA / ALARGA. CABLE 50MT 3x1,50MM+ DSS 1308263 WESSER / ESCUADRA BAHCO 300MM 9048-300 / NIVEL STANLEY ANTI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1"/>
    <s v="D"/>
    <d v="2023-03-21T00:00:00"/>
    <n v="22023002053"/>
    <s v="2023 07 1711 213"/>
    <n v="1637.83"/>
    <x v="381"/>
    <s v="MANO DE OBRA / STIHL  FILTRO DE AIRE 11451404404 / MANO DE OBRA / MANO DE OBRA / KUBOTA FILTRO ACEITE REF  W21ESO1500 -R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83"/>
    <s v="D"/>
    <d v="2023-03-21T00:00:00"/>
    <n v="22023002053"/>
    <s v="2023 07 1711 213"/>
    <n v="52.97"/>
    <x v="381"/>
    <s v="CADENA STIHL MOTOSIERRA   36 RS RAPID SUPER ESLABON / AFILADO CADENA MOTOSIERRA / CADENA STIHL MOTOSIERRA  63 PS3 PICCO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298"/>
    <s v="D"/>
    <d v="2023-03-21T00:00:00"/>
    <n v="22023002185"/>
    <s v="2023 06 3231 212"/>
    <n v="156.96"/>
    <x v="381"/>
    <s v="ID: 0034090-EIM CASCABEL / BOMBILLO MCM EAPN: 30-30 E-43351.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303"/>
    <s v="D"/>
    <d v="2023-03-21T00:00:00"/>
    <n v="22023002053"/>
    <s v="2023 07 1711 213"/>
    <n v="809.56"/>
    <x v="381"/>
    <s v="RASTRILLO OUTILS-WOLF   REF. DSM-19 / RASTRILLO OUTILS-WOLF   REF. DRM-30 / PODADERA OUTILS-WOLF REF. OS900T / RAEDERA O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44"/>
    <s v="D"/>
    <d v="2023-03-21T00:00:00"/>
    <n v="22023001477"/>
    <s v="2023 10 2412 212"/>
    <n v="85.09"/>
    <x v="381"/>
    <s v="MANT. SUMINISTRO ETIQUETA BICAPA GRABADAS 2 LINEAS Y TALADRO / COPIA LLAVES MCM ESPECIALPARA EL JACINTO BENAVENTE- DUR 1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09389"/>
    <s v="D"/>
    <d v="2023-03-21T00:00:00"/>
    <n v="22023002739"/>
    <s v="2023 02 9332 212"/>
    <n v="33.6"/>
    <x v="381"/>
    <s v="MANO DE OBRA (SIN CARGO) / MANO DE OBRA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91"/>
    <s v="D"/>
    <d v="2023-03-21T00:00:00"/>
    <n v="22023002739"/>
    <s v="2023 02 9332 212"/>
    <n v="678.11"/>
    <x v="381"/>
    <s v="SIN ID-GRADAS SEMANA SANTA / DISCO C/INOX 125x1,00 TYROLIT PREMIUM / DISCO C/INOX 115x1,00 TYROLIT PREMIUM / DISCO D/ME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411"/>
    <s v="D"/>
    <d v="2023-03-21T00:00:00"/>
    <n v="22023001607"/>
    <s v="2023 08 1532 210"/>
    <n v="104.39"/>
    <x v="381"/>
    <s v="ID: 0034486-PARQUESOL / BOMBILLO TESA 5200 30x30 LN / CONTERA CUADRADA REF. 26  60x 60 NEGRO / CERRADURA MCM 1449 21-00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21"/>
    <s v="D"/>
    <d v="2023-03-21T00:00:00"/>
    <n v="22023001466"/>
    <s v="2023 11 1621 22199"/>
    <n v="94.62"/>
    <x v="381"/>
    <s v="LLAVES MECANIZADAS ACERO FAR 1 D/5277KWD/IMAN CIRC AVELLA. NDCV 50 MM NIQUEL NEODIMIO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08925"/>
    <s v="AD"/>
    <d v="2023-03-17T00:00:00"/>
    <n v="22023003085"/>
    <s v="2023 03 9241 212"/>
    <n v="18.04"/>
    <x v="400"/>
    <s v="SUM. MATERIALES PARA TRABAJOS DE PINTURA EN CC RONDILL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30008928"/>
    <s v="AD"/>
    <d v="2023-03-17T00:00:00"/>
    <n v="22023003092"/>
    <s v="2023 10 2311 212"/>
    <n v="149.63999999999999"/>
    <x v="400"/>
    <s v="COMPRA DE MATERIAL PARA PINTAR LA VIVIENDA MUNICIPAL SITA EN C/ CENTRO Nº 12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071"/>
    <s v="D"/>
    <d v="2023-03-21T00:00:00"/>
    <n v="22023001956"/>
    <s v="2023 07 1711 214"/>
    <n v="295"/>
    <x v="362"/>
    <s v="VEHÍCULO 0515KFV // MANTENIMIENTO ANUAL. CAMBIO ACEITE, FILTRO ACEITE, FILTRO POLEN Y BUJIAS/ 2 SMOIL5W40 - ACEITE 5W40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173"/>
    <s v="D"/>
    <d v="2023-03-21T00:00:00"/>
    <n v="22023001343"/>
    <s v="2023 03 9241 212"/>
    <n v="284.82"/>
    <x v="217"/>
    <s v="CENTRO CIVICO ZONA SUR ++ / PERFIL KLEIN ACERO SENDZIMIR K.40/75 5M / JGO ACCES. KLEIN K. 75 / COMMENT... VARIOS CENTROS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09206"/>
    <s v="D"/>
    <d v="2023-03-21T00:00:00"/>
    <n v="22023002181"/>
    <s v="2023 06 3232 212"/>
    <n v="29.92"/>
    <x v="217"/>
    <s v="Z CARCOMAS PLUS INYECCION 0,250 L.  COLEGIOS FEBRERO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230"/>
    <s v="D"/>
    <d v="2023-03-21T00:00:00"/>
    <n v="22023002739"/>
    <s v="2023 02 9332 212"/>
    <n v="189.41"/>
    <x v="217"/>
    <s v="LIJA BOSCH RED WOOD GR 80 X5UDS 93x6 / LIJA BOSCH  WOOD GR 60 X5 UDS 93X6 / AFILADO CADENA MOTOSIERRA / CADENA STIHL MOT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8929"/>
    <s v="AD"/>
    <d v="2023-03-17T00:00:00"/>
    <n v="22023003093"/>
    <s v="2023 10 2311 212"/>
    <n v="156.33000000000001"/>
    <x v="400"/>
    <s v="COMPRA DE MATERIAL PARA PINTAR LA VIVIENDA MUNICIPAL SITA EN C/ PORTILLO DEL PRADO Nº 20, 1º C.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2"/>
  </r>
  <r>
    <n v="220230009483"/>
    <s v="AD"/>
    <d v="2023-03-21T00:00:00"/>
    <n v="22023003449"/>
    <s v="2023 06 3231 212"/>
    <n v="2000"/>
    <x v="400"/>
    <s v="SUMINISTRO DE PINTURA Y OTROS MATERIALES PARA REPARACIONES EN LAS ESCUELAS INFANTILES MUNICIPALES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31"/>
    <s v="3231. Escuelas infantiles"/>
    <s v="21"/>
    <s v="212"/>
  </r>
  <r>
    <n v="220230009236"/>
    <s v="D"/>
    <d v="2023-03-21T00:00:00"/>
    <n v="22023002739"/>
    <s v="2023 02 9332 212"/>
    <n v="54.51"/>
    <x v="217"/>
    <s v="MANTENIMIENTO DE EDIFICIOS E INSTALACIONES / CERRADURA TESA 2030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38"/>
    <s v="D"/>
    <d v="2023-03-21T00:00:00"/>
    <n v="22023002739"/>
    <s v="2023 02 9332 212"/>
    <n v="33.67"/>
    <x v="217"/>
    <s v="REPOSAPIES FELLOWES AJUSTABLE ERGO"/>
    <s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73"/>
    <s v="D"/>
    <d v="2023-03-21T00:00:00"/>
    <n v="22023001467"/>
    <s v="2023 10 2312 212"/>
    <n v="338.24"/>
    <x v="217"/>
    <s v="MANT. SUMINISTRO DE / BL ARANDELA PLANA ANCHA M5 CINC 20U EHL, GANCHO INGLET COLGADOR PEQ. 4 KG (2UD) DEL CPM VICTOR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09300"/>
    <s v="D"/>
    <d v="2023-03-21T00:00:00"/>
    <n v="22023002185"/>
    <s v="2023 06 3231 212"/>
    <n v="18.940000000000001"/>
    <x v="217"/>
    <s v="EXPERT SDS PLUS-7X (ARMADO): 4 X 50 X 115 / BARRA ASLAK EXTENS FLEXIB 150 MM / CONTERA RED INTERIOR PLASTICO 48 / febre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1"/>
    <s v="3231. Escuelas infantiles"/>
    <s v="21"/>
    <s v="212"/>
  </r>
  <r>
    <n v="220230009401"/>
    <s v="D"/>
    <d v="2023-03-21T00:00:00"/>
    <n v="22023002378"/>
    <s v="2023 09 3341 213"/>
    <n v="105.26"/>
    <x v="217"/>
    <s v="SUMINISTRO DIVERSO MATERIAL PARA EL CENTRO MARCELINA PONCELA"/>
    <s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19000185"/>
    <s v="AD"/>
    <d v="2023-01-01T00:00:00"/>
    <n v="22023003271"/>
    <s v="2023 02 1501 224"/>
    <n v="0.01"/>
    <x v="649"/>
    <s v="ADJ. EXPTE.CONTRATO SEGUROS DE RESPONSABILIDAD CIVIL TECNICOS DEL AREA 1.05 A 31.10.22 Y 1.11.22 A 30.04.23"/>
    <s v="220"/>
    <s v="MADRID"/>
    <s v="MADRID"/>
    <x v="1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2871"/>
    <s v="AD"/>
    <d v="2023-03-31T00:00:00"/>
    <n v="22023003688"/>
    <s v="2023 03 9241 212"/>
    <n v="247.66"/>
    <x v="400"/>
    <s v="SUMINISTRO DE MATERIALES PARA TRABAJOS DE PINTURA EN EL CC JOSÉ LUIS MOSQUERA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2"/>
  </r>
  <r>
    <n v="220229000743"/>
    <s v="AD"/>
    <d v="2023-01-01T00:00:00"/>
    <n v="22023001313"/>
    <s v="2023 05 4331 609"/>
    <n v="4147.0600000000004"/>
    <x v="650"/>
    <s v="CONTRATO DE SERVICIOS DE DIRECCION DE LA OBRA: SISTEMAS URBANOS DE DRENAJE SOSTENIBLE SUDS - URBAN GREENUP G.A. N 7304"/>
    <s v="220"/>
    <s v="VALLADOLID"/>
    <s v="VALLADOLID"/>
    <x v="1"/>
    <s v="AdDirec - Adjudicación Directa"/>
    <s v="SinC - Sin Criterio"/>
    <x v="3"/>
    <x v="0"/>
    <s v="6"/>
    <s v="6. Inversiones reales"/>
    <s v="05"/>
    <x v="7"/>
    <s v="4331"/>
    <s v="4331. Desarrollo empresarial"/>
    <s v="60"/>
    <s v="609"/>
  </r>
  <r>
    <n v="220230009419"/>
    <s v="D"/>
    <d v="2023-03-21T00:00:00"/>
    <n v="22023001476"/>
    <s v="2023 11 1631 22199"/>
    <n v="26.24"/>
    <x v="217"/>
    <s v="COPIA LLAVE NORMAL / *CINTA MIARCO PVC TRAN 48MMX132M / COPIA LLAVE NORMAL 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06730"/>
    <s v="AD"/>
    <d v="2023-03-01T00:00:00"/>
    <n v="22023002762"/>
    <s v="2023 11 1321 22699"/>
    <n v="300"/>
    <x v="651"/>
    <s v="COMPRA DE AGUA PARA ACTIVIDADES FORMATIVAS DE LA ACADEMIA DE POLICÍA MUNICIPAL."/>
    <s v="220"/>
    <s v="BURGOS"/>
    <s v="BURGOS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24"/>
    <s v="AD"/>
    <d v="2023-02-03T00:00:00"/>
    <n v="22023000561"/>
    <s v="2023 01 9205 213"/>
    <n v="1815"/>
    <x v="652"/>
    <s v="ADJUDICA REPARACIÓN MÁQUINAS Y EQUIPOS IMPRENTA MUNICIPAL AÑO 2023"/>
    <s v="220"/>
    <s v="VALADOLID"/>
    <s v="VALLADOLID"/>
    <x v="1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1"/>
    <s v="213"/>
  </r>
  <r>
    <n v="220230009357"/>
    <s v="D"/>
    <d v="2023-03-21T00:00:00"/>
    <n v="22023002181"/>
    <s v="2023 06 3232 212"/>
    <n v="709.5"/>
    <x v="557"/>
    <s v="COLEGIO LEON FELIPE (  ID 34782 ) / 2 CHAPA LAGRIMADA 2000X1000X3/5 S235JR / 1 CHAPA L. CALIENTE 2000X1000X3,0  S 235 JR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2392"/>
    <s v="AD"/>
    <d v="2023-02-07T00:00:00"/>
    <n v="22023001505"/>
    <s v="2023 08 1532 214"/>
    <n v="11106.59"/>
    <x v="653"/>
    <s v="Trabajos de vinilado de 18 vehículos del SEPI según diseño ganador de concurso ideas de diseño identidad corporativa."/>
    <s v="220"/>
    <s v="VALLADOLID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9000019"/>
    <s v="AD"/>
    <d v="2023-01-01T00:00:00"/>
    <n v="22023000865"/>
    <s v="2023 09 3341 22799"/>
    <n v="8873.33"/>
    <x v="654"/>
    <s v="PRORROGA 1 AÑO DEL CONTRATO SERVICIO MANTENIMIENTO PORTALES WEB DE CULTURA Y TURISMO LOTE 1. (01-05-2022 AL 30-04-2023)"/>
    <s v="220"/>
    <s v="ZAMORA"/>
    <s v="ZAMORA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99"/>
  </r>
  <r>
    <n v="220230009117"/>
    <s v="D"/>
    <d v="2023-03-21T00:00:00"/>
    <n v="22023002183"/>
    <s v="2023 06 2314 212"/>
    <n v="13.41"/>
    <x v="438"/>
    <s v="ALB: 23-200679 PED: 23-001150-1020 S/PED: ESPACIO JOVEN / CODO 87º SANITARIO H-H DN 40 / CODO 45º SANITARIO M-H DN  40 /"/>
    <s v="300"/>
    <s v="VALLADOLID"/>
    <s v="VALLADOLID"/>
    <x v="1"/>
    <s v="PrAbier - Procedimiento Abierto"/>
    <s v="MultiC - MultiCriterio"/>
    <x v="1"/>
    <x v="0"/>
    <s v="2"/>
    <s v="2. Gastos corrientes en bienes y servicios"/>
    <s v="06"/>
    <x v="2"/>
    <s v="2314"/>
    <s v="2314. Centro de programas juveniles"/>
    <s v="21"/>
    <s v="212"/>
  </r>
  <r>
    <n v="220230009183"/>
    <s v="D"/>
    <d v="2023-03-21T00:00:00"/>
    <n v="22023001514"/>
    <s v="2023 11 1361 22199"/>
    <n v="128.9"/>
    <x v="438"/>
    <s v="EXPTE:V.36_2017; LOTE 2; ALB: 23-203879 PED: 23-006164-1001 S/STIHL TUERCA DE TAPA HEXAGONAL M-8 (HT,MS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09189"/>
    <s v="D"/>
    <d v="2023-03-21T00:00:00"/>
    <n v="22023001563"/>
    <s v="2023 07 1711 619"/>
    <n v="1346.26"/>
    <x v="438"/>
    <s v="ACUERDO MARCO V.36/2017, ELEMENTOS DE RIEGO.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9405"/>
    <s v="D"/>
    <d v="2023-03-21T00:00:00"/>
    <n v="22023001607"/>
    <s v="2023 08 1532 210"/>
    <n v="170.76"/>
    <x v="438"/>
    <s v="ALB: 23-203128 PED: 23-005031-1001 S/PED: PARQUE / BOTE AGLOMERADO ASFALTICO EN FRIO 25KG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07"/>
    <s v="D"/>
    <d v="2023-03-21T00:00:00"/>
    <n v="22023001608"/>
    <s v="2023 08 1532 214"/>
    <n v="339.55"/>
    <x v="438"/>
    <s v="ALB: 23-200879 PED: 22-059597-1005 S/PED: PARQUE SEPI / REPARACION DE:MARTILLO PICADOR MARCA:BOSCH MODELO:GBH 11 DE NS:N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9413"/>
    <s v="D"/>
    <d v="2023-03-21T00:00:00"/>
    <n v="22023001608"/>
    <s v="2023 08 1532 214"/>
    <n v="54.34"/>
    <x v="438"/>
    <s v="ALB: 23-202794 PED: 23-003771-1017 S/PED: PARQUE / REPARACION DE: GENERADOR   MARCA: MECCALTE  MODELO: HONDA GX270   NS: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02596"/>
    <s v="AD"/>
    <d v="2023-02-08T00:00:00"/>
    <n v="22023002124"/>
    <s v="2023 11 3111 213"/>
    <n v="500"/>
    <x v="655"/>
    <s v="Mantenimiento preventivo y servicio correctivo placas solares y caldera de biomasa del CMPA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5393"/>
    <s v="AD"/>
    <d v="2023-02-22T00:00:00"/>
    <n v="22023002645"/>
    <s v="2023 11 3111 213"/>
    <n v="1644.45"/>
    <x v="655"/>
    <s v="REPARACION CALDERA SOLAR FOCUS DE PELLET DEL CENTRO MUNICIPAL DE PROTECCIÓN ANIMAL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7175"/>
    <s v="AD"/>
    <d v="2023-03-02T00:00:00"/>
    <n v="22023002907"/>
    <s v="2023 11 3111 213"/>
    <n v="249.87"/>
    <x v="655"/>
    <s v="SUSTITUCIÓN PARRILLA DE COMBUSTIÓN EN CALDERA DEL CMPA, PARA SU CORRECTO FUNCIONAMIENTO"/>
    <s v="220"/>
    <s v="ZARATAN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9140"/>
    <s v="D"/>
    <d v="2023-03-21T00:00:00"/>
    <n v="22023001344"/>
    <s v="2023 03 9241 213"/>
    <n v="548.83000000000004"/>
    <x v="209"/>
    <s v="TUBO LED T8 CRISTAL 18W 1850LM G13 1212MM /TUBO LED T8 CRISTAL 18W 1850LM G13/.../ VARIOS CC"/>
    <s v="300"/>
    <s v="BARCELONA"/>
    <s v="BARCELONA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3"/>
  </r>
  <r>
    <n v="220230009147"/>
    <s v="D"/>
    <d v="2023-03-21T00:00:00"/>
    <n v="22023001578"/>
    <s v="2023 11 3111 22199"/>
    <n v="307.08999999999997"/>
    <x v="209"/>
    <s v="CLAVIJA 10/16A 250V PATA 4 ,8MM / PANEL CONVECTOR PM-1005 INSTALACION MURAL 1000W 230V BLANCO / BARRYFLEX RV-K 0,6/1KV 4"/>
    <s v="300"/>
    <s v="BARCELONA"/>
    <s v="BARCELONA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09240"/>
    <s v="D"/>
    <d v="2023-03-21T00:00:00"/>
    <n v="22023002739"/>
    <s v="2023 02 9332 212"/>
    <n v="138.16"/>
    <x v="209"/>
    <s v="CLAVIJA 10-16A-250V DIAMETRO 4,8 CON TT LATERAL DE COLOR BLANCO / BASE 5 TOMAS 16A-250V DE COLOR BLANCO / 26 BASE ADHESI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2"/>
    <s v="D"/>
    <d v="2023-03-21T00:00:00"/>
    <n v="22023002739"/>
    <s v="2023 02 9332 212"/>
    <n v="282.45999999999998"/>
    <x v="209"/>
    <s v="TIJERA PARA CORTAR Y PELAR 16020-F1 / HT10   - DETECTOR DE TENSION MULTIFUNCION CAT IV IP64 / DOWLINGHT FINO 30W 2930LM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44"/>
    <s v="D"/>
    <d v="2023-03-21T00:00:00"/>
    <n v="22023002739"/>
    <s v="2023 02 9332 212"/>
    <n v="18.59"/>
    <x v="209"/>
    <s v="BASE 5 TOMAS 16A 250V  POT .3600W / CLAVIJA 10/16A 250V PATA 4 ,8MM / LATIGUILLO RJ45 PoE LSZH-CAT.6A S/FTP 5.00M GRIS"/>
    <s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342"/>
    <s v="D"/>
    <d v="2023-03-21T00:00:00"/>
    <n v="22023001477"/>
    <s v="2023 10 2412 212"/>
    <n v="266.68"/>
    <x v="209"/>
    <s v="MANTENIMIENTO. SUMINISTRO DE MATERIAL ELECTRICO PARA REPARACIONES DEL JACINTO BENAVENTE- DUR 1 DIA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1"/>
    <s v="212"/>
  </r>
  <r>
    <n v="220230011734"/>
    <s v="AD"/>
    <d v="2023-03-29T00:00:00"/>
    <n v="22023003588"/>
    <s v="2023 07 1721 213"/>
    <n v="178.48"/>
    <x v="655"/>
    <s v="TRABAJOS DE MANTENIMIENTO CALDERA CENTRO MUNICIPAL DE ACUSTICA"/>
    <s v="220"/>
    <s v="ZARATAN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1"/>
    <s v="213"/>
  </r>
  <r>
    <n v="220230009399"/>
    <s v="D"/>
    <d v="2023-03-21T00:00:00"/>
    <n v="22023001467"/>
    <s v="2023 10 2312 212"/>
    <n v="35.51"/>
    <x v="209"/>
    <s v="MANT. SUMINISTRO DE PANELTECH HP A 1848 33W 4K CELL BLANCO UGR&lt;19, PARA EL CENTRO DE VIDA ACTIVA LA VICTORIA- DURACION 1"/>
    <s v="300"/>
    <s v="BARCELONA"/>
    <s v="BARCELONA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19000214"/>
    <s v="AD"/>
    <d v="2023-01-01T00:00:00"/>
    <n v="22023003279"/>
    <s v="2023 03 9241 213"/>
    <n v="9754.98"/>
    <x v="367"/>
    <s v="LOTE 7: MANTENIMIENTO ALARMAS ANTI-INTRUSIÓN CON ASISTENCIA  24H EDIFICIO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30009502"/>
    <s v="AD"/>
    <d v="2023-03-21T00:00:00"/>
    <n v="22023003432"/>
    <s v="2023 03 9241 223"/>
    <n v="157.30000000000001"/>
    <x v="395"/>
    <s v="REPARTO Y COLOCACIÓN DE CARTELES PRESUPUESTOS PARTICIPATIVOS 2023 EN CENTROS DE PARTICIPACIÓN CIUDADAN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3"/>
  </r>
  <r>
    <n v="220230009222"/>
    <s v="D"/>
    <d v="2023-03-21T00:00:00"/>
    <n v="22023001548"/>
    <s v="2023 07 1711 22106"/>
    <n v="1551"/>
    <x v="485"/>
    <s v="CESPED FORMULA MULTIRUSTIC (10 Kgs)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09191"/>
    <s v="D"/>
    <d v="2023-03-21T00:00:00"/>
    <n v="22023001565"/>
    <s v="2023 07 1711 619"/>
    <n v="231"/>
    <x v="613"/>
    <s v="HIEDRA VERDE C-3 L"/>
    <s v="300"/>
    <s v="VALLADOLID"/>
    <s v="VALLADOLID"/>
    <x v="3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738"/>
    <s v="AD"/>
    <d v="2023-01-01T00:00:00"/>
    <n v="22023000741"/>
    <s v="2023 10 2312 22799"/>
    <n v="18570.240000000002"/>
    <x v="17"/>
    <s v="ESTANCIAS DIURNAS-LOTE 2-COMIDAS EN UC1 CPM RONDILLA-EN 23 A NOV 25- 16 PLAZASx 4,5x1,04x248d en 23 y 24 y 229d en25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9329"/>
    <s v="D"/>
    <d v="2023-03-21T00:00:00"/>
    <n v="22023000273"/>
    <s v="2023 11 1321 22199"/>
    <n v="205.49"/>
    <x v="445"/>
    <s v="ACUERDO MARCO. MATERIAL PARA MANTENIMIENTO DEPENDENCIA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363"/>
    <s v="D"/>
    <d v="2023-03-21T00:00:00"/>
    <n v="22023000270"/>
    <s v="2023 11 1321 214"/>
    <n v="604.27"/>
    <x v="465"/>
    <s v="ACUERDO MARCO. SUMINISTRO DE MATERIAL PARA TALLER DE REPARACIO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97"/>
    <s v="D"/>
    <d v="2023-03-21T00:00:00"/>
    <n v="22023000273"/>
    <s v="2023 11 1321 22199"/>
    <n v="8.17"/>
    <x v="467"/>
    <s v="ACUERDO MARCO. SUMINISTRO DE BISAGRA ACODADA Y SUPERACODADA HAFELE PARA  DISTRITO Nº1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09108"/>
    <s v="D"/>
    <d v="2023-03-21T00:00:00"/>
    <n v="22023001956"/>
    <s v="2023 07 1711 214"/>
    <n v="120.32"/>
    <x v="366"/>
    <s v="MATRÍCULA 1181BGY // AMAZON SEGADORA // 20X10.00-10 4PR LG3063E TL BKT / NFU N2 / MONTAJE TRACTOR DELANTERA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09383"/>
    <s v="D"/>
    <d v="2023-03-21T00:00:00"/>
    <n v="22023000270"/>
    <s v="2023 11 1321 214"/>
    <n v="722.04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04"/>
    <s v="D"/>
    <d v="2023-03-21T00:00:00"/>
    <n v="22023002181"/>
    <s v="2023 06 3232 212"/>
    <n v="103.52"/>
    <x v="656"/>
    <s v="ALB A1-019960. MATERIAL ALBAÑILERIA. CEIP PEDRO GOMEZ BOSQUE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9403"/>
    <s v="D"/>
    <d v="2023-03-21T00:00:00"/>
    <n v="22023001607"/>
    <s v="2023 08 1532 210"/>
    <n v="2258.09"/>
    <x v="656"/>
    <s v="ALBARANES 019751 Y 019821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09496"/>
    <s v="AD"/>
    <d v="2023-03-21T00:00:00"/>
    <n v="22023003462"/>
    <s v="2023 05 4331 22602"/>
    <n v="2613.6"/>
    <x v="320"/>
    <s v="INSERCIÓN PUBLICITARIA EN EL SUPLEMENTO EL DÍA DE VALLADOLID-ESPECIAL VALLADOLID SOSTENIBLE.MISIÓN VA.CIUDAD INTELIGENTE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2962"/>
    <s v="REIN"/>
    <d v="2023-03-31T00:00:00"/>
    <n v="22023000742"/>
    <s v="2023 10 2312 22799"/>
    <n v="-302.66000000000003"/>
    <x v="17"/>
    <s v="SERVICIO COMIDAS ENERO 2023 DE LAS ESTANCIAS DIURNAS, ROND 1 -Z.SUR,ARCA,Z.ESTE Y ROND 2"/>
    <s v="891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11702"/>
    <s v="AD"/>
    <d v="2023-03-29T00:00:00"/>
    <n v="22023003610"/>
    <s v="2023 03 9241 213"/>
    <n v="78.650000000000006"/>
    <x v="657"/>
    <s v="INSPECCIÓN PERIÓDICA OBLIGATORIA DEL ASCENSOR DEL CC CANAL DE CASTILLA"/>
    <s v="220"/>
    <s v="LA CISTERNIGA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1"/>
    <s v="213"/>
  </r>
  <r>
    <n v="220230005413"/>
    <s v="AD"/>
    <d v="2023-02-22T00:00:00"/>
    <n v="22023002634"/>
    <s v="2023 05 4331 22699"/>
    <n v="217.8"/>
    <x v="658"/>
    <s v="SERVICIOS DE HOSTING PARA EL DOMINIO INNVID. PLAZO DE 29/04/2023 A 28/04/2024 MEDIANTE PAGO DE CUOTA ÚNICA  AÑO 2023.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99"/>
  </r>
  <r>
    <n v="220229000193"/>
    <s v="AD"/>
    <d v="2023-01-01T00:00:00"/>
    <n v="22023000925"/>
    <s v="2023 10 2412 22799"/>
    <n v="15000"/>
    <x v="86"/>
    <s v="PRORROGA DEL SERVICIO DE CELADURIA DEL CENTRO DE FORMACION PARA EL EMPLEO DEL 01/01/2023 AL 31/07/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4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6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226"/>
    <s v="D"/>
    <d v="2023-03-21T00:00:00"/>
    <n v="22023002739"/>
    <s v="2023 02 9332 212"/>
    <n v="40.869999999999997"/>
    <x v="469"/>
    <s v="SAN  BENITO // MONOMANDO LAVABO VICTORIA PLUS"/>
    <s v="300"/>
    <s v="VALDELAFUENTE"/>
    <s v="LEON"/>
    <x v="3"/>
    <s v="PrAbier - Procedimiento Abierto"/>
    <s v="MultiC - MultiCriterio"/>
    <x v="1"/>
    <x v="0"/>
    <s v="2"/>
    <s v="2. Gastos corrientes en bienes y servicios"/>
    <s v="02"/>
    <x v="3"/>
    <s v="9332"/>
    <s v="9332. Mantenimiento de edificios e instalaciones municipales"/>
    <s v="21"/>
    <s v="212"/>
  </r>
  <r>
    <n v="220230009285"/>
    <s v="D"/>
    <d v="2023-03-21T00:00:00"/>
    <n v="22023000213"/>
    <s v="2023 11 1321 214"/>
    <n v="2196.2800000000002"/>
    <x v="659"/>
    <s v="ACUERDO MARCO. REPARACIÓN  VEHÍCULO MATRÍCULA 3709KGD"/>
    <s v="300"/>
    <s v="Montcada Reixac"/>
    <s v="Barcelona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85"/>
    <s v="D"/>
    <d v="2023-03-21T00:00:00"/>
    <n v="22023000213"/>
    <s v="2023 11 1321 214"/>
    <n v="2719.6"/>
    <x v="464"/>
    <s v="ACUERDO MARCO. SUSTITUCIÓN RUEDAS VARIOS VEHÍCULOS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290"/>
    <s v="D"/>
    <d v="2023-03-21T00:00:00"/>
    <n v="22023000268"/>
    <s v="2023 11 1321 213"/>
    <n v="84.7"/>
    <x v="325"/>
    <s v="ACUERDO MARCO. REPARACIÓN VEHÍCULO 0672HHG:DESMONTAR Y LIMPIEZA DEL INYECTOR DE ESCAP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09359"/>
    <s v="D"/>
    <d v="2023-03-21T00:00:00"/>
    <n v="22023000213"/>
    <s v="2023 11 1321 214"/>
    <n v="219.84"/>
    <x v="325"/>
    <s v="ACUERDO MARCO. REPARACIÓN VEHÍCULO VA7632AH:SONDA LAMBDA DELANTERA,DIAGNOSIS,REVISION FALLO GASES Y ESCPAE ,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61"/>
    <s v="D"/>
    <d v="2023-03-21T00:00:00"/>
    <n v="22023000213"/>
    <s v="2023 11 1321 214"/>
    <n v="251"/>
    <x v="325"/>
    <s v="ACUERDO MARCO. REPARACIÓN VEHÍCULO 0649HHG:DESMONTAR Y LIMPIEZA INYECTOR ESCAPE,ACEITE 5W30,FILTRO D EACIETE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417"/>
    <s v="D"/>
    <d v="2023-03-21T00:00:00"/>
    <n v="22023001459"/>
    <s v="2023 11 1621 214"/>
    <n v="520.29999999999995"/>
    <x v="660"/>
    <s v="REVISION TACOG. DIG.2756 LLV/ RESPALDO DATOS/ REVISION TACOG. ANA. 3511 BHT/ SPSC 23-2020 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07167"/>
    <s v="AD"/>
    <d v="2023-03-02T00:00:00"/>
    <n v="22023002847"/>
    <s v="2023 10 2412 22799"/>
    <n v="4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7"/>
    <s v="AD"/>
    <d v="2023-03-02T00:00:00"/>
    <n v="22023002845"/>
    <s v="2023 10 2412 22799"/>
    <n v="3000"/>
    <x v="86"/>
    <s v="AJUSTE PRESUPUESTARIO DE LA CELADURIA DEL CENTRO DE FORMACION PARA ELEMPLEO DEL 01/01/23 A 31/07/2023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7166"/>
    <s v="AD/"/>
    <d v="2023-03-02T00:00:00"/>
    <n v="22023000925"/>
    <s v="2023 10 2412 22799"/>
    <n v="-15000"/>
    <x v="86"/>
    <s v="PRORROGA DEL SERVICIO DE CELADURIA DEL CENTRO DE FORMACION PARA EL EMPLEO DEL 01/01/2023 AL 31/07/2023- BARRAD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799"/>
  </r>
  <r>
    <n v="220230009307"/>
    <s v="D"/>
    <d v="2023-03-21T00:00:00"/>
    <n v="22023002053"/>
    <s v="2023 07 1711 213"/>
    <n v="978.89"/>
    <x v="382"/>
    <s v="Albarán OT/ 136154 de 13 y 5/02/2023 ( REPARACIÓN EN TALLER DE MOTOAZADA HONDA F500 REF.: VIVERO VALE Nº 1487 RETIRADA E"/>
    <s v="300"/>
    <s v="VALLADOLID"/>
    <s v="VALLADOLID"/>
    <x v="1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3"/>
  </r>
  <r>
    <n v="220230009375"/>
    <s v="D"/>
    <d v="2023-03-21T00:00:00"/>
    <n v="22023000213"/>
    <s v="2023 11 1321 214"/>
    <n v="172.13"/>
    <x v="470"/>
    <s v="ACUERDO MARCO. REPARACIÓN VEHÍCULO DE POLICÍA 2168HCN, 668100006R - GUARNIT.PARABRIS. / 1 054000001R - GRAP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7"/>
    <s v="D"/>
    <d v="2023-03-21T00:00:00"/>
    <n v="22023000213"/>
    <s v="2023 11 1321 214"/>
    <n v="34.07"/>
    <x v="470"/>
    <s v="ACUERDO MARCO. REPARACIÓN VEHÍCULO 4117JKP DE POLICÍA1 8200177718 - CONTACTOR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79"/>
    <s v="D"/>
    <d v="2023-03-21T00:00:00"/>
    <n v="22023000213"/>
    <s v="2023 11 1321 214"/>
    <n v="9.4"/>
    <x v="470"/>
    <s v="ACUEREDO MARCO. REPARACION VEHÍCULO 3715KGD.1 265109646R - LUZ DE MATRICUL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9331"/>
    <s v="D"/>
    <d v="2023-03-21T00:00:00"/>
    <n v="22023000213"/>
    <s v="2023 11 1321 214"/>
    <n v="1053.79"/>
    <x v="520"/>
    <s v="ACUERDO MARCO. REPARACIÓN VEHÍCULO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02589"/>
    <s v="AD"/>
    <d v="2023-02-08T00:00:00"/>
    <n v="22023002160"/>
    <s v="2023 06 2314 22799"/>
    <n v="411.4"/>
    <x v="661"/>
    <s v="DESASTASCO SUMIDERO ESPACIO JOVEN ZONA SUR"/>
    <s v="220"/>
    <s v="GALAPAGAR"/>
    <s v="MADR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799"/>
  </r>
  <r>
    <n v="220229000288"/>
    <s v="AD"/>
    <d v="2023-01-01T00:00:00"/>
    <n v="22023000942"/>
    <s v="2023 09 3341 22799"/>
    <n v="4192.6499999999996"/>
    <x v="662"/>
    <s v="SERVICIO DE JARDINERÍA EN EL CENTRO ROSA CHACEL MANTENIMIENTO ZONA AJARDINADA DEL CENTRO Y PUESTA A PUNTO DESDE 1/8/2022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99"/>
  </r>
  <r>
    <n v="220230009409"/>
    <s v="D"/>
    <d v="2023-03-21T00:00:00"/>
    <n v="22023001608"/>
    <s v="2023 08 1532 214"/>
    <n v="54.06"/>
    <x v="521"/>
    <s v="CIERRE SEGURIDAD D5 ( MATRICULA 4746 FZF SEPI CONSERVACION )"/>
    <s v="300"/>
    <s v="ALDEAMAYOR DE SAN MARTIN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0336"/>
    <s v="AD"/>
    <d v="2023-03-23T00:00:00"/>
    <n v="22023003078"/>
    <s v="2023 05 4331 22799"/>
    <n v="1066.95"/>
    <x v="336"/>
    <s v="VINILOS Y LONA CUPULA DEL MILENIO. 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0304"/>
    <s v="AD"/>
    <d v="2023-03-23T00:00:00"/>
    <n v="22023002368"/>
    <s v="2023 04 9202 22607"/>
    <n v="575"/>
    <x v="663"/>
    <s v="CONTROL Y CRONOMETRAJE PRUEBAS FISICAS SUPERINTENDENTE, INTENDENTE Y MAYOR POLICIA LOCAL VALLADOLLID,24 DE EN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05"/>
    <s v="AD"/>
    <d v="2023-03-23T00:00:00"/>
    <n v="22023002916"/>
    <s v="2023 04 9202 22607"/>
    <n v="1950"/>
    <x v="663"/>
    <s v="CONTROL Y CRONOMETRAJE PRUEBAS FISICAS BOMBEROS AYTO. VALLADOLID, DIAS 14 Y 15 DE FEBRERO DE 2023"/>
    <s v="220"/>
    <s v="PALENCIA"/>
    <s v="PALENCIA"/>
    <x v="4"/>
    <s v="AdDirec - Adjudicación Directa"/>
    <s v="SinC - Sin Criterio"/>
    <x v="3"/>
    <x v="0"/>
    <s v="2"/>
    <s v="2. Gastos corrientes en bienes y servicios"/>
    <s v="04"/>
    <x v="5"/>
    <s v="9202"/>
    <s v="9202. Gestión de recursos humanos"/>
    <s v="22"/>
    <s v="22607"/>
  </r>
  <r>
    <n v="220230010345"/>
    <s v="AD"/>
    <d v="2023-03-23T00:00:00"/>
    <n v="22023003414"/>
    <s v="2023 01 9205 22104"/>
    <n v="1065.77"/>
    <x v="143"/>
    <s v="ADJUDICA SUMINISTRO VESTUARIO Y CALZADO PERSONAL IMPRENTA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04"/>
  </r>
  <r>
    <n v="220230010332"/>
    <s v="AD"/>
    <d v="2023-03-23T00:00:00"/>
    <n v="22023003080"/>
    <s v="2023 05 4331 22609"/>
    <n v="605"/>
    <x v="664"/>
    <s v="ESPECTACULO DE DANZA FRUTA FRESCA/15 GARDENIAS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0379"/>
    <s v="AD"/>
    <d v="2023-03-23T00:00:00"/>
    <n v="22023003431"/>
    <s v="2023 06 2314 22613"/>
    <n v="14750"/>
    <x v="665"/>
    <s v="TALLERES DE EDUCACION SEXUAL Y ASESORIA SEXOLOGICA PARA JOVENES Y ADOLESCENTES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10311"/>
    <s v="AD"/>
    <d v="2023-03-23T00:00:00"/>
    <n v="22023003480"/>
    <s v="2023 06 3321 22699"/>
    <n v="200"/>
    <x v="292"/>
    <s v="CTTO SUMINISTRO PAPEL IMPRENTA MUNICIPAL PUBLICIDAD CON  CARTELES Y DÍPTICOS ACTIVIDADES DE BIBLIOTECAS PÚBLICA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08970"/>
    <s v="AD"/>
    <d v="2023-03-17T00:00:00"/>
    <n v="22023003132"/>
    <s v="2023 09 3341 22700"/>
    <n v="3531.99"/>
    <x v="662"/>
    <s v="LIMPIEZA DIARIA CENTRO MARCELINA PONCELA. DEL 24 DE MARZO AL 31 DE DICIEMBRE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700"/>
  </r>
  <r>
    <n v="220229000129"/>
    <s v="AD"/>
    <d v="2023-01-01T00:00:00"/>
    <n v="22023000304"/>
    <s v="2023 09 3341 22701"/>
    <n v="12347.1"/>
    <x v="666"/>
    <s v="ADJUDICACION SERVICIO VIGILANCIA DE LAS INSTALACIONES Y NORMAL FUNCIONAMIENTO DE LA FERIA DEL LIBRO VA 2023.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1"/>
  </r>
  <r>
    <n v="220230001801"/>
    <s v="AD"/>
    <d v="2023-02-03T00:00:00"/>
    <n v="22023000287"/>
    <s v="2023 11 1321 22199"/>
    <n v="346.76"/>
    <x v="667"/>
    <s v="SUMINISTRO DE CARTUCHOS PARA IMPRESORAS FURGONETAS DE INVESTIGACIÓN DE ACCIDENTES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8955"/>
    <s v="AD"/>
    <d v="2023-03-17T00:00:00"/>
    <n v="22023003150"/>
    <s v="2023 10 2412 22706"/>
    <n v="1062.3800000000001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10339"/>
    <s v="AD"/>
    <d v="2023-03-23T00:00:00"/>
    <n v="22023003079"/>
    <s v="2023 05 4331 22602"/>
    <n v="2116.29"/>
    <x v="523"/>
    <s v="CONTRATO BASADO CUÑAS DE RADIO 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55"/>
    <s v="AD"/>
    <d v="2023-03-17T00:00:00"/>
    <n v="22023003151"/>
    <s v="2023 10 2412 22706"/>
    <n v="1512.5"/>
    <x v="668"/>
    <s v="Contr. servicio de realiz de informes de auditoría de las subvenciones concedidaspara los cursos de formacion de empleo"/>
    <s v="220"/>
    <s v="SALAMANCA"/>
    <s v="SALAMANCA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706"/>
  </r>
  <r>
    <n v="220230009469"/>
    <s v="AD"/>
    <d v="2023-03-21T00:00:00"/>
    <n v="22023003212"/>
    <s v="2023 05 4331 22799"/>
    <n v="1815"/>
    <x v="669"/>
    <s v="SERVICIO ANÁLISIS ALTERNATIVAS DE REUBICACIÓN DEL JARDÍN VERTICAL DEL ANTIGUO EDIFICIO EL CORTE INGLÉS C/ CONSTITUCION"/>
    <s v="220"/>
    <s v="ALICANTE"/>
    <s v="ALICANTE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9000848"/>
    <s v="AD"/>
    <d v="2023-01-01T00:00:00"/>
    <n v="22023001948"/>
    <s v="2023 01 9312 22706"/>
    <n v="22022"/>
    <x v="670"/>
    <s v="ADJUDICACION GASTO CONTRATO ELABORACION COSTES E INDICADORES DE LA CONTABILIDAD ANALITICA DE LOS EJERCICIOS 2022 Y 2023"/>
    <s v="220"/>
    <s v="MALAGA"/>
    <s v="MALAGA"/>
    <x v="1"/>
    <s v="PrAbier - Procedimiento Abierto"/>
    <s v="MultiC - MultiCriterio"/>
    <x v="0"/>
    <x v="0"/>
    <s v="2"/>
    <s v="2. Gastos corrientes en bienes y servicios"/>
    <s v="01"/>
    <x v="8"/>
    <s v="9312"/>
    <s v="9312. Intervención general"/>
    <s v="22"/>
    <s v="22706"/>
  </r>
  <r>
    <n v="220230001966"/>
    <s v="AD"/>
    <d v="2023-02-03T00:00:00"/>
    <n v="22023001457"/>
    <s v="2023 11 1621 213"/>
    <n v="1179.75"/>
    <x v="671"/>
    <s v="REVISIÓN ANUAL DE LAS LINEAS DE VIDA DE LAS INSTALACIONES DEL SERVICIO DE LIMPIEZA"/>
    <s v="220"/>
    <s v="TUDELA DE DUERO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3"/>
  </r>
  <r>
    <n v="220230010340"/>
    <s v="AD"/>
    <d v="2023-03-23T00:00:00"/>
    <n v="22023003079"/>
    <s v="2023 05 4331 22602"/>
    <n v="2420"/>
    <x v="304"/>
    <s v="INSERCIÓN DE PUBLICIDAD DIGITAL RELATIVA A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0341"/>
    <s v="AD"/>
    <d v="2023-03-23T00:00:00"/>
    <n v="22023003079"/>
    <s v="2023 05 4331 22602"/>
    <n v="3025"/>
    <x v="304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985"/>
    <s v="AD"/>
    <d v="2023-03-17T00:00:00"/>
    <n v="22023002848"/>
    <s v="2023 06 2315 22611"/>
    <n v="4235"/>
    <x v="672"/>
    <s v="DISEÑO, CREACIÓN Y MANTENIMIENTO PÁGINA WEB DEL CENTRO MUNICIPAL DE LA IGUALDAD / DURANTE 2023"/>
    <s v="220"/>
    <s v="LAGUNA DE DUERO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29000132"/>
    <s v="AD"/>
    <d v="2023-01-01T00:00:00"/>
    <n v="22023000897"/>
    <s v="2023 07 1701 22706"/>
    <n v="20158.330000000002"/>
    <x v="673"/>
    <s v="1ª PRÓRROGA. LOTE 1. CONTRATO PROGRAMAS EDUCACIÓN AMBIENTAL (HUERTOS URBANOS). PLAZO: 01/01/2023 AL 31/05/2023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4"/>
    <s v="1701"/>
    <s v="1701. Dirección del área de medio ambiente"/>
    <s v="22"/>
    <s v="22706"/>
  </r>
  <r>
    <n v="220219001167"/>
    <s v="AD"/>
    <d v="2023-01-01T00:00:00"/>
    <n v="22023003378"/>
    <s v="2023 11 1621 22799"/>
    <n v="4546.4399999999996"/>
    <x v="38"/>
    <s v="PRORROGA CONTRATO EXPLOTACIÓN PUNTO LIMPIO SITO EN C/ VALLE DE ARÁN (23-1-2022 AL 22-1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99"/>
  </r>
  <r>
    <n v="220230003240"/>
    <s v="AD"/>
    <d v="2023-02-14T00:00:00"/>
    <n v="22023002415"/>
    <s v="2023 11 1621 22700"/>
    <n v="5989.5"/>
    <x v="38"/>
    <s v="RETIRADA DE RESIDUOS Y LIMPIEZA FOSA SÉPTICA VESTUARIOS MORERAS.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0"/>
  </r>
  <r>
    <n v="220230008939"/>
    <s v="AD"/>
    <d v="2023-03-17T00:00:00"/>
    <n v="22023003120"/>
    <s v="2023 10 2312 212"/>
    <n v="266.2"/>
    <x v="674"/>
    <s v="SUMINISTRO DE DOS CHAPAS PLEGADAS PARA LA PUERTA DEL CENTRO DE VIDA ACTIVA ZONA ESTE- DUR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2"/>
  </r>
  <r>
    <n v="220229000593"/>
    <s v="AD"/>
    <d v="2023-01-01T00:00:00"/>
    <n v="22023001226"/>
    <s v="2023 06 3261 22699"/>
    <n v="980"/>
    <x v="675"/>
    <s v="VISITAS GUIADAS RUTA 1 (SAN PABLO) Y RUTA 2 (SANTA CRUZ) PARA ESCOLARES DE CENTROS EDUCATIVOS DE VALLADOLID. CURSO 22-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1192"/>
    <s v="ADO"/>
    <d v="2023-02-02T00:00:00"/>
    <n v="22023001612"/>
    <s v="2023 06 3261 22699"/>
    <n v="280"/>
    <x v="675"/>
    <s v="VISITAS GUIADAS RUTAS 1 Y 2/ INMACULADA MISIONERAS(03.11.22), EL PINO-OBREGON (20.12.22), ST Mª LA REAL HUELGAS 13.12.22"/>
    <s v="24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20005217"/>
    <s v="AD"/>
    <d v="2023-03-29T00:00:00"/>
    <n v="22022002305"/>
    <s v="2023 02 1511 641"/>
    <n v="1597.2"/>
    <x v="676"/>
    <s v="ACTUALIZACIÓN Y MANTENIMIENTO SOLIBRI OFFICE AÑO 2022"/>
    <s v="220"/>
    <s v="HELSINKI"/>
    <s v="FINLANDIA"/>
    <x v="1"/>
    <s v="AdDirec - Adjudicación Directa"/>
    <s v="SinC - Sin Criterio"/>
    <x v="3"/>
    <x v="0"/>
    <s v="6"/>
    <s v="6. Inversiones reales"/>
    <s v="02"/>
    <x v="3"/>
    <s v="1511"/>
    <s v="1511. Planficación y gestión del urbanismo"/>
    <s v="64"/>
    <s v="641"/>
  </r>
  <r>
    <n v="220229000363"/>
    <s v="AD"/>
    <d v="2023-01-01T00:00:00"/>
    <n v="22023001158"/>
    <s v="2023 02 9332 22103"/>
    <n v="20000"/>
    <x v="69"/>
    <s v="1ERA.PRÓRROGA CONTRATO SUMINISTRO GASÓLEO AUTOMOCIÓN VEHÍCULOS MANTENIMIENTO EXP.PR-SE 37/2022 P.S.6 EX PR-SE 38/20."/>
    <s v="220"/>
    <s v="MADRID"/>
    <s v="MADRID"/>
    <x v="3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2"/>
    <s v="22103"/>
  </r>
  <r>
    <n v="220229000370"/>
    <s v="AD"/>
    <d v="2023-01-01T00:00:00"/>
    <n v="22023001164"/>
    <s v="2023 10 2412 22103"/>
    <n v="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29000364"/>
    <s v="AD"/>
    <d v="2023-01-01T00:00:00"/>
    <n v="22023001159"/>
    <s v="2023 06 3261 22103"/>
    <n v="3500"/>
    <x v="69"/>
    <s v="PRORROGA CTTO SUMINISTRO GASOLEO DE AUTOMOCIÓN PARA VEHÍCULOS DEPENDIENTES DEL SERVICIO DE EDUCACIÓN. AÑO 2023"/>
    <s v="220"/>
    <s v="MADRID"/>
    <s v="MADRID"/>
    <x v="3"/>
    <s v="PrAbier - Procedimiento Abierto"/>
    <s v="UniC - Único Criterio"/>
    <x v="0"/>
    <x v="0"/>
    <s v="2"/>
    <s v="2. Gastos corrientes en bienes y servicios"/>
    <s v="06"/>
    <x v="2"/>
    <s v="3261"/>
    <s v="3261. Servicios complementarios de educación"/>
    <s v="22"/>
    <s v="22103"/>
  </r>
  <r>
    <n v="220229000366"/>
    <s v="AD"/>
    <d v="2023-01-01T00:00:00"/>
    <n v="22023001161"/>
    <s v="2023 11 3111 22103"/>
    <n v="3000"/>
    <x v="69"/>
    <s v="PRORROGA CONTRATO SUNMINISTRO GASOLEO AUTOMOCION VEHCULOS DEL Sº DE SALUD PUBLICA PARA EL AÑO 2023"/>
    <s v="220"/>
    <s v="MADRID"/>
    <s v="MADRID"/>
    <x v="3"/>
    <s v="PrAbier - Procedimiento Abierto"/>
    <s v="UniC - Único Criterio"/>
    <x v="0"/>
    <x v="0"/>
    <s v="2"/>
    <s v="2. Gastos corrientes en bienes y servicios"/>
    <s v="11"/>
    <x v="6"/>
    <s v="3111"/>
    <s v="3111. Protección de la salubridad pública"/>
    <s v="22"/>
    <s v="22103"/>
  </r>
  <r>
    <n v="220229000372"/>
    <s v="AD"/>
    <d v="2023-01-01T00:00:00"/>
    <n v="22023001166"/>
    <s v="2023 01 9203 22103"/>
    <n v="3600"/>
    <x v="69"/>
    <s v="1ª PRORROGA CONTRATO SUINISTRO GASOLEO 1-01-2023 A 31-12-2023, REGIMEN INTERIOR"/>
    <s v="220"/>
    <s v="MADRID"/>
    <s v="MADRID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3"/>
  </r>
  <r>
    <n v="220230001995"/>
    <s v="AD"/>
    <d v="2023-02-03T00:00:00"/>
    <n v="22023001619"/>
    <s v="2023 11 3111 22103"/>
    <n v="250"/>
    <x v="69"/>
    <s v="GAS VEHICULO SALUD PUBLICA : TOYOTA PRIUS 0634 DHJ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03"/>
  </r>
  <r>
    <n v="220230001998"/>
    <s v="AD"/>
    <d v="2023-02-03T00:00:00"/>
    <n v="22023001689"/>
    <s v="2023 08 1532 22103"/>
    <n v="3000"/>
    <x v="69"/>
    <s v="SUMINISTRO DE AUTOGAS (gas licuado de petróleo) en estación de servicio a los vehículos del SEPI - para  2023.-"/>
    <s v="220"/>
    <s v="MADRID"/>
    <s v="MADRID"/>
    <x v="3"/>
    <s v="PrAbier - Procedimiento Abierto"/>
    <s v="MultiC - MultiCriterio"/>
    <x v="0"/>
    <x v="0"/>
    <s v="2"/>
    <s v="2. Gastos corrientes en bienes y servicios"/>
    <s v="08"/>
    <x v="0"/>
    <s v="1532"/>
    <s v="1532. Pavimentación vias públicas y otros servicios urbanísticos"/>
    <s v="22"/>
    <s v="22103"/>
  </r>
  <r>
    <n v="220230008957"/>
    <s v="AD"/>
    <d v="2023-03-17T00:00:00"/>
    <n v="22023003157"/>
    <s v="2023 10 2412 22103"/>
    <n v="16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9"/>
    <s v="2023 10 2412 22103"/>
    <n v="10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346"/>
    <s v="AD"/>
    <d v="2023-03-23T00:00:00"/>
    <n v="22023003424"/>
    <s v="2023 01 9207 22001"/>
    <n v="108.16"/>
    <x v="320"/>
    <s v="ADJUDICA RENOVACIÓN UNA SUSCRIPCIÓN AL PERIÓDICO EL DÍA DE VALLADOLID - AÑO 2032 - MEDIOS DE COMUNICAC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8957"/>
    <s v="AD"/>
    <d v="2023-03-17T00:00:00"/>
    <n v="22023003156"/>
    <s v="2023 10 2412 22103"/>
    <n v="9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7"/>
    <s v="AD"/>
    <d v="2023-03-17T00:00:00"/>
    <n v="22023003158"/>
    <s v="2023 10 2412 22103"/>
    <n v="500"/>
    <x v="69"/>
    <s v="AJUSTE PRESUPUESTARIO DEL SUMINISTRI DE GASOLEO PARA EL CENTRO DE FORMACION PRA EL EMPLEO EN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08956"/>
    <s v="AD/"/>
    <d v="2023-03-17T00:00:00"/>
    <n v="22023001164"/>
    <s v="2023 10 2412 22103"/>
    <n v="-4000"/>
    <x v="69"/>
    <s v="PRORROGA DE SUMINISTRO DE GASOLEO PARA EL CENTRO DE FORMACION PARA EL EMPLEO DURANTE 2023"/>
    <s v="220"/>
    <s v="MADRID"/>
    <s v="MADRID"/>
    <x v="3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2"/>
    <s v="22103"/>
  </r>
  <r>
    <n v="220230010923"/>
    <s v="D"/>
    <d v="2023-03-24T00:00:00"/>
    <n v="22023001459"/>
    <s v="2023 11 1621 214"/>
    <n v="71.5"/>
    <x v="677"/>
    <s v="CABLE BOWDEN / CABEZAL DE ASPIRACIÓN / BUJIA NGK CMR6H / GRASA UNIVERSAL40 GR.RED../ SPSC 23-2020 / SERVICIO DE LIMPIEZA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25"/>
    <s v="D"/>
    <d v="2023-03-24T00:00:00"/>
    <n v="22023001462"/>
    <s v="2023 11 1621 214"/>
    <n v="1272.8699999999999"/>
    <x v="418"/>
    <s v="(*) RELÉ INTERRUPTOR DOBLE SALIDA 2 / RELÉ INT 40A. 12V. S/SOP. S/RES *** / BATERI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19001206"/>
    <s v="AD"/>
    <d v="2023-01-01T00:00:00"/>
    <n v="22023003294"/>
    <s v="2023 04 9204 213"/>
    <n v="1040.5999999999999"/>
    <x v="148"/>
    <s v="MANTENIMIENTO DEL SISTEMA DE DETECCIÓN Y EXTINCIÓN DE INCENDIOS,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1"/>
    <s v="213"/>
  </r>
  <r>
    <n v="220230010642"/>
    <s v="D"/>
    <d v="2023-03-24T00:00:00"/>
    <n v="22023001412"/>
    <s v="2023 10 2311 212"/>
    <n v="22.11"/>
    <x v="358"/>
    <s v="F - 1994 - TELEFONILLO TEGUI S.7 - PARA ALOJAMIENTO PROVISIONAL CALLE MISERICORDIA 3 BAJO D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29"/>
    <s v="D"/>
    <d v="2023-03-24T00:00:00"/>
    <n v="22023001468"/>
    <s v="2023 10 2312 212"/>
    <n v="15.91"/>
    <x v="358"/>
    <s v="MANT. SUMINISTRO DE MAGNETO  SE IK60N C 2P 20A  A9K17220PRA EL CENTRO DE PARQUESOL- INICITIVAS SOCIALES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0"/>
    <s v="D"/>
    <d v="2023-03-24T00:00:00"/>
    <n v="22023001459"/>
    <s v="2023 11 1621 214"/>
    <n v="2104.92"/>
    <x v="359"/>
    <s v="TOTAL TRABAJOS REPARACION MATRICULA 2515FXC / TOTAL PIEZAS / ANEXO DETALLE FTP000020063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72"/>
    <s v="D"/>
    <d v="2023-03-24T00:00:00"/>
    <n v="22023001459"/>
    <s v="2023 11 1621 214"/>
    <n v="364.65"/>
    <x v="359"/>
    <s v="TOTAL TRABAJOS REPARACION MATRICULA 4224JCV / TOTAL PIEZAS / ANEXO DETALLE FTP000020078/ SERVICIO DE LIMPIEZ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96"/>
    <s v="D"/>
    <d v="2023-03-24T00:00:00"/>
    <n v="22023000213"/>
    <s v="2023 11 1321 214"/>
    <n v="1460.7"/>
    <x v="359"/>
    <s v="ACUERDO MARCO.  TRABAJOS REPARACION MATRICULA 8831JXF / TOTAL PIEZAS / ANEXO DETALLE FTP000020044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0840"/>
    <s v="D"/>
    <d v="2023-03-24T00:00:00"/>
    <n v="22023001549"/>
    <s v="2023 07 1711 22199"/>
    <n v="253.35"/>
    <x v="479"/>
    <s v="MATERIAL VARIO CONSTRUC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933"/>
    <s v="D"/>
    <d v="2023-03-24T00:00:00"/>
    <n v="22023001468"/>
    <s v="2023 10 2312 212"/>
    <n v="44.83"/>
    <x v="181"/>
    <s v="MANT. SUMINISTRO DE TORNILLO SPAX-S BICROMATADO 4*20 MM.  PARA  CPM ZONA SUR-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27"/>
    <s v="D"/>
    <d v="2023-03-24T00:00:00"/>
    <n v="22023001468"/>
    <s v="2023 10 2312 212"/>
    <n v="1043.8800000000001"/>
    <x v="177"/>
    <s v="MANT. SUMINISTRO DE MATERIAL  PARA EL CVA Z. SUR (1039,06) Y ARCA REAL (4.82) INICIATIVAS SOCIALES  DURA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931"/>
    <s v="D"/>
    <d v="2023-03-24T00:00:00"/>
    <n v="22023001467"/>
    <s v="2023 10 2312 212"/>
    <n v="280.89999999999998"/>
    <x v="381"/>
    <s v="MANT. SUMINISTRO DE  ANTIP. TESA CIERRE 1910 908 VERDE,ANTIP. TESA MANILLA S1912 EXNE .PARA EL CPM PUENTE COLGANTE-D 1 D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0877"/>
    <s v="D"/>
    <d v="2023-03-24T00:00:00"/>
    <n v="22023001469"/>
    <s v="2023 11 1631 214"/>
    <n v="1056.02"/>
    <x v="442"/>
    <s v="TAPON ADBLUE.C.LC/BOMBIN / CIERRE CON LLAV / MANDO FRENO MAN / BLOW BY ELEMENT.../ SPSC23-2020 / LIMPIEZA VIARI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45"/>
    <s v="D"/>
    <d v="2023-03-24T00:00:00"/>
    <n v="22023001549"/>
    <s v="2023 07 1711 22199"/>
    <n v="5.49"/>
    <x v="445"/>
    <s v="7380-ULS  5X25 TORNILLO 10.9 / 985-M- 5-080  TUERCA A.B. / 9021-M 5 ZN ARAND.PL.ALA ANCHA / 934-S2222     TUERCA 8.8 7/8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0875"/>
    <s v="D"/>
    <d v="2023-03-24T00:00:00"/>
    <n v="22023001466"/>
    <s v="2023 11 1621 22199"/>
    <n v="1270.92"/>
    <x v="445"/>
    <s v="7991- 8X50    TORNILLO ALLEN CABEZA AVELLANADA 10.9 / ROLL.6M3A CARRO ROLL M3 6 CAJ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83"/>
    <s v="D"/>
    <d v="2023-03-24T00:00:00"/>
    <n v="22023001475"/>
    <s v="2023 11 1631 22110"/>
    <n v="514.73"/>
    <x v="445"/>
    <s v="BONDERITE C-MC 3000 D2 JC20KG DESENGRASANTE MANTENIMIENTO LOCTITE 1290340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10"/>
  </r>
  <r>
    <n v="220230010917"/>
    <s v="D"/>
    <d v="2023-03-24T00:00:00"/>
    <n v="22023001466"/>
    <s v="2023 11 1621 22199"/>
    <n v="3489.48"/>
    <x v="519"/>
    <s v="DISCO OMEGA 230X1.9X22.2 INOX / ALMOHADILLA PARA ARRODILLARSE / TORNILLO DIN 933 M-1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890"/>
    <s v="D"/>
    <d v="2023-03-24T00:00:00"/>
    <n v="22023001462"/>
    <s v="2023 11 1621 214"/>
    <n v="1517.95"/>
    <x v="519"/>
    <s v="FILTRO DE AIRE COMPLETO / PORTES MAF / PORTES MAF / MANTA TERMICA PARA MOTOR.../ EXP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85"/>
    <s v="D"/>
    <d v="2023-03-24T00:00:00"/>
    <n v="22023001462"/>
    <s v="2023 11 1621 214"/>
    <n v="774.4"/>
    <x v="466"/>
    <s v="DYNAMIC-ANTICONGELANTE 3000 50% 185 K/ V36-2017 / SERVICIO DE LIMPIEZA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849"/>
    <s v="D"/>
    <d v="2023-03-24T00:00:00"/>
    <n v="22023001547"/>
    <s v="2023 07 1711 214"/>
    <n v="417.63"/>
    <x v="468"/>
    <s v="ASER SYNTHETIC 10W40 A3/B4 5L / Canon Gestion Aceite (RD679/2006) / SYNTIUM 5000 AV 5W30 5L. / Canon Gestion Aceite (RD6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1"/>
    <s v="214"/>
  </r>
  <r>
    <n v="220230010879"/>
    <s v="D"/>
    <d v="2023-03-24T00:00:00"/>
    <n v="22023001473"/>
    <s v="2023 11 1631 214"/>
    <n v="647.35"/>
    <x v="468"/>
    <s v="CARGADOR / ARRANCADOR 12/24V.../ EXP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1"/>
    <s v="214"/>
  </r>
  <r>
    <n v="220230010881"/>
    <s v="D"/>
    <d v="2023-03-24T00:00:00"/>
    <n v="22023001462"/>
    <s v="2023 11 1621 214"/>
    <n v="1313.04"/>
    <x v="468"/>
    <s v="RASCADOR PLACA EYECTORA FMO / CONECTOR FILTRO DEP.ACEITE OLY / RASCADOR PRENSA.../ V36-2017 / SERVICIO DE LIMPIEZ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1"/>
    <s v="214"/>
  </r>
  <r>
    <n v="220230010919"/>
    <s v="D"/>
    <d v="2023-03-24T00:00:00"/>
    <n v="22023001466"/>
    <s v="2023 11 1621 22199"/>
    <n v="581.08000000000004"/>
    <x v="517"/>
    <s v="PASADOR ALETA 3.2X45 DIN-94 ZINCADO / REMACHE ESTANDAR 4.8X25 DIN-7337 ALUMINIO / TO.../ V36-2017 / SERVICIO DE LIMPIEZA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21"/>
    <s v="1621. Servicio de limpieza"/>
    <s v="22"/>
    <s v="22199"/>
  </r>
  <r>
    <n v="220230010921"/>
    <s v="D"/>
    <d v="2023-03-24T00:00:00"/>
    <n v="22023001476"/>
    <s v="2023 11 1631 22199"/>
    <n v="452.35"/>
    <x v="517"/>
    <s v="BARRENDERO ROJO 520 5/F 520X65MM  ART.00001505 / MANGO BARRENDERO MADERA GALLEGA.../ V36-2017 / LIMPIEZA VIARIA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631"/>
    <s v="1631. Limpieza viaria"/>
    <s v="22"/>
    <s v="22199"/>
  </r>
  <r>
    <n v="220230010640"/>
    <s v="D"/>
    <d v="2023-03-24T00:00:00"/>
    <n v="22023001412"/>
    <s v="2023 10 2311 212"/>
    <n v="463.43"/>
    <x v="248"/>
    <s v="F - 1174 - BOMBA ACELERADORA RADIADORES PARA CEAS BELEN-PILARICA - TAHE SL - 1 DIA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1"/>
    <s v="2311. Intervención social"/>
    <s v="21"/>
    <s v="212"/>
  </r>
  <r>
    <n v="220230010936"/>
    <s v="ADO"/>
    <d v="2023-03-24T00:00:00"/>
    <n v="22023003428"/>
    <s v="2023 01 9207 22602"/>
    <n v="2413.9499999999998"/>
    <x v="332"/>
    <s v="INSERCION PUBLICIDAD EN TRIBUNAVALLADOLID.COM CAMPAÑA ESCUELA EL CASCABEL Y POLIDEPORTIVO DELICIAS.(AD aprobado en 2022)"/>
    <s v="240"/>
    <s v="SALAMANCA"/>
    <s v="SALAMANCA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0899"/>
    <s v="D"/>
    <d v="2023-03-24T00:00:00"/>
    <n v="22023000213"/>
    <s v="2023 11 1321 214"/>
    <n v="33.5"/>
    <x v="470"/>
    <s v="ACUERDO MARCO. REPARACIÓN VEHÍCULO 4078JKP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686"/>
    <s v="AD"/>
    <d v="2023-03-28T00:00:00"/>
    <n v="22023003405"/>
    <s v="2023 06 3232 212"/>
    <n v="4000"/>
    <x v="678"/>
    <s v="SUMINISTRO DE MAQUINARIA ESCABADORA, DUMPER Y LOS TRANSPORTES PARA REPARACIONES DE TUBERIAS Y SOLADOS. AÑO 2023"/>
    <s v="220"/>
    <s v="VALDESTILLAS"/>
    <s v="VALLADOLID"/>
    <x v="3"/>
    <s v="AdDirec - Adjudicación Directa"/>
    <s v="SinC - Sin Criterio"/>
    <x v="3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11674"/>
    <s v="AD"/>
    <d v="2023-03-28T00:00:00"/>
    <n v="22023003559"/>
    <s v="2023 08 1341 22699"/>
    <n v="2005.5"/>
    <x v="679"/>
    <s v="ADQUISICIÓN 3 CABLES DE RECARGA DE V.E. EN TOMA DOMÉSTICA REFORMADO PARA TOMA EF.GU"/>
    <s v="220"/>
    <s v="VALLADOLID"/>
    <s v="VALLADOLID"/>
    <x v="3"/>
    <s v="AdDirec - Adjudicación Directa"/>
    <s v="SinC - Sin Criterio"/>
    <x v="3"/>
    <x v="0"/>
    <s v="2"/>
    <s v="2. Gastos corrientes en bienes y servicios"/>
    <s v="08"/>
    <x v="0"/>
    <s v="1341"/>
    <s v="1341. Movilidad"/>
    <s v="22"/>
    <s v="22699"/>
  </r>
  <r>
    <n v="220229000308"/>
    <s v="AD"/>
    <d v="2023-01-01T00:00:00"/>
    <n v="22023001141"/>
    <s v="2023 05 4331 22799"/>
    <n v="471.9"/>
    <x v="680"/>
    <s v="CONTRATO DE SERVICIOS DE AUDITORIA Y CONTROL EXTERNO DEL PROYECTO EUROPEO- PGI05173_ PE4TRANS-INTERREG EUROPE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2030"/>
    <s v="AD"/>
    <d v="2023-02-03T00:00:00"/>
    <n v="22023001687"/>
    <s v="2023 06 2315 22619"/>
    <n v="5900"/>
    <x v="681"/>
    <s v="SERVICIO CUIDADOR EN EL CENTRO MUNICIPAL DE LA IGUALDAD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9"/>
  </r>
  <r>
    <n v="220230002094"/>
    <s v="AD"/>
    <d v="2023-02-07T00:00:00"/>
    <n v="22023000822"/>
    <s v="2023 04 9209 625"/>
    <n v="330.09"/>
    <x v="255"/>
    <s v="ADQUISICIÓN DE MOBILIARIO CON DESTINO AL SERVICIO DE CARTOGRAFÍA E INFORMACIÓN URB. (ÁREA DE PLANEAMIENTO URBANÍSTIC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71170"/>
    <s v="AD"/>
    <d v="2023-03-29T00:00:00"/>
    <n v="22022008724"/>
    <s v="2023 04 9209 625"/>
    <n v="997.34"/>
    <x v="255"/>
    <s v="ADQUISICIÓN DE MOBILIARIO CON DESTINO AL DPTO. DE GESTIÓN DE RR.HH. (2 MESAS, 2 FALDONES, 2 CAJONERAS Y 1 ALA MESA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7622"/>
    <s v="AD"/>
    <d v="2023-03-29T00:00:00"/>
    <n v="22022008601"/>
    <s v="2023 04 9209 625"/>
    <n v="3217.45"/>
    <x v="255"/>
    <s v="ADQUISICIÓN DE MOBILIARIO CON DESTINO AL SERVICIO DE PARQUES Y JARDINES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30004184"/>
    <s v="AD"/>
    <d v="2023-02-20T00:00:00"/>
    <n v="22023002414"/>
    <s v="2023 04 3121 22199"/>
    <n v="1600"/>
    <x v="682"/>
    <s v="Suministro de contenedores para el tratamiento de residuos biológicos (agujas y jeringas). SALUD LABORAL"/>
    <s v="220"/>
    <s v="ALDEAMAYOR DE SAN MARTÍN"/>
    <s v="VALLADOLID"/>
    <x v="1"/>
    <s v="AdDirec - Adjudicación Directa"/>
    <s v="SinC - Sin Criterio"/>
    <x v="3"/>
    <x v="0"/>
    <s v="2"/>
    <s v="2. Gastos corrientes en bienes y servicios"/>
    <s v="04"/>
    <x v="5"/>
    <s v="3121"/>
    <s v="3121. Prevención y salud laboral"/>
    <s v="22"/>
    <s v="22199"/>
  </r>
  <r>
    <n v="220230008964"/>
    <s v="AD"/>
    <d v="2023-03-17T00:00:00"/>
    <n v="22023003179"/>
    <s v="2023 11 1621 219"/>
    <n v="341.31"/>
    <x v="683"/>
    <s v="SUMINISTRO DE REPUESTOS PARA CONTENEDORES 800 LITROS DESTINADOS A RECOGIDA DE RESIDUOS."/>
    <s v="220"/>
    <s v="RIBARROJA DEL TURIA"/>
    <s v="VALENCIA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9"/>
  </r>
  <r>
    <n v="220230011694"/>
    <s v="AD"/>
    <d v="2023-03-29T00:00:00"/>
    <n v="22022001990"/>
    <s v="2023 0850 1341 609"/>
    <n v="2211997.5699999998"/>
    <x v="14"/>
    <s v="Contrato de obras de instalación de elevadores urbanos ladera este de Parquesol (expediente 50/2021 SEMEU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12381"/>
    <s v="AD"/>
    <d v="2023-03-29T00:00:00"/>
    <n v="22022002454"/>
    <s v="2023 0550 4312 632"/>
    <n v="8914.1"/>
    <x v="194"/>
    <s v="CONTRATO CONTROL DE CALIDAD OBRAS REMODELACIÓN GALERIAS MUNICIPALES DE ALIMENTACIÓN RONDILLA STA. TERESA (LOTE 2)"/>
    <s v="220"/>
    <s v="ZARATAN"/>
    <s v="VALLADOLID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68620"/>
    <s v="AD"/>
    <d v="2023-03-29T00:00:00"/>
    <n v="22022007074"/>
    <s v="2023 0850 1341 609"/>
    <n v="812965.69"/>
    <x v="14"/>
    <s v="Modificación 1 obra elevadores urbanos ladera este Parquesol (expediente 50/2021 PS nº 2)"/>
    <s v="220"/>
    <s v="NARÓN"/>
    <s v="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39778"/>
    <s v="AD"/>
    <d v="2023-03-29T00:00:00"/>
    <n v="22022002772"/>
    <s v="2023 02 1511 609"/>
    <n v="649721.36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19001096"/>
    <s v="AD"/>
    <d v="2023-03-29T00:00:00"/>
    <n v="22022001982"/>
    <s v="2023 0850 1341 609"/>
    <n v="606446.05000000005"/>
    <x v="684"/>
    <s v="CONTRATO DE OBRAS PARA LA INSTALACIÓN DE ELEVADORES MECÁNICOS EN LA LADERA NORTE DE PARQUESOL. EXP: 42/2021 SEMEU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30001926"/>
    <s v="AD"/>
    <d v="2023-02-03T00:00:00"/>
    <n v="22023000570"/>
    <s v="2023 01 9205 22199"/>
    <n v="6322.25"/>
    <x v="685"/>
    <s v="ADJUDICA OTROS SUMINISTROS A IMPRENTA EN 2023: TINTAS, TÓNER Y OTRO MATERIAL TÉCNICO PARA IMPRESIÓN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19001202"/>
    <s v="AD"/>
    <d v="2023-03-29T00:00:00"/>
    <n v="22022001985"/>
    <s v="2023 03 9241 632"/>
    <n v="426730.7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87660"/>
    <s v="AD"/>
    <d v="2023-03-29T00:00:00"/>
    <n v="22021007258"/>
    <s v="2023 03 9241 632"/>
    <n v="425211.28"/>
    <x v="59"/>
    <s v="OBRA REHABILITACION ANTIGUO FRONTON DE LAS FLORES PARA CENTRO DOTACIONAL"/>
    <s v="220"/>
    <s v="PEREIRO DE AGUIAR"/>
    <s v="OURENSE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68621"/>
    <s v="AD"/>
    <d v="2023-03-29T00:00:00"/>
    <n v="22022007087"/>
    <s v="2023 0850 1341 609"/>
    <n v="395332.48"/>
    <x v="684"/>
    <s v="Modificación 1 Contrato obra de instalación elevedares urbanos ladera norte Parquesol. P.S 1.Exp 42/2021."/>
    <s v="220"/>
    <s v="NARON"/>
    <s v="LA CORUÑA"/>
    <x v="2"/>
    <s v="PrAbier - Procedimiento Abierto"/>
    <s v="MultiC - MultiCriterio"/>
    <x v="0"/>
    <x v="0"/>
    <n v="6"/>
    <s v="6. Inversiones reales"/>
    <s v="08"/>
    <x v="0"/>
    <n v="1341"/>
    <s v="1341. Movilidad"/>
    <n v="60"/>
    <n v="609"/>
  </r>
  <r>
    <n v="220220053077"/>
    <s v="AD"/>
    <d v="2023-03-29T00:00:00"/>
    <n v="22022003177"/>
    <s v="2023 0750 1721 623"/>
    <n v="76833.5"/>
    <x v="30"/>
    <s v="Exp. VS 6/22"/>
    <s v="220"/>
    <s v="LLANERA"/>
    <s v="ASTURIAS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19001222"/>
    <s v="AD"/>
    <d v="2023-03-29T00:00:00"/>
    <n v="22022001986"/>
    <s v="2023 08 1532 622"/>
    <n v="274276.38"/>
    <x v="686"/>
    <s v="Ejercicio 2022. Traslado Parque Vías Públicas (Fase 2. Lote 1). Expte 30/2021   SEMEU."/>
    <s v="220"/>
    <s v="ARANDA DE DUERO"/>
    <s v="BURGOS"/>
    <x v="2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2"/>
    <s v="622"/>
  </r>
  <r>
    <n v="220220044132"/>
    <s v="AD"/>
    <d v="2023-03-29T00:00:00"/>
    <n v="22022003306"/>
    <s v="2023 02 1511 619"/>
    <n v="274235.76"/>
    <x v="3"/>
    <s v="EXPT.6/22 ADJUDICACIÓN OBRAS FASE I REURBANIZACIÓN CALLES DANIEL DEL OLMO Y PRIMER TRAMO NORTE DE CASTILLA (POL.ARGALES)"/>
    <s v="220"/>
    <s v="MADRID"/>
    <s v="MADR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1"/>
    <s v="619"/>
  </r>
  <r>
    <n v="220220058853"/>
    <s v="AD"/>
    <d v="2023-03-29T00:00:00"/>
    <n v="22022004250"/>
    <s v="2023 0750 1721 623"/>
    <n v="44586"/>
    <x v="40"/>
    <s v="VS 21/22 SISTEMA CONTROL ACCESOS ZBE FINANCIADO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2"/>
    <n v="623"/>
  </r>
  <r>
    <n v="220220046958"/>
    <s v="AD"/>
    <d v="2023-03-29T00:00:00"/>
    <n v="22022004866"/>
    <s v="2023 08 1341 619"/>
    <n v="229166.68"/>
    <x v="31"/>
    <s v="2 PRÓRROGA LOTE 2 SEÑALIZACIÓN HORIZONTAL (Agosto-Diciembre'2022)"/>
    <s v="220"/>
    <s v="VALLADOLID"/>
    <s v="VALLADOLID"/>
    <x v="2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68120"/>
    <s v="AD"/>
    <d v="2023-03-29T00:00:00"/>
    <n v="22022002878"/>
    <s v="2023 11 1321 641"/>
    <n v="200000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9778"/>
    <s v="AD"/>
    <d v="2023-03-29T00:00:00"/>
    <n v="22022001814"/>
    <s v="2023 02 1511 609"/>
    <n v="197150.2"/>
    <x v="22"/>
    <s v="ADJ..EXPTE.46/21 REURBANIZACIÓN PLAZA DE LA COMUNICACIÓN (ANTIGUA AP25-1 ARIZA) EN CALLE ADOLFO SUAREZ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65423"/>
    <s v="AD"/>
    <d v="2023-03-29T00:00:00"/>
    <n v="22022005221"/>
    <s v="2023 08 1341 624"/>
    <n v="180286.36"/>
    <x v="687"/>
    <s v="Adquisición de seis vehículos eléctricos para el Área de Movilidad y Espacio Urbano. lotes 1 y 3 (exp. 22/2022)"/>
    <s v="220"/>
    <s v="ORIHUELA"/>
    <s v="ALICANTE"/>
    <x v="3"/>
    <s v="PrAbier - Procedimiento Abierto"/>
    <s v="MultiC - MultiCriterio"/>
    <x v="0"/>
    <x v="0"/>
    <s v="6"/>
    <s v="6. Inversiones reales"/>
    <s v="08"/>
    <x v="0"/>
    <s v="1341"/>
    <s v="1341. Movilidad"/>
    <s v="62"/>
    <s v="624"/>
  </r>
  <r>
    <n v="220229000662"/>
    <s v="AD"/>
    <d v="2023-01-01T00:00:00"/>
    <n v="22023001367"/>
    <s v="2023 0750 1721 641"/>
    <n v="187750.52"/>
    <x v="40"/>
    <s v="EXP. VS 21/22 SISTEMA CONTROL ACCESO ZBE AÑO 2023. APUNTE PREVIO 920229000588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30011693"/>
    <s v="AD"/>
    <d v="2023-03-29T00:00:00"/>
    <n v="22022002011"/>
    <s v="2023 08 1341 619"/>
    <n v="171413.49"/>
    <x v="5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55587"/>
    <s v="AD"/>
    <d v="2023-03-29T00:00:00"/>
    <n v="22022005115"/>
    <s v="2023 07 1711 610"/>
    <n v="165728.71"/>
    <x v="22"/>
    <s v="A.M. EXP. V.6-2020 ARREGLOS OBRA CIVIL DIVERSOS PARQUES GESTIÓN DIRECTA. LOTE 1 PS 38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0"/>
  </r>
  <r>
    <n v="220220045294"/>
    <s v="AD"/>
    <d v="2023-03-29T00:00:00"/>
    <n v="22022002596"/>
    <s v="2023 02 9332 632"/>
    <n v="157735.32999999999"/>
    <x v="688"/>
    <s v="ADJ.EXP. SERVICIOS REDACCIÓN PROYECTO BÁSICO Y PROYECTO EJECUCIÓN OBRA DEL TEATRO LOPE DE VEGA(EXP.1-2022).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9000800"/>
    <s v="AD"/>
    <d v="2023-01-01T00:00:00"/>
    <n v="22023001940"/>
    <s v="2023 0750 1721 641"/>
    <n v="27467.02"/>
    <x v="40"/>
    <s v="CONTRATO VS 21/22. CONTROL DE ACCESOS A LA ZONA DE BAJAS EMISIONES (ZBE)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15767"/>
    <s v="AD"/>
    <d v="2023-03-29T00:00:00"/>
    <n v="22021006799"/>
    <s v="2023 11 1631 634"/>
    <n v="117249"/>
    <x v="689"/>
    <s v="SUMINISTRO FURGÓN CON EQUIPO HIDROLIMPIADOR ELÉCTRICO CON AGUA CALIENTE S. DE LIMPIEZA VIARIA (LOTE 2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19"/>
    <s v="AD"/>
    <d v="2023-03-29T00:00:00"/>
    <n v="22022002877"/>
    <s v="2023 11 1321 641"/>
    <n v="112187.5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22390"/>
    <s v="AD"/>
    <d v="2023-03-29T00:00:00"/>
    <n v="22022002850"/>
    <s v="2023 11 1321 632"/>
    <n v="97543.06"/>
    <x v="690"/>
    <s v="OBRAS ADAPTACIÓN EDIFICIO JEFATURA DE POLICÍA MUNICIPAL- FASE II. ACTUACIÓN EN EL PATIO Y ENVOLVENTE DE FACHADAS."/>
    <s v="220"/>
    <s v="ZAMORA"/>
    <s v="ZAMORA"/>
    <x v="2"/>
    <s v="PrAbier - Procedimiento Abierto"/>
    <s v="MultiC - MultiCriterio"/>
    <x v="0"/>
    <x v="0"/>
    <s v="6"/>
    <s v="6. Inversiones reales"/>
    <s v="11"/>
    <x v="6"/>
    <s v="1321"/>
    <s v="1321. Policía municipal"/>
    <s v="63"/>
    <s v="632"/>
  </r>
  <r>
    <n v="220220015768"/>
    <s v="AD"/>
    <d v="2023-03-29T00:00:00"/>
    <n v="22021006838"/>
    <s v="2023 11 1621 634"/>
    <n v="87725"/>
    <x v="689"/>
    <s v="ADQUISICIÓN VEHÍCULO A GNC CON BASCULLANTE Y PLATAFORMA ELEVADORA TRASERA Sº LIMPIEZA (LOTE 3)"/>
    <s v="220"/>
    <s v="HUMANES DE MADRID"/>
    <s v="MADRID"/>
    <x v="3"/>
    <s v="PrAbier - Procedimiento Abierto"/>
    <s v="MultiC - MultiCriterio"/>
    <x v="0"/>
    <x v="0"/>
    <s v="6"/>
    <s v="6. Inversiones reales"/>
    <s v="11"/>
    <x v="6"/>
    <s v="1621"/>
    <s v="1621. Servicio de limpieza"/>
    <s v="63"/>
    <s v="634"/>
  </r>
  <r>
    <n v="220220068119"/>
    <s v="AD"/>
    <d v="2023-03-29T00:00:00"/>
    <n v="22022002876"/>
    <s v="2023 11 1321 641"/>
    <n v="80000"/>
    <x v="90"/>
    <s v="MATRIZ DE COMUNICACIONES POLICÍA MUNICIPAL. LOTE Nº 2. EXPTE. 41/2021."/>
    <s v="220"/>
    <s v="ROZAS DE MADRID (LAS)"/>
    <s v="MADRID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34818"/>
    <s v="AD"/>
    <d v="2023-03-29T00:00:00"/>
    <n v="22022003668"/>
    <s v="2023 02 1511 609"/>
    <n v="77200.5"/>
    <x v="691"/>
    <s v="ADJ. EXPTE. 8/22 CONTRATO PILOTOS FERROVIARIOS TUNELES DELICIAS FASE 1"/>
    <s v="220"/>
    <s v="ALCOLEA DE CINCA"/>
    <s v="HUESCA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0058854"/>
    <s v="AD"/>
    <d v="2023-03-29T00:00:00"/>
    <n v="22022005788"/>
    <s v="2023 0750 1721 641"/>
    <n v="271704.52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20074457"/>
    <s v="AD"/>
    <d v="2023-03-29T00:00:00"/>
    <n v="22022008400"/>
    <s v="2023 09 3341 632"/>
    <n v="75867"/>
    <x v="692"/>
    <s v="CONTRATO REDACCION PROYECTO Y DIRECCION FACULTATIVA OBRA REHABILITACION NAVE LAVA 3ª FASE."/>
    <s v="220"/>
    <s v="VALLADOLID"/>
    <s v="VALLADOLID"/>
    <x v="1"/>
    <s v="PrAbier - Procedimiento Abierto"/>
    <s v="MultiC - MultiCriterio"/>
    <x v="0"/>
    <x v="0"/>
    <s v="6"/>
    <s v="6. Inversiones reales"/>
    <s v="09"/>
    <x v="9"/>
    <s v="3341"/>
    <s v="3341. Coordinación de políticas culturales"/>
    <s v="63"/>
    <s v="632"/>
  </r>
  <r>
    <n v="220220032531"/>
    <s v="AD"/>
    <d v="2023-03-29T00:00:00"/>
    <n v="22022002606"/>
    <s v="2023 02 1511 641"/>
    <n v="70436.28"/>
    <x v="42"/>
    <s v="ADJ.EXP.3-2022CONTR. DE SERVICIOS CONSUL. Y ASIST. PARA DESARROLLO E IMPLANTACIÓN DE PLATAFORMA INFORMAC. URBANISTICA."/>
    <s v="220"/>
    <s v="BOECILLO"/>
    <s v="VALLADOLID"/>
    <x v="1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4"/>
    <s v="641"/>
  </r>
  <r>
    <n v="220220015766"/>
    <s v="AD"/>
    <d v="2023-03-29T00:00:00"/>
    <n v="22021006800"/>
    <s v="2023 11 1631 634"/>
    <n v="69360.289999999994"/>
    <x v="693"/>
    <s v="SUMINISTRO VEHIUCLO CABINA SENCILLA, CAJA ABIERTA Y PLATAFORMA ELEVADORA TRASERA PARA S. LIMPIEZA VIARIA"/>
    <s v="220"/>
    <s v="QUART DE POBLET"/>
    <s v="VALENCIA"/>
    <x v="3"/>
    <s v="PrAbier - Procedimiento Abierto"/>
    <s v="MultiC - MultiCriterio"/>
    <x v="0"/>
    <x v="0"/>
    <s v="6"/>
    <s v="6. Inversiones reales"/>
    <s v="11"/>
    <x v="6"/>
    <s v="1631"/>
    <s v="1631. Limpieza viaria"/>
    <s v="63"/>
    <s v="634"/>
  </r>
  <r>
    <n v="220220068120"/>
    <s v="AD"/>
    <d v="2023-03-29T00:00:00"/>
    <n v="22022002879"/>
    <s v="2023 11 1321 641"/>
    <n v="65968.37"/>
    <x v="66"/>
    <s v="APLICACIÓN INFORMÁTICA DE POLICÍA MUNICIPAL. LOTE 1. EXPTE. 041/2021."/>
    <s v="220"/>
    <s v="CARLET"/>
    <s v="VALENCIA"/>
    <x v="3"/>
    <s v="PrAbier - Procedimiento Abierto"/>
    <s v="MultiC - MultiCriterio"/>
    <x v="0"/>
    <x v="0"/>
    <s v="6"/>
    <s v="6. Inversiones reales"/>
    <s v="11"/>
    <x v="6"/>
    <s v="1321"/>
    <s v="1321. Policía municipal"/>
    <s v="64"/>
    <s v="641"/>
  </r>
  <r>
    <n v="220220046956"/>
    <s v="AD"/>
    <d v="2023-03-29T00:00:00"/>
    <n v="22022004670"/>
    <s v="2023 08 1341 619"/>
    <n v="56035.98"/>
    <x v="64"/>
    <s v="SEGUNDA PRÓRROGA LOTE 1 SEÑALIZACIÓN VERTICAL  (Agosto a Diciembre de 2022)"/>
    <s v="220"/>
    <s v="GUARROMAN"/>
    <s v="JAEN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20039782"/>
    <s v="AD"/>
    <d v="2023-03-29T00:00:00"/>
    <n v="22022003788"/>
    <s v="2023 08 1651 619"/>
    <n v="54587.7"/>
    <x v="13"/>
    <s v="SUMINISTRO E INSTALACIÓN DE MATERIALES PARA EL ALUMBRADO PÚBLICO EN LA AVDA. SALAMANCA Y AVDA. DE BURGOS (exp 14/2022)"/>
    <s v="220"/>
    <s v="VALLADOLID"/>
    <s v="VALLADOLID"/>
    <x v="5"/>
    <s v="PrAbier - Procedimiento Abierto"/>
    <s v="UniC - Único Criterio"/>
    <x v="0"/>
    <x v="0"/>
    <s v="6"/>
    <s v="6. Inversiones reales"/>
    <s v="08"/>
    <x v="0"/>
    <s v="1651"/>
    <s v="1651. Alumbrado público"/>
    <s v="61"/>
    <s v="619"/>
  </r>
  <r>
    <n v="220220007921"/>
    <s v="AD"/>
    <d v="2023-03-29T00:00:00"/>
    <n v="22022002051"/>
    <s v="2023 0550 4312 632"/>
    <n v="1183247.94"/>
    <x v="59"/>
    <s v="ADJUDICACIÓN CONTRATO OBRAS REMODELACIÓN MERCADO RONDILLA STA TERESA"/>
    <s v="220"/>
    <s v="PEREIRO DE AGUIAR"/>
    <s v="OURENSE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20041577"/>
    <s v="AD"/>
    <d v="2023-03-29T00:00:00"/>
    <n v="22022004861"/>
    <s v="2023 02 9332 632"/>
    <n v="52434.49"/>
    <x v="472"/>
    <s v="Redacción Proy. Básico y ejecución y Direcc Facultativa  obras de rehabilitac , reforma y actualiz de Casa Consistorial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0749"/>
    <s v="AD"/>
    <d v="2023-03-29T00:00:00"/>
    <n v="22022004490"/>
    <s v="2023 06 3232 633"/>
    <n v="49415.59"/>
    <x v="205"/>
    <s v="SE 25/22 SUMIN CALDERAS COLEGIOS: LOTE 3. CEIP NTRA SÑRA DUERO."/>
    <s v="220"/>
    <s v="VALLADOLID"/>
    <s v="VALLADOLID"/>
    <x v="3"/>
    <s v="PrAbier - Procedimiento Abierto"/>
    <s v="UniC - Único Criterio"/>
    <x v="0"/>
    <x v="0"/>
    <s v="6"/>
    <s v="6. Inversiones reales"/>
    <s v="06"/>
    <x v="2"/>
    <s v="3232"/>
    <s v="3232. Conservación y mantenimiento centros educación infantil y primaria"/>
    <s v="63"/>
    <s v="633"/>
  </r>
  <r>
    <n v="220220057543"/>
    <s v="AD"/>
    <d v="2023-03-29T00:00:00"/>
    <n v="22022006552"/>
    <s v="2023 02 9332 632"/>
    <n v="48237.86"/>
    <x v="694"/>
    <s v="OBRAS DE EXCAVACION ARQUEOLOGICA EN PATIO CENTRAL MONASTERIO DE SAN BENITO EL REAL"/>
    <s v="220"/>
    <s v="VALLADOLID"/>
    <s v="VALLADOLID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02579"/>
    <s v="AD"/>
    <d v="2023-02-08T00:00:00"/>
    <n v="22023000064"/>
    <s v="2023 04 9321 22799"/>
    <n v="13619.76"/>
    <x v="695"/>
    <s v="Contratación de la impresión y presentación para su reparto de los recibos del IVTM y del IBI EJERCICI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20058854"/>
    <s v="AD"/>
    <d v="2023-03-29T00:00:00"/>
    <n v="22022004102"/>
    <s v="2023 0750 1721 641"/>
    <n v="134180"/>
    <x v="40"/>
    <s v="VS 21_22 SISTEMA CONTROL ACCESO ZONA BAJAS EMISIONES FONDOS PRTR"/>
    <s v="220"/>
    <s v="ALCOBENDAS"/>
    <s v="MADRID"/>
    <x v="3"/>
    <s v="PrAbier - Procedimiento Abierto"/>
    <s v="MultiC - MultiCriterio"/>
    <x v="0"/>
    <x v="0"/>
    <n v="6"/>
    <s v="6. Inversiones reales"/>
    <s v="07"/>
    <x v="4"/>
    <n v="1721"/>
    <s v="1721. Protección del medio ambiente"/>
    <n v="64"/>
    <n v="641"/>
  </r>
  <r>
    <n v="220200016732"/>
    <s v="AD"/>
    <d v="2023-03-29T00:00:00"/>
    <n v="22020002100"/>
    <s v="2023 02 1511 609"/>
    <n v="43804.3"/>
    <x v="696"/>
    <s v="ADJUDICACIÓN OBRAS  LOTE II DEL ARU 29 DE OCTUBRE FASE II"/>
    <s v="220"/>
    <s v="MEDINA DEL CAMPO"/>
    <s v="VALLADOLID"/>
    <x v="2"/>
    <s v="PrAbier - Procedimiento Abierto"/>
    <s v="MultiC - MultiCriterio"/>
    <x v="0"/>
    <x v="0"/>
    <s v="6"/>
    <s v="6. Inversiones reales"/>
    <s v="02"/>
    <x v="3"/>
    <s v="1511"/>
    <s v="1511. Planficación y gestión del urbanismo"/>
    <s v="60"/>
    <s v="609"/>
  </r>
  <r>
    <n v="220229000797"/>
    <s v="AD"/>
    <d v="2023-01-01T00:00:00"/>
    <n v="22023001873"/>
    <s v="2023 05 4314 22706"/>
    <n v="15427.5"/>
    <x v="697"/>
    <s v="SS DE REVISION Y ACTUALIZACION DEL PLAN INTEGRAL DE APOYO AL COMERCIO DE PROX DE VA 2019-21, PARA GENERAR PLAN 2023-26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7"/>
    <s v="4314"/>
    <s v="4314. Fomento del comercio"/>
    <s v="22"/>
    <s v="22706"/>
  </r>
  <r>
    <n v="220230011707"/>
    <s v="AD"/>
    <d v="2023-03-29T00:00:00"/>
    <n v="22023003665"/>
    <s v="2023 05 4314 22706"/>
    <n v="5989.5"/>
    <x v="697"/>
    <s v="ASISTENCIA TECNICA PREPARACIÓN PROPUESTA AYUDAS FORTALECIMIENTO ACTIVIDAD COMERCIAL EN ZONAS TURISTICAS EN EL MARCO PRTR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06"/>
  </r>
  <r>
    <n v="220230002592"/>
    <s v="AD"/>
    <d v="2023-02-08T00:00:00"/>
    <n v="22023002078"/>
    <s v="2023 05 4331 22799"/>
    <n v="2909"/>
    <x v="698"/>
    <s v="INYECCION Y SUMINISTRO DE ANTICONGELANTE AL CIRCUITO HIDRAULICO DE CALEFACCION Y ACS DE LA NAVE HUB INNOVACION"/>
    <s v="220"/>
    <s v="SANTA MARTA DE TORMES"/>
    <s v="SALAMANCA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20050419"/>
    <s v="AD"/>
    <d v="2023-03-29T00:00:00"/>
    <n v="22022004555"/>
    <s v="2023 02 9331 623"/>
    <n v="40376.49"/>
    <x v="699"/>
    <s v="CONTRATO DE SUMINISTRO E INSTALACIÓN DE 2 PANTALLAS LED DE GRAN FORMATO EN ESPACIOS PÚBLICOS DE LA CIUDAD.(EXP.15/2022)"/>
    <s v="220"/>
    <s v="CARTAGENA"/>
    <s v="MURCIA"/>
    <x v="3"/>
    <s v="PrAbier - Procedimiento Abierto"/>
    <s v="MultiC - MultiCriterio"/>
    <x v="0"/>
    <x v="0"/>
    <s v="6"/>
    <s v="6. Inversiones reales"/>
    <s v="02"/>
    <x v="3"/>
    <s v="9331"/>
    <s v="9331. Gestión del patrimonio"/>
    <s v="62"/>
    <s v="623"/>
  </r>
  <r>
    <n v="220220040041"/>
    <s v="AD"/>
    <d v="2023-03-29T00:00:00"/>
    <n v="22022005483"/>
    <s v="2023 05 4331 633"/>
    <n v="4427.0200000000004"/>
    <x v="698"/>
    <s v="SUSTITUC PLACAS INTERCAMBIADOR UNIDAD AEROTERMIA E INSTALACION PROTECCIÓN. PARCELA MPAL CL VALLE DE ARAN 1"/>
    <s v="220"/>
    <s v="SANTA MARTA DE TORMES"/>
    <s v="SALAMANCA"/>
    <x v="3"/>
    <s v="AdDirec - Adjudicación Directa"/>
    <s v="SinC - Sin Criterio"/>
    <x v="3"/>
    <x v="0"/>
    <s v="6"/>
    <s v="6. Inversiones reales"/>
    <s v="05"/>
    <x v="7"/>
    <s v="4331"/>
    <s v="4331. Desarrollo empresarial"/>
    <s v="63"/>
    <s v="633"/>
  </r>
  <r>
    <n v="220230006171"/>
    <s v="AD"/>
    <d v="2023-02-23T00:00:00"/>
    <n v="22023002580"/>
    <s v="2023 11 1621 214"/>
    <n v="3000"/>
    <x v="700"/>
    <s v="MECANIZADO DE PIEZA PARA CAMINEOS RECOLECTORES Y BARREDORAS DEL SERVICIO DE LIMPIEZA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34016"/>
    <s v="AD"/>
    <d v="2023-03-29T00:00:00"/>
    <n v="22022002745"/>
    <s v="2023 07 1711 619"/>
    <n v="36304.01"/>
    <x v="22"/>
    <s v="MEJORAS EN LAS MÁRGENES DEL RIO ESGUEVA."/>
    <s v="220"/>
    <s v="VALLADOLID"/>
    <s v="VALLADOLID"/>
    <x v="2"/>
    <s v="PrAbier - Procedimiento Abierto"/>
    <s v="MultiC - MultiCriterio"/>
    <x v="0"/>
    <x v="0"/>
    <s v="6"/>
    <s v="6. Inversiones reales"/>
    <s v="07"/>
    <x v="4"/>
    <s v="1711"/>
    <s v="1711. Parques y jardines"/>
    <s v="61"/>
    <s v="619"/>
  </r>
  <r>
    <n v="220220075353"/>
    <s v="AD"/>
    <d v="2023-03-29T00:00:00"/>
    <n v="22022005717"/>
    <s v="2023 03 9241 632"/>
    <n v="32633.33"/>
    <x v="77"/>
    <s v="OBRA DE RENOVACIÓN Y MEJORA DE LOS ASEOS DEL CENTRO CÍVICO ZONA SUR"/>
    <s v="220"/>
    <s v="VALLADOLID"/>
    <s v="VALLADOLID"/>
    <x v="2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20020625"/>
    <s v="AD"/>
    <d v="2023-03-29T00:00:00"/>
    <n v="22021007255"/>
    <s v="2023 02 9332 632"/>
    <n v="30277.02"/>
    <x v="701"/>
    <s v="ADJ. EXPTE. 50/2021 &quot;&quot;CONTRATO OBRAS DE CONSOLIDACIÓN DE LAS CELDAS DEL CONVENTO DE STA. CATALINA&quot;&quot;."/>
    <s v="220"/>
    <s v="VALLADOLID"/>
    <s v="VALLADOLID"/>
    <x v="2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30001999"/>
    <s v="AD"/>
    <d v="2023-02-03T00:00:00"/>
    <n v="22023001690"/>
    <s v="2023 08 1532 214"/>
    <n v="1331"/>
    <x v="702"/>
    <s v="Revisión pèriódica de vehículos equipados con GLP incluyendo revisión mecánica ordinaria y específica del sistema GLP."/>
    <s v="220"/>
    <s v="LA CISTERNIGA"/>
    <s v="VALLADOLID"/>
    <x v="1"/>
    <s v="AdDirec - Adjudicación Directa"/>
    <s v="SinC - Sin Criterio"/>
    <x v="3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20009852"/>
    <s v="AD"/>
    <d v="2023-03-29T00:00:00"/>
    <n v="22021007414"/>
    <s v="2023 08 1532 619"/>
    <n v="24805"/>
    <x v="202"/>
    <s v="Contrato de redacción de proyecto de urbanización de la calle Madre de Dios (exp. 39/2021)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532"/>
    <s v="1532. Pavimentación vias públicas y otros servicios urbanísticos"/>
    <s v="61"/>
    <s v="619"/>
  </r>
  <r>
    <n v="220219000662"/>
    <s v="AD"/>
    <d v="2023-03-29T00:00:00"/>
    <n v="22022002215"/>
    <s v="2023 08 1341 619"/>
    <n v="22856.92"/>
    <x v="31"/>
    <s v="PRÓRROGA LOTE 2 SEÑALIZACIÓN HORIZONTAL &quot;&quot;CONTRATO SEÑALIZACIÓN VIAL EN VALLADOLID&quot;&quot; EXP. 11/2018 (PS 1) enero-jul 2022"/>
    <s v="220"/>
    <s v="VALLADOLID"/>
    <s v="VALLADOLID"/>
    <x v="1"/>
    <s v="PrAbier - Procedimiento Abierto"/>
    <s v="MultiC - MultiCriterio"/>
    <x v="0"/>
    <x v="0"/>
    <s v="6"/>
    <s v="6. Inversiones reales"/>
    <s v="08"/>
    <x v="0"/>
    <s v="1341"/>
    <s v="1341. Movilidad"/>
    <s v="61"/>
    <s v="619"/>
  </r>
  <r>
    <n v="220230002578"/>
    <s v="AD"/>
    <d v="2023-02-08T00:00:00"/>
    <n v="22023000269"/>
    <s v="2023 11 1621 204"/>
    <n v="18150"/>
    <x v="703"/>
    <s v="ALQUILER CAMIÓN RECOLECTOR COMPACTADOR DE CARGA SUPERIOR PARA LA RECOGIDA SELECTIVA DE PAPEL Y CARTÓN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0"/>
    <s v="204"/>
  </r>
  <r>
    <n v="220230011719"/>
    <s v="AD"/>
    <d v="2023-03-29T00:00:00"/>
    <n v="22023003544"/>
    <s v="2023 06 2314 22613"/>
    <n v="320.64999999999998"/>
    <x v="704"/>
    <s v="MATERIAL Y TALLER ACTIVIDADES HORA DEL PLANETA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1225"/>
    <s v="AD"/>
    <d v="2023-03-29T00:00:00"/>
    <n v="22022002195"/>
    <s v="2023 02 9332 632"/>
    <n v="10365.040000000001"/>
    <x v="705"/>
    <s v="CONTRATO REDAC. PROYECTO Y DIREC.FACULTATIVA DE LAS OBRAS CONSOLIDAC.EDIFICIO CONVENTO STA.CATALINA DE SIENA"/>
    <s v="220"/>
    <s v="VALLADOLID"/>
    <s v="VALLADOLID"/>
    <x v="1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3"/>
    <s v="632"/>
  </r>
  <r>
    <n v="220220056119"/>
    <s v="AD"/>
    <d v="2023-03-29T00:00:00"/>
    <n v="22022006558"/>
    <s v="2023 02 9332 632"/>
    <n v="47955.33"/>
    <x v="706"/>
    <s v="PROYECTO SIMPLIFICADO REPARACIÓN CUBIERTA TEMPLETE EN BARRIO SAN PEDRO REGALADO (PIRAMIDE)"/>
    <s v="220"/>
    <s v="PONFERRADA"/>
    <s v="LEON"/>
    <x v="2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3"/>
    <s v="632"/>
  </r>
  <r>
    <n v="220230011730"/>
    <s v="AD"/>
    <d v="2023-03-29T00:00:00"/>
    <n v="22023003571"/>
    <s v="2023 03 9241 22609"/>
    <n v="495"/>
    <x v="707"/>
    <s v="ACTUACIÓN DE LA HUERTA SIN PUERTA EN CC PARQUESOL (07/03/23) CELEBRACIÓN DÍA INTERNACIONAL DE LA MUJER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20030376"/>
    <s v="AD"/>
    <d v="2023-03-29T00:00:00"/>
    <n v="22022003276"/>
    <s v="2023 03 9241 632"/>
    <n v="186"/>
    <x v="708"/>
    <s v="DIRECCIÓN DE OBRA EN LA OBRA: RECUPERACIÓN PATIO DELANTERO CASA CUN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20029347"/>
    <s v="AD"/>
    <d v="2023-03-29T00:00:00"/>
    <n v="22022003275"/>
    <s v="2023 03 9241 632"/>
    <n v="275.17"/>
    <x v="708"/>
    <s v="DIRECCIÓN DE OBRA EN LA OBRA: PAVIMENTACIÓN PATIO DE LA OVERUELA"/>
    <s v="220"/>
    <s v="BURGOS"/>
    <s v="BURGOS"/>
    <x v="1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37"/>
    <s v="AD"/>
    <d v="2023-03-29T00:00:00"/>
    <n v="22023003479"/>
    <s v="2023 10 2313 22699"/>
    <n v="877.25"/>
    <x v="271"/>
    <s v="DISEÑO Y MAQUETACIÓN DE LA MEMORIA 2022 DEL ÁREA DE SERVICIOS SOCIALES Y MEDIACIÓN COMUNITARIA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3"/>
    <s v="2313. Dirección del área de servicios sociales"/>
    <s v="22"/>
    <s v="22699"/>
  </r>
  <r>
    <n v="220230011711"/>
    <s v="AD"/>
    <d v="2023-03-29T00:00:00"/>
    <n v="22023003511"/>
    <s v="2023 10 2312 213"/>
    <n v="510.62"/>
    <x v="131"/>
    <s v="REPARACIONES DEL ASCENSOR CPM RONDILLA- INICIATIVAS SOCIALES-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30011715"/>
    <s v="AD"/>
    <d v="2023-03-29T00:00:00"/>
    <n v="22023003593"/>
    <s v="2023 06 3321 22699"/>
    <n v="937.75"/>
    <x v="709"/>
    <s v="CTTO SUMINISTRO BOLÍGRAFOS PARA PUBLICITAR Y DIFUNDIR LA INAUGURACIÓN DE LA NUEVA BIBLIOTECA PARQUESOL//1 MES//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699"/>
  </r>
  <r>
    <n v="220230011731"/>
    <s v="AD"/>
    <d v="2023-03-29T00:00:00"/>
    <n v="22023003572"/>
    <s v="2023 06 2314 22613"/>
    <n v="410"/>
    <x v="593"/>
    <s v="CONCIERTO MUSICA JOAQUIN POSAC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5920"/>
    <s v="AD"/>
    <d v="2023-02-23T00:00:00"/>
    <n v="22023002629"/>
    <s v="2023 10 2412 213"/>
    <n v="190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5920"/>
    <s v="AD"/>
    <d v="2023-02-23T00:00:00"/>
    <n v="22023002630"/>
    <s v="2023 10 2412 213"/>
    <n v="79.010000000000005"/>
    <x v="253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20071169"/>
    <s v="AD"/>
    <d v="2023-03-29T00:00:00"/>
    <n v="22022008723"/>
    <s v="2023 04 9209 625"/>
    <n v="782.98"/>
    <x v="461"/>
    <s v="ADQUISICIÓN DE MOBILIARIO CON DESTINO AL DEPARTAMENTO DE GESTIÓN DE RECURSOS HUMANOS (4 SILLAS TRABAJO)."/>
    <s v="220"/>
    <s v="VALLADOLID"/>
    <s v="VALLADOLID"/>
    <x v="3"/>
    <s v="AdDirec - Adjudicación Directa"/>
    <s v="SinC - Sin Criterio"/>
    <x v="3"/>
    <x v="0"/>
    <s v="6"/>
    <s v="6. Inversiones reales"/>
    <s v="04"/>
    <x v="5"/>
    <s v="9209"/>
    <s v="9209. Dirección del area de hacienda y función pública"/>
    <s v="62"/>
    <s v="625"/>
  </r>
  <r>
    <n v="220220061571"/>
    <s v="AD"/>
    <d v="2023-03-29T00:00:00"/>
    <n v="22022007788"/>
    <s v="2023 02 9332 623"/>
    <n v="531.97"/>
    <x v="471"/>
    <s v="COMPRA DE 6 VALLAS DE OBRA, SUS SOPORTES DE DADOS DE HORMIGÓN, Y PUNTALES DE 5M PARA APEOS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55602"/>
    <s v="AD"/>
    <d v="2023-03-29T00:00:00"/>
    <n v="22022006955"/>
    <s v="2023 02 9332 623"/>
    <n v="722.37"/>
    <x v="471"/>
    <s v="SUMINISTRO  DE ESLINGAS Y PINZA PORTAPALET- 20 PUNTALES DE 5M LONGITUD -VIBRADOR ELECTRICO"/>
    <s v="220"/>
    <s v="VALLADOLID"/>
    <s v="VALLADOLID"/>
    <x v="3"/>
    <s v="AdDirec - Adjudicación Directa"/>
    <s v="SinC - Sin Criterio"/>
    <x v="3"/>
    <x v="0"/>
    <s v="6"/>
    <s v="6. Inversiones reales"/>
    <s v="02"/>
    <x v="3"/>
    <s v="9332"/>
    <s v="9332. Mantenimiento de edificios e instalaciones municipales"/>
    <s v="62"/>
    <s v="623"/>
  </r>
  <r>
    <n v="220220014670"/>
    <s v="AD"/>
    <d v="2023-03-29T00:00:00"/>
    <n v="22022002145"/>
    <s v="2023 0550 4312 632"/>
    <n v="7436.02"/>
    <x v="472"/>
    <s v="Direccion de Obra - Obras de acondicionamiento del mercado de Rondilla de Santa Teresa"/>
    <s v="220"/>
    <s v="VALLADOLID"/>
    <s v="VALLADOLID"/>
    <x v="2"/>
    <s v="PrAbier - Procedimiento Abierto"/>
    <s v="MultiC - MultiCriterio"/>
    <x v="0"/>
    <x v="0"/>
    <n v="6"/>
    <s v="6. Inversiones reales"/>
    <s v="05"/>
    <x v="7"/>
    <n v="4312"/>
    <s v="4312. Mercados, abastos y lonjas"/>
    <n v="63"/>
    <n v="632"/>
  </r>
  <r>
    <n v="220210056343"/>
    <s v="AD"/>
    <d v="2023-03-29T00:00:00"/>
    <n v="22021006300"/>
    <s v="2023 06 3231 622"/>
    <n v="49.29"/>
    <x v="132"/>
    <s v="SE-EIJI 21/2021. PS 1. ASISTENCIA TÉCNICA EN CONTROL DE CALIDAD CONSTRUCCIÓN NUEVA E.I.M. SEPT A DIC DE 2021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30011720"/>
    <s v="AD"/>
    <d v="2023-03-29T00:00:00"/>
    <n v="22023003548"/>
    <s v="2023 06 2314 22613"/>
    <n v="500"/>
    <x v="710"/>
    <s v="CONCIERTO MUSICA REGGAELIZ DE PAL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19000657"/>
    <s v="AD"/>
    <d v="2023-03-29T00:00:00"/>
    <n v="22022002082"/>
    <s v="2023 05 4331 622"/>
    <n v="991.36"/>
    <x v="132"/>
    <s v="A.M. Control de calidad de las obras de adecuación de la Nave ubicada en la calle Valle de Arán nº 1 para Hub de Innovac"/>
    <s v="220"/>
    <s v="SANT CUGAT DEL VALLES"/>
    <s v="BARCELONA"/>
    <x v="2"/>
    <s v="PrAbier - Procedimiento Abierto"/>
    <s v="MultiC - MultiCriterio"/>
    <x v="1"/>
    <x v="0"/>
    <s v="6"/>
    <s v="6. Inversiones reales"/>
    <s v="05"/>
    <x v="7"/>
    <s v="4331"/>
    <s v="4331. Desarrollo empresarial"/>
    <s v="62"/>
    <s v="622"/>
  </r>
  <r>
    <n v="220230011716"/>
    <s v="AD"/>
    <d v="2023-03-29T00:00:00"/>
    <n v="22023003539"/>
    <s v="2023 03 9241 22699"/>
    <n v="726"/>
    <x v="596"/>
    <s v="COLABORACIÓN DE PART. CIUD. Y DEPORTES EN EL XVII SALÓN DEL CÓMIC Y MANGA DE CYL. 11 Y 12 DE MARZO DE 2023 FERIA DE VA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99"/>
  </r>
  <r>
    <n v="220230011766"/>
    <s v="AD"/>
    <d v="2023-03-29T00:00:00"/>
    <n v="22023003080"/>
    <s v="2023 05 4331 22609"/>
    <n v="17545"/>
    <x v="711"/>
    <s v="ESPECTACULOS SIN DATOS NO HAY PARAISO Y SANTA SALUT.SEMANA TOUR DEL TALENTO EN VALLADOLID DEL 13 AL 18 DE MARZO DE 2023.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609"/>
  </r>
  <r>
    <n v="220230011704"/>
    <s v="AD"/>
    <d v="2023-03-29T00:00:00"/>
    <n v="22023003614"/>
    <s v="2023 11 1321 22199"/>
    <n v="5926.58"/>
    <x v="624"/>
    <s v="ADQUISICIÓN DE MATERIAL DIVULGATIVO DE MERCHANDISING  PARA LA CAMPAÑA DE EDUCACIÓN VI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199"/>
  </r>
  <r>
    <n v="220230005919"/>
    <s v="AD/"/>
    <d v="2023-02-23T00:00:00"/>
    <n v="22023000797"/>
    <s v="2023 10 2412 213"/>
    <n v="-474.06"/>
    <x v="253"/>
    <s v="mant. inst.proteccion contra incendios C.FORM.EMPLO JAC.BENAV.AÑO 22, 23 Y 2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19000899"/>
    <s v="AD"/>
    <d v="2023-03-29T00:00:00"/>
    <n v="22022002154"/>
    <s v="2023 06 3231 622"/>
    <n v="5275.07"/>
    <x v="132"/>
    <s v="SE-EIJI 21/2021. PS 1. ASISTENCIA TÉCNICA EN CONTROL DE CALIDAD CONSTRUCCIÓN NUEVA E.I.M. ENE A AGOS DE 2022.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9001271"/>
    <s v="AD"/>
    <d v="2023-03-29T00:00:00"/>
    <n v="22022001994"/>
    <s v="2023 0850 1341 609"/>
    <n v="9973.33"/>
    <x v="132"/>
    <s v="CONTROL CALIDAD OBRAS INSTALACIÓN DE ELEVADORES EN LA LADERA NORTE DE PARQUESOL. (LOTE 2) EXP: 42/2021 SEMEU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06909"/>
    <s v="AD"/>
    <d v="2023-03-29T00:00:00"/>
    <n v="22022002543"/>
    <s v="2023 02 9332 632"/>
    <n v="846.57"/>
    <x v="132"/>
    <s v="CONTROL CALIDAD_ lote 2 CDC obras Mfto tejados Sta Catalina"/>
    <s v="220"/>
    <s v="SANT CUGAT DEL VALLES"/>
    <s v="BARCELONA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07917"/>
    <s v="AD"/>
    <d v="2023-03-29T00:00:00"/>
    <n v="22022002032"/>
    <s v="2023 0850 1341 609"/>
    <n v="27604.81"/>
    <x v="132"/>
    <s v="CONTRATO BASADO EN ACUERDO MARCO CONTROL DE CALIDAD ELEVADORES URBANOS LADERA ESTE PARQUESOL (LOTE 2). EXP: 50/2021"/>
    <s v="220"/>
    <s v="SANT CUGAT DEL VALLES"/>
    <s v="BARCELON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0179"/>
    <s v="AD"/>
    <d v="2023-03-29T00:00:00"/>
    <n v="22022002654"/>
    <s v="2023 03 9241 632"/>
    <n v="7055.91"/>
    <x v="132"/>
    <s v="CONTROL CALIDAD OBRA REHABILITACIÓN ANTIGUO FRONTÓN LAS FLORES (CONTRATO BASADO ACUERDO MARCO CALIDAD EXP:SEMEU 09/2020)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14912"/>
    <s v="AD"/>
    <d v="2023-03-29T00:00:00"/>
    <n v="22022003236"/>
    <s v="2023 02 9332 632"/>
    <n v="614.91999999999996"/>
    <x v="132"/>
    <s v="RETEJADO CLAUSTRO CENTRAL SAN BENITO_CALIDAD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15508"/>
    <s v="AD"/>
    <d v="2023-03-29T00:00:00"/>
    <n v="22022002963"/>
    <s v="2023 11 1321 632"/>
    <n v="800.59"/>
    <x v="132"/>
    <s v="ASISTENCIA TÉCNICA EN CONTROL DE CALIDAD OBRAS ADAPTACIÓN DISTRITO 4º."/>
    <s v="220"/>
    <s v="SANT CUGAT DEL VALLES"/>
    <s v="BARCELONA"/>
    <x v="4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17999"/>
    <s v="AD"/>
    <d v="2023-03-29T00:00:00"/>
    <n v="22022002850"/>
    <s v="2023 11 1321 632"/>
    <n v="3861.13"/>
    <x v="132"/>
    <s v="ASISTENCIA TÉCNICA CONTRATO OBRAS DE ADAPTACIÓN EDIFICIO DE JEFATURA DE LA POLICÍA MUNICIPAL II FASE."/>
    <s v="220"/>
    <s v="SANT CUGAT DEL VALLES"/>
    <s v="BARCELONA"/>
    <x v="2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38"/>
    <s v="AD"/>
    <d v="2023-03-29T00:00:00"/>
    <n v="22022003726"/>
    <s v="2023 08 1532 619"/>
    <n v="741.61"/>
    <x v="132"/>
    <s v="Redacción de planes de control de calidad de las obras del S.E.P.I. según necesidades del Servicio.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20842"/>
    <s v="AD"/>
    <d v="2023-03-29T00:00:00"/>
    <n v="22021007255"/>
    <s v="2023 02 9332 632"/>
    <n v="4026.34"/>
    <x v="132"/>
    <s v="ADJ.LOTE 2 C.CALIDAD (ASIST. TEC) EXTE.. 50/2021 &quot;&quot;CTRATO. OBRAS DE CONSOLIDACIÓN DE LAS CELDAS DEL CVTO. DE STA. CATALIN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0374"/>
    <s v="AD"/>
    <d v="2023-03-29T00:00:00"/>
    <n v="22022003276"/>
    <s v="2023 03 9241 632"/>
    <n v="294.17"/>
    <x v="132"/>
    <s v="CONTROL DE CALIDAD (LOTE 2 ASISTENCIA TÉCNICA) EN LA OBRA RECUPERACIÓN PATIO DELANTERO CASA CUNA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8"/>
    <s v="AD"/>
    <d v="2023-03-29T00:00:00"/>
    <n v="22022004636"/>
    <s v="2023 03 9241 632"/>
    <n v="1127.8599999999999"/>
    <x v="132"/>
    <s v="CONTROL DE CALIDAD (LOTE 2 ASISTENCIA TÉCNICA) EN LA OBRA DE REFORMA DE ASEOS DEL CC ZONA SUR"/>
    <s v="220"/>
    <s v="SANT CUGAT DEL VALLES"/>
    <s v="BARCELON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5083"/>
    <s v="AD"/>
    <d v="2023-03-29T00:00:00"/>
    <n v="22022001551"/>
    <s v="2023 02 9332 632"/>
    <n v="614.91999999999996"/>
    <x v="132"/>
    <s v="CONTROL DE CALIDAD- OBRA REPARACION CUBIERTA SUROESTE MONASTERIO SAN BENITO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35261"/>
    <s v="AD"/>
    <d v="2023-03-29T00:00:00"/>
    <n v="22022004837"/>
    <s v="2023 07 1711 619"/>
    <n v="3422.08"/>
    <x v="132"/>
    <s v="Mejora de la eficiencia energética, hidráulica y lumínica de la fuente Azul. Contrato Basado P.S. 36. Control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37388"/>
    <s v="AD"/>
    <d v="2023-03-29T00:00:00"/>
    <n v="22022005132"/>
    <s v="2023 07 1711 610"/>
    <n v="2356.71"/>
    <x v="132"/>
    <s v="A.M. ADECUACIÓN PLAZA DEL PARQUE DE LA CAMPIÑA DEL CARMEN. LOTE 2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39781"/>
    <s v="AD"/>
    <d v="2023-03-29T00:00:00"/>
    <n v="22022001814"/>
    <s v="2023 02 1511 609"/>
    <n v="4817.24"/>
    <x v="132"/>
    <s v="ADJ.C.CALIDAD LOTE 2 (ASIST.TECN.)REURBANIZ.PLAZA.DE LA COMUNICACIÓN (ANTIGUO AP25 ARIZA)CALLE ADOLFO SUAREZ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44407"/>
    <s v="AD"/>
    <d v="2023-03-29T00:00:00"/>
    <n v="22022005709"/>
    <s v="2023 08 1532 619"/>
    <n v="3531.5"/>
    <x v="132"/>
    <s v="Sondeos e informe geotécnico para C/ López Gómez . Lote 2"/>
    <s v="220"/>
    <s v="SANT CUGAT DEL VALLES"/>
    <s v="BARCELON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20045938"/>
    <s v="AD"/>
    <d v="2023-03-29T00:00:00"/>
    <n v="22022005749"/>
    <s v="2023 07 1711 610"/>
    <n v="1401.68"/>
    <x v="132"/>
    <s v="ACONDICIONAMIENTO PARCELA DE FMD EN RIBERA DE CASTILLA EN RONDILA P.S. 40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0"/>
  </r>
  <r>
    <n v="220220045940"/>
    <s v="AD"/>
    <d v="2023-03-29T00:00:00"/>
    <n v="22022005753"/>
    <s v="2023 07 1711 619"/>
    <n v="876.75"/>
    <x v="132"/>
    <s v="ACONDICIONAMIENTO DE JARDINERAS EN PUENTE DE LA CONDESA EYLO P.S. 41. CONTROL DE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46631"/>
    <s v="AD"/>
    <d v="2023-03-29T00:00:00"/>
    <n v="22022003306"/>
    <s v="2023 02 1511 619"/>
    <n v="8453.11"/>
    <x v="132"/>
    <s v="ADJ.C.CALIDAD LOTE 2 (A.TEC).EXPT.6/22 O. FASE I REURB.CALLES DANIEL DEL OLMO Y PRIMER TRAMO N. DE CASTILLA (POL. ARGAL)"/>
    <s v="220"/>
    <s v="SANT CUGAT DEL VALLES"/>
    <s v="BARCELON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20047416"/>
    <s v="AD"/>
    <d v="2023-03-29T00:00:00"/>
    <n v="22022004878"/>
    <s v="2023 07 1711 619"/>
    <n v="7272.63"/>
    <x v="132"/>
    <s v="Mejora en la eficiencia energética, hidráulica y lumínica  fuente plaza Zorrilla. Contrato Basado PS 37. Calidad."/>
    <s v="220"/>
    <s v="SANT CUGAT DEL VALLES"/>
    <s v="BARCELON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0057907"/>
    <s v="AD"/>
    <d v="2023-03-29T00:00:00"/>
    <n v="22022007221"/>
    <s v="2023 02 9332 632"/>
    <n v="1016.81"/>
    <x v="132"/>
    <s v="Control de calidad en la ejecución de las obras de reparac de la cubierta del Templete Piramidal del Barrio de San Pedro"/>
    <s v="220"/>
    <s v="SANT CUGAT DEL VALLES"/>
    <s v="BARCELONA"/>
    <x v="2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65417"/>
    <s v="AD"/>
    <d v="2023-03-29T00:00:00"/>
    <n v="22022005430"/>
    <s v="2023 06 3232 632"/>
    <n v="936.5"/>
    <x v="132"/>
    <s v="SE 46-2022 SUMINISTRO Y OBRA RENOVACION LUMINARIAS EN EL CEIP CRISTOBAL COLON (LOTE 2) PLZ EJ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32"/>
    <s v="3232. Conservación y mantenimiento centros educación infantil y primaria"/>
    <s v="63"/>
    <s v="632"/>
  </r>
  <r>
    <n v="220220065419"/>
    <s v="AD"/>
    <d v="2023-03-29T00:00:00"/>
    <n v="22022005431"/>
    <s v="2023 06 3261 632"/>
    <n v="557.11"/>
    <x v="132"/>
    <s v="SE 46/22 SUMINISTRO Y OBRA RENOVACIÓN LUMINARIAS ANTIGUO COLEGIO MARIA DE MOLINA (L 1) PZ EJEC: 2 M. CONTROL DE CALIDAD"/>
    <s v="220"/>
    <s v="SANT CUGAT DEL VALLES"/>
    <s v="BARCELONA"/>
    <x v="1"/>
    <s v="PrAbier - Procedimiento Abierto"/>
    <s v="MultiC - MultiCriterio"/>
    <x v="1"/>
    <x v="0"/>
    <s v="6"/>
    <s v="6. Inversiones reales"/>
    <s v="06"/>
    <x v="2"/>
    <s v="3261"/>
    <s v="3261. Servicios complementarios de educación"/>
    <s v="63"/>
    <s v="632"/>
  </r>
  <r>
    <n v="220220034822"/>
    <s v="AD"/>
    <d v="2023-03-29T00:00:00"/>
    <n v="22022003276"/>
    <s v="2023 03 9241 632"/>
    <n v="26186.11"/>
    <x v="644"/>
    <s v="RECUPERACIÓN PATIO DELANTERO CASA CUNA"/>
    <s v="220"/>
    <s v="VALLADOLID"/>
    <s v="VALLADOLID"/>
    <x v="2"/>
    <s v="AdDirec - Adjudicación Directa"/>
    <s v="SinC - Sin Criterio"/>
    <x v="3"/>
    <x v="0"/>
    <s v="6"/>
    <s v="6. Inversiones reales"/>
    <s v="03"/>
    <x v="10"/>
    <s v="9241"/>
    <s v="9241. Participación ciudadana"/>
    <s v="63"/>
    <s v="632"/>
  </r>
  <r>
    <n v="220230011723"/>
    <s v="AD"/>
    <d v="2023-03-29T00:00:00"/>
    <n v="22023003556"/>
    <s v="2023 06 2314 22613"/>
    <n v="2288.7800000000002"/>
    <x v="712"/>
    <s v="ILUMINACION TORRE DEL ESPACIO JOVEN ZONA SUR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2947"/>
    <s v="AD"/>
    <d v="2023-02-10T00:00:00"/>
    <n v="22023002381"/>
    <s v="2023 11 1621 22706"/>
    <n v="968"/>
    <x v="703"/>
    <s v="FORMACIÓN PARA MANEJO Y SEGURIDAD DEL CAMIÓN ALQUILADO 8446LGW RECOL. COMPACT. CARGA SUPERIOR. SERVICIO DE LIMPIEZA."/>
    <s v="220"/>
    <s v="ALGEMESI"/>
    <s v="VALENCIA"/>
    <x v="1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706"/>
  </r>
  <r>
    <n v="220230006758"/>
    <s v="AD"/>
    <d v="2023-03-01T00:00:00"/>
    <n v="22023002754"/>
    <s v="2023 02 9332 22699"/>
    <n v="152"/>
    <x v="713"/>
    <s v="TAPIZAR CON PVC CUATRO MESAS DEL DESPACHO DEL SECRETARIO GENERAL UBICADO EN CASA CONSISTORIAL"/>
    <s v="220"/>
    <s v="VALLADOLID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936"/>
    <s v="AD"/>
    <d v="2023-02-03T00:00:00"/>
    <n v="22023001353"/>
    <s v="2023 11 1321 213"/>
    <n v="3400.1"/>
    <x v="714"/>
    <s v="MANTENIMIENTO Y ACT.  SEM. PRECEPT. DE SEGURIDAD EN SISTEMA SCANER  INSP. PAQUETERIA EDIFICIOS AYTO VALLADOLID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547"/>
    <s v="AD"/>
    <d v="2023-01-01T00:00:00"/>
    <n v="22023001214"/>
    <s v="2023 05 4331 22799"/>
    <n v="42487.5"/>
    <x v="715"/>
    <s v="CONTRATO AM ASISTENCIA EN LA ELABORACION Y PRESENTACION DE PROYECTOS E INICIATIVAS. MECANISMOS DE FINANCIACION EUROPEOS"/>
    <s v="220"/>
    <s v="BARACALDO"/>
    <s v="VIZCAYA"/>
    <x v="1"/>
    <s v="PrAbier - Procedimiento Abierto"/>
    <s v="MultiC - MultiCriterio"/>
    <x v="0"/>
    <x v="0"/>
    <s v="2"/>
    <s v="2. Gastos corrientes en bienes y servicios"/>
    <s v="05"/>
    <x v="7"/>
    <s v="4331"/>
    <s v="4331. Desarrollo empresarial"/>
    <s v="22"/>
    <s v="22799"/>
  </r>
  <r>
    <n v="220229000649"/>
    <s v="AD"/>
    <d v="2023-01-01T00:00:00"/>
    <n v="22023001256"/>
    <s v="2023 10 2311 213"/>
    <n v="290.39999999999998"/>
    <x v="248"/>
    <s v="Mantenimiento calefacción, climatización y  ACS centros del COMEDOR SOCIAL (PROY.F.A.). Del 1 enero a 31 diciembr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1"/>
    <s v="2311. Intervención social"/>
    <s v="21"/>
    <s v="213"/>
  </r>
  <r>
    <n v="220230005411"/>
    <s v="AD"/>
    <d v="2023-02-22T00:00:00"/>
    <n v="22023002620"/>
    <s v="2023 10 2312 213"/>
    <n v="111.32"/>
    <x v="248"/>
    <s v="SUMINISTRO DE PIEZAS PARA LA CALEFACCION DEL CPM ZONA ESTE Y RIO ESGUEVA- INICITIVA SOCIALES- DURA 1 DIA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1"/>
    <s v="213"/>
  </r>
  <r>
    <n v="220229000601"/>
    <s v="AD"/>
    <d v="2023-01-01T00:00:00"/>
    <n v="22023000467"/>
    <s v="2023 11 1621 22700"/>
    <n v="12906.46"/>
    <x v="716"/>
    <s v="ADJUDICACION CONTRATO Sº DE LAVADO E HIGIENIZCAIÓN CONTENEDORES DEL Sº LIMPIEZA Y CONTROL EXTERNO CALIDAD AÑOS 2023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700"/>
  </r>
  <r>
    <n v="220230005395"/>
    <s v="AD"/>
    <d v="2023-02-22T00:00:00"/>
    <n v="22023002655"/>
    <s v="2023 11 3111 213"/>
    <n v="1464.2"/>
    <x v="717"/>
    <s v="CONTRATO DE REVISION Y MANTENIMIENTO DE QUEMADORES - HORNO CREMATORIO CENTRO MUNICIPAL DE PROTECCION ANIM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1"/>
    <s v="213"/>
  </r>
  <r>
    <n v="220230001931"/>
    <s v="AD"/>
    <d v="2023-02-03T00:00:00"/>
    <n v="22023000200"/>
    <s v="2023 04 9321 22799"/>
    <n v="1304.79"/>
    <x v="718"/>
    <s v="MANTENIMIENTO 2023/Sistema de gestión de espera QSYSTEM instalado en Pz Santa Ana, 6,Bj"/>
    <s v="220"/>
    <s v="MADRID"/>
    <s v="MADRID"/>
    <x v="1"/>
    <s v="AdDirec - Adjudicación Directa"/>
    <s v="SinC - Sin Criterio"/>
    <x v="3"/>
    <x v="0"/>
    <s v="2"/>
    <s v="2. Gastos corrientes en bienes y servicios"/>
    <s v="04"/>
    <x v="5"/>
    <s v="9321"/>
    <s v="9321. Gestión de ingresos e inspección"/>
    <s v="22"/>
    <s v="22799"/>
  </r>
  <r>
    <n v="220230003258"/>
    <s v="AD"/>
    <d v="2023-02-14T00:00:00"/>
    <n v="22023002211"/>
    <s v="2023 07 1721 22112"/>
    <n v="994.62"/>
    <x v="719"/>
    <s v="TRAMPAS PARA HIDROCARBUROS DEL LABORATORIO DE CONTAMINACION"/>
    <s v="220"/>
    <s v="SAN CUGAT DEL VALLES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12"/>
  </r>
  <r>
    <n v="220230007176"/>
    <s v="AD"/>
    <d v="2023-03-02T00:00:00"/>
    <n v="22023002903"/>
    <s v="2023 11 1321 22200"/>
    <n v="350"/>
    <x v="720"/>
    <s v="COBERTURA MÓVIL EN PUENTE DUERO DURANTE CINCO MESES ( DE MARZO A JULIO DE 2023)."/>
    <s v="220"/>
    <s v="MADRID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200"/>
  </r>
  <r>
    <n v="220230009473"/>
    <s v="AD"/>
    <d v="2023-03-21T00:00:00"/>
    <n v="22023003288"/>
    <s v="2023 02 9332 22699"/>
    <n v="500"/>
    <x v="721"/>
    <s v="SALIDA GRÚA PARA REMOLCAR LA RETRO VA37960VE (DEL CMEI)"/>
    <s v="220"/>
    <s v="LA CISTERNIGA"/>
    <s v="VALLADOLID"/>
    <x v="1"/>
    <s v="AdDirec - Adjudicación Directa"/>
    <s v="SinC - Sin Criterio"/>
    <x v="3"/>
    <x v="0"/>
    <s v="2"/>
    <s v="2. Gastos corrientes en bienes y servicios"/>
    <s v="02"/>
    <x v="3"/>
    <s v="9332"/>
    <s v="9332. Mantenimiento de edificios e instalaciones municipales"/>
    <s v="22"/>
    <s v="22699"/>
  </r>
  <r>
    <n v="220230001787"/>
    <s v="AD"/>
    <d v="2023-02-03T00:00:00"/>
    <n v="22023000069"/>
    <s v="2023 01 9207 22001"/>
    <n v="89"/>
    <x v="722"/>
    <s v="ADJUDICA RENOVACIÓN AÑO 2023 ACCESO PERIÓDICO DIGITAL ELCONFIDENCIAL.COM"/>
    <s v="220"/>
    <s v="POZUELO DE ALARCON"/>
    <s v="MADR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001"/>
  </r>
  <r>
    <n v="220230005905"/>
    <s v="AD"/>
    <d v="2023-02-23T00:00:00"/>
    <n v="22023002695"/>
    <s v="2023 02 1511 22706"/>
    <n v="7260"/>
    <x v="723"/>
    <s v="CONTRATO SERVICIOS TRABAJO INFORMES CARTOGRAFÍA Y TOPOGRAFÍA PARA EL ÁREA"/>
    <s v="220"/>
    <s v="ARROYO DE LA ENCOMIENDA"/>
    <s v="VALLADOL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10348"/>
    <s v="AD"/>
    <d v="2023-03-23T00:00:00"/>
    <n v="22023003500"/>
    <s v="2023 11 1321 22699"/>
    <n v="2359.5"/>
    <x v="724"/>
    <s v="SUMINISTRO  DE 75 TEST DE DROGAS CON LOS CORRESPONDIENTES TUBOS DE ENSAYO."/>
    <s v="220"/>
    <s v="MADRID"/>
    <s v="MADR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3891"/>
    <s v="AD"/>
    <d v="2023-02-17T00:00:00"/>
    <n v="22023002390"/>
    <s v="2023 07 1721 22706"/>
    <n v="586.85"/>
    <x v="725"/>
    <s v="DISEÑO Y MAQUETACION DIPTICO ZONA ZAS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06"/>
  </r>
  <r>
    <n v="220210054482"/>
    <s v="AD"/>
    <d v="2023-03-29T00:00:00"/>
    <n v="22021006299"/>
    <s v="2023 06 3231 622"/>
    <n v="409.41"/>
    <x v="166"/>
    <s v="SE-EIJI 21/2021. PS 1. ENSAYOS CONTROL DE CALIDAD CONSTRUCCION NUEVA E.I.M. SEPTIEMBRE A DICIEMBRE DE 2021."/>
    <s v="220"/>
    <s v="MALAGA"/>
    <s v="MALAGA"/>
    <x v="1"/>
    <s v="PrAbier - Procedimiento Abierto"/>
    <s v="MultiC - MultiCriterio"/>
    <x v="1"/>
    <x v="0"/>
    <s v="6"/>
    <s v="6. Inversiones reales"/>
    <s v="06"/>
    <x v="2"/>
    <s v="3231"/>
    <s v="3231. Escuelas infantiles"/>
    <s v="62"/>
    <s v="622"/>
  </r>
  <r>
    <n v="220210081394"/>
    <s v="AD"/>
    <d v="2023-03-29T00:00:00"/>
    <n v="22021007258"/>
    <s v="2023 03 9241 632"/>
    <n v="3027.9"/>
    <x v="166"/>
    <s v="CONTROL DE CALIDAD LOTE 1: ENSAYOS// OBRA REHABILITACION ANTIGUO FRONTON DE LAS FLORES PARA CENTRO DOTACIONAL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5922"/>
    <s v="AD"/>
    <d v="2023-02-23T00:00:00"/>
    <n v="22023002632"/>
    <s v="2023 10 2312 213"/>
    <n v="1348.97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0007916"/>
    <s v="AD"/>
    <d v="2023-03-29T00:00:00"/>
    <n v="22022002032"/>
    <s v="2023 0850 1341 609"/>
    <n v="4436.22"/>
    <x v="166"/>
    <s v="CONTRATO BASADO EN ACUERDO MARCO CONTROL DE CALIDAD ELEVADORES URBANOS LADERA ESTE PARQUESOL (LOTE 1). EXP: 50/2021"/>
    <s v="220"/>
    <s v="MALAGA"/>
    <s v="MALAG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20012380"/>
    <s v="AD"/>
    <d v="2023-03-29T00:00:00"/>
    <n v="22022002453"/>
    <s v="2023 0550 4312 632"/>
    <n v="1197.6199999999999"/>
    <x v="166"/>
    <s v="CONTRATO CONTROL DE CALIDAD OBRAS REMODELACIÓN GALERIAS MUNICIPALES DE ALIMENTACIÓN RONDILLA STA.. TERESA (LOTE 1)"/>
    <s v="220"/>
    <s v="MALAGA"/>
    <s v="MALAGA"/>
    <x v="1"/>
    <s v="PrAbier - Procedimiento Abierto"/>
    <s v="MultiC - MultiCriterio"/>
    <x v="1"/>
    <x v="0"/>
    <n v="6"/>
    <s v="6. Inversiones reales"/>
    <s v="05"/>
    <x v="7"/>
    <n v="4312"/>
    <s v="4312. Mercados, abastos y lonjas"/>
    <n v="63"/>
    <n v="632"/>
  </r>
  <r>
    <n v="220220017998"/>
    <s v="AD"/>
    <d v="2023-03-29T00:00:00"/>
    <n v="22022002850"/>
    <s v="2023 11 1321 632"/>
    <n v="111.55"/>
    <x v="166"/>
    <s v="ACUERDO MARCO. CONTROL DE CALIDAD OBRAS ADAPTACIÓN EDIFICIO DE JEFATURA POLICÍA  (AVDA. BURGOS) II FASE."/>
    <s v="220"/>
    <s v="MALAGA"/>
    <s v="MALAGA"/>
    <x v="1"/>
    <s v="PrAbier - Procedimiento Abierto"/>
    <s v="MultiC - MultiCriterio"/>
    <x v="1"/>
    <x v="0"/>
    <s v="6"/>
    <s v="6. Inversiones reales"/>
    <s v="11"/>
    <x v="6"/>
    <s v="1321"/>
    <s v="1321. Policía municipal"/>
    <s v="63"/>
    <s v="632"/>
  </r>
  <r>
    <n v="220220020841"/>
    <s v="AD"/>
    <d v="2023-03-29T00:00:00"/>
    <n v="22021007255"/>
    <s v="2023 02 9332 632"/>
    <n v="678.71"/>
    <x v="166"/>
    <s v="ADJ.C. CALIDAD LOTE 1 (ENSAYOS MAT.)EXPTE. 50/2021 &quot;&quot;CTRA. OBRAS DE CONSOLIDACIÓN DE LAS CELDAS DEL C. DE STA. CATALINA&quot;&quot;."/>
    <s v="220"/>
    <s v="MALAGA"/>
    <s v="MALAGA"/>
    <x v="1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20023166"/>
    <s v="AD"/>
    <d v="2023-03-29T00:00:00"/>
    <n v="22022002958"/>
    <s v="2023 07 1711 619"/>
    <n v="3225.76"/>
    <x v="166"/>
    <s v="CONTROL DE CALIDAD-ENSAYOS, ACTUACIONES EXPTE. V6/2020-LOTE 2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30003247"/>
    <s v="AD"/>
    <d v="2023-02-14T00:00:00"/>
    <n v="22023002447"/>
    <s v="2023 11 1621 214"/>
    <n v="3500"/>
    <x v="726"/>
    <s v="ADQUISICIÓN REPUESTOS PARA REPARACIONES CAJAS DE CAMBIO AUTOMÁTICAS MARCA ALISON DE VEHÍCULOS DEL SERVICIO DE LIMPIEZA."/>
    <s v="220"/>
    <s v="COSLADA"/>
    <s v="MADR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20023176"/>
    <s v="AD"/>
    <d v="2023-03-29T00:00:00"/>
    <n v="22022002957"/>
    <s v="2023 07 1711 619"/>
    <n v="841.27"/>
    <x v="166"/>
    <s v="CONTROL DE CALIDAD-ENSAYOS, ACTUACIONES EXPTE. V6/2020-LOTE 1."/>
    <s v="220"/>
    <s v="MALAGA"/>
    <s v="MALAGA"/>
    <x v="1"/>
    <s v="PrAbier - Procedimiento Abierto"/>
    <s v="MultiC - MultiCriterio"/>
    <x v="1"/>
    <x v="0"/>
    <s v="6"/>
    <s v="6. Inversiones reales"/>
    <s v="07"/>
    <x v="4"/>
    <s v="1711"/>
    <s v="1711. Parques y jardines"/>
    <s v="61"/>
    <s v="619"/>
  </r>
  <r>
    <n v="220229000279"/>
    <s v="AD"/>
    <d v="2023-01-01T00:00:00"/>
    <n v="22023000444"/>
    <s v="2023 11 1621 22104"/>
    <n v="10938.4"/>
    <x v="114"/>
    <s v="CONCURSO CONTRATO SUMINISTRO VESTUARIO PERSONAL SERVICIO LIMPIEZA EJERCICIOS 2023, LOTES 4 Y 5"/>
    <s v="220"/>
    <s v="LA CISTERNIGA"/>
    <s v="VALLADOLID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0029344"/>
    <s v="AD"/>
    <d v="2023-03-29T00:00:00"/>
    <n v="22022003275"/>
    <s v="2023 03 9241 632"/>
    <n v="128.37"/>
    <x v="166"/>
    <s v="CONTROL DE CALIDAD (LOTE 1 ENSAYOS) EN LA OBRA DE PAVIMENTACIÓN PATIO DE LA OVERUEL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30006759"/>
    <s v="AD"/>
    <d v="2023-03-01T00:00:00"/>
    <n v="22023002765"/>
    <s v="2023 10 2312 223"/>
    <n v="242"/>
    <x v="727"/>
    <s v="TRANSPORTE DE PLANTAS DESDE SAN BENITO AL CVA PARQUESOL EN LA CALLE ENRIQUE CUBERO1, FEBRERO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3"/>
  </r>
  <r>
    <n v="220220030373"/>
    <s v="AD"/>
    <d v="2023-03-29T00:00:00"/>
    <n v="22022003276"/>
    <s v="2023 03 9241 632"/>
    <n v="112.21"/>
    <x v="166"/>
    <s v="CONTROL DE CALIDAD (LOTE 1 ENSAYOS) EN LA OBRA DE RECUPERACIÓN PATIO DELANTERO CASA CUNA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0397"/>
    <s v="AD"/>
    <d v="2023-03-29T00:00:00"/>
    <n v="22022004635"/>
    <s v="2023 03 9241 632"/>
    <n v="435.8"/>
    <x v="166"/>
    <s v="CONTROL DE CALIDAD (LOTE 1 ENSAYOS) EN LA OBRA DE REFORMA DE ASEOS DEL CC ZONA SUR"/>
    <s v="220"/>
    <s v="MALAGA"/>
    <s v="MALAGA"/>
    <x v="1"/>
    <s v="PrAbier - Procedimiento Abierto"/>
    <s v="MultiC - MultiCriterio"/>
    <x v="1"/>
    <x v="0"/>
    <s v="6"/>
    <s v="6. Inversiones reales"/>
    <s v="03"/>
    <x v="10"/>
    <s v="9241"/>
    <s v="9241. Participación ciudadana"/>
    <s v="63"/>
    <s v="632"/>
  </r>
  <r>
    <n v="220220039780"/>
    <s v="AD"/>
    <d v="2023-03-29T00:00:00"/>
    <n v="22022001814"/>
    <s v="2023 02 1511 609"/>
    <n v="2277.9699999999998"/>
    <x v="166"/>
    <s v="ADJ.C.CALIDAD.LOTE 1(ENSAYOS MAT)EXPTE.46/21 REURBANIZACIÓN P. DE LA COMUNICACIÓN (ANTIGUA AP25-1 ARIZA)  ADOLFO SUAREZ."/>
    <s v="220"/>
    <s v="MALAGA"/>
    <s v="MALAGA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62202"/>
    <s v="AD"/>
    <d v="2023-03-29T00:00:00"/>
    <n v="22022007488"/>
    <s v="2023 06 2314 632"/>
    <n v="138.44999999999999"/>
    <x v="166"/>
    <s v="ENSAYOS CTTO BASADO EN EL ACUERDO MARCO DEL SERVICIO DE CONTROL DE CALIDAD DE LAS OBRAS MUNICIP. / REFORMA ALBERGUE JUVE"/>
    <s v="220"/>
    <s v="MALAGA"/>
    <s v="MALAGA"/>
    <x v="1"/>
    <s v="PrAbier - Procedimiento Abierto"/>
    <s v="MultiC - MultiCriterio"/>
    <x v="1"/>
    <x v="0"/>
    <s v="6"/>
    <s v="6. Inversiones reales"/>
    <s v="06"/>
    <x v="2"/>
    <s v="2314"/>
    <s v="2314. Centro de programas juveniles"/>
    <s v="63"/>
    <s v="632"/>
  </r>
  <r>
    <n v="220230009498"/>
    <s v="AD"/>
    <d v="2023-03-21T00:00:00"/>
    <n v="22023003486"/>
    <s v="2023 07 1711 619"/>
    <n v="7200"/>
    <x v="728"/>
    <s v="Remate para plantaciones de obras varias realizadas por el Servicio de Espacio Público en Infraestructuras. Ejerc. 2023."/>
    <s v="220"/>
    <s v="VALLADOLID"/>
    <s v="VALLADOLID"/>
    <x v="3"/>
    <s v="AdDirec - Adjudicación Directa"/>
    <s v="SinC - Sin Criterio"/>
    <x v="3"/>
    <x v="0"/>
    <s v="6"/>
    <s v="6. Inversiones reales"/>
    <s v="07"/>
    <x v="4"/>
    <s v="1711"/>
    <s v="1711. Parques y jardines"/>
    <s v="61"/>
    <s v="619"/>
  </r>
  <r>
    <n v="220230011773"/>
    <s v="AD"/>
    <d v="2023-03-29T00:00:00"/>
    <n v="22023003079"/>
    <s v="2023 05 4331 22602"/>
    <n v="3025"/>
    <x v="303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32816"/>
    <s v="AD"/>
    <d v="2023-03-29T00:00:00"/>
    <n v="22021005005"/>
    <s v="2023 02 9332 632"/>
    <n v="933.97"/>
    <x v="177"/>
    <s v="SUMINISTRO MATERIAL AMPLIACIÓN ILUMINACION EXISTENTE DESPACHO ARCHIVO MUNICIPAL"/>
    <s v="220"/>
    <s v="VALLADOLID"/>
    <s v="VALLADOLID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10058920"/>
    <s v="AD"/>
    <d v="2023-03-29T00:00:00"/>
    <n v="22021005975"/>
    <s v="2023 02 1511 609"/>
    <n v="3402.57"/>
    <x v="180"/>
    <s v="ACUERDO MARCO(A.J.G. 19.05.2020) C.CALIDAD LOTE 1 (ENSAYOS) OBRAS PASOS INFERIORES LABRADORES Y PANADEROS CON AVDA.SEGOV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19000691"/>
    <s v="AD"/>
    <d v="2023-03-29T00:00:00"/>
    <n v="22022002217"/>
    <s v="2023 02 1511 609"/>
    <n v="19192.169999999998"/>
    <x v="180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0"/>
    <s v="609"/>
  </r>
  <r>
    <n v="220220003949"/>
    <s v="AD"/>
    <d v="2023-03-29T00:00:00"/>
    <n v="22022002253"/>
    <s v="2023 08 1532 622"/>
    <n v="295.82"/>
    <x v="180"/>
    <s v="Ensayos Control Calidad, LOTE 1 obra Traslado Instalaciones del SEPI,  Expte 30/2021  SEMEU Lote 1 EDIFICACIÓN."/>
    <s v="220"/>
    <s v="VALLADOLID"/>
    <s v="VALLADOLID"/>
    <x v="2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2"/>
    <s v="622"/>
  </r>
  <r>
    <n v="220220046630"/>
    <s v="AD"/>
    <d v="2023-03-29T00:00:00"/>
    <n v="22022003306"/>
    <s v="2023 02 1511 619"/>
    <n v="9874.39"/>
    <x v="180"/>
    <s v="ADJ.C.CALIDA.LOTE 1(ENSAYO MAT).EXPT.6/22 O. FAS I REURB. CALLES DAN. DEL OLMO Y PRIMER TRAMO N. DE CASTILLA (POL.ARG.)"/>
    <s v="220"/>
    <s v="VALLADOLID"/>
    <s v="VALLADOLID"/>
    <x v="1"/>
    <s v="PrAbier - Procedimiento Abierto"/>
    <s v="MultiC - MultiCriterio"/>
    <x v="1"/>
    <x v="0"/>
    <s v="6"/>
    <s v="6. Inversiones reales"/>
    <s v="02"/>
    <x v="3"/>
    <s v="1511"/>
    <s v="1511. Planficación y gestión del urbanismo"/>
    <s v="61"/>
    <s v="619"/>
  </r>
  <r>
    <n v="220230001790"/>
    <s v="AD"/>
    <d v="2023-02-03T00:00:00"/>
    <n v="22023000189"/>
    <s v="2023 09 3301 22699"/>
    <n v="16.73"/>
    <x v="729"/>
    <s v="CONTRATO DE SERVICIOS DE MENSAJERÍA DE TRASLADO DE LA DOCUMENTACIÓN NECESARIA A LA EMBAJADA DE LA INDIA EN MADRID"/>
    <s v="220"/>
    <s v="VALLADOLID"/>
    <s v="VALLADOLID"/>
    <x v="1"/>
    <s v="AdDirec - Adjudicación Directa"/>
    <s v="SinC - Sin Criterio"/>
    <x v="3"/>
    <x v="0"/>
    <s v="2"/>
    <s v="2. Gastos corrientes en bienes y servicios"/>
    <s v="09"/>
    <x v="9"/>
    <s v="3301"/>
    <s v="3301. Dirección del área de cultura"/>
    <s v="22"/>
    <s v="22699"/>
  </r>
  <r>
    <n v="220230003257"/>
    <s v="AD"/>
    <d v="2023-02-14T00:00:00"/>
    <n v="22023002210"/>
    <s v="2023 07 1721 223"/>
    <n v="968"/>
    <x v="729"/>
    <s v="TRANSPORTE DE MATERIAL DE LA RED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3"/>
  </r>
  <r>
    <n v="220230008948"/>
    <s v="AD"/>
    <d v="2023-03-17T00:00:00"/>
    <n v="22023003165"/>
    <s v="2023 11 1321 223"/>
    <n v="500"/>
    <x v="729"/>
    <s v="GASTOS DE ENVIO APARATOS PARA VERIFICACIÓN Y ENVÍO MUEST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3"/>
  </r>
  <r>
    <n v="220230008574"/>
    <s v="AD"/>
    <d v="2023-03-15T00:00:00"/>
    <n v="22023002939"/>
    <s v="2023 03 9241 22609"/>
    <n v="500"/>
    <x v="730"/>
    <s v="ACTUACIÓN TEATRAL EN CC CASA CUNA EL DÍA 11/03/2023. MFS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9"/>
  </r>
  <r>
    <n v="220230000041"/>
    <s v="AD"/>
    <d v="2023-01-01T00:00:00"/>
    <n v="22023000528"/>
    <s v="2023 03 9241 22700"/>
    <n v="1669.8"/>
    <x v="731"/>
    <s v="LOTE 6: CONTROL DE PLAGAS, DESINSECTACIÓN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29000068"/>
    <s v="AD"/>
    <d v="2023-01-01T00:00:00"/>
    <n v="22023000877"/>
    <s v="2023 04 9321 641"/>
    <n v="40344.65"/>
    <x v="63"/>
    <s v="Prórroga contrato mantenimiento  aplicaciones informáticas GTWIN para Gestión de Ingresos-Gestión Recaudatoria-2023"/>
    <s v="220"/>
    <s v="BARCELONA"/>
    <s v="BARCELONA"/>
    <x v="1"/>
    <s v="PrAbier - Procedimiento Abierto"/>
    <s v="MultiC - MultiCriterio"/>
    <x v="0"/>
    <x v="0"/>
    <s v="6"/>
    <s v="6. Inversiones reales"/>
    <s v="04"/>
    <x v="5"/>
    <s v="9321"/>
    <s v="9321. Gestión de ingresos e inspección"/>
    <s v="64"/>
    <s v="641"/>
  </r>
  <r>
    <n v="220229000728"/>
    <s v="AD"/>
    <d v="2023-01-01T00:00:00"/>
    <n v="22023001308"/>
    <s v="2023 06 3232 213"/>
    <n v="389.3"/>
    <x v="732"/>
    <s v="SE 58-20 P.S.4 PRORROGA CTTO MANTENIMIENTO ASCENSORES. OCA COLEGIOS PUBLICOS. AÑOS 2023 Y 2024.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29000788"/>
    <s v="AD"/>
    <d v="2023-01-01T00:00:00"/>
    <n v="22023001869"/>
    <s v="2023 02 9332 213"/>
    <n v="583.94000000000005"/>
    <x v="732"/>
    <s v="REAJUSTE ANUALIDADES INSPECCIÓN ASCENSORES LOTE IV."/>
    <s v="220"/>
    <s v="TRES CANTOS"/>
    <s v="MADR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29000722"/>
    <s v="AD"/>
    <d v="2023-01-01T00:00:00"/>
    <n v="22023001303"/>
    <s v="2023 06 3231 213"/>
    <n v="64.88"/>
    <x v="732"/>
    <s v="SE 58-20 P.S.4 PRORROGA CTTO MANTENIMIENTO ASCENSORES. LOTE 4 OCAS ESCUELAS INFANTILES MUNICIPALES. AÑO 2023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3231"/>
    <s v="3231. Escuelas infantiles"/>
    <s v="21"/>
    <s v="213"/>
  </r>
  <r>
    <n v="220229000786"/>
    <s v="AD"/>
    <d v="2023-01-01T00:00:00"/>
    <n v="22023001868"/>
    <s v="2023 06 2314 213"/>
    <n v="64.88"/>
    <x v="732"/>
    <s v="SE 58-20 P.S.4 PRORROGA CTTO MANTENIMIENTO ASCENSORES LOTE 4: OCA ESPACIO JOVEN NORTE Y SUR. AÑOS 2023 Y 2024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2"/>
    <s v="2314"/>
    <s v="2314. Centro de programas juveniles"/>
    <s v="21"/>
    <s v="213"/>
  </r>
  <r>
    <n v="220230001800"/>
    <s v="AD"/>
    <d v="2023-02-03T00:00:00"/>
    <n v="22023000285"/>
    <s v="2023 11 1321 213"/>
    <n v="100"/>
    <x v="732"/>
    <s v="INSPECCIÓN TÉCNICA DE ASCENSOR EN DEPENDENCIAS DE JEFATURA DE POLICÍA MUNICIPAL."/>
    <s v="220"/>
    <s v="TRES CANTOS"/>
    <s v="MADR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30005922"/>
    <s v="AD"/>
    <d v="2023-02-23T00:00:00"/>
    <n v="22023002633"/>
    <s v="2023 10 2312 213"/>
    <n v="1888.55"/>
    <x v="253"/>
    <s v="mant. inst.proteccion contra incendios I de los CPM transferidos  y sin transferir para 2023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0167"/>
    <s v="AD"/>
    <d v="2023-01-01T00:00:00"/>
    <n v="22023000800"/>
    <s v="2023 10 2312 213"/>
    <n v="3237.52"/>
    <x v="253"/>
    <s v="mant. inst.proteccion contra incendios INICIATIVAS SOC.AÑO 22 (L4:3781-L5 1.270)-AÑO 23Y24 L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29000281"/>
    <s v="AD"/>
    <d v="2023-01-01T00:00:00"/>
    <n v="22023000446"/>
    <s v="2023 11 1631 22104"/>
    <n v="6993.8"/>
    <x v="733"/>
    <s v="CONCURSO CONTRATO SUMINISTRO VESTUARIO PERSONAL S. LIMPIEZA VIARIA EJERCICIO 2023, LOR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31"/>
    <s v="1631. Limpieza viaria"/>
    <s v="22"/>
    <s v="22104"/>
  </r>
  <r>
    <n v="220229000278"/>
    <s v="AD"/>
    <d v="2023-01-01T00:00:00"/>
    <n v="22023000322"/>
    <s v="2023 11 1621 22104"/>
    <n v="3291.2"/>
    <x v="733"/>
    <s v="CONCURSO CONTRATO SUMINISTRO VESTUARIO PERSONAL SERVICIO LIMPIEZA EJERCICIO 2023, LOTES 2 Y 3"/>
    <s v="220"/>
    <s v="MALAGA"/>
    <s v="MALAGA"/>
    <x v="3"/>
    <s v="PrAbier - Procedimiento Abierto"/>
    <s v="MultiC - MultiCriterio"/>
    <x v="0"/>
    <x v="0"/>
    <s v="2"/>
    <s v="2. Gastos corrientes en bienes y servicios"/>
    <s v="11"/>
    <x v="6"/>
    <s v="1621"/>
    <s v="1621. Servicio de limpieza"/>
    <s v="22"/>
    <s v="22104"/>
  </r>
  <r>
    <n v="220229000176"/>
    <s v="AD"/>
    <d v="2023-01-01T00:00:00"/>
    <n v="22023000920"/>
    <s v="2023 03 9241 22104"/>
    <n v="1827.07"/>
    <x v="733"/>
    <s v="PRÓRROGA CONTRATO SUMINISTRO DE VESTUARIO LOTE 2 (DE 1 ENERO A 14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29000177"/>
    <s v="AD"/>
    <d v="2023-01-01T00:00:00"/>
    <n v="22023000921"/>
    <s v="2023 01 9203 22104"/>
    <n v="1391.5"/>
    <x v="733"/>
    <s v="PRIMERA PRORROGA CONTRATO SUMINISTRO CALZADO PERSONAL ADSCRITO REGIMEN INTERIOR (16 DIC- 15 JUNIO 2023)"/>
    <s v="220"/>
    <s v="MALAGA"/>
    <s v="MALAGA"/>
    <x v="3"/>
    <s v="PrAbier - Procedimiento Abierto"/>
    <s v="MultiC - MultiCriterio"/>
    <x v="0"/>
    <x v="0"/>
    <s v="2"/>
    <s v="2. Gastos corrientes en bienes y servicios"/>
    <s v="01"/>
    <x v="8"/>
    <s v="9203"/>
    <s v="9203. Unidad de régimen interior"/>
    <s v="22"/>
    <s v="22104"/>
  </r>
  <r>
    <n v="220230002949"/>
    <s v="AD"/>
    <d v="2023-02-10T00:00:00"/>
    <n v="22023002088"/>
    <s v="2023 05 4312 22104"/>
    <n v="169.4"/>
    <x v="733"/>
    <s v="SUMINISTRO DE CALZADO PARA VIGILANTES DE MERCADOS MUNICIPALES AÑO 2023"/>
    <s v="220"/>
    <s v="MALAGA"/>
    <s v="MALAGA"/>
    <x v="3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04"/>
  </r>
  <r>
    <n v="220230002038"/>
    <s v="AD"/>
    <d v="2023-02-03T00:00:00"/>
    <n v="22023001692"/>
    <s v="2023 11 1621 22104"/>
    <n v="1452.02"/>
    <x v="734"/>
    <s v="GAFAS DE PROTECCIÓN PARA CUMPLIR LA INSTRUCCIÓN TÉCNICA DE OPERACIONES DE DESCARGA EN EL CTR. SERVICIO DE LIMPIEZ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2"/>
    <s v="22104"/>
  </r>
  <r>
    <n v="220230003260"/>
    <s v="AD"/>
    <d v="2023-02-14T00:00:00"/>
    <n v="22023002213"/>
    <s v="2023 07 1721 22799"/>
    <n v="387.2"/>
    <x v="735"/>
    <s v="CALIBRACION DEL TERMOHIGROMETRO Y DEL TERMOMETRO DIGITAL DEL LABORATORIO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30003259"/>
    <s v="AD"/>
    <d v="2023-02-14T00:00:00"/>
    <n v="22023002212"/>
    <s v="2023 07 1721 22799"/>
    <n v="7260"/>
    <x v="735"/>
    <s v="ANALISIS DE MUESTRAS DEL LABORATORIO DE CONTAMINACION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799"/>
  </r>
  <r>
    <n v="220229000538"/>
    <s v="AD"/>
    <d v="2023-01-01T00:00:00"/>
    <n v="22023001212"/>
    <s v="2023 05 4312 22799"/>
    <n v="5280"/>
    <x v="18"/>
    <s v="GESTION-EXPLOTACION PUNTO LIMPIO M. DELICIAS , PAGO DEL 20% AL INICIO PRESTACION SERVICIO Y EL 80% A LA FINALIZACION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799"/>
  </r>
  <r>
    <n v="220230007158"/>
    <s v="AD"/>
    <d v="2023-03-02T00:00:00"/>
    <n v="22023002875"/>
    <s v="2023 03 9241 22602"/>
    <n v="1437.48"/>
    <x v="736"/>
    <s v="PRODUCCIÓN TRASERA INTEGRAL BUSES VALLADOLID PUBLICIDAD PPTOS. PARTICIPATIVOS 2023 (VOTACIONES)"/>
    <s v="220"/>
    <s v="VALLADOLID"/>
    <s v="VALLADOLID"/>
    <x v="1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602"/>
  </r>
  <r>
    <n v="220229000751"/>
    <s v="AD"/>
    <d v="2023-01-01T00:00:00"/>
    <n v="22023001320"/>
    <s v="2023 09 3341 22700"/>
    <n v="7946.07"/>
    <x v="79"/>
    <s v="PRIMERA PRORROGA CONTRATO CENTRALIZADO LIMPIEZA DEPENDENCIAS MUNICIPALES. LOTE 15, CUPULA DEL MILENIO. AÑ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0"/>
  </r>
  <r>
    <n v="220229000763"/>
    <s v="AD"/>
    <d v="2023-01-01T00:00:00"/>
    <n v="22023000747"/>
    <s v="2023 04 9204 22700"/>
    <n v="7510.47"/>
    <x v="79"/>
    <s v="SERVICIO DE LIMPIEZA DEL CDIT, PRIMERA PRÓRROGA, (43/2022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5"/>
    <s v="9204"/>
    <s v="9204. Tecnologías de la información y comunicación"/>
    <s v="22"/>
    <s v="22700"/>
  </r>
  <r>
    <n v="220230005921"/>
    <s v="AD/"/>
    <d v="2023-02-23T00:00:00"/>
    <n v="22023000800"/>
    <s v="2023 10 2312 213"/>
    <n v="-3237.52"/>
    <x v="253"/>
    <s v="mant. inst.proteccion contra incendios INICIATIVAS SOC.AÑO 22 (L4:3781-L5 1.270)-AÑO 23Y24 L4- barrado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19000771"/>
    <s v="AD"/>
    <d v="2023-01-01T00:00:00"/>
    <n v="22023003343"/>
    <s v="2023 08 1651 619"/>
    <n v="1449.25"/>
    <x v="101"/>
    <s v="SEGURIDAD Y SALUD MANTENIMIENTO ALUMBRADO. EXP: 8/2021 SEMEU"/>
    <s v="220"/>
    <s v="VALLADOLID"/>
    <s v="VALLADOLID"/>
    <x v="1"/>
    <s v="PrAbier - Procedimiento Abierto"/>
    <s v="MultiC - MultiCriterio"/>
    <x v="1"/>
    <x v="0"/>
    <s v="6"/>
    <s v="6. Inversiones reales"/>
    <s v="08"/>
    <x v="0"/>
    <s v="1651"/>
    <s v="1651. Alumbrado público"/>
    <s v="61"/>
    <s v="619"/>
  </r>
  <r>
    <n v="220230001974"/>
    <s v="AD"/>
    <d v="2023-02-03T00:00:00"/>
    <n v="22023001509"/>
    <s v="2023 06 3261 22799"/>
    <n v="305.20999999999998"/>
    <x v="737"/>
    <s v="JEFATURA DE SALA Y ACOMODACIÓN REPRESENTACIÓN TEATRAL &quot;&quot;LOBA&quot;&quot; 25 Y 26 DE ENER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30002630"/>
    <s v="AD"/>
    <d v="2023-02-09T00:00:00"/>
    <n v="22023002250"/>
    <s v="2023 09 3341 213"/>
    <n v="363"/>
    <x v="738"/>
    <s v="REVISION Y CONFIGURACION DE LIMITADOR DE SONIDO DE LA CUPULA DEL MILENIO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1"/>
    <s v="213"/>
  </r>
  <r>
    <n v="220230000022"/>
    <s v="AD"/>
    <d v="2023-01-01T00:00:00"/>
    <n v="22023000498"/>
    <s v="2023 10 2312 22799"/>
    <n v="5885"/>
    <x v="739"/>
    <s v="CONTRATO BANCO DEL TIEMPO (01/03/2020 A 28/02/2023)  2020: 29487,50 ¿; 2021: 35835 ¿:; 2022: 35385¿; 2023: 5897,50 ¿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29000820"/>
    <s v="AD"/>
    <d v="2023-01-01T00:00:00"/>
    <n v="22023001887"/>
    <s v="2023 10 2312 22799"/>
    <n v="29425"/>
    <x v="739"/>
    <s v="Prorroga contrato de servicios del programa Banco del Tiempo de 1 marzo 2023 a 28 feb 2024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2"/>
    <s v="22799"/>
  </r>
  <r>
    <n v="220230002020"/>
    <s v="AD"/>
    <d v="2023-02-03T00:00:00"/>
    <n v="22023001429"/>
    <s v="2023 03 9241 22199"/>
    <n v="37.090000000000003"/>
    <x v="740"/>
    <s v="RESMAS DE PAPEL PARA FOLLETOS SOLICITUD DE SALA PARA CENTROS CIVICOS"/>
    <s v="220"/>
    <s v="VALLADOLID"/>
    <s v="VALLADOLID"/>
    <x v="3"/>
    <s v="AdDirec - Adjudicación Directa"/>
    <s v="SinC - Sin Criterio"/>
    <x v="3"/>
    <x v="0"/>
    <s v="2"/>
    <s v="2. Gastos corrientes en bienes y servicios"/>
    <s v="03"/>
    <x v="10"/>
    <s v="9241"/>
    <s v="9241. Participación ciudadana"/>
    <s v="22"/>
    <s v="22199"/>
  </r>
  <r>
    <n v="220230001985"/>
    <s v="AD"/>
    <d v="2023-02-03T00:00:00"/>
    <n v="22023001566"/>
    <s v="2023 11 1321 22699"/>
    <n v="2500"/>
    <x v="740"/>
    <s v="SUMINISTRO DE PAPEL PARA LA ELABORACIÓN DE IMPRESOS PARA POLICÍA MUNICIPAL POR PARTE DE LA IMPRENTA MUNICIPAL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2"/>
    <s v="22699"/>
  </r>
  <r>
    <n v="220230001939"/>
    <s v="AD"/>
    <d v="2023-02-03T00:00:00"/>
    <n v="22023001332"/>
    <s v="2023 01 9205 22199"/>
    <n v="7253.95"/>
    <x v="740"/>
    <s v="ADJUDICA SUMINISTRO DE PAPEL Y SOBRES DIFERENTES FORMATOS Y TIPOS PARA TRABAJOS IMPRENTA EN 2023"/>
    <s v="220"/>
    <s v="VALLADOLID"/>
    <s v="VALLADOLID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2079"/>
    <s v="AD"/>
    <d v="2023-02-06T00:00:00"/>
    <n v="22023002046"/>
    <s v="2023 06 3261 22699"/>
    <n v="500"/>
    <x v="740"/>
    <s v="SUMINISTRO DE PAPEL PARA EL SERVICIO DE EDUCACIÓN ASÍ COMO PARA LA IMPRENTA MUNICIPAL PARA CARTELERIA. AÑO 2023"/>
    <s v="220"/>
    <s v="VALLADOLID"/>
    <s v="VALLADOLID"/>
    <x v="3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699"/>
  </r>
  <r>
    <n v="220230002933"/>
    <s v="AD"/>
    <d v="2023-02-10T00:00:00"/>
    <n v="22023002222"/>
    <s v="2023 09 3341 22699"/>
    <n v="152.46"/>
    <x v="740"/>
    <s v="GASTO PAPEL PARA TRABAJOS A REALIZAR POR LA IMPRENTA MUNICIPAL PARA EL AREA DE CULTURA Y TURISMO"/>
    <s v="220"/>
    <s v="VALLADOLID"/>
    <s v="VALLADOL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99"/>
  </r>
  <r>
    <n v="220230003429"/>
    <s v="AD"/>
    <d v="2023-02-14T00:00:00"/>
    <n v="22023002348"/>
    <s v="2023 10 2312 22615"/>
    <n v="1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5"/>
  </r>
  <r>
    <n v="220230001141"/>
    <s v="ADO"/>
    <d v="2023-02-02T00:00:00"/>
    <n v="22023001384"/>
    <s v="2023 10 2412 213"/>
    <n v="497.86"/>
    <x v="253"/>
    <s v="MANTENIMIENTO PCI // ESCUELA DE FORMACIÓN PARA EMPLEO JACIENTO BENAVENTE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412"/>
    <s v="2412. Formación para el empleo"/>
    <s v="21"/>
    <s v="213"/>
  </r>
  <r>
    <n v="220230001165"/>
    <s v="ADO"/>
    <d v="2023-02-02T00:00:00"/>
    <n v="22023001455"/>
    <s v="2023 10 2312 213"/>
    <n v="3564.77"/>
    <x v="253"/>
    <s v="MANTENIMIENTO PCI //CPM'S // (PERIODO DEL 01-01 AL 31-12-22) -INICIATIVAS SOCIALES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1"/>
    <s v="2312"/>
    <s v="2312. Iniciativas sociales"/>
    <s v="21"/>
    <s v="213"/>
  </r>
  <r>
    <n v="220230001116"/>
    <s v="ADO"/>
    <d v="2023-02-02T00:00:00"/>
    <n v="22023001326"/>
    <s v="2023 07 1721 213"/>
    <n v="234.86"/>
    <x v="253"/>
    <s v="MANTENIMIENTO PCI //RED DE CONTROL DE LA CONTAMINACIÓN Y CM ACÚSTICA // LOTE 4 // PERIODO DEL 01-01 AL 31-12-22"/>
    <s v="24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4"/>
    <s v="1721"/>
    <s v="1721. Protección del medio ambiente"/>
    <s v="21"/>
    <s v="213"/>
  </r>
  <r>
    <n v="220230000156"/>
    <s v="AD"/>
    <d v="2023-01-01T00:00:00"/>
    <n v="22023000789"/>
    <s v="2023 06 3232 213"/>
    <n v="7501.59"/>
    <x v="253"/>
    <s v="SE-EIJI 27/2021. MANTENIMIENTO INSTALACIONES DE PROTECCIÓN CONTRA INCENDIOS. EDIFICIOS MUNICIPALES. LOTE 2. COLEGIO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2"/>
    <s v="3232. Conservación y mantenimiento centros educación infantil y primaria"/>
    <s v="21"/>
    <s v="213"/>
  </r>
  <r>
    <n v="220230003429"/>
    <s v="AD"/>
    <d v="2023-02-14T00:00:00"/>
    <n v="22023002347"/>
    <s v="2023 10 2312 22699"/>
    <n v="300"/>
    <x v="740"/>
    <s v="IMPRESION  DE PETICIONES A  LA IMPRENTA MUNICIPAL EL SERVICIO DE INICIATIVAS SOCIALES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99"/>
  </r>
  <r>
    <n v="220230000163"/>
    <s v="AD"/>
    <d v="2023-01-01T00:00:00"/>
    <n v="22023000796"/>
    <s v="2023 06 3261 213"/>
    <n v="127.38"/>
    <x v="253"/>
    <s v="SE-EIJI 27/2021. MANTENIMIENTO INSTALACIONES DE PROTECCIÓN CONTRA INCENDIOS. EDIFICIOS MUNICIPALES. LOTE 2. E.M.MUSICA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61"/>
    <s v="3261. Servicios complementarios de educación"/>
    <s v="21"/>
    <s v="213"/>
  </r>
  <r>
    <n v="220230003006"/>
    <s v="AD"/>
    <d v="2023-02-13T00:00:00"/>
    <n v="22023002391"/>
    <s v="2023 02 1511 22706"/>
    <n v="6292"/>
    <x v="741"/>
    <s v="ESTUDIO VALORACIÓN DEL SUELO PARCELA EN LA QUE ESTÁ UBICADO EN ESTADIO JOSÉ ZORRILLA."/>
    <s v="220"/>
    <s v="MADRID"/>
    <s v="MADRID"/>
    <x v="1"/>
    <s v="AdDirec - Adjudicación Directa"/>
    <s v="SinC - Sin Criterio"/>
    <x v="3"/>
    <x v="0"/>
    <s v="2"/>
    <s v="2. Gastos corrientes en bienes y servicios"/>
    <s v="02"/>
    <x v="3"/>
    <s v="1511"/>
    <s v="1511. Planficación y gestión del urbanismo"/>
    <s v="22"/>
    <s v="22706"/>
  </r>
  <r>
    <n v="220230000158"/>
    <s v="AD"/>
    <d v="2023-01-01T00:00:00"/>
    <n v="22023000791"/>
    <s v="2023 06 3231 213"/>
    <n v="730.45"/>
    <x v="253"/>
    <s v="SE-EIJI 27/2021. MANTENIMIENTO INSTALACIONES DE PROTECCIÓN CONTRA INCENDIOS. EDIFICIOS MUNICIPALES. LOTE 2. ESCUELAS INF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3231"/>
    <s v="3231. Escuelas infantiles"/>
    <s v="21"/>
    <s v="213"/>
  </r>
  <r>
    <n v="220230003009"/>
    <s v="AD"/>
    <d v="2023-02-13T00:00:00"/>
    <n v="22023002362"/>
    <s v="2023 01 9205 22199"/>
    <n v="5541.8"/>
    <x v="742"/>
    <s v="ADJUDICA SUMINISTRO PLANCHAS OFFSET DOS TIPOS PARA TRABAJOS IMPRENTA 2023"/>
    <s v="220"/>
    <s v="ILLESCAS"/>
    <s v="TOLEDO"/>
    <x v="3"/>
    <s v="AdDirec - Adjudicación Directa"/>
    <s v="SinC - Sin Criterio"/>
    <x v="3"/>
    <x v="0"/>
    <s v="2"/>
    <s v="2. Gastos corrientes en bienes y servicios"/>
    <s v="01"/>
    <x v="8"/>
    <s v="9205"/>
    <s v="9205. Imprenta municipal"/>
    <s v="22"/>
    <s v="22199"/>
  </r>
  <r>
    <n v="220230001955"/>
    <s v="AD"/>
    <d v="2023-02-03T00:00:00"/>
    <n v="22023001379"/>
    <s v="2023 01 9206 22001"/>
    <n v="150"/>
    <x v="743"/>
    <s v="SUSCRIPCIÓN ANUAL A REVISTA &quot;&quot;METALES Y METALURGIA&quot;&quot;, AÑO 2023."/>
    <s v="220"/>
    <s v="TORREJON DE ARDOZ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29000131"/>
    <s v="AD"/>
    <d v="2023-01-01T00:00:00"/>
    <n v="22023000306"/>
    <s v="2023 09 3341 22609"/>
    <n v="16777.86"/>
    <x v="744"/>
    <s v="SERVICIO AGENCIAS DE VIAJE PARA DESPLAZAMIENTO, AJOJAMIENTO, RESTAURACION, AUTORES Y PARTICIP FERIA LIBRO VA 2023 LOTE 6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06734"/>
    <s v="AD"/>
    <d v="2023-03-01T00:00:00"/>
    <n v="22023002646"/>
    <s v="2023 10 2312 22606"/>
    <n v="1900"/>
    <x v="744"/>
    <s v="VIAJES POR DIFERENTES LOCALIDADES DE LOS ALUMNOS DE PASATIAS- INICIATIVAS SOCIALES- DURACION FEBRERO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06"/>
  </r>
  <r>
    <n v="220230002087"/>
    <s v="AD"/>
    <d v="2023-02-06T00:00:00"/>
    <n v="22023002100"/>
    <s v="2023 11 3111 22606"/>
    <n v="7260"/>
    <x v="745"/>
    <s v="PASEOS SALUDABLES PARA PERSONAS DE 60 AÑOS EN ADELANTE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606"/>
  </r>
  <r>
    <n v="220230000161"/>
    <s v="AD"/>
    <d v="2023-01-01T00:00:00"/>
    <n v="22023000794"/>
    <s v="2023 06 2314 213"/>
    <n v="81.06"/>
    <x v="253"/>
    <s v="SE-EIJI 27/2021. MANTENIMIENTO INSTALACIONES DE PROTECCIÓN CONTRA INCENDIOS. EDIFICIOS MUNICIPALES. LOTE 2.ESP JOVEN Z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2"/>
    <s v="2314"/>
    <s v="2314. Centro de programas juveniles"/>
    <s v="21"/>
    <s v="213"/>
  </r>
  <r>
    <n v="220230004187"/>
    <s v="AD"/>
    <d v="2023-02-20T00:00:00"/>
    <n v="22023002532"/>
    <s v="2023 04 9341 22699"/>
    <n v="89.39"/>
    <x v="746"/>
    <s v="COSTES 2023 DEL AVAL DEL AYUNTAMIENTO DE VALLADOLID ANTE LA TESORERIA GENERAL DE LA SEGURIDAD SOCIAL"/>
    <s v="220"/>
    <s v="MALAGA"/>
    <s v="MALAGA"/>
    <x v="1"/>
    <s v="AdDirec - Adjudicación Directa"/>
    <s v="SinC - Sin Criterio"/>
    <x v="3"/>
    <x v="0"/>
    <s v="2"/>
    <s v="2. Gastos corrientes en bienes y servicios"/>
    <s v="04"/>
    <x v="5"/>
    <s v="9341"/>
    <s v="9341. Tesorería y recaudación"/>
    <s v="22"/>
    <s v="22699"/>
  </r>
  <r>
    <n v="220230008087"/>
    <s v="ADO"/>
    <d v="2023-03-09T00:00:00"/>
    <n v="22023002667"/>
    <s v="2023 11 1351 224"/>
    <n v="1447.75"/>
    <x v="747"/>
    <s v="POLIZA DE SEGUROS - ACC COLECTIVOS L1-G-470000613 ///  RENOV 2022-2023"/>
    <s v="24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51"/>
    <s v="1351. Protección civil"/>
    <s v="22"/>
    <s v="224"/>
  </r>
  <r>
    <n v="220230011767"/>
    <s v="AD"/>
    <d v="2023-03-29T00:00:00"/>
    <n v="22023003079"/>
    <s v="2023 05 4331 22602"/>
    <n v="1815"/>
    <x v="748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10088318"/>
    <s v="AD"/>
    <d v="2023-03-29T00:00:00"/>
    <n v="22021005678"/>
    <s v="2023 0850 1341 609"/>
    <n v="733.32"/>
    <x v="749"/>
    <s v="CONTROL DE CALIDAD OBRAS DE INSTALACIÓN DE ELEVADORES MECÁNICOS EN LA LADERA NORTE DE PARQUESOL.  (LOTE 1) EXP.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19001270"/>
    <s v="AD"/>
    <d v="2023-03-29T00:00:00"/>
    <n v="22022001993"/>
    <s v="2023 0850 1341 609"/>
    <n v="3395.57"/>
    <x v="749"/>
    <s v="CONTROL CALILDAD OBRAS INSTALACIÓN DE ELEVADORES EN LA LADERA NORTE DE PARQUESOL. (LOTE 1)  EXP: 42/2021"/>
    <s v="220"/>
    <s v="CASTELLANOS DE MORISCOS"/>
    <s v="SALAMANCA"/>
    <x v="1"/>
    <s v="PrAbier - Procedimiento Abierto"/>
    <s v="UniC - Único Criterio"/>
    <x v="1"/>
    <x v="0"/>
    <n v="6"/>
    <s v="6. Inversiones reales"/>
    <s v="08"/>
    <x v="0"/>
    <n v="1341"/>
    <s v="1341. Movilidad"/>
    <n v="60"/>
    <n v="609"/>
  </r>
  <r>
    <n v="220230011769"/>
    <s v="AD"/>
    <d v="2023-03-29T00:00:00"/>
    <n v="22023003079"/>
    <s v="2023 05 4331 22602"/>
    <n v="2718.14"/>
    <x v="529"/>
    <s v="CONTRATO BASADO PUBLICIDAD RADIO.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72"/>
    <s v="AD"/>
    <d v="2023-03-29T00:00:00"/>
    <n v="22023003079"/>
    <s v="2023 05 4331 22602"/>
    <n v="3025"/>
    <x v="320"/>
    <s v="INSERCIÓN DE ANUNCIOS PUBLICITARIOS DEL TOUR DEL TALENTO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11768"/>
    <s v="AD"/>
    <d v="2023-03-29T00:00:00"/>
    <n v="22023003079"/>
    <s v="2023 05 4331 22602"/>
    <n v="3025"/>
    <x v="530"/>
    <s v="CONTRATO BASADO PUBLICIDA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965"/>
    <s v="AD"/>
    <d v="2023-03-29T00:00:00"/>
    <n v="22022007804"/>
    <s v="2023 09 3341 619"/>
    <n v="17136.02"/>
    <x v="750"/>
    <s v="REDACCIÓN DEL PROYECTO Y  DE EJECUCIÓN DE LA OBRA DE ADECUACIÓN TRAMO DE LA ESGUEVA PARA USO TURÍSTICO."/>
    <s v="220"/>
    <s v="VALLADOLID"/>
    <s v="VALLADOLID"/>
    <x v="1"/>
    <s v="AdDirec - Adjudicación Directa"/>
    <s v="SinC - Sin Criterio"/>
    <x v="3"/>
    <x v="0"/>
    <s v="6"/>
    <s v="6. Inversiones reales"/>
    <s v="09"/>
    <x v="9"/>
    <s v="3341"/>
    <s v="3341. Coordinación de políticas culturales"/>
    <s v="61"/>
    <s v="619"/>
  </r>
  <r>
    <n v="220230011676"/>
    <s v="AD"/>
    <d v="2023-03-28T00:00:00"/>
    <n v="22023003078"/>
    <s v="2023 05 4331 22799"/>
    <n v="2420"/>
    <x v="751"/>
    <s v="ACOMPAÑAMIENTO GALA ENTREGA  PREMIOS FUNDACION TALENTO. SEMANA TOUR DEL TALENTO EN VALLADOLID"/>
    <s v="23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09486"/>
    <s v="AD"/>
    <d v="2023-03-21T00:00:00"/>
    <n v="22023003190"/>
    <s v="2023 09 3341 22602"/>
    <n v="1149.5"/>
    <x v="752"/>
    <s v="REALIZACION DE REPORTAJE FOTOGRAFICO Y VIDEOS DE PRESENTACION PARA RESIDENTES DE GALERIAS VA"/>
    <s v="220"/>
    <s v="VALLADOLID"/>
    <s v="VALLADOLID"/>
    <x v="4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602"/>
  </r>
  <r>
    <n v="220230003261"/>
    <s v="AD"/>
    <d v="2023-02-14T00:00:00"/>
    <n v="22023002214"/>
    <s v="2023 07 1721 22199"/>
    <n v="7260"/>
    <x v="753"/>
    <s v="MATERIAL FUNGIBLE PARA EL LABORATORIO"/>
    <s v="220"/>
    <s v="BARCELONA"/>
    <s v="BARCELONA"/>
    <x v="3"/>
    <s v="AdDirec - Adjudicación Directa"/>
    <s v="SinC - Sin Criterio"/>
    <x v="3"/>
    <x v="0"/>
    <s v="2"/>
    <s v="2. Gastos corrientes en bienes y servicios"/>
    <s v="07"/>
    <x v="4"/>
    <s v="1721"/>
    <s v="1721. Protección del medio ambiente"/>
    <s v="22"/>
    <s v="22199"/>
  </r>
  <r>
    <n v="220210050961"/>
    <s v="AD"/>
    <d v="2023-03-29T00:00:00"/>
    <n v="22021006430"/>
    <s v="2023 02 9332 632"/>
    <n v="1029.07"/>
    <x v="469"/>
    <s v="SUMINISTRO BOMBAS ACHIQUE AGUA DESDE TERCER SÓTANO A CALLE EN ARCHIVO MUNICIPAL"/>
    <s v="220"/>
    <s v="VALDELAFUENTE"/>
    <s v="LEON"/>
    <x v="3"/>
    <s v="PrAbier - Procedimiento Abierto"/>
    <s v="MultiC - MultiCriterio"/>
    <x v="1"/>
    <x v="0"/>
    <s v="6"/>
    <s v="6. Inversiones reales"/>
    <s v="02"/>
    <x v="3"/>
    <s v="9332"/>
    <s v="9332. Mantenimiento de edificios e instalaciones municipales"/>
    <s v="63"/>
    <s v="632"/>
  </r>
  <r>
    <n v="220230009449"/>
    <s v="AD/"/>
    <d v="2023-03-21T00:00:00"/>
    <n v="22023001945"/>
    <s v="2023 11 1321 22701"/>
    <n v="-113424.66"/>
    <x v="8"/>
    <s v="REAJ.  ANUALID. EXPTE SPSC-SE 034/2022. CONTRATO VIGILANCIA, CONTROL Y PROTEC. DIVERSAS DEPEND.  AYTO.VALLADOLID  2023."/>
    <s v="220"/>
    <s v="SALAMANCA"/>
    <s v="SALAMANCA"/>
    <x v="1"/>
    <s v="PrAbier - Procedimiento Abierto"/>
    <s v="MultiC - MultiCriterio"/>
    <x v="0"/>
    <x v="0"/>
    <s v="2"/>
    <s v="2. Gastos corrientes en bienes y servicios"/>
    <s v="11"/>
    <x v="6"/>
    <s v="1321"/>
    <s v="1321. Policía municipal"/>
    <s v="22"/>
    <s v="22701"/>
  </r>
  <r>
    <n v="220230001988"/>
    <s v="AD"/>
    <d v="2023-02-03T00:00:00"/>
    <n v="22023001570"/>
    <s v="2023 09 3341 22199"/>
    <n v="545.71"/>
    <x v="754"/>
    <s v="SUMINISTRO MATERIAL DIVERSO, TEJIDO POLIURETANO, PLANCHA ESPUMA,  PARA 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8594"/>
    <s v="AD"/>
    <d v="2023-03-15T00:00:00"/>
    <n v="22023003003"/>
    <s v="2023 09 3341 22199"/>
    <n v="1658.91"/>
    <x v="754"/>
    <s v="SUMINISTRO PLANCHA POLICARBONATO PARA PROTECCION PEINES DONDE VA COLGADA LA OBRA DE ARTE DEL CENTRO MARCELINA PONCELA"/>
    <s v="220"/>
    <s v="MADRID"/>
    <s v="MADRID"/>
    <x v="3"/>
    <s v="AdDirec - Adjudicación Directa"/>
    <s v="SinC - Sin Criterio"/>
    <x v="3"/>
    <x v="0"/>
    <s v="2"/>
    <s v="2. Gastos corrientes en bienes y servicios"/>
    <s v="09"/>
    <x v="9"/>
    <s v="3341"/>
    <s v="3341. Coordinación de políticas culturales"/>
    <s v="22"/>
    <s v="22199"/>
  </r>
  <r>
    <n v="220230001921"/>
    <s v="AD"/>
    <d v="2023-02-03T00:00:00"/>
    <n v="22023000219"/>
    <s v="2023 10 2312 22618"/>
    <n v="1911.8"/>
    <x v="755"/>
    <s v="REVISTA VIVE DISFRUTANDO , 6 EDICIONES  CON INFORMACION DE INTERES PARA LOS MAYORES DE VALLADOLID- INICITIVA SOCIALES"/>
    <s v="220"/>
    <s v="VALLADOLID"/>
    <s v="VALLADOLID"/>
    <x v="3"/>
    <s v="AdDirec - Adjudicación Directa"/>
    <s v="SinC - Sin Criterio"/>
    <x v="3"/>
    <x v="0"/>
    <s v="2"/>
    <s v="2. Gastos corrientes en bienes y servicios"/>
    <s v="10"/>
    <x v="1"/>
    <s v="2312"/>
    <s v="2312. Iniciativas sociales"/>
    <s v="22"/>
    <s v="22618"/>
  </r>
  <r>
    <n v="220230006766"/>
    <s v="AD"/>
    <d v="2023-03-01T00:00:00"/>
    <n v="22023002832"/>
    <s v="2023 01 9203 213"/>
    <n v="7030.32"/>
    <x v="756"/>
    <s v="MANTENIMIENTO RELOJ TORREON CASA CONSISTORIAL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3"/>
    <s v="9203. Unidad de régimen interior"/>
    <s v="21"/>
    <s v="213"/>
  </r>
  <r>
    <n v="220230006172"/>
    <s v="AD"/>
    <d v="2023-02-23T00:00:00"/>
    <n v="22023002581"/>
    <s v="2023 11 1621 214"/>
    <n v="2000"/>
    <x v="757"/>
    <s v="SUMINISTRO DE REPUESTOS ELECTRÓNICOS REPARACIÓN VEHÍCULOS RECOLECTORES DEL SERVICIO DE LIMPIEZA."/>
    <s v="220"/>
    <s v="ZARATAN"/>
    <s v="VALLADOLID"/>
    <x v="3"/>
    <s v="AdDirec - Adjudicación Directa"/>
    <s v="SinC - Sin Criterio"/>
    <x v="3"/>
    <x v="0"/>
    <s v="2"/>
    <s v="2. Gastos corrientes en bienes y servicios"/>
    <s v="11"/>
    <x v="6"/>
    <s v="1621"/>
    <s v="1621. Servicio de limpieza"/>
    <s v="21"/>
    <s v="214"/>
  </r>
  <r>
    <n v="220230010378"/>
    <s v="AD"/>
    <d v="2023-03-23T00:00:00"/>
    <n v="22023003426"/>
    <s v="2023 05 4314 22799"/>
    <n v="15700"/>
    <x v="758"/>
    <s v="PROPUESTA DISEÑO DE MEJORA DE ESPACIO URBANO COMERCIAL EN  ZONAS MARNTERIA Y TORRECILLA . &quot;&quot;VALLADOLID CIUDAD PROXIMA&quot;&quot;"/>
    <s v="220"/>
    <s v="MADRID"/>
    <s v="MADRID"/>
    <x v="1"/>
    <s v="AdDirec - Adjudicación Directa"/>
    <s v="SinC - Sin Criterio"/>
    <x v="3"/>
    <x v="0"/>
    <s v="2"/>
    <s v="2. Gastos corrientes en bienes y servicios"/>
    <s v="05"/>
    <x v="7"/>
    <s v="4314"/>
    <s v="4314. Fomento del comercio"/>
    <s v="22"/>
    <s v="22799"/>
  </r>
  <r>
    <n v="220230011770"/>
    <s v="AD"/>
    <d v="2023-03-29T00:00:00"/>
    <n v="22023003079"/>
    <s v="2023 05 4331 22602"/>
    <n v="2420"/>
    <x v="368"/>
    <s v="CONTRATO BASADO. ENTREVISTA MAGAZINE MAS DE UNO. SEMANA TOUR DEL TALENTO EN VALLADOLID DEL 13 AL 18 DE MARZO DE 2023."/>
    <s v="230"/>
    <s v="S.S.DE LOS REYES"/>
    <s v="MADR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20074254"/>
    <s v="AD"/>
    <d v="2023-03-29T00:00:00"/>
    <n v="22022004961"/>
    <s v="2023 02 9332 624"/>
    <n v="35894.93"/>
    <x v="470"/>
    <s v="ADJUDICACIÓN  FURGON CENTRO DE MANTENIMIENTO (CARPINTERIA) EXPTE.12/22"/>
    <s v="220"/>
    <s v="VALLADOLID"/>
    <s v="VALLADOLID"/>
    <x v="3"/>
    <s v="PrAbier - Procedimiento Abierto"/>
    <s v="MultiC - MultiCriterio"/>
    <x v="0"/>
    <x v="0"/>
    <s v="6"/>
    <s v="6. Inversiones reales"/>
    <s v="02"/>
    <x v="3"/>
    <s v="9332"/>
    <s v="9332. Mantenimiento de edificios e instalaciones municipales"/>
    <s v="62"/>
    <s v="624"/>
  </r>
  <r>
    <n v="220230007355"/>
    <s v="AD"/>
    <d v="2023-03-03T00:00:00"/>
    <n v="22023002416"/>
    <s v="2023 02 1501 224"/>
    <n v="34752.33"/>
    <x v="649"/>
    <s v="EXPTE.PAT-135/2020 PS2 PRIERA PRÓRROGA DEL S.DE RESPONSABILIDAD CIVIL DEL PERSONAL TÉC. (LOTE 3)DEL 1.05.2023 A 30.04.24"/>
    <s v="220"/>
    <s v="MADRID"/>
    <s v="MADRID"/>
    <x v="4"/>
    <s v="PrNegSP - Procedimiento Negociado Sin Publicidad"/>
    <s v="SinC - Sin Criterio"/>
    <x v="2"/>
    <x v="0"/>
    <s v="2"/>
    <s v="2. Gastos corrientes en bienes y servicios"/>
    <s v="02"/>
    <x v="3"/>
    <s v="1501"/>
    <s v="1501. Dirección del área de urbanismo"/>
    <s v="22"/>
    <s v="224"/>
  </r>
  <r>
    <n v="220230011771"/>
    <s v="AD"/>
    <d v="2023-03-29T00:00:00"/>
    <n v="22023003079"/>
    <s v="2023 05 4331 22602"/>
    <n v="1512.5"/>
    <x v="531"/>
    <s v="CONTRATO BASADO PUBLICIDAD RADIO. SEMANA TOUR DEL TALENTO EN VALLADOLID DEL 13 AL 18 DE MARZO DE 2023."/>
    <s v="230"/>
    <s v="VALLADOLID"/>
    <s v="VALLADOLID"/>
    <x v="1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2"/>
    <s v="22602"/>
  </r>
  <r>
    <n v="220230008421"/>
    <s v="ADO"/>
    <d v="2023-03-15T00:00:00"/>
    <n v="22023002869"/>
    <s v="2023 10 2412 224"/>
    <n v="316.12"/>
    <x v="649"/>
    <s v="SEGURO PARA EL CURSO DE CURSO DE ATENCIÓN SOCIOSANITARIA -REALIZADO EN EL JACINTO BENAVENTE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08422"/>
    <s v="ADO"/>
    <d v="2023-03-15T00:00:00"/>
    <n v="22023002870"/>
    <s v="2023 10 2412 224"/>
    <n v="316.13"/>
    <x v="649"/>
    <s v="SEGURO CURSOS TEÓRIC PRÁCTSANIDAD, COCINA, VOLUNT., PELUQUERÍA,  RESTAURANTES Y LIMPIEZA REALIZADOS EN ELJACINTO BENAVEN"/>
    <s v="240"/>
    <s v="MADRID"/>
    <s v="MADRID"/>
    <x v="1"/>
    <s v="AdDirec - Adjudicación Directa"/>
    <s v="SinC - Sin Criterio"/>
    <x v="3"/>
    <x v="0"/>
    <s v="2"/>
    <s v="2. Gastos corrientes en bienes y servicios"/>
    <s v="10"/>
    <x v="1"/>
    <s v="2412"/>
    <s v="2412. Formación para el empleo"/>
    <s v="22"/>
    <s v="224"/>
  </r>
  <r>
    <n v="220230012085"/>
    <s v="D"/>
    <d v="2023-03-30T00:00:00"/>
    <n v="22023001478"/>
    <s v="2023 10 2412 22199"/>
    <n v="1803.27"/>
    <x v="591"/>
    <s v="SUMINISTRO DE MATERIAL, PARA EL CURSO DE PARQUES Y JARDINES DEL CENTRO DE FORMACION PARA ELEMPLEO EN 2023"/>
    <s v="300"/>
    <s v="SANTIAGO DEL ARROYO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890"/>
    <s v="D"/>
    <d v="2023-03-30T00:00:00"/>
    <n v="22023001578"/>
    <s v="2023 11 3111 22199"/>
    <n v="15.91"/>
    <x v="358"/>
    <s v="MAGNETO  SE IK60N C 2P 20A  A9K17220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77"/>
    <s v="D"/>
    <d v="2023-03-30T00:00:00"/>
    <n v="22023002460"/>
    <s v="2023 05 4331 212"/>
    <n v="29.65"/>
    <x v="358"/>
    <s v="MT CANAL LEGRAND 30008    20X12,5 / ANGUL PL LEGRAND 30223"/>
    <s v="300"/>
    <s v="VALLADOLID"/>
    <s v="VALLADOLID"/>
    <x v="3"/>
    <s v="PrAbier - Procedimiento Abierto"/>
    <s v="MultiC - MultiCriterio"/>
    <x v="1"/>
    <x v="0"/>
    <s v="2"/>
    <s v="2. Gastos corrientes en bienes y servicios"/>
    <s v="05"/>
    <x v="7"/>
    <s v="4331"/>
    <s v="4331. Desarrollo empresarial"/>
    <s v="21"/>
    <s v="212"/>
  </r>
  <r>
    <n v="220230012082"/>
    <s v="D"/>
    <d v="2023-03-30T00:00:00"/>
    <n v="22023000268"/>
    <s v="2023 11 1321 213"/>
    <n v="33.86"/>
    <x v="358"/>
    <s v="ACUERDO MARCO. FLUORESCENTE PH TL5 HE 35W/840     63952355 / TASA ECORAEE   (R.DECRETO 208/2005)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3"/>
  </r>
  <r>
    <n v="220230011906"/>
    <s v="D"/>
    <d v="2023-03-30T00:00:00"/>
    <n v="22023000213"/>
    <s v="2023 11 1321 214"/>
    <n v="291.88"/>
    <x v="360"/>
    <s v="ACUERDO MARCO. REPARACIÓN VEHÍCULO 8673LZF 23 97 5548787-ALBARAN23 247 23/02/2023 ESPEJO EXT.IZQ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57"/>
    <s v="D"/>
    <d v="2023-03-30T00:00:00"/>
    <n v="22023001608"/>
    <s v="2023 08 1532 214"/>
    <n v="491.21"/>
    <x v="360"/>
    <s v="TA23 317 REPARACION 9992-FVL KMS.156600  D-M TUBERIAS, SOLTAR TACO MOTOR Y COMPRESOR PARA ACCEDER A CAMBIAR ALTERNADOR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95"/>
    <s v="D"/>
    <d v="2023-03-30T00:00:00"/>
    <n v="22023001608"/>
    <s v="2023 08 1532 214"/>
    <n v="533.94000000000005"/>
    <x v="360"/>
    <s v="TA23 407 REPARACION VA-7568-AK KMS.116198 REVISAR PERDIDAS DE ACEITE POR LA JUNTA DEL CARTER Y POR LA TAPA DE BALANCINES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2068"/>
    <s v="D"/>
    <d v="2023-03-30T00:00:00"/>
    <n v="22023001478"/>
    <s v="2023 10 2412 22199"/>
    <n v="103.63"/>
    <x v="599"/>
    <s v="SUMINISTRO DE SEM.FLORNOVA,SEM.HORTICOLA, SEM. HORTINOVA, BEGONIA, SUSTRATO 100LPARA EL CURSO DE PARQUES YJARDINES IV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412"/>
    <s v="2412. Formación para el empleo"/>
    <s v="22"/>
    <s v="22199"/>
  </r>
  <r>
    <n v="220230011946"/>
    <s v="D"/>
    <d v="2023-03-30T00:00:00"/>
    <n v="22023000273"/>
    <s v="2023 11 1321 22199"/>
    <n v="421.62"/>
    <x v="170"/>
    <s v="ACUERDO MARCO. SUMINISTRO DE MATERIAL PARA PERSONAL AUXILIAR DE GRUA DE LA POLICÍA MUNICIPAL.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2"/>
    <s v="22199"/>
  </r>
  <r>
    <n v="220230011957"/>
    <s v="D"/>
    <d v="2023-03-30T00:00:00"/>
    <n v="22023001578"/>
    <s v="2023 11 3111 22199"/>
    <n v="317.41000000000003"/>
    <x v="170"/>
    <s v="ENTREGAR EN:CENTRO MUNICIPAL DE PROTECCIÓN ANIMALC/ PADRE BERNARDO HOYOS. 6 / BOBINA RAFIA 600 1C 700GRS BLANCO / CAMISO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3111"/>
    <s v="3111. Protección de la salubridad pública"/>
    <s v="22"/>
    <s v="22199"/>
  </r>
  <r>
    <n v="220230012025"/>
    <s v="D"/>
    <d v="2023-03-30T00:00:00"/>
    <n v="22023001549"/>
    <s v="2023 07 1711 22199"/>
    <n v="405.5"/>
    <x v="170"/>
    <s v="Nº DE VALE 1393 / MANGO PICO MADERA 38X900 / TIJERA ROCUT 63 TC / PANTALLA AUTOGENA VERDE / VISOR DE REPUESTO FACY METAL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879"/>
    <s v="D"/>
    <d v="2023-03-30T00:00:00"/>
    <n v="22023000213"/>
    <s v="2023 11 1321 214"/>
    <n v="836.11"/>
    <x v="361"/>
    <s v="ACUERDO MARCO. REPARACIÓN MOTOCICLETA DE POLICÍA MUNICIPAL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7"/>
    <s v="D"/>
    <d v="2023-03-30T00:00:00"/>
    <n v="22023000213"/>
    <s v="2023 11 1321 214"/>
    <n v="635.25"/>
    <x v="361"/>
    <s v="ACUERDO MARCO. REPARACIÓN MOTOCICLETA POLICÍA  9091JPW MÓDULO ABS / PORTE ENVIO Y DEVOLUCIÓN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2009"/>
    <s v="D"/>
    <d v="2023-03-30T00:00:00"/>
    <n v="22023000213"/>
    <s v="2023 11 1321 214"/>
    <n v="167.77"/>
    <x v="361"/>
    <s v="ACUERDO MARCO. REPARACIÓN MOTOCICLETA DE POLICÍA.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882"/>
    <s v="D"/>
    <d v="2023-03-30T00:00:00"/>
    <n v="22023002181"/>
    <s v="2023 06 3232 212"/>
    <n v="580.51"/>
    <x v="381"/>
    <s v="ID: 0033582-CP VICENTE ALEIXANDRE C/D.MORENO / BOMBILLO MCM EAEN: 10-35 B-43123 / BOMBILLO MCM EAEN: 10-35 B-43141 / ID: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232"/>
    <s v="3232. Conservación y mantenimiento centros educación infantil y primaria"/>
    <s v="21"/>
    <s v="212"/>
  </r>
  <r>
    <n v="220230005412"/>
    <s v="AD"/>
    <d v="2023-02-22T00:00:00"/>
    <n v="22023002631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11918"/>
    <s v="D"/>
    <d v="2023-03-30T00:00:00"/>
    <n v="22023001514"/>
    <s v="2023 11 1361 22199"/>
    <n v="24.14"/>
    <x v="217"/>
    <s v="TUERCA SUJECIÓN SDS-CLICK: AMOLADORA//SERVICIO DE EXTINCION DE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1992"/>
    <s v="D"/>
    <d v="2023-03-30T00:00:00"/>
    <n v="22023002182"/>
    <s v="2023 06 3321 212"/>
    <n v="25.63"/>
    <x v="217"/>
    <s v="DOGHER PORTAPUNTAS MAGNETICO ANILLO 200MM 443-200 / COPIA LLAVE NORMAL"/>
    <s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2"/>
    <s v="3321"/>
    <s v="3321. Bibliotecas públicas"/>
    <s v="21"/>
    <s v="212"/>
  </r>
  <r>
    <n v="220230012070"/>
    <s v="D"/>
    <d v="2023-03-30T00:00:00"/>
    <n v="22023001343"/>
    <s v="2023 03 9241 212"/>
    <n v="390.29"/>
    <x v="217"/>
    <s v="COMMENT|+++ CENTRO CIVICO JOSE LUIS MOSQUERA +++ / COMMENT|PEDIDO POR: Mª Ángeles / *TATAY ESCOBILLA WC STANDARD BLANCA"/>
    <s v="300"/>
    <s v="VALLADOLID"/>
    <s v="VALLADOLID"/>
    <x v="3"/>
    <s v="PrAbier - Procedimiento Abierto"/>
    <s v="UniC - Único Criterio"/>
    <x v="1"/>
    <x v="0"/>
    <s v="2"/>
    <s v="2. Gastos corrientes en bienes y servicios"/>
    <s v="03"/>
    <x v="10"/>
    <s v="9241"/>
    <s v="9241. Participación ciudadana"/>
    <s v="21"/>
    <s v="212"/>
  </r>
  <r>
    <n v="220230012093"/>
    <s v="D"/>
    <d v="2023-03-30T00:00:00"/>
    <n v="22023001549"/>
    <s v="2023 07 1711 22199"/>
    <n v="145.19999999999999"/>
    <x v="217"/>
    <s v="CANDADO LINCE 200 40 BL COMBINACION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2"/>
    <s v="D"/>
    <d v="2023-03-30T00:00:00"/>
    <n v="22023001514"/>
    <s v="2023 11 1361 22199"/>
    <n v="349.51"/>
    <x v="557"/>
    <s v="1 PLETINA DE 80X20 S 275 JR ( CORTADA AL MEDIO ) / 1 PLETINA DE 40X15 S 275 JR ( CORTADA AL MEDIO )//EXTINCION INCENDIOS"/>
    <s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2"/>
    <s v="22199"/>
  </r>
  <r>
    <n v="220230012100"/>
    <s v="D"/>
    <d v="2023-03-30T00:00:00"/>
    <n v="22023001607"/>
    <s v="2023 08 1532 210"/>
    <n v="1054.33"/>
    <x v="557"/>
    <s v="REF. PAVIMENTACION VIAS PUBLICAS / TUBO CUADRADO 60X60X2 DD11 / 7 PLACAS 150X150X10 / REF. PAVIMENTACION VIAS PUBLICA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0"/>
  </r>
  <r>
    <n v="220230012016"/>
    <s v="D"/>
    <d v="2023-03-30T00:00:00"/>
    <n v="22023001608"/>
    <s v="2023 08 1532 214"/>
    <n v="2990.58"/>
    <x v="181"/>
    <s v="ALBARAN: AV22/06648 F: 13/12/2022 / REPARACION MARTILLO GBH 11DE / TORNILLO BARRAQUERO DIN 571 8*80 / BATERIA DE LITIO L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1"/>
    <s v="214"/>
  </r>
  <r>
    <n v="220230011931"/>
    <s v="D"/>
    <d v="2023-03-30T00:00:00"/>
    <n v="22023001548"/>
    <s v="2023 07 1711 22106"/>
    <n v="812.71"/>
    <x v="485"/>
    <s v="ROUNDUP ULTRA PLUS (20 L) / VALDOR FLEX (PISTOL FLEX) (500 Grs) / VALDOR FLEX (PISTOL FLEX) (500 Grs) / SIGFITO"/>
    <s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06"/>
  </r>
  <r>
    <n v="220230011706"/>
    <s v="AD"/>
    <d v="2023-03-29T00:00:00"/>
    <n v="22023003662"/>
    <s v="2023 05 4312 22199"/>
    <n v="53.52"/>
    <x v="604"/>
    <s v="SUSTITUCION EN 2023 DE LAS UNIDADES HIGIENICAS AZULES EN C/ HOSTIEROS, S/N"/>
    <s v="220"/>
    <s v="SAN FERNANDO DE HENARES"/>
    <s v="MADRID"/>
    <x v="1"/>
    <s v="AdDirec - Adjudicación Directa"/>
    <s v="SinC - Sin Criterio"/>
    <x v="3"/>
    <x v="0"/>
    <s v="2"/>
    <s v="2. Gastos corrientes en bienes y servicios"/>
    <s v="05"/>
    <x v="7"/>
    <s v="4312"/>
    <s v="4312. Mercados, abastos y lonjas"/>
    <s v="22"/>
    <s v="22199"/>
  </r>
  <r>
    <n v="220230012023"/>
    <s v="D"/>
    <d v="2023-03-30T00:00:00"/>
    <n v="22023001549"/>
    <s v="2023 07 1711 22199"/>
    <n v="4365.8999999999996"/>
    <x v="181"/>
    <s v="ALBARAN: AV23/00970 F: 22/02/2023 / BROCA SDS-PLUS MX4 6*100*165 / BARRITA ARREGLATODO BLANCA PATTEX / RASTRILLO 5 PUNTA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1920"/>
    <s v="D"/>
    <d v="2023-03-30T00:00:00"/>
    <n v="22023001513"/>
    <s v="2023 11 1361 214"/>
    <n v="1517.74"/>
    <x v="464"/>
    <s v="CUBIERTA NUEVA (365/85R20 CONTINENTAL HCS MPT/ECO TASA/JUNTA TORICA MICHELIN 20&quot;&quot;// MATR. 0095-DWZ//EXTINCION INCENDIOS"/>
    <s v="300"/>
    <s v="VALLADOLID"/>
    <s v="VALLADOLID"/>
    <x v="1"/>
    <s v="PrAbier - Procedimiento Abierto"/>
    <s v="MultiC - MultiCriterio"/>
    <x v="1"/>
    <x v="0"/>
    <s v="2"/>
    <s v="2. Gastos corrientes en bienes y servicios"/>
    <s v="11"/>
    <x v="6"/>
    <s v="1361"/>
    <s v="1361. Prevención y extinción de incencios"/>
    <s v="21"/>
    <s v="214"/>
  </r>
  <r>
    <n v="220230012097"/>
    <s v="D"/>
    <d v="2023-03-30T00:00:00"/>
    <n v="22023000270"/>
    <s v="2023 11 1321 214"/>
    <n v="262.44"/>
    <x v="466"/>
    <s v="ACUERDO MARCO. SUMINISTRO DE MATERIAL PARA TALLER DE REPARACIÓN DE VEHÍCULOS."/>
    <s v="300"/>
    <s v="PALENCIA"/>
    <s v="PALENCIA"/>
    <x v="3"/>
    <s v="PrAbier - Procedimiento Abierto"/>
    <s v="MultiC - MultiCriterio"/>
    <x v="1"/>
    <x v="0"/>
    <s v="2"/>
    <s v="2. Gastos corrientes en bienes y servicios"/>
    <s v="11"/>
    <x v="6"/>
    <s v="1321"/>
    <s v="1321. Policía municipal"/>
    <s v="21"/>
    <s v="214"/>
  </r>
  <r>
    <n v="220230011989"/>
    <s v="D"/>
    <d v="2023-03-30T00:00:00"/>
    <n v="22023001468"/>
    <s v="2023 10 2312 212"/>
    <n v="8.64"/>
    <x v="467"/>
    <s v="MANT. SUMINISTRO DE  TIRAFONDO SPAX 4,5*20 L 150U.PARA EL CENTRO OCUPACIONAL- INICIATIVAS SOCIALES"/>
    <s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1"/>
    <s v="2312"/>
    <s v="2312. Iniciativas sociales"/>
    <s v="21"/>
    <s v="212"/>
  </r>
  <r>
    <n v="220230011927"/>
    <s v="D"/>
    <d v="2023-03-30T00:00:00"/>
    <n v="22023001549"/>
    <s v="2023 07 1711 22199"/>
    <n v="13.54"/>
    <x v="517"/>
    <s v="CIERRE DE PALANCA TLE.Z-15/52+R 420091 CINCADO / CIERRE DE PALANCA TLF.Z-24/138-150+R / REMACHE ALUMINIO 4.8X10"/>
    <s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4"/>
    <s v="1711"/>
    <s v="1711. Parques y jardines"/>
    <s v="22"/>
    <s v="22199"/>
  </r>
  <r>
    <n v="220230012102"/>
    <s v="D"/>
    <d v="2023-03-30T00:00:00"/>
    <n v="22023001610"/>
    <s v="2023 08 1532 204"/>
    <n v="422.53"/>
    <x v="759"/>
    <s v="HORAS DE CAMION DUMPER RETIRANDO PODA Y ESCOMBROS EN CAMINO DE HORNILLOS"/>
    <s v="300"/>
    <s v="VALLADOLID"/>
    <s v="VALLADOLID"/>
    <x v="3"/>
    <s v="PrAbier - Procedimiento Abierto"/>
    <s v="MultiC - MultiCriterio"/>
    <x v="1"/>
    <x v="0"/>
    <s v="2"/>
    <s v="2. Gastos corrientes en bienes y servicios"/>
    <s v="08"/>
    <x v="0"/>
    <s v="1532"/>
    <s v="1532. Pavimentación vias públicas y otros servicios urbanísticos"/>
    <s v="20"/>
    <s v="204"/>
  </r>
  <r>
    <n v="220230012861"/>
    <s v="AD"/>
    <d v="2023-03-31T00:00:00"/>
    <n v="22023002398"/>
    <s v="2023 11 1621 641"/>
    <n v="252244.76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1"/>
  </r>
  <r>
    <n v="220230012861"/>
    <s v="AD"/>
    <d v="2023-03-31T00:00:00"/>
    <n v="22023002397"/>
    <s v="2023 11 1621 640"/>
    <n v="99999.24"/>
    <x v="760"/>
    <s v="CONTRATO SISTEMAS DE INFORMACIÓN Y GESTIÓN PARA EL SERVICIO DE LIMPIEZA"/>
    <s v="220"/>
    <s v="CARTAGENA"/>
    <s v="MURCIA"/>
    <x v="1"/>
    <s v="PrAbier - Procedimiento Abierto"/>
    <s v="MultiC - MultiCriterio"/>
    <x v="0"/>
    <x v="0"/>
    <s v="6"/>
    <s v="6. Inversiones reales"/>
    <s v="11"/>
    <x v="6"/>
    <s v="1621"/>
    <s v="1621. Servicio de limpieza"/>
    <s v="64"/>
    <s v="640"/>
  </r>
  <r>
    <n v="220230012856"/>
    <s v="AD"/>
    <d v="2023-03-31T00:00:00"/>
    <n v="22023003677"/>
    <s v="2023 05 4331 22799"/>
    <n v="3039.52"/>
    <x v="405"/>
    <s v="SERVICIOS DE CATERING Y SOPORTE EN LA PREPARACIÓN DE LA SALA Y MATERIAL. REUNION REVISION DEL PROYECTO URBAN GREEN UP"/>
    <s v="220"/>
    <s v="VALLADOLID"/>
    <s v="VALLADOLID"/>
    <x v="1"/>
    <s v="AdDirec - Adjudicación Directa"/>
    <s v="SinC - Sin Criterio"/>
    <x v="3"/>
    <x v="0"/>
    <s v="2"/>
    <s v="2. Gastos corrientes en bienes y servicios"/>
    <s v="05"/>
    <x v="7"/>
    <s v="4331"/>
    <s v="4331. Desarrollo empresarial"/>
    <s v="22"/>
    <s v="22799"/>
  </r>
  <r>
    <n v="220230012872"/>
    <s v="AD"/>
    <d v="2023-03-31T00:00:00"/>
    <n v="22023003689"/>
    <s v="2023 06 2315 22611"/>
    <n v="205.7"/>
    <x v="761"/>
    <s v="DISEÑO, MAQUETACIÓN INFORME SOBRE VIOLENCIA DE SUSTITUCIÓN / DURANTE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5"/>
    <s v="2315. Políticas de Igualdad e infancia"/>
    <s v="22"/>
    <s v="22611"/>
  </r>
  <r>
    <n v="220230012854"/>
    <s v="AD"/>
    <d v="2023-03-31T00:00:00"/>
    <n v="22023003446"/>
    <s v="2023 11 3111 22199"/>
    <n v="3000"/>
    <x v="762"/>
    <s v="ADQUISICION MICROCHIPS, CERTIFICADOS, CARTILLAS Y DOCUMENTACION OFICIAL PARA LOS ANIMALES DEL C.M.P.A."/>
    <s v="220"/>
    <s v="VALLADOLID"/>
    <s v="VALLADOLID"/>
    <x v="3"/>
    <s v="AdDirec - Adjudicación Directa"/>
    <s v="SinC - Sin Criterio"/>
    <x v="3"/>
    <x v="0"/>
    <s v="2"/>
    <s v="2. Gastos corrientes en bienes y servicios"/>
    <s v="11"/>
    <x v="6"/>
    <s v="3111"/>
    <s v="3111. Protección de la salubridad pública"/>
    <s v="22"/>
    <s v="22199"/>
  </r>
  <r>
    <n v="220230006732"/>
    <s v="AD"/>
    <d v="2023-03-01T00:00:00"/>
    <n v="22023002524"/>
    <s v="2023 10 2316 22616"/>
    <n v="834.9"/>
    <x v="763"/>
    <s v="CREACIÓN IMAGEN ADAPTATIVA JORNADAS SOBRE DERECHOS HUMANOS, INMIGRACIÓN Y MINORÍAS. FEB A DIC  2023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58"/>
    <s v="AD"/>
    <d v="2023-03-31T00:00:00"/>
    <n v="22023003561"/>
    <s v="2023 01 9207 22602"/>
    <n v="1815"/>
    <x v="553"/>
    <s v="AM 2021/37 ADJUDICA PROMOCIÓN CONCIERTO MARCHAS PROCESIONES DE ESCUELA MÚSICA 'MARIANO DE LAS HERAS'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8"/>
    <s v="9207"/>
    <s v="9207. Gobierno y relaciones"/>
    <s v="22"/>
    <s v="22602"/>
  </r>
  <r>
    <n v="220230012860"/>
    <s v="D"/>
    <d v="2023-03-31T00:00:00"/>
    <n v="22023002273"/>
    <s v="2023 08 1532 619"/>
    <n v="55354.63"/>
    <x v="194"/>
    <s v="ontrol de calidad de obras del contrato de conservación, reparación y reforma de las infraestructuras viarias, lote 2"/>
    <s v="300"/>
    <s v="ZARATAN"/>
    <s v="VALLADOLID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12859"/>
    <s v="D"/>
    <d v="2023-03-31T00:00:00"/>
    <n v="22023002272"/>
    <s v="2023 08 1532 619"/>
    <n v="39264.5"/>
    <x v="749"/>
    <s v="Control de calidad de obras del contrato de conservación, reparación y reforma de las infraestructuras viarias, lote 1"/>
    <s v="300"/>
    <s v="CASTELLANOS DE MORISCOS"/>
    <s v="SALAMANCA"/>
    <x v="1"/>
    <s v="PrAbier - Procedimiento Abierto"/>
    <s v="MultiC - MultiCriterio"/>
    <x v="1"/>
    <x v="0"/>
    <s v="6"/>
    <s v="6. Inversiones reales"/>
    <s v="08"/>
    <x v="0"/>
    <s v="1532"/>
    <s v="1532. Pavimentación vias públicas y otros servicios urbanísticos"/>
    <s v="61"/>
    <s v="619"/>
  </r>
  <r>
    <n v="220230008946"/>
    <s v="AD"/>
    <d v="2023-03-17T00:00:00"/>
    <n v="22023003141"/>
    <s v="2023 10 2316 22616"/>
    <n v="381.15"/>
    <x v="763"/>
    <s v="DISEÑO Y MAQ. DIPTICOS Y ACTUALIZACION Y MAQ. PROGRAMACION - LEY IGUALDAD TRATO- JORNADAS CONTRA DISCRIMINACION 21 MARZO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12862"/>
    <s v="AD"/>
    <d v="2023-03-31T00:00:00"/>
    <n v="22023003045"/>
    <s v="2023 10 2316 22616"/>
    <n v="435.6"/>
    <x v="763"/>
    <s v="CREACIÓN CARTEL Y LEMA XX SEMANA INTERCULTURAL Y ADAPTACIONES A VARIOS FORMATOS. FOLLETOS CON LA IMAGEN PARA DIFUSIÓN."/>
    <s v="220"/>
    <s v="VALLADOLID"/>
    <s v="VALLADOLID"/>
    <x v="1"/>
    <s v="AdDirec - Adjudicación Directa"/>
    <s v="SinC - Sin Criterio"/>
    <x v="3"/>
    <x v="0"/>
    <s v="2"/>
    <s v="2. Gastos corrientes en bienes y servicios"/>
    <s v="10"/>
    <x v="1"/>
    <s v="2316"/>
    <s v="2316. Mediación comunitaria"/>
    <s v="22"/>
    <s v="22616"/>
  </r>
  <r>
    <n v="220230002584"/>
    <s v="AD"/>
    <d v="2023-02-08T00:00:00"/>
    <n v="22023001672"/>
    <s v="2023 01 9206 22001"/>
    <n v="32190.68"/>
    <x v="764"/>
    <s v="SUSCRIPCIÓN ANUAL A VARIAS BASES DE DATOS Y REVISTAS DIGITALES (EL CONSULTOR Y LA LEY),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2857"/>
    <s v="AD"/>
    <d v="2023-03-31T00:00:00"/>
    <n v="22023003491"/>
    <s v="2023 01 9206 22001"/>
    <n v="283.79000000000002"/>
    <x v="764"/>
    <s v="COMPLEMENTO PARA SUSCRIPCIONES ANUALES BASES DE DATOS LA LEY, EL CONSULTOR Y PORTAL DE REVISTAS. AÑO 2023."/>
    <s v="220"/>
    <s v="LAS ROZAS"/>
    <s v="MADRID"/>
    <x v="3"/>
    <s v="AdDirec - Adjudicación Directa"/>
    <s v="SinC - Sin Criterio"/>
    <x v="3"/>
    <x v="0"/>
    <s v="2"/>
    <s v="2. Gastos corrientes en bienes y servicios"/>
    <s v="01"/>
    <x v="8"/>
    <s v="9206"/>
    <s v="9206. Archivo municipal"/>
    <s v="22"/>
    <s v="22001"/>
  </r>
  <r>
    <n v="220230011722"/>
    <s v="AD"/>
    <d v="2023-03-29T00:00:00"/>
    <n v="22023003555"/>
    <s v="2023 06 2314 22613"/>
    <n v="1161.5999999999999"/>
    <x v="765"/>
    <s v="ALQUILER, TRANSPORTE, MONTAJE Y DESMONTAJE ESCENARIO HORA DEL PLANETA DIA 25 DE MARZO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2314"/>
    <s v="2314. Centro de programas juveniles"/>
    <s v="22"/>
    <s v="22613"/>
  </r>
  <r>
    <n v="220230001945"/>
    <s v="AD"/>
    <d v="2023-02-03T00:00:00"/>
    <n v="22023001399"/>
    <s v="2023 11 1321 213"/>
    <n v="2301"/>
    <x v="766"/>
    <s v="SUSTITUCIÓN PIEZAS Y REPARACIÓN MANGUERA, PISTOLAS, ETC. DE LAS HIDROLIMPIADORAS."/>
    <s v="220"/>
    <s v="VALLADOLID"/>
    <s v="VALLADOLID"/>
    <x v="1"/>
    <s v="AdDirec - Adjudicación Directa"/>
    <s v="SinC - Sin Criterio"/>
    <x v="3"/>
    <x v="0"/>
    <s v="2"/>
    <s v="2. Gastos corrientes en bienes y servicios"/>
    <s v="11"/>
    <x v="6"/>
    <s v="1321"/>
    <s v="1321. Policía municipal"/>
    <s v="21"/>
    <s v="213"/>
  </r>
  <r>
    <n v="220229000921"/>
    <s v="AD"/>
    <d v="2023-01-01T00:00:00"/>
    <n v="22023002192"/>
    <s v="2023 02 9332 213"/>
    <n v="5323.03"/>
    <x v="398"/>
    <s v="PRÓRROGA CONTRATO MANTENIMIENTO ASCENSORES LOTE III.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3"/>
    <s v="9332"/>
    <s v="9332. Mantenimiento de edificios e instalaciones municipales"/>
    <s v="21"/>
    <s v="213"/>
  </r>
  <r>
    <n v="220230012855"/>
    <s v="AD"/>
    <d v="2023-03-31T00:00:00"/>
    <n v="22023003676"/>
    <s v="2023 07 1701 22699"/>
    <n v="1503.37"/>
    <x v="747"/>
    <s v="RENOVACIÓN PÓLIZA COLECTIVOS (ACCIDENTES) SEGURO HUERTOS URBANOS. 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7"/>
    <x v="4"/>
    <s v="1701"/>
    <s v="1701. Dirección del área de medio ambiente"/>
    <s v="22"/>
    <s v="22699"/>
  </r>
  <r>
    <n v="220230003014"/>
    <s v="AD"/>
    <d v="2023-02-13T00:00:00"/>
    <n v="22023002401"/>
    <s v="2023 06 3321 223"/>
    <n v="500"/>
    <x v="767"/>
    <s v="CTTO SERVICIOS DE ENVÍO Y REPARTO DE LIBROS A LAS BIBLIOTECAS MUNICIPALES//AÑO 20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3"/>
  </r>
  <r>
    <n v="220230002640"/>
    <s v="AD"/>
    <d v="2023-02-09T00:00:00"/>
    <n v="22023002178"/>
    <s v="2023 06 3321 22001"/>
    <n v="1004.4"/>
    <x v="768"/>
    <s v="CTTO SUMINISTRO SUSCRIPCIÓN VARIAS REVISTAS DE ZINET MEDIA GLOBAL S.L PARA BIBLIOTECAS PÚBLICAS//AÑO 2023"/>
    <s v="220"/>
    <s v="MADRID"/>
    <s v="MADRID"/>
    <x v="3"/>
    <s v="AdDirec - Adjudicación Directa"/>
    <s v="SinC - Sin Criterio"/>
    <x v="3"/>
    <x v="0"/>
    <s v="2"/>
    <s v="2. Gastos corrientes en bienes y servicios"/>
    <s v="06"/>
    <x v="2"/>
    <s v="3321"/>
    <s v="3321. Bibliotecas públicas"/>
    <s v="22"/>
    <s v="22001"/>
  </r>
  <r>
    <n v="220229000439"/>
    <s v="AD"/>
    <d v="2023-01-01T00:00:00"/>
    <n v="22023001184"/>
    <s v="2023 06 3261 22799"/>
    <n v="8640"/>
    <x v="769"/>
    <s v="GESTIÓN TALLERES TECNOLÓGICOS CURSO 22/23, PERIODO DEL 1/1/23 AL 31/5/23"/>
    <s v="220"/>
    <s v="VALLADOLID"/>
    <s v="VALLADOLID"/>
    <x v="1"/>
    <s v="AdDirec - Adjudicación Directa"/>
    <s v="SinC - Sin Criterio"/>
    <x v="3"/>
    <x v="0"/>
    <s v="2"/>
    <s v="2. Gastos corrientes en bienes y servicios"/>
    <s v="06"/>
    <x v="2"/>
    <s v="3261"/>
    <s v="3261. Servicios complementarios de educación"/>
    <s v="22"/>
    <s v="22799"/>
  </r>
  <r>
    <n v="220229000903"/>
    <s v="AD"/>
    <d v="2023-01-01T00:00:00"/>
    <n v="22023002127"/>
    <s v="2023 04 9202 641"/>
    <n v="80000"/>
    <x v="770"/>
    <s v="EXPEDIENTE DE APLICACION DE  GESTION INTEGRAL DE RECURSOS HUMANOS 2021/2024 - AÑOS 23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0067879"/>
    <s v="AD"/>
    <d v="2023-03-29T00:00:00"/>
    <n v="22022008441"/>
    <s v="2023 04 9202 641"/>
    <n v="188864.7"/>
    <x v="770"/>
    <s v="EXPEDIENTE DE APLICACION DE  GESTION INTEGRAL DE RECURSOS HUMANOS 2021/2024 - AÑOS 22/24."/>
    <s v="220"/>
    <s v="DERIO"/>
    <s v="VIZCAYA"/>
    <x v="4"/>
    <s v="PrAbier - Procedimiento Abierto"/>
    <s v="MultiC - MultiCriterio"/>
    <x v="0"/>
    <x v="0"/>
    <s v="6"/>
    <s v="6. Inversiones reales"/>
    <s v="04"/>
    <x v="5"/>
    <s v="9202"/>
    <s v="9202. Gestión de recursos humanos"/>
    <s v="64"/>
    <s v="641"/>
  </r>
  <r>
    <n v="220229000120"/>
    <s v="AD"/>
    <d v="2023-01-01T00:00:00"/>
    <n v="22023000892"/>
    <s v="2023 02 9331 224"/>
    <n v="179986.12"/>
    <x v="771"/>
    <s v="EXPTE.70/2021 PS1. PRÓRROGA SEGURO RESP. CIVIL DEL 01/02/2023 AL 31/07/2023. ACUERDO MARCO FEMP. AYTO VALLADOLID."/>
    <s v="220"/>
    <s v="BARCELONA"/>
    <s v="BARCELONA"/>
    <x v="4"/>
    <s v="PrAbier - Procedimiento Abierto"/>
    <s v="MultiC - MultiCriterio"/>
    <x v="1"/>
    <x v="0"/>
    <s v="2"/>
    <s v="2. Gastos corrientes en bienes y servicios"/>
    <s v="02"/>
    <x v="3"/>
    <s v="9331"/>
    <s v="9331. Gestión del patrimonio"/>
    <s v="22"/>
    <s v="224"/>
  </r>
  <r>
    <n v="220230012867"/>
    <s v="AD"/>
    <d v="2023-03-31T00:00:00"/>
    <n v="22023003607"/>
    <s v="2023 01 9207 22602"/>
    <n v="3630"/>
    <x v="531"/>
    <s v="ADJUDICA CONTRATO COLABORAR EN PROGRAMA RADIO NACIONAL POR CONGRESO DEPORTE INCLUSIVO - DIFUSION ACTIV. DEPORTE CIUDAD"/>
    <s v="220"/>
    <s v="VALLADOLID"/>
    <s v="VALLADOLID"/>
    <x v="1"/>
    <s v="AdDirec - Adjudicación Directa"/>
    <s v="SinC - Sin Criterio"/>
    <x v="3"/>
    <x v="0"/>
    <s v="2"/>
    <s v="2. Gastos corrientes en bienes y servicios"/>
    <s v="01"/>
    <x v="8"/>
    <s v="9207"/>
    <s v="9207. Gobierno y relaciones"/>
    <s v="22"/>
    <s v="22602"/>
  </r>
  <r>
    <n v="220220012871"/>
    <s v="AD"/>
    <d v="2023-04-21T00:00:00"/>
    <n v="22022002070"/>
    <s v="2023 04 9204 641"/>
    <n v="8927.17"/>
    <x v="107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2"/>
    <x v="1"/>
    <s v="6"/>
    <s v="6. Inversiones reales"/>
    <s v="04"/>
    <x v="5"/>
    <s v="9204"/>
    <s v="9204. Tecnologías de la información y comunicación"/>
    <s v="64"/>
    <s v="641"/>
  </r>
  <r>
    <n v="220230013720"/>
    <s v="AD"/>
    <d v="2023-04-11T00:00:00"/>
    <n v="22023000211"/>
    <s v="2023 10 2311 22799"/>
    <n v="6855250.46"/>
    <x v="1"/>
    <s v="PRORROGA LOTE 1 SAD-DE ABRIL A AGOSTO- UTE SAD AYTO VALLADOLID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0057"/>
    <s v="AD"/>
    <d v="2023-05-11T00:00:00"/>
    <n v="22023003455"/>
    <s v="2023 08 1651 22100"/>
    <n v="2270000"/>
    <x v="23"/>
    <s v="Contrato de energía eléctrica para alumbrado público."/>
    <s v="220"/>
    <s v="BILBAO"/>
    <s v="VIZCAYA"/>
    <x v="3"/>
    <s v="PrAbier - Procedimiento Abierto"/>
    <s v="MultiC - MultiCriterio"/>
    <x v="0"/>
    <x v="1"/>
    <s v="2"/>
    <s v="2. Gastos corrientes en bienes y servicios"/>
    <s v="08"/>
    <x v="0"/>
    <s v="1651"/>
    <s v="1651. Alumbrado público"/>
    <s v="22"/>
    <s v="22100"/>
  </r>
  <r>
    <n v="220230018793"/>
    <s v="D"/>
    <d v="2023-05-09T00:00:00"/>
    <n v="22023002188"/>
    <s v="2023 07 1711 610"/>
    <n v="790513.7"/>
    <x v="772"/>
    <s v="CONTRATACIÓN CONSERVACIÓN Y MEJORA INFRAESTRUCTURAS VERDES DE LAS ZONAS CENTRO Y NORTE. LOTE 2 (ZONA NORTE) V.34/2022."/>
    <s v="300"/>
    <s v="MADRID"/>
    <s v="MADRID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8792"/>
    <s v="D"/>
    <d v="2023-05-09T00:00:00"/>
    <n v="22023002188"/>
    <s v="2023 07 1711 610"/>
    <n v="780949.62"/>
    <x v="773"/>
    <s v="CONTRATACIÓN CONSERVACIÓN Y MEJORA INFRAESTRUCTURAS VERDES DE LAS ZONAS CENTRO Y NORTE. LOTE 1 (ZONA CENTRO) V.34/2022."/>
    <s v="300"/>
    <s v="MURCIA"/>
    <s v="MURCI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6598"/>
    <s v="D"/>
    <d v="2023-04-27T00:00:00"/>
    <n v="22023001967"/>
    <s v="2023 02 1511 619"/>
    <n v="740950.6"/>
    <x v="774"/>
    <s v="URBANIZACIÓN CAMINO VIEJO SIMANCAS (SOLO OBRA) -TRAMO 1 (EXPTE. 17/2022)."/>
    <s v="300"/>
    <s v="CARBAJOSA DE LA SAGRADA"/>
    <s v="SALAMANCA"/>
    <x v="2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1"/>
    <s v="619"/>
  </r>
  <r>
    <n v="220230021924"/>
    <s v="AD"/>
    <d v="2023-05-18T00:00:00"/>
    <n v="22023002417"/>
    <s v="2023 04 9321 641"/>
    <n v="74750.55"/>
    <x v="63"/>
    <s v="Prórroga contrato mantenimiento aplicaciones informáticas GTWIN para GESTIÓN DE INGRESOS (13 mayo a 31 diciembre 2023)"/>
    <s v="220"/>
    <s v="BARCELONA"/>
    <s v="BARCELON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30013364"/>
    <s v="AD"/>
    <d v="2023-04-04T00:00:00"/>
    <n v="22023003591"/>
    <s v="2023 08 1532 619"/>
    <n v="48311.67"/>
    <x v="52"/>
    <s v="Adecuación instalación riego del PARQUE MEDIODIA en PARQUESOL, entorno del ascensor ladera este.-"/>
    <s v="220"/>
    <s v="VALLADOLID"/>
    <s v="VALLADOLID"/>
    <x v="2"/>
    <s v="AdDirec - Adjudicación Directa"/>
    <s v="SinC - Sin Criterio"/>
    <x v="3"/>
    <x v="1"/>
    <s v="6"/>
    <s v="6. Inversiones reales"/>
    <s v="08"/>
    <x v="0"/>
    <s v="1532"/>
    <s v="1532. Pavimentación vias públicas y otros servicios urbanísticos"/>
    <s v="61"/>
    <s v="619"/>
  </r>
  <r>
    <n v="220230016836"/>
    <s v="AD"/>
    <d v="2023-05-02T00:00:00"/>
    <n v="22023003839"/>
    <s v="2023 11 1621 212"/>
    <n v="32104.98"/>
    <x v="97"/>
    <s v="PUESTA EN MARCHA DE DOS PLATAFORMAS DE CONTENEDORES SOTERRADOS EN PLAZA SAN ANDRES. SERVICIO DE LIMPIEZA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13365"/>
    <s v="AD"/>
    <d v="2023-04-04T00:00:00"/>
    <n v="22023003613"/>
    <s v="2023 06 3232 212"/>
    <n v="47872.44"/>
    <x v="775"/>
    <s v="CTTO DE OBRAS PINTURA CEIP FEDERICO GARCÍA LORCA Y PLANTA 1º AULAS Y BAÑOS CEIP PONCE DE LEÓN. PLZ EJECUCIÓN: 30 DÍAS"/>
    <s v="220"/>
    <s v="VALLADOLID"/>
    <s v="VALLADOLID"/>
    <x v="2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583"/>
    <s v="AD"/>
    <d v="2023-04-27T00:00:00"/>
    <n v="22023001380"/>
    <s v="2023 08 1341 22799"/>
    <n v="373709.03"/>
    <x v="0"/>
    <s v="MODIFICACIÓN CONTRATO GESTIÓN ORA"/>
    <s v="220"/>
    <s v="MADRID"/>
    <s v="MADRID"/>
    <x v="0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14494"/>
    <s v="ADO"/>
    <d v="2023-04-24T00:00:00"/>
    <n v="22023003595"/>
    <s v="2023 02 9331 224"/>
    <n v="12853.2"/>
    <x v="56"/>
    <s v="SEGURO FLOTA VEHÍCULOS - REGULARIZACIÓN PERÍODO: 05-02-2022 AL 05-08-2022"/>
    <s v="240"/>
    <s v="GETXO"/>
    <s v="VIZCAYA"/>
    <x v="1"/>
    <s v="PrAbier - Procedimiento Abierto"/>
    <s v="MultiC - MultiCriterio"/>
    <x v="0"/>
    <x v="1"/>
    <s v="2"/>
    <s v="2. Gastos corrientes en bienes y servicios"/>
    <s v="02"/>
    <x v="3"/>
    <s v="9331"/>
    <s v="9331. Gestión del patrimonio"/>
    <s v="22"/>
    <s v="224"/>
  </r>
  <r>
    <n v="220230026600"/>
    <s v="ADO"/>
    <d v="2023-05-31T00:00:00"/>
    <n v="22023004615"/>
    <s v="2023 10 2312 22706"/>
    <n v="3630"/>
    <x v="472"/>
    <s v="PROYECTO DE DECORACIÓN, AMUEBLAMIENTO Y EQUIPAMIENTO DEL CENTRO DE PERSONAS MAYORES &quot;&quot;PARQUESOL&quot;&quot; VALLADOLID. FINALIZACIÓN"/>
    <s v="24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06"/>
  </r>
  <r>
    <n v="220220073357"/>
    <s v="AD"/>
    <d v="2023-04-21T00:00:00"/>
    <n v="22022005711"/>
    <s v="2023 10 2312 625"/>
    <n v="326022.40000000002"/>
    <x v="776"/>
    <s v="Suministro equipamiento CPM Parquesol"/>
    <s v="220"/>
    <s v="VALLADOLID"/>
    <s v="VALLADOLID"/>
    <x v="3"/>
    <s v="PrAbier - Procedimiento Abierto"/>
    <s v="MultiC - MultiCriterio"/>
    <x v="0"/>
    <x v="1"/>
    <s v="6"/>
    <s v="6. Inversiones reales"/>
    <s v="10"/>
    <x v="1"/>
    <s v="2312"/>
    <s v="2312. Iniciativas sociales"/>
    <s v="62"/>
    <s v="625"/>
  </r>
  <r>
    <n v="220230022348"/>
    <s v="AD"/>
    <d v="2023-05-19T00:00:00"/>
    <n v="22023002360"/>
    <s v="2023 04 9321 641"/>
    <n v="235950"/>
    <x v="63"/>
    <s v="SUMINISTRO E IMPLANTACIÓN DEL SISTEMA DE GESTIÓN DE INGRESOS Y RECAUDACIÓN 2023-LOTE 1"/>
    <s v="230"/>
    <s v="BARCELONA"/>
    <s v="BARCELON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20027205"/>
    <s v="AD"/>
    <d v="2023-04-21T00:00:00"/>
    <n v="22022002023"/>
    <s v="2023 1050 2312 641"/>
    <n v="232435.71"/>
    <x v="42"/>
    <s v="L1-ADJUDICACION-SIST.ACCESIBLE D GESTION ENVEJEC.ACTIVO EN CPMS-FONDOS RECUP.TRANSF.Y RESILIENCIA C22.I2.P5.-COTESA"/>
    <s v="220"/>
    <s v="BOECILLO"/>
    <s v="VALLADOLID"/>
    <x v="5"/>
    <s v="PrAbier - Procedimiento Abierto"/>
    <s v="MultiC - MultiCriterio"/>
    <x v="0"/>
    <x v="1"/>
    <n v="6"/>
    <s v="6. Inversiones reales"/>
    <s v="10"/>
    <x v="1"/>
    <s v="0 23"/>
    <n v="3212"/>
    <n v="64"/>
    <n v="641"/>
  </r>
  <r>
    <n v="220230021925"/>
    <s v="AD"/>
    <d v="2023-05-18T00:00:00"/>
    <n v="22023003760"/>
    <s v="2023 0550 4312 632"/>
    <n v="206806.97"/>
    <x v="59"/>
    <s v="MODIFICADO DEL CONTRATO DE REMODELACION GALERIAS ALIMENTACION RONDILLA DE SANTA TERESA EXPT.SE_9_2021"/>
    <s v="220"/>
    <s v="PEREIRO DE AGUIAR"/>
    <s v="OURENSE"/>
    <x v="2"/>
    <s v="PrAbier - Procedimiento Abierto"/>
    <s v="UniC - Único Criterio"/>
    <x v="0"/>
    <x v="1"/>
    <n v="6"/>
    <s v="6. Inversiones reales"/>
    <s v="05"/>
    <x v="7"/>
    <s v="0 43"/>
    <n v="4312"/>
    <n v="63"/>
    <n v="632"/>
  </r>
  <r>
    <n v="220230025404"/>
    <s v="AD"/>
    <d v="2023-05-26T00:00:00"/>
    <n v="22023004569"/>
    <s v="2023 01 9206 22706"/>
    <n v="40250"/>
    <x v="128"/>
    <s v="PRÓRROGA CONTRATO SERVICIO APOYO GESTIÓN ARCHIVO MUNICIPAL, EXPTE. AMVA 03/2023. DE 01/07/2023 A 31/12/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01"/>
    <x v="8"/>
    <s v="9206"/>
    <s v="9206. Archivo municipal"/>
    <s v="22"/>
    <s v="22706"/>
  </r>
  <r>
    <n v="220220068142"/>
    <s v="AD"/>
    <d v="2023-04-21T00:00:00"/>
    <n v="22022008223"/>
    <s v="2023 10 2312 632"/>
    <n v="38404.31"/>
    <x v="644"/>
    <s v="REFORMA CARPINTERIA DE LOS TRES ACCESOS DEL CPM PUENTE COLGANTE"/>
    <s v="220"/>
    <s v="VALLADOLID"/>
    <s v="VALLADOLID"/>
    <x v="2"/>
    <s v="AdDirec - Adjudicación Directa"/>
    <s v="SinC - Sin Criterio"/>
    <x v="3"/>
    <x v="1"/>
    <s v="6"/>
    <s v="6. Inversiones reales"/>
    <s v="10"/>
    <x v="1"/>
    <s v="2312"/>
    <s v="2312. Iniciativas sociales"/>
    <s v="63"/>
    <s v="632"/>
  </r>
  <r>
    <n v="220230016026"/>
    <s v="AD"/>
    <d v="2023-04-26T00:00:00"/>
    <n v="22023004179"/>
    <s v="2023 02 9332 632"/>
    <n v="3099.19"/>
    <x v="95"/>
    <s v="E.SEGURIDAD Y SALUD PROY. REHABILITACIÓN ANTIGUA FÁBRICA AZUCARERA SANTA VICTORIA."/>
    <s v="220"/>
    <s v="VALLADOLID"/>
    <s v="VALLADOLID"/>
    <x v="1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20799"/>
    <s v="AD"/>
    <d v="2023-05-16T00:00:00"/>
    <n v="22023004492"/>
    <s v="2023 03 9241 22706"/>
    <n v="14.69"/>
    <x v="95"/>
    <s v="ESTUDIOS PREVIOS DE SEGURIDAD Y SALUD PARA LA PRÓXIMA OBRA DE ASEOS PLANTA SÓTANO DEL CC JOSÉ LUIS MOSQUER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06"/>
  </r>
  <r>
    <n v="220230025237"/>
    <s v="AD"/>
    <d v="2023-05-25T00:00:00"/>
    <n v="22023004543"/>
    <s v="2023 04 9202 22799"/>
    <n v="653.4"/>
    <x v="119"/>
    <s v="DISPOSITIVO FÍSICO CAPTURA HUELLA PARA FICHAJE EN EL AYUNTAMIENTO.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799"/>
  </r>
  <r>
    <n v="220230020512"/>
    <s v="AD"/>
    <d v="2023-05-12T00:00:00"/>
    <n v="22023003762"/>
    <s v="2023 10 2312 22799"/>
    <n v="3200"/>
    <x v="777"/>
    <s v="prorroga  1/7 a 31/12-L 3 prog.reduccion  riesgos  colect.vulnerables-aclad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0786"/>
    <s v="AD"/>
    <d v="2023-05-16T00:00:00"/>
    <n v="22023004433"/>
    <s v="2023 10 2312 22615"/>
    <n v="1275"/>
    <x v="777"/>
    <s v="PREVENCION CONSUMO DROGAS EL 23 DE JUNIO EN LA ZONA DE MORERAS, ROSALEDA, ETC....PLAN DE DROGA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21938"/>
    <s v="AD"/>
    <d v="2023-05-18T00:00:00"/>
    <n v="22023004519"/>
    <s v="2023 10 2312 22615"/>
    <n v="500"/>
    <x v="777"/>
    <s v="ACTIVIDAD DE PREVENCION DE DROGAS  EN COLABORACIONCON EL CONSEJO DE LA JUVENTUD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3384"/>
    <s v="AD"/>
    <d v="2023-04-04T00:00:00"/>
    <n v="22023003735"/>
    <s v="2023 11 1621 213"/>
    <n v="423.52"/>
    <x v="778"/>
    <s v="REVISIÓN ANUAL DE COLUMNAS DE ELEVACIÓN DE VEHÍCULOS FINKBEINER EHB. NÚMEROS DE SERIE: 40880 81 82 83. Sº DE LIMPIEZA"/>
    <s v="220"/>
    <s v="TERRASSA"/>
    <s v="BARCELONA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6858"/>
    <s v="AD"/>
    <d v="2023-05-02T00:00:00"/>
    <n v="22023004262"/>
    <s v="2023 10 2311 212"/>
    <n v="411.4"/>
    <x v="265"/>
    <s v="ACTUACIONES PARA DESATRANQUE DESDE BAJANTE GENERAL EN VIVIENDA SOCIAL EN CALLE VILLANCICO 1º 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2"/>
  </r>
  <r>
    <n v="220230016604"/>
    <s v="AD"/>
    <d v="2023-04-27T00:00:00"/>
    <n v="22023003144"/>
    <s v="2023 07 1701 22799"/>
    <n v="11670.45"/>
    <x v="779"/>
    <s v="Elaboración censo de edificaciones cubiertas de amianto en Valladolid. Plazo: 2 meses.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99"/>
  </r>
  <r>
    <n v="220230015946"/>
    <s v="AD"/>
    <d v="2023-04-26T00:00:00"/>
    <n v="22023003936"/>
    <s v="2023 03 9241 22609"/>
    <n v="550"/>
    <x v="780"/>
    <s v="ACTUACIÓN DE ALICORNIO EL DÍA 14/06/23 DENTRO DEL PROGRAMA EN JUNIO LA ESGUEVA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0531"/>
    <s v="AD"/>
    <d v="2023-05-12T00:00:00"/>
    <n v="22023004363"/>
    <s v="2023 07 1721 22799"/>
    <n v="5445"/>
    <x v="781"/>
    <s v="REALIZACION CALCULO DE HUELLA DE CO2 Y COMPENSACION DE 25 PYMES"/>
    <s v="220"/>
    <s v="PONTEVEDRA"/>
    <s v="PONTEVEDRA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20541"/>
    <s v="AD"/>
    <d v="2023-05-12T00:00:00"/>
    <n v="22023004398"/>
    <s v="2023 11 1321 22199"/>
    <n v="3542.29"/>
    <x v="782"/>
    <s v="REPOSICIÓN DE ELEMENTOS DEL GIMNASIO DE LA POLICÍA MUNICIPAL."/>
    <s v="220"/>
    <s v="GRIÑON"/>
    <s v="MADR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0798"/>
    <s v="AD"/>
    <d v="2023-05-16T00:00:00"/>
    <n v="22023004491"/>
    <s v="2023 06 3232 212"/>
    <n v="3630"/>
    <x v="383"/>
    <s v="SUMINISTRO MATERIAL PARA LOS BAÑOS Y COCINAS DE COLEGIOS PUBLICOS.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2642"/>
    <s v="AD"/>
    <d v="2023-05-22T00:00:00"/>
    <n v="22023004617"/>
    <s v="2023 06 3231 212"/>
    <n v="1000"/>
    <x v="383"/>
    <s v="SUMINISTRO DE MATERIAL PARA LOS BAÑOS Y LAS COCINAS DE LAS ESCUELAS INFANTILES MUNICIPALES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2"/>
  </r>
  <r>
    <n v="220230013748"/>
    <s v="AD"/>
    <d v="2023-04-11T00:00:00"/>
    <n v="22023001404"/>
    <s v="2023 0250 9332 632"/>
    <n v="960.66"/>
    <x v="132"/>
    <s v="CONTROL CALIDAD OBRA &quot;&quot;EXCAVACIÓN ARQUEOLÓGICA EN PATIO CENTRAL DEL MONASTERIO SAN BENITO EN VALLADOLID&quot;&quot;."/>
    <s v="220"/>
    <s v="SANT CUGAT DEL VALLES"/>
    <s v="BARCELONA"/>
    <x v="1"/>
    <s v="PrAbier - Procedimiento Abierto"/>
    <s v="MultiC - MultiCriterio"/>
    <x v="1"/>
    <x v="1"/>
    <n v="6"/>
    <s v="6. Inversiones reales"/>
    <s v="02"/>
    <x v="3"/>
    <s v="0 93"/>
    <n v="9332"/>
    <n v="63"/>
    <n v="632"/>
  </r>
  <r>
    <n v="220230013382"/>
    <s v="AD"/>
    <d v="2023-04-04T00:00:00"/>
    <n v="22023003731"/>
    <s v="2023 02 9332 212"/>
    <n v="127.05"/>
    <x v="383"/>
    <s v="Suministro de mecanismo válvula Fluxor para fuente a instalar en Casa Consistorial"/>
    <s v="22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20065894"/>
    <s v="AD"/>
    <d v="2023-04-21T00:00:00"/>
    <n v="22022008102"/>
    <s v="2023 10 2312 632"/>
    <n v="5257.95"/>
    <x v="783"/>
    <s v="SUMINISTRO E INSTALACION DE PUERTA CORREDERA  CORTAFUEGOS DEL CPM ZONA ESTE"/>
    <s v="220"/>
    <s v="BOADILLA DEL MONTE"/>
    <s v="MADRID"/>
    <x v="3"/>
    <s v="AdDirec - Adjudicación Directa"/>
    <s v="SinC - Sin Criterio"/>
    <x v="3"/>
    <x v="1"/>
    <s v="6"/>
    <s v="6. Inversiones reales"/>
    <s v="10"/>
    <x v="1"/>
    <s v="2312"/>
    <s v="2312. Iniciativas sociales"/>
    <s v="63"/>
    <s v="632"/>
  </r>
  <r>
    <n v="220220076539"/>
    <s v="AD"/>
    <d v="2023-04-21T00:00:00"/>
    <n v="22022004797"/>
    <s v="2023 1050 2313 641"/>
    <n v="169800"/>
    <x v="784"/>
    <s v="TRANSFORMACION DIGITAL DE LOS SERVICIOS DE ATENCION SOAL A LAS PERSONAS-convenio con JCYL financiado xFONDOS PRTR-"/>
    <s v="220"/>
    <s v="MADRID"/>
    <s v="MADRID"/>
    <x v="1"/>
    <s v="PrAbier - Procedimiento Abierto"/>
    <s v="MultiC - MultiCriterio"/>
    <x v="0"/>
    <x v="1"/>
    <n v="6"/>
    <s v="6. Inversiones reales"/>
    <s v="10"/>
    <x v="1"/>
    <s v="0 23"/>
    <n v="2313"/>
    <n v="64"/>
    <n v="641"/>
  </r>
  <r>
    <n v="220230015094"/>
    <s v="AD"/>
    <d v="2023-04-25T00:00:00"/>
    <n v="22023003818"/>
    <s v="2023 03 9241 22609"/>
    <n v="550"/>
    <x v="707"/>
    <s v="ACTUACIÓN DE LA HUERTA SIN PUERTA EN CENTRO PENITENCIARIO VILLANUBLA EL 22/04/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103"/>
    <s v="AD"/>
    <d v="2023-04-25T00:00:00"/>
    <n v="22023003873"/>
    <s v="2023 10 2312 22615"/>
    <n v="477.95"/>
    <x v="709"/>
    <s v="SUMINISTRO DE PINS METALICOS PARA ACTIVIDAD DEL PLAN DE DROGAS  QUE COLABORA  CON AR-VA EN SU  50 ANIVERSARIO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5939"/>
    <s v="AD"/>
    <d v="2023-04-26T00:00:00"/>
    <n v="22023004091"/>
    <s v="2023 02 9332 632"/>
    <n v="1778.58"/>
    <x v="706"/>
    <s v="TRABAJO REPARACIÓN CUBIERTA DE ZINC EN ARCHIVO MUNICIPAL DETECT. TRAS INSPEC. DEL MISMO, A FINALES AÑO 2022."/>
    <s v="220"/>
    <s v="PONFERRADA"/>
    <s v="LEON"/>
    <x v="2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13752"/>
    <s v="D"/>
    <d v="2023-04-11T00:00:00"/>
    <n v="22022008399"/>
    <s v="2023 03 9241 633"/>
    <n v="139141.10999999999"/>
    <x v="785"/>
    <s v="SUMINISTRO E INSTALACIÓN SISTEMA CLIMATIZACIÓN TEATRO CANTERAC CC DELICIAS"/>
    <s v="300"/>
    <s v="BULLAS"/>
    <s v="MURCIA"/>
    <x v="5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3"/>
  </r>
  <r>
    <n v="220230018881"/>
    <s v="ADO"/>
    <d v="2023-05-10T00:00:00"/>
    <n v="22023003214"/>
    <s v="2023 07 1711 610"/>
    <n v="1976.63"/>
    <x v="132"/>
    <s v="OPA - FRA. F/2023/24 - FECHA 03/01/2023 - OBRA PLAZA CAMPIÑA DEL CARMEN. CONTROL DE CALIDAD."/>
    <s v="240"/>
    <s v="SANT CUGAT DEL VALLES"/>
    <s v="BARCELONA"/>
    <x v="1"/>
    <s v="AdDirec - Adjudicación Directa"/>
    <s v="SinC - Sin Criterio"/>
    <x v="3"/>
    <x v="1"/>
    <s v="6"/>
    <s v="6. Inversiones reales"/>
    <s v="07"/>
    <x v="4"/>
    <s v="1711"/>
    <s v="1711. Parques y jardines"/>
    <s v="61"/>
    <s v="610"/>
  </r>
  <r>
    <n v="220220027204"/>
    <s v="AD"/>
    <d v="2023-04-21T00:00:00"/>
    <n v="22022002027"/>
    <s v="2023 1050 2313 641"/>
    <n v="115841.49"/>
    <x v="35"/>
    <s v="L2-ADJUDID.TRANSF.DIGITAL GESTION Y AT.PERS.AL SIST.SERV.SOC.-FONDOS RECUP.TRANSF.Y RESILIENCIA- C22.I2.P5-GETRONICS"/>
    <s v="220"/>
    <s v="BOECILLO"/>
    <s v="VALLADOLID"/>
    <x v="1"/>
    <s v="PrAbier - Procedimiento Abierto"/>
    <s v="MultiC - MultiCriterio"/>
    <x v="0"/>
    <x v="1"/>
    <n v="6"/>
    <s v="6. Inversiones reales"/>
    <s v="10"/>
    <x v="1"/>
    <s v="0 23"/>
    <n v="2313"/>
    <n v="64"/>
    <n v="641"/>
  </r>
  <r>
    <n v="220230022629"/>
    <s v="AD"/>
    <d v="2023-05-22T00:00:00"/>
    <n v="22023004606"/>
    <s v="2023 05 4331 22699"/>
    <n v="1534.58"/>
    <x v="405"/>
    <s v="GESTION DE EVENTO, CATERING Y VISITA TECNICOS EN EL MARCO CICLO CAPACITACION C2_TRANS1, DENTRO DEL PROYECTO PROSPECT+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5940"/>
    <s v="AD"/>
    <d v="2023-04-26T00:00:00"/>
    <n v="22023003884"/>
    <s v="2023 0250 9332 632"/>
    <n v="14360.85"/>
    <x v="472"/>
    <s v="C.BASADO RED PYTO REHABILITACIÓN ENERGÉTICA CASA CONSISTORIAL Y REAJUSTE DE ANUALIDADES PYTO Y DIREC OBRA 2023."/>
    <s v="220"/>
    <s v="VALLADOLID"/>
    <s v="VALLADOLID"/>
    <x v="1"/>
    <s v="PrAbier - Procedimiento Abierto"/>
    <s v="MultiC - MultiCriterio"/>
    <x v="1"/>
    <x v="1"/>
    <n v="6"/>
    <s v="6. Inversiones reales"/>
    <s v="02"/>
    <x v="3"/>
    <s v="0 93"/>
    <n v="9332"/>
    <n v="63"/>
    <n v="632"/>
  </r>
  <r>
    <n v="220230016007"/>
    <s v="AD"/>
    <d v="2023-04-26T00:00:00"/>
    <n v="22023004115"/>
    <s v="2023 06 2314 22613"/>
    <n v="2057"/>
    <x v="786"/>
    <s v="TALLER IMPRESIÓN 3D ESPACIO JOVEN NORTE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5364"/>
    <s v="AD"/>
    <d v="2023-04-25T00:00:00"/>
    <n v="22023003904"/>
    <s v="2023 10 2412 22106"/>
    <n v="100"/>
    <x v="787"/>
    <s v="PRODUCTOS SOCIOSANITARIOS PARA EL CURSO DE VALLADOLID CUIDA VI DEL CENTRO DE FORMACION PARA EL EMPLEO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06"/>
  </r>
  <r>
    <n v="220230015102"/>
    <s v="AD"/>
    <d v="2023-04-25T00:00:00"/>
    <n v="22023003872"/>
    <s v="2023 06 2315 22611"/>
    <n v="4719"/>
    <x v="788"/>
    <s v="ACTUACION ZORRILLA¿S FEST 23 ANIBAL GOMEZ CORTIJO / 24 JUNIO"/>
    <s v="220"/>
    <s v="VILLANUEVA DE LA JARA"/>
    <s v="CUENCA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110"/>
    <s v="AD"/>
    <d v="2023-04-25T00:00:00"/>
    <n v="22023003860"/>
    <s v="2023 01 9203 203"/>
    <n v="508.81"/>
    <x v="789"/>
    <s v="ALQUILER DE MATERIAL Y ASISTENCIA TECNICA PREGON SEMANA SANTA 2023. R.I.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0"/>
    <s v="203"/>
  </r>
  <r>
    <n v="220230024863"/>
    <s v="AD"/>
    <d v="2023-05-24T00:00:00"/>
    <n v="22023004680"/>
    <s v="2023 04 9209 625"/>
    <n v="2326.83"/>
    <x v="790"/>
    <s v="ADQUISICIÓN DE MOBILIARIO CON DESTINO AL DEPARTAMENTO DE PATRIMONIO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25393"/>
    <s v="AD"/>
    <d v="2023-05-26T00:00:00"/>
    <n v="22023004681"/>
    <s v="2023 04 9209 625"/>
    <n v="1645.6"/>
    <x v="790"/>
    <s v="ADQUISICIÓN DE MOBILIARIO CON DESTINO A LA SECCIÓN DE GOBIERNO Y ACTAS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13387"/>
    <s v="D"/>
    <d v="2023-04-04T00:00:00"/>
    <n v="22022005397"/>
    <s v="2023 08 1532 619"/>
    <n v="209.95"/>
    <x v="166"/>
    <s v="Control de calidad de las obras de remodelación de la avenida Reyes Católicos en Valladolid (expediente 1/2022,LOTE 1)"/>
    <s v="300"/>
    <s v="MALAGA"/>
    <s v="MALAGA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8625"/>
    <s v="D"/>
    <d v="2023-05-09T00:00:00"/>
    <n v="22023001549"/>
    <s v="2023 07 1711 22199"/>
    <n v="3907.33"/>
    <x v="591"/>
    <s v="SACO SUBSTRATO BF4 70L EN ( Prop. 1    EIN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549"/>
    <s v="D"/>
    <d v="2023-05-09T00:00:00"/>
    <n v="22023001473"/>
    <s v="2023 11 1631 214"/>
    <n v="789.49"/>
    <x v="97"/>
    <s v="RACOR UNION 10MM / RACOR UNION 6 Y 8MM / ABRAZADERA 08 - 16 / LATIGUILLO SOBRE...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87"/>
    <s v="D"/>
    <d v="2023-04-27T00:00:00"/>
    <n v="22023001462"/>
    <s v="2023 11 1621 214"/>
    <n v="2183.23"/>
    <x v="418"/>
    <s v="VEHÍCULO VA-38306-VE // FILTRO ACEITE MANN*** / FILTRO COMBUSTIBLE MANN / FILTR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09"/>
    <s v="D"/>
    <d v="2023-04-27T00:00:00"/>
    <n v="22023001462"/>
    <s v="2023 11 1621 214"/>
    <n v="188.18"/>
    <x v="418"/>
    <s v="LAMPARA BOSCH 12V 1,2W S/CASQUILLO / BATERIA AD PLUS+ 12V 45/300AMP +DRE / (O) REGU.../ V36/2017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70"/>
    <s v="D"/>
    <d v="2023-04-27T00:00:00"/>
    <n v="22023001514"/>
    <s v="2023 11 1361 22199"/>
    <n v="150.91"/>
    <x v="418"/>
    <s v="LAMPARA BOSCH 24V 5W S/CASQUILLO / MINIFUS PP 10A / RET.AUX. MB ATEGO-AXOR(04-10) TÚRM.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8541"/>
    <s v="D"/>
    <d v="2023-05-09T00:00:00"/>
    <n v="22023001462"/>
    <s v="2023 11 1621 214"/>
    <n v="2737.17"/>
    <x v="418"/>
    <s v="FILTRO ACEITE MANN/FILTRO COMBUSTIBLE MANN/FILTRO COMBUSTIBLE MANN/FILTRO AIR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502"/>
    <s v="D"/>
    <d v="2023-05-31T00:00:00"/>
    <n v="22023004052"/>
    <s v="2023 11 1621 214"/>
    <n v="2387.3200000000002"/>
    <x v="418"/>
    <s v="BATERIA AD 230/1150AMP CAMIÓN +IZQ / PERFIL PUERTA UNIVERSAL PVC / FILTRO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62"/>
    <s v="D"/>
    <d v="2023-04-27T00:00:00"/>
    <n v="22023000263"/>
    <s v="2023 02 9332 214"/>
    <n v="63.98"/>
    <x v="791"/>
    <s v="OA REVISION VEHICULO  MATRICULA 8775LWS / OS EX-RP FILTRO DEL HABITACULO / ......................... / 1 7711238974 - LA"/>
    <s v="300"/>
    <s v="ARROYO DE LA ENCOMIENDA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452"/>
    <s v="D"/>
    <d v="2023-05-09T00:00:00"/>
    <n v="22023001956"/>
    <s v="2023 07 1711 214"/>
    <n v="911.88"/>
    <x v="791"/>
    <s v="OA REVISION VEHICULO  MATRICULA 8235HST / OA DES-MT 2 NEUMATICO TRASEROS / OA SU BATERIA 12 V / OS CONS-DES CIRCUITO ALI"/>
    <s v="300"/>
    <s v="ARROYO DE LA ENCOMIENDA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796"/>
    <s v="D"/>
    <d v="2023-05-09T00:00:00"/>
    <n v="22023002310"/>
    <s v="2023 07 1711 22799"/>
    <n v="144950.66"/>
    <x v="773"/>
    <s v="CONTRATACIÓN CONSERVACIÓN Y MEJORA DE LAS INFRAESTRUCTURAS VERDES DE ZONAS CENTRO Y NORTE. LOTE 1 ZONA CENTRO V.34/2022."/>
    <s v="300"/>
    <s v="MURCIA"/>
    <s v="MURCIA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30020467"/>
    <s v="AD"/>
    <d v="2023-05-11T00:00:00"/>
    <n v="22023004259"/>
    <s v="2023 08 1532 22706"/>
    <n v="4669.6499999999996"/>
    <x v="132"/>
    <s v="A.T. LOTE 2 para Estudio Geotécnico de implantación de ascensor urbano en la C/ Veleta de Valladolid.-"/>
    <s v="220"/>
    <s v="SANT CUGAT DEL VALLES"/>
    <s v="BARCELONA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2"/>
    <s v="22706"/>
  </r>
  <r>
    <n v="220220076570"/>
    <s v="AD"/>
    <d v="2023-04-21T00:00:00"/>
    <n v="22022007456"/>
    <s v="2023 10 2312 631"/>
    <n v="3446.65"/>
    <x v="132"/>
    <s v="SERV.CONTROL CALIDAD.OBRAS DE REPARAC.Y REFORMA INFRAEST.ZONA AJARDINADAS CPM PARQUESOL-V.6/2020 PS42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20048067"/>
    <s v="AD"/>
    <d v="2023-04-21T00:00:00"/>
    <n v="22022005416"/>
    <s v="2023 10 2312 632"/>
    <n v="704.63"/>
    <x v="132"/>
    <s v="CONTROL DE CALIDAD OBRAS CPMS L1:Z.ESTE 163.16-L2:RONDILLA 325.07-L3: PTE.COLG 541.47-BUREAU VERITAS-CONTRATO BASADO AM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2"/>
  </r>
  <r>
    <n v="220230020516"/>
    <s v="AD"/>
    <d v="2023-05-12T00:00:00"/>
    <n v="22023004116"/>
    <s v="2023 11 3111 22106"/>
    <n v="18150"/>
    <x v="129"/>
    <s v="CONTRATO SUMINISTRO MEDICAMENTOS Y MATERIAL FUJNGILE PARA CENTRO MUNICIPAL DE PROTECCION ANIMAL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18148"/>
    <s v="AD"/>
    <d v="2023-05-08T00:00:00"/>
    <n v="22023003405"/>
    <s v="2023 06 3232 212"/>
    <n v="3260"/>
    <x v="678"/>
    <s v="CONTRATACIÓN DE MAQUINARIA ESCABADORA, DUMPER Y LOS TRANSPORTES PARA REPARACIONES DE TUBERIAS Y SOLADOS. AMPLIACION"/>
    <s v="220"/>
    <s v="VALDESTILLAS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5967"/>
    <s v="AD"/>
    <d v="2023-04-26T00:00:00"/>
    <n v="22023003992"/>
    <s v="2023 03 9241 212"/>
    <n v="919.6"/>
    <x v="678"/>
    <s v="SUM. MATERIALES DE CONSTRUCCIÓN PARA REPARACIÓN DE ESCALERAS CC JM LUELMO REALIZADA POR MANTENIMIENTO"/>
    <s v="220"/>
    <s v="VALDESTILLAS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6603"/>
    <s v="AD"/>
    <d v="2023-04-27T00:00:00"/>
    <n v="22023003028"/>
    <s v="2023 07 1701 22799"/>
    <n v="16637.5"/>
    <x v="792"/>
    <s v="DINAMIZACIÓN Y COMUNICACIÓN DE LA ACTIVIDAD MENSUAL DEL ECOMERCADO. PLAZO: 6 MESES"/>
    <s v="220"/>
    <s v="HERNAN PÉREZ"/>
    <s v="CACERES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99"/>
  </r>
  <r>
    <n v="220220048067"/>
    <s v="AD"/>
    <d v="2023-04-21T00:00:00"/>
    <n v="22022005417"/>
    <s v="2023 10 2312 632"/>
    <n v="325.07"/>
    <x v="132"/>
    <s v="CONTROL DE CALIDAD OBRAS CPMS L1:Z.ESTE 163.16-L2:RONDILLA 325.07-L3: PTE.COLG 541.47-BUREAU VERITAS-CONTRATO BASADO AM"/>
    <s v="220"/>
    <s v="SANT CUGAT DEL VALLES"/>
    <s v="BARCELONA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2"/>
  </r>
  <r>
    <n v="220230022622"/>
    <s v="AD/"/>
    <d v="2023-05-22T00:00:00"/>
    <n v="22023003676"/>
    <s v="2023 07 1701 22699"/>
    <n v="-1503.37"/>
    <x v="747"/>
    <s v="ANULACIÓN OPERACIÓN ANTERIOR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699"/>
  </r>
  <r>
    <n v="220230021932"/>
    <s v="AD"/>
    <d v="2023-05-18T00:00:00"/>
    <n v="22023004546"/>
    <s v="2023 03 9241 213"/>
    <n v="253.27"/>
    <x v="130"/>
    <s v="SUM. DE MATERIALES PARA REPARACIONES URGENTES EN ASCENSORES CC ZONA SUR, LAS FLORES Y LA OVERUELA"/>
    <s v="220"/>
    <s v="VIGO"/>
    <s v="PONTEVEDRA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3750"/>
    <s v="AD"/>
    <d v="2023-04-11T00:00:00"/>
    <n v="22023003807"/>
    <s v="2023 10 2312 213"/>
    <n v="292.82"/>
    <x v="131"/>
    <s v="REPARACION DEL ASCENSOR DEL CENTRO DE VIDA ACTIVA DE  DELICIAS EN 2023- INICITIVAS SOCIALES 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0785"/>
    <s v="AD"/>
    <d v="2023-05-16T00:00:00"/>
    <n v="22023004406"/>
    <s v="2023 10 2312 213"/>
    <n v="218.63"/>
    <x v="131"/>
    <s v="SUMINISTRO  PARA REPARACION ( RELE ELCTRONICO) DEL ASCENSOR DEL CPM LA VICTORIA EN  2023- INICIATIVA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6203"/>
    <s v="D"/>
    <d v="2023-05-31T00:00:00"/>
    <n v="22023003935"/>
    <s v="2023 07 1711 619"/>
    <n v="2281.9499999999998"/>
    <x v="793"/>
    <s v="ACER CAMPESTRIS CT1L / ACER MONSPESSULANUM CT1,2L / ACER PSEUDOPLATANUS CT1L / AMYGDALUS COMMUNIS CT1,2L / BETULA ALBA C"/>
    <s v="300"/>
    <s v="CABEZON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5101"/>
    <s v="AD"/>
    <d v="2023-04-25T00:00:00"/>
    <n v="22023003862"/>
    <s v="2023 10 2312 213"/>
    <n v="169.32"/>
    <x v="131"/>
    <s v="SUMINISTRO DE PLAFON DE METACRILATO PARA EL ASCENSOR DEL CVA PUENTE COLGANTE- DURA 1 DIA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15995"/>
    <s v="AD/"/>
    <d v="2023-04-26T00:00:00"/>
    <n v="22023001263"/>
    <s v="2023 10 2312 213"/>
    <n v="-1759.84"/>
    <x v="131"/>
    <s v="Mantenimiento de los elevadores dependientes del Servicio de Iniciativas Sociales CPMS Transferidos durante el 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15095"/>
    <s v="AD"/>
    <d v="2023-04-25T00:00:00"/>
    <n v="22023003819"/>
    <s v="2023 03 9241 22609"/>
    <n v="500"/>
    <x v="281"/>
    <s v="LA FLOR DEL ROMERO, ACTUACIÓN EN CENTRO PENITENCIARIO VILLANUBLA 06/05/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4878"/>
    <s v="AD"/>
    <d v="2023-05-24T00:00:00"/>
    <n v="22023004567"/>
    <s v="2023 07 1701 22706"/>
    <n v="11979"/>
    <x v="794"/>
    <s v="ORGANIZACIÓN DE ACTIVIDADES RELACIONADAS CON EL MEDIO DE EL DÍA DE LA TIERRA. PLAZO: 1 SEMANA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706"/>
  </r>
  <r>
    <n v="220230015358"/>
    <s v="AD"/>
    <d v="2023-04-25T00:00:00"/>
    <n v="22023003888"/>
    <s v="2023 09 3341 22602"/>
    <n v="1500"/>
    <x v="795"/>
    <s v="PATROCINIO FESTIVAL DE CORTOMETRAJES &quot;&quot;LA FILA&quot;&quot; DEL 17 AL 22 DE ABRIL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2"/>
  </r>
  <r>
    <n v="220230016847"/>
    <s v="AD"/>
    <d v="2023-05-02T00:00:00"/>
    <n v="22023004159"/>
    <s v="2023 10 2312 22612"/>
    <n v="1818"/>
    <x v="796"/>
    <s v="CHARLAS INFORMATIVAS Y CATAS DE CHOCOLATE DE COMERCIO JUSTO PARA LOS CVA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5948"/>
    <s v="AD"/>
    <d v="2023-04-26T00:00:00"/>
    <n v="22023003939"/>
    <s v="2023 03 9241 22609"/>
    <n v="450"/>
    <x v="797"/>
    <s v="EN CLAVE DE SON: ACTUACIÓN EN CIC CONDE ANSÚREZ, EL DÍA 9/05/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57"/>
    <s v="AD"/>
    <d v="2023-04-26T00:00:00"/>
    <n v="22023003970"/>
    <s v="2023 10 2316 22616"/>
    <n v="1736.5"/>
    <x v="622"/>
    <s v="ORGANIZACIÓN Y CELEBRACIÓN CONCIERTO DE MÚSICA TRAD.MEXICANA - GRUPO ALMA DE CUERDAS- 30-4-23- 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23"/>
    <s v="AD/"/>
    <d v="2023-05-22T00:00:00"/>
    <n v="22023002982"/>
    <s v="2023 03 9241 22609"/>
    <n v="-500"/>
    <x v="595"/>
    <s v="ANULAR// EL CALABACÍN ERRANTE: CUENTA CUENTOS EN CM LA OVERUELA EL DÍA 26/03/2023. MFS"/>
    <s v="220"/>
    <s v="TUDELA DE DUER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2979"/>
    <s v="AD"/>
    <d v="2023-04-03T00:00:00"/>
    <n v="22023003721"/>
    <s v="2023 06 3321 22001"/>
    <n v="50"/>
    <x v="798"/>
    <s v="CTTO SUMINISTRO SUSCRIPCIÓN DOBLE REVISTA KIWI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5947"/>
    <s v="AD"/>
    <d v="2023-04-26T00:00:00"/>
    <n v="22023003938"/>
    <s v="2023 03 9241 22609"/>
    <n v="1000"/>
    <x v="799"/>
    <s v="VOCES DEL PISUERGA: ACTUACIONES EN EL CC PARQUESOL (19/05/23) Y EN EL CC BAILARÍN VICENTE ESCUDERO (29/06/23)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69"/>
    <s v="AD"/>
    <d v="2023-04-26T00:00:00"/>
    <n v="22023004020"/>
    <s v="2023 06 2315 22611"/>
    <n v="675"/>
    <x v="800"/>
    <s v="ESPECTACULO CIRCO INFANTIL EN EL CENTRO MUNICIPAL DE LA IGUALDAD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24"/>
    <s v="AD"/>
    <d v="2023-04-26T00:00:00"/>
    <n v="22023004173"/>
    <s v="2023 02 9332 632"/>
    <n v="3670.26"/>
    <x v="132"/>
    <s v="ESTUDIO GEOTECNICO EN EL TEATRO LOPE DE VEGA (LOTE 2)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9332"/>
    <s v="9332. Mantenimiento de edificios e instalaciones municipales"/>
    <s v="63"/>
    <s v="632"/>
  </r>
  <r>
    <n v="220230016866"/>
    <s v="AD"/>
    <d v="2023-05-02T00:00:00"/>
    <n v="22023004182"/>
    <s v="2023 02 9332 632"/>
    <n v="366.5"/>
    <x v="132"/>
    <s v="ACUERDO BASADO C.CALIDAD(LOTE 2) PROY.REHABILITACIÓN ANTIGUA FÁBRICA AZUCARERA SANTA VICTORIA.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9332"/>
    <s v="9332. Mantenimiento de edificios e instalaciones municipales"/>
    <s v="63"/>
    <s v="632"/>
  </r>
  <r>
    <n v="220230020488"/>
    <s v="AD"/>
    <d v="2023-05-12T00:00:00"/>
    <n v="22023004203"/>
    <s v="2023 02 1511 609"/>
    <n v="15900.16"/>
    <x v="132"/>
    <s v="CONTROL CALIDAD (LOTE 2) PADRE CLARET"/>
    <s v="220"/>
    <s v="SANT CUGAT DEL VALLES"/>
    <s v="BARCELONA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20056"/>
    <s v="AD"/>
    <d v="2023-05-11T00:00:00"/>
    <n v="22023004199"/>
    <s v="2023 02 1511 609"/>
    <n v="11063.42"/>
    <x v="166"/>
    <s v="CONTROL CALIDAD (LOTE 1) PADRE CLARET"/>
    <s v="220"/>
    <s v="MALAGA"/>
    <s v="MALAGA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16000"/>
    <s v="AD"/>
    <d v="2023-04-26T00:00:00"/>
    <n v="22023004092"/>
    <s v="2023 06 2314 22613"/>
    <n v="1500"/>
    <x v="596"/>
    <s v="STAND PARA XIV EDICION DE COLECCIONISMO DE VALLADOLI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6205"/>
    <s v="D"/>
    <d v="2023-05-31T00:00:00"/>
    <n v="22023003935"/>
    <s v="2023 07 1711 619"/>
    <n v="127.71"/>
    <x v="793"/>
    <s v="OLEA EUROPEA / QUERCUS ILEX / AMYGDALUS COMMUNIS"/>
    <s v="300"/>
    <s v="CABEZON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6605"/>
    <s v="AD"/>
    <d v="2023-04-27T00:00:00"/>
    <n v="22023003779"/>
    <s v="2023 06 3261 22799"/>
    <n v="56430"/>
    <x v="801"/>
    <s v="EXPTE. SE 20/2022 P.S. 1 PRORROGA CONTRATO PROGRAMA &quot;&quot;COMPARTIENDO EN VERANO 2022&quot;&quot; Julio y agosto 2023"/>
    <s v="220"/>
    <s v="VALLADOLID"/>
    <s v="VALLADOLID"/>
    <x v="1"/>
    <s v="PrAbier - Procedimiento Abierto"/>
    <s v="UniC - Único Criterio"/>
    <x v="0"/>
    <x v="1"/>
    <s v="2"/>
    <s v="2. Gastos corrientes en bienes y servicios"/>
    <s v="06"/>
    <x v="2"/>
    <s v="3261"/>
    <s v="3261. Servicios complementarios de educación"/>
    <s v="22"/>
    <s v="22799"/>
  </r>
  <r>
    <n v="220220040651"/>
    <s v="AD"/>
    <d v="2023-04-21T00:00:00"/>
    <n v="22021004735"/>
    <s v="2023 04 9204 626"/>
    <n v="50164.78"/>
    <x v="54"/>
    <s v="SUSTITUCIÓN EQUIPAMIENTO OBSOLETO ÁREAS WIFI Y REUNIFICACIÓN ACCESOS (67/2021) (PARA CONSUMIR REMANENTE INCORPORADO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2"/>
    <s v="626"/>
  </r>
  <r>
    <n v="220220076569"/>
    <s v="AD"/>
    <d v="2023-04-21T00:00:00"/>
    <n v="22022007454"/>
    <s v="2023 10 2312 631"/>
    <n v="110372.27"/>
    <x v="47"/>
    <s v="OBRAS DE REPARACION Y REFORMA DE INFRAESTRUCTURAS EN ZONAS AJARDINADAS-CPM PARQUESOL (ACUERDO MARCO)-V.6/2020"/>
    <s v="220"/>
    <s v="PONTEVEDRA"/>
    <s v="PONTEVEDRA"/>
    <x v="2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30015360"/>
    <s v="AD"/>
    <d v="2023-04-25T00:00:00"/>
    <n v="22023003898"/>
    <s v="2023 11 1631 22700"/>
    <n v="193.44"/>
    <x v="802"/>
    <s v="DESRATIZACIÓN DE LAS INSTALACIONES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16010"/>
    <s v="AD"/>
    <d v="2023-04-26T00:00:00"/>
    <n v="22023004124"/>
    <s v="2023 06 3232 212"/>
    <n v="7260"/>
    <x v="479"/>
    <s v="SUMINISTRO DE MATERIALES PARA REPARACIONES EN LOS COLEGIOS PUBLICOS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3634"/>
    <s v="AD"/>
    <d v="2023-04-10T00:00:00"/>
    <n v="22023003508"/>
    <s v="2023 05 4331 22799"/>
    <n v="18149.990000000002"/>
    <x v="347"/>
    <s v="SERVICIOS DE CELADURÍA EN LA AGENCIA DE INNOVACIÓN Y DESARROLLO ECONÓMICO DE 21 DE MARZO DE 2023 A 31 DE JULIO DE 2023."/>
    <s v="220"/>
    <s v="SEVILLA"/>
    <s v="SEVILL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4862"/>
    <s v="AD"/>
    <d v="2023-05-24T00:00:00"/>
    <n v="22023004669"/>
    <s v="2023 05 4331 609"/>
    <n v="653.4"/>
    <x v="803"/>
    <s v="CONTRATO MENOR DE OBRAS DE INSTALACIÓN DE FUENTE. CALLE PADRE JOSE ACOSTA A LA ALTURA PASARELA CERRO CONT"/>
    <s v="220"/>
    <s v="MADRID"/>
    <s v="MADRID"/>
    <x v="2"/>
    <s v="AdDirec - Adjudicación Directa"/>
    <s v="SinC - Sin Criterio"/>
    <x v="3"/>
    <x v="1"/>
    <s v="6"/>
    <s v="6. Inversiones reales"/>
    <s v="05"/>
    <x v="7"/>
    <s v="4331"/>
    <s v="4331. Desarrollo empresarial"/>
    <s v="60"/>
    <s v="609"/>
  </r>
  <r>
    <n v="220230020478"/>
    <s v="AD"/>
    <d v="2023-05-11T00:00:00"/>
    <n v="22023004445"/>
    <s v="2023 03 9241 22699"/>
    <n v="3295.62"/>
    <x v="100"/>
    <s v="SUMINISTRO Y TRANSPORTE DE LÁMPARAS PARA ELEMENTOS AUDIOVISUALES DE LOS CENTROS CÍVICO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53"/>
    <s v="AD"/>
    <d v="2023-04-26T00:00:00"/>
    <n v="22023003951"/>
    <s v="2023 03 9241 22699"/>
    <n v="2831.76"/>
    <x v="100"/>
    <s v="SUMINISTRO DE BATERÍAS RECARGABLES PARA ELEMENTOS AUDIOVISUALES DE LOS CENTROS CÍVICO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31239"/>
    <s v="AD"/>
    <d v="2023-06-22T00:00:00"/>
    <n v="22023005058"/>
    <s v="2023 10 2312 622"/>
    <n v="492684.1"/>
    <x v="804"/>
    <s v="REVISION EXCEPCIONAL DE PRECIOS DE LA OBRA DEL CPM PARQUESOL-RDL 3/2022"/>
    <s v="220"/>
    <s v="ZAMORA"/>
    <s v="ZAMORA"/>
    <x v="2"/>
    <s v="PrAbier - Procedimiento Abierto"/>
    <s v="MultiC - MultiCriterio"/>
    <x v="0"/>
    <x v="1"/>
    <s v="6"/>
    <s v="6. Inversiones reales"/>
    <s v="10"/>
    <x v="1"/>
    <s v="2312"/>
    <s v="2312. Iniciativas sociales"/>
    <s v="62"/>
    <s v="622"/>
  </r>
  <r>
    <n v="220179000024"/>
    <s v="AD"/>
    <d v="2023-06-23T00:00:00"/>
    <n v="22022000145"/>
    <s v="2023 08 1341 22799"/>
    <n v="272736.83"/>
    <x v="0"/>
    <s v="AJUSTE ANUALIDADES CONTRATO GESTIÓN SERVICIO PÚBLICO REGULACIÓN ESTACIONAMIENTO VEHÍCULOS VÍA PÚBLICA EN VALLADOLID"/>
    <s v="220"/>
    <s v="MADRID"/>
    <s v="MADRID"/>
    <x v="0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16189"/>
    <s v="D"/>
    <d v="2023-04-27T00:00:00"/>
    <n v="22023002181"/>
    <s v="2023 06 3232 212"/>
    <n v="526.48"/>
    <x v="479"/>
    <s v="MATERIAL VARIO CONSTRUCCION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5388"/>
    <s v="AD"/>
    <d v="2023-05-26T00:00:00"/>
    <n v="22023004677"/>
    <s v="2023 06 3261 22799"/>
    <n v="3102"/>
    <x v="805"/>
    <s v="TRANSPORTE PARA EL CERTAMEN NACIONAL DE BANDAS DE MUSICA &quot;&quot;VILLA DE OLIVARES&quot;&quot; (SEVILLA) DEL 30 DE JUNIO AL 2 DE JULIO."/>
    <s v="220"/>
    <s v="LAGUNA DE DUER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16850"/>
    <s v="AD"/>
    <d v="2023-05-02T00:00:00"/>
    <n v="22023004187"/>
    <s v="2023 10 2412 22699"/>
    <n v="715"/>
    <x v="805"/>
    <s v="SALIDA FORMA. A ALLARIZ  PARA VISITAR EL XIII FESTIVAL INTERN.  DE JARDINES LOS ALUMNOS DEL C. DE P.Y J DEL JACINTO BENA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28294"/>
    <s v="D"/>
    <d v="2023-06-07T00:00:00"/>
    <n v="22023004052"/>
    <s v="2023 11 1621 214"/>
    <n v="2832.95"/>
    <x v="418"/>
    <s v="FILTRO V.I MANN / FILTRO DIESEL BOSCH V.I / FILTRO V.I MANN*** / FILTRO HABITA.../ AM EXP V18/2022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12"/>
    <s v="D"/>
    <d v="2023-04-27T00:00:00"/>
    <n v="22023001459"/>
    <s v="2023 11 1621 214"/>
    <n v="174.24"/>
    <x v="460"/>
    <s v="2941CBL / M.O. REPARACIÓN DE INSTALACIÓN DE SENSOR DESGASTE PASTILLA DE FRE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30"/>
    <s v="D"/>
    <d v="2023-05-09T00:00:00"/>
    <n v="22023001459"/>
    <s v="2023 11 1621 214"/>
    <n v="2170.81"/>
    <x v="460"/>
    <s v="1496DZM/DESMONTAR MONTAR BOMBAS  DE  DOS  VEHICULO  Y COLOCAR BOMBA EN MOTOR / SPSC/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410"/>
    <s v="D"/>
    <d v="2023-06-07T00:00:00"/>
    <n v="22023001514"/>
    <s v="2023 11 1361 22199"/>
    <n v="8.92"/>
    <x v="418"/>
    <s v="FUNDA VOLANTE NEGRA 37-39CM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5968"/>
    <s v="AD"/>
    <d v="2023-04-26T00:00:00"/>
    <n v="22023004014"/>
    <s v="2023 06 3261 22799"/>
    <n v="550"/>
    <x v="805"/>
    <s v="CONTRATACIÓN AUTOCAR 63 PLAZAS PARA LA ESCUELA MUNICIPAL DE MUSICA: ENCUENTRO DE BANDAS UNIVERSIDAD DE LEÓN.14-MAYO"/>
    <s v="220"/>
    <s v="LAGUNA DE DUER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16865"/>
    <s v="AD"/>
    <d v="2023-05-02T00:00:00"/>
    <n v="22023004321"/>
    <s v="2023 10 2412 22699"/>
    <n v="183.33"/>
    <x v="805"/>
    <s v="VISITA  FORMATIVA A LA DEPURADORA Y C. DE TRATAMIEN DE  RESIDUOS LOS CURSOS DE PARQ. Y JARDINES Y P. DEC DEL C. F.EMPLEO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16865"/>
    <s v="AD"/>
    <d v="2023-05-02T00:00:00"/>
    <n v="22023004322"/>
    <s v="2023 10 2412 22699"/>
    <n v="146.66999999999999"/>
    <x v="805"/>
    <s v="VISITA  FORMATIVA A LA DEPURADORA Y C. DE TRATAMIEN DE  RESIDUOS LOS CURSOS DE PARQ. Y JARDINES Y P. DEC DEL C. F.EMPLEO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699"/>
  </r>
  <r>
    <n v="220230015354"/>
    <s v="AD"/>
    <d v="2023-04-25T00:00:00"/>
    <n v="22023003891"/>
    <s v="2023 08 1532 213"/>
    <n v="1660.48"/>
    <x v="806"/>
    <s v="Reparación de cazo frontal (pala) de máquina JCB 3CX Turbo matrícula E3013GBL, reacondicionar soporte y cuchillas.-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22639"/>
    <s v="AD"/>
    <d v="2023-05-22T00:00:00"/>
    <n v="22023004613"/>
    <s v="2023 04 9204 626"/>
    <n v="561.59"/>
    <x v="807"/>
    <s v="SUMINISTRO DE UN GATEWAY, CON DESTINO EL  AYUNTAMIENTO DE VALLADOLID"/>
    <s v="220"/>
    <s v="MALAGA"/>
    <s v="MALAGA"/>
    <x v="3"/>
    <s v="AdDirec - Adjudicación Directa"/>
    <s v="SinC - Sin Criterio"/>
    <x v="3"/>
    <x v="1"/>
    <s v="6"/>
    <s v="6. Inversiones reales"/>
    <s v="04"/>
    <x v="5"/>
    <s v="9204"/>
    <s v="9204. Tecnologías de la información y comunicación"/>
    <s v="62"/>
    <s v="626"/>
  </r>
  <r>
    <n v="220230015353"/>
    <s v="AD"/>
    <d v="2023-04-25T00:00:00"/>
    <n v="22023003886"/>
    <s v="2023 06 2315 22611"/>
    <n v="929.28"/>
    <x v="808"/>
    <s v="ALQUILER, TRANSPORTE, MONTAJE Y DESMONTAJE DEL ESCENARIO DIA 15 DE ABRIL"/>
    <s v="220"/>
    <s v="SANTANDER"/>
    <s v="SANTANDER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790"/>
    <s v="AD"/>
    <d v="2023-05-16T00:00:00"/>
    <n v="22023004464"/>
    <s v="2023 06 2315 22614"/>
    <n v="459.8"/>
    <x v="808"/>
    <s v="ALQUILER, TRANSPORTE, MONTAJE Y DESMONTAJE DEL ESCENARIO 23 Y 24 DE MAYO DE 2023"/>
    <s v="220"/>
    <s v="SANTANDER"/>
    <s v="SANTANDER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20471"/>
    <s v="AD"/>
    <d v="2023-05-11T00:00:00"/>
    <n v="22023004416"/>
    <s v="2023 06 2314 22613"/>
    <n v="332.75"/>
    <x v="808"/>
    <s v="TRANSPORTE, MONTAJE Y DESMONTAJE 10 MESAS CABALLETES SAN PEDRO REGALADO / 1 DIA"/>
    <s v="220"/>
    <s v="SANTANDER"/>
    <s v="SANTANDER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0803"/>
    <s v="AD"/>
    <d v="2023-05-16T00:00:00"/>
    <n v="22023004517"/>
    <s v="2023 06 2315 22611"/>
    <n v="166.38"/>
    <x v="808"/>
    <s v="ALQUILER, TRANSPORTE, MONTAJE-DESMONTAJE MESAS CON CABALLETES 17 DE MAYO"/>
    <s v="220"/>
    <s v="SANTANDER"/>
    <s v="SANTANDER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4857"/>
    <s v="AD"/>
    <d v="2023-05-24T00:00:00"/>
    <n v="22023004632"/>
    <s v="2023 10 2312 22699"/>
    <n v="352.91"/>
    <x v="138"/>
    <s v="ACTIVIDAD DEL DIA 15  DE JUNIO DISCOMOVIL  EN LA ZONA DE MEDINA DE RIOSECO LOS USUARIOS DE LOS CVA"/>
    <s v="220"/>
    <s v="ZARATAN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8572"/>
    <s v="D"/>
    <d v="2023-05-09T00:00:00"/>
    <n v="22023001343"/>
    <s v="2023 03 9241 212"/>
    <n v="316.20999999999998"/>
    <x v="479"/>
    <s v="MATERIAL VARIO CONSTRUCCION: CC LUELMO, RONDILLA Y LOCAL AV PUENTE JARDIN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4857"/>
    <s v="AD"/>
    <d v="2023-05-24T00:00:00"/>
    <n v="22023004631"/>
    <s v="2023 10 2312 22699"/>
    <n v="252.09"/>
    <x v="138"/>
    <s v="ACTIVIDAD DEL DIA 15  DE JUNIO DISCOMOVIL  EN LA ZONA DE MEDINA DE RIOSECO LOS USUARIOS DE LOS CVA"/>
    <s v="220"/>
    <s v="ZARATAN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5950"/>
    <s v="AD"/>
    <d v="2023-04-26T00:00:00"/>
    <n v="22023003943"/>
    <s v="2023 03 9241 22699"/>
    <n v="617.1"/>
    <x v="275"/>
    <s v="SUSTITUCIÓN ARMARIO PUERTAS PERSIANA CC CANAL DE CAST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2359"/>
    <s v="AD"/>
    <d v="2023-05-19T00:00:00"/>
    <n v="22023004488"/>
    <s v="2023 04 9209 625"/>
    <n v="195.74"/>
    <x v="461"/>
    <s v="ADQUISICIÓN DE MOBILIARIO CON DESTINO AL DPTO. DE GESTIÓN DE RECURSOS HUMANOS (1 SILLA DE TRABAJO)."/>
    <s v="220"/>
    <s v="VALLADOLID"/>
    <s v="VALLADOLID"/>
    <x v="3"/>
    <s v="AdDirec - Adjudicación Directa"/>
    <s v="SinC - Sin Criterio"/>
    <x v="3"/>
    <x v="1"/>
    <s v="6"/>
    <s v="6. Inversiones reales"/>
    <s v="04"/>
    <x v="5"/>
    <s v="9209"/>
    <s v="9209. Dirección del area de hacienda y función pública"/>
    <s v="62"/>
    <s v="625"/>
  </r>
  <r>
    <n v="220230028603"/>
    <s v="D"/>
    <d v="2023-06-07T00:00:00"/>
    <n v="22023004052"/>
    <s v="2023 11 1621 214"/>
    <n v="3757.98"/>
    <x v="418"/>
    <s v="SOPORTE, ESTABILIZADOR / LAMPARA BOSCH 12V 5W PLAFON / SELLADOR TUBO ESCAPE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20014646"/>
    <s v="AD"/>
    <d v="2023-04-21T00:00:00"/>
    <n v="22022001911"/>
    <s v="2023 04 9204 636"/>
    <n v="31730.74"/>
    <x v="5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30015992"/>
    <s v="AD"/>
    <d v="2023-04-26T00:00:00"/>
    <n v="22023004046"/>
    <s v="2023 11 1321 213"/>
    <n v="810.7"/>
    <x v="276"/>
    <s v="AUTOMATIZACIÓN DE LA PUERTA DE LONA ACCESO A PATIO. SALIDA DE JEFATURA A LA AVDA. DE BURGO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17753"/>
    <s v="ADO"/>
    <d v="2023-05-04T00:00:00"/>
    <n v="22023003987"/>
    <s v="2023 02 1511 206"/>
    <n v="630"/>
    <x v="285"/>
    <s v="IVA REPERCUTIDO POR FACTUA F-4132."/>
    <s v="240"/>
    <s v="OSLO"/>
    <s v="EXTERIOR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0"/>
    <s v="206"/>
  </r>
  <r>
    <n v="220230031195"/>
    <s v="AD"/>
    <d v="2023-06-22T00:00:00"/>
    <n v="22023005154"/>
    <s v="2023 06 3232 632"/>
    <n v="670.12"/>
    <x v="132"/>
    <s v="CONTROL CALIDAD (LOTE 2) OBRA SUSTITUCIÓN PARCIAL VENTANAS CEIP PEDRO GOMEZ BOSQUE.PL EJ: 44 D.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00"/>
    <s v="AD"/>
    <d v="2023-06-22T00:00:00"/>
    <n v="22023005052"/>
    <s v="2023 06 3231 632"/>
    <n v="670.12"/>
    <x v="132"/>
    <s v="CONTROL CALIDAD (LOTE 2) OBRA SUSTITUCIÓN CARPINTERÍAS VARIAS DEPENDENCIAS EIM LA COMETA. PLZ EJE: 44 DIAS LABORABLES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31202"/>
    <s v="AD"/>
    <d v="2023-06-22T00:00:00"/>
    <n v="22023005054"/>
    <s v="2023 06 3231 632"/>
    <n v="514.86"/>
    <x v="132"/>
    <s v="CONTROL DE CALIDAD, LOTE 2,  OBRA DE ADECUACIÓN ASEOS EN CASAS NIÑOS Y NIÑAS MAESTRO CLAUDIO Y PAJARILLOS PZ EJ:25 D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22349"/>
    <s v="AD"/>
    <d v="2023-05-19T00:00:00"/>
    <n v="22023002293"/>
    <s v="2023 04 9321 641"/>
    <n v="15528.33"/>
    <x v="809"/>
    <s v="SUMINISTRO E IMPLANTACIÓN DEL SISTEMA DE GESTIÓN DE INGRESOS Y RECAUDACIÓN 2023-LOTE 2"/>
    <s v="230"/>
    <s v="ALDEATEJADA"/>
    <s v="SALAMANCA"/>
    <x v="1"/>
    <s v="PrAbier - Procedimiento Abierto"/>
    <s v="MultiC - MultiCriterio"/>
    <x v="0"/>
    <x v="1"/>
    <s v="6"/>
    <s v="6. Inversiones reales"/>
    <s v="04"/>
    <x v="5"/>
    <s v="9321"/>
    <s v="9321. Gestión de ingresos e inspección"/>
    <s v="64"/>
    <s v="641"/>
  </r>
  <r>
    <n v="220230031210"/>
    <s v="AD"/>
    <d v="2023-06-22T00:00:00"/>
    <n v="22023005080"/>
    <s v="2023 06 3232 632"/>
    <n v="666.21"/>
    <x v="132"/>
    <s v="CONTROL DE CALIDAD (LOTE 2) OBRA DE REPARACIÓN GOTERAS EN TEJADOS DE VARIOS CEIPS. PLZ EJEC: 4 SEMANAS/CENTRO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13"/>
    <s v="AD"/>
    <d v="2023-06-22T00:00:00"/>
    <n v="22023005084"/>
    <s v="2023 06 3232 632"/>
    <n v="510.33"/>
    <x v="132"/>
    <s v="CONTROL DE CALIDAD (LOTE 2) OBRA DE REFORMA Y MEJORAS ASEOS 1ª PLANTA CEIP FEDERICO GARCIA LORCA. PLZ EJ: 40 D"/>
    <s v="220"/>
    <s v="SANT CUGAT DEL VALLES"/>
    <s v="BARCELON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17787"/>
    <s v="AD"/>
    <d v="2023-05-04T00:00:00"/>
    <n v="22023000935"/>
    <s v="2023 11 1631 22700"/>
    <n v="20563.12"/>
    <x v="109"/>
    <s v="2ª PRORROGA CONTRATO TRANSPORTE DESDE Sº LIMPIEZA A CTR RESIDUOS DE LIMPIEZA MECÁNICA VIARIA DEL 25/07/23 AL 31/12/23."/>
    <s v="220"/>
    <s v="PALENCIA"/>
    <s v="PALENCIA"/>
    <x v="1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2"/>
    <s v="22700"/>
  </r>
  <r>
    <n v="220230018432"/>
    <s v="D"/>
    <d v="2023-05-09T00:00:00"/>
    <n v="22023001459"/>
    <s v="2023 11 1621 214"/>
    <n v="288.45999999999998"/>
    <x v="460"/>
    <s v="4848GZT // REPUESTOS // INYECTOR BOSCH INDUSTRIAL REPARADO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22"/>
    <s v="D"/>
    <d v="2023-05-11T00:00:00"/>
    <n v="22023001459"/>
    <s v="2023 11 1621 214"/>
    <n v="458.59"/>
    <x v="513"/>
    <s v="REPARACIÓN BALLESTAS  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506"/>
    <s v="D"/>
    <d v="2023-05-31T00:00:00"/>
    <n v="22023001459"/>
    <s v="2023 11 1621 214"/>
    <n v="1988.03"/>
    <x v="513"/>
    <s v="REPARACIÓN BALLESTAS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83"/>
    <s v="D"/>
    <d v="2023-04-27T00:00:00"/>
    <n v="22023001462"/>
    <s v="2023 11 1621 214"/>
    <n v="135.96"/>
    <x v="358"/>
    <s v="MT CABLE H07V-K PVC FLEX  1X2,5 NEGRO / MT CABLE H07V-K PVC FLEX  1X2,5 ROJO 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78"/>
    <s v="D"/>
    <d v="2023-04-27T00:00:00"/>
    <n v="22023002185"/>
    <s v="2023 06 3231 212"/>
    <n v="9.68"/>
    <x v="358"/>
    <s v="PULSADOR LEGRAND 69720   GRIS  PLEXO. CABALLITO BLANCO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4842"/>
    <s v="AD"/>
    <d v="2023-05-24T00:00:00"/>
    <n v="22023003837"/>
    <s v="2023 02 9331 224"/>
    <n v="15906.64"/>
    <x v="56"/>
    <s v="REGULARIZACIÓN PRIMA SEGURO FLOTA VEHÍCULOS (LOTE 3) PERIODO 5 AGOSTO 2022 A 5 FEBRERO 2023 (EXP. 15/2020 PS 7)"/>
    <s v="220"/>
    <s v="GETXO"/>
    <s v="VIZCAYA"/>
    <x v="1"/>
    <s v="PrAbier - Procedimiento Abierto"/>
    <s v="MultiC - MultiCriterio"/>
    <x v="0"/>
    <x v="1"/>
    <s v="2"/>
    <s v="2. Gastos corrientes en bienes y servicios"/>
    <s v="02"/>
    <x v="3"/>
    <s v="9331"/>
    <s v="9331. Gestión del patrimonio"/>
    <s v="22"/>
    <s v="224"/>
  </r>
  <r>
    <n v="220230014336"/>
    <s v="D"/>
    <d v="2023-04-21T00:00:00"/>
    <n v="22023002598"/>
    <s v="2023 04 9204 213"/>
    <n v="196.87"/>
    <x v="358"/>
    <s v="ADQUISICIÓN LAMPARAS Y FLUORESCENTES,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14338"/>
    <s v="D"/>
    <d v="2023-04-21T00:00:00"/>
    <n v="22023002598"/>
    <s v="2023 04 9204 213"/>
    <n v="434.75"/>
    <x v="358"/>
    <s v="ADQUISICIÓN LAMPARAS Y FLUORESCENTES,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20068619"/>
    <s v="AD"/>
    <d v="2023-04-21T00:00:00"/>
    <n v="22022005417"/>
    <s v="2023 10 2312 632"/>
    <n v="21598.5"/>
    <x v="278"/>
    <s v="OBRAS, MEJORAS DE ACCESIBILIDAD  DEL CPM RONDILLA-"/>
    <s v="220"/>
    <s v="CISTERNIGA"/>
    <s v="VALLADOLID"/>
    <x v="2"/>
    <s v="PrAbier - Procedimiento Abierto"/>
    <s v="MultiC - MultiCriterio"/>
    <x v="0"/>
    <x v="1"/>
    <s v="6"/>
    <s v="6. Inversiones reales"/>
    <s v="10"/>
    <x v="1"/>
    <s v="2312"/>
    <s v="2312. Iniciativas sociales"/>
    <s v="63"/>
    <s v="632"/>
  </r>
  <r>
    <n v="220230023287"/>
    <s v="ADO"/>
    <d v="2023-05-22T00:00:00"/>
    <n v="22023004557"/>
    <s v="2023 03 9241 22609"/>
    <n v="3630"/>
    <x v="810"/>
    <s v="REPRESENTACIÓN DE ¿TRAIDOR¿ DE TEATRO CORSARIO EN EL C. C. JOSÉ LUIS MOSQUERA (VALLADOLID) EL 30/12/2022"/>
    <s v="24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1265"/>
    <s v="D"/>
    <d v="2023-06-22T00:00:00"/>
    <n v="22022008399"/>
    <s v="2023 03 9241 633"/>
    <n v="2113.44"/>
    <x v="132"/>
    <s v="CONTROL DE CALIDAD (ASISTENCIA TÉCNICA) OBRA SISTEMA CLIMATIZACIÓN TEATRO CANTERAC CC DELICIAS"/>
    <s v="300"/>
    <s v="SANT CUGAT DEL VALLES"/>
    <s v="BARCELONA"/>
    <x v="1"/>
    <s v="PrAbier - Procedimiento Abierto"/>
    <s v="MultiC - MultiCriterio"/>
    <x v="1"/>
    <x v="1"/>
    <s v="6"/>
    <s v="6. Inversiones reales"/>
    <s v="03"/>
    <x v="10"/>
    <s v="9241"/>
    <s v="9241. Participación ciudadana"/>
    <s v="63"/>
    <s v="633"/>
  </r>
  <r>
    <n v="220230018773"/>
    <s v="ADO"/>
    <d v="2023-05-09T00:00:00"/>
    <n v="22023004285"/>
    <s v="2023 02 1511 206"/>
    <n v="546"/>
    <x v="285"/>
    <s v="IVA REPERCUTIDO POR FACTURA F-4441."/>
    <s v="240"/>
    <s v="OSLO"/>
    <s v="EXTERIOR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0"/>
    <s v="206"/>
  </r>
  <r>
    <n v="220230026799"/>
    <s v="AD"/>
    <d v="2023-06-01T00:00:00"/>
    <n v="22023004830"/>
    <s v="2023 11 1321 213"/>
    <n v="465.85"/>
    <x v="283"/>
    <s v="MONTAJE Y DESMONTAJE DE EQUIPOS TETRA ( AMPLIACIÓN NÚMERO DE VEHÍCULOS)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16013"/>
    <s v="AD"/>
    <d v="2023-04-26T00:00:00"/>
    <n v="22023004104"/>
    <s v="2023 08 1532 203"/>
    <n v="2420"/>
    <x v="385"/>
    <s v="Alquiler de maquinaria sin conductor (carretillas elevadora, mini-palas, mini-retros, etc.) a demanda según necesidades.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0"/>
    <s v="203"/>
  </r>
  <r>
    <n v="220230012982"/>
    <s v="AD"/>
    <d v="2023-04-03T00:00:00"/>
    <n v="22023003740"/>
    <s v="2023 08 1532 22199"/>
    <n v="2148.96"/>
    <x v="385"/>
    <s v="Adquisición 74 Uds. de valla electrosoldada galvanizada tipo europeo, de 3,50x2,00 m y 77 ud de pies de sujeción hormigó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30016193"/>
    <s v="D"/>
    <d v="2023-04-27T00:00:00"/>
    <n v="22023002181"/>
    <s v="2023 06 3232 212"/>
    <n v="176.96"/>
    <x v="358"/>
    <s v="MAGNETOT SE IC60N D 4P   25A  A9F75425. CP CARDENAL MENDOZA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01"/>
    <s v="D"/>
    <d v="2023-04-27T00:00:00"/>
    <n v="22023000268"/>
    <s v="2023 11 1321 213"/>
    <n v="268.44"/>
    <x v="358"/>
    <s v="ACUERDO MARCO. SUMINISTRO DE MATERIALES ELÉCTRICO PARA DEPENDENCIA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16302"/>
    <s v="D"/>
    <d v="2023-04-27T00:00:00"/>
    <n v="22023001344"/>
    <s v="2023 03 9241 213"/>
    <n v="268.86"/>
    <x v="358"/>
    <s v="DOWLN NORMALIT EE34B 23,8W 4000K PARA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7690"/>
    <s v="D"/>
    <d v="2023-05-04T00:00:00"/>
    <n v="22023002378"/>
    <s v="2023 09 3341 213"/>
    <n v="195.81"/>
    <x v="358"/>
    <s v="SUMINISTRO DIVERSO MATERIAL, TUBO LED, TASA ECORAE. PARA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8508"/>
    <s v="D"/>
    <d v="2023-05-09T00:00:00"/>
    <n v="22023001467"/>
    <s v="2023 10 2312 212"/>
    <n v="27.41"/>
    <x v="358"/>
    <s v="MANTENIMIENTO, SUMINISTRO MATERIALPARA REPARACIONES DEL CPM LA VICTORIA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28"/>
    <s v="D"/>
    <d v="2023-05-09T00:00:00"/>
    <n v="22023001462"/>
    <s v="2023 11 1621 214"/>
    <n v="105.21"/>
    <x v="358"/>
    <s v="BASE VICTRON PORTAFUSIBLE MEGA-FUSE / CUERPO.P SE ZB4-BW0B31 LED 24V &quot;&quot;NA&quot;&quot; V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46"/>
    <s v="D"/>
    <d v="2023-05-09T00:00:00"/>
    <n v="22023001344"/>
    <s v="2023 03 9241 213"/>
    <n v="53.77"/>
    <x v="358"/>
    <s v="DOWLN NORMALIT EE34B 23,8W 4000K PARA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0948"/>
    <s v="D"/>
    <d v="2023-05-16T00:00:00"/>
    <n v="22023001549"/>
    <s v="2023 07 1711 22199"/>
    <n v="4.71"/>
    <x v="358"/>
    <s v="TUBO LED MZD 150CM 20W 865C G13 / TASA ECORAEE (REAL DECRETO 208/2005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0964"/>
    <s v="D"/>
    <d v="2023-05-16T00:00:00"/>
    <n v="22023001344"/>
    <s v="2023 03 9241 213"/>
    <n v="22.66"/>
    <x v="358"/>
    <s v="CENTRO CÍVICO DELICIAS // D. BASE CIMA 50010472-030 BL TORN. RAPID LED / CAJA SUP CIMA 51000001-030 1MOD. B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1009"/>
    <s v="D"/>
    <d v="2023-05-16T00:00:00"/>
    <n v="22023002185"/>
    <s v="2023 06 3231 212"/>
    <n v="16.34"/>
    <x v="358"/>
    <s v="TELÉFONO FERMAX 80447 CITYMAX BASIC BL. // CABALLITO BLANC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6269"/>
    <s v="D"/>
    <d v="2023-05-31T00:00:00"/>
    <n v="22023001467"/>
    <s v="2023 10 2312 212"/>
    <n v="58.08"/>
    <x v="358"/>
    <s v="CMP DELICIAS -MANT. SUMINISTRO DE MARCO ARTS 71PANAC-MARESC32 ESCAY , PANEL DISANO ECO 34WPARA REPARACIONES- DUR 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04"/>
    <s v="AD"/>
    <d v="2023-04-26T00:00:00"/>
    <n v="22023004102"/>
    <s v="2023 08 1532 22199"/>
    <n v="786.5"/>
    <x v="471"/>
    <s v="Suministro de 5.000 m.l. de &quot;&quot;banderola&quot;&quot; (cinta señalizadora de obra) personalizada para el Ayuntamiento de Valladolid.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30025386"/>
    <s v="AD"/>
    <d v="2023-05-26T00:00:00"/>
    <n v="22023004636"/>
    <s v="2023 06 2315 22611"/>
    <n v="145.41999999999999"/>
    <x v="336"/>
    <s v="ESTRUCTURA ROLL-UP CON LONA IMPRESA DÍA CONTRA LA HOMOFOBIA, TRANSFOBIA,  BIFOBIA 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2985"/>
    <s v="AD"/>
    <d v="2023-04-03T00:00:00"/>
    <n v="22023003734"/>
    <s v="2023 03 9241 212"/>
    <n v="7018"/>
    <x v="811"/>
    <s v="REPARACIÓN URGENTE DE GOTERAS DEL CC PARQUESOL// SUM. E INST. EN CUBIERTA DE 90 M2 DE LÁMINA DE PVC TERMOSELLAD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7053"/>
    <s v="AD"/>
    <d v="2023-05-02T00:00:00"/>
    <n v="22023004064"/>
    <s v="2023 04 9202 22607"/>
    <n v="700"/>
    <x v="663"/>
    <s v="ABONO CD ATLETISMO CUATRO CANTONES PRUEBAS FÍSICAS PARA LA PROVISIÓN DE 8 PLAZAS DE OFICIAL DE LA PM."/>
    <s v="220"/>
    <s v="PALENCIA"/>
    <s v="PALENCIA"/>
    <x v="4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25383"/>
    <s v="AD"/>
    <d v="2023-05-26T00:00:00"/>
    <n v="22023004536"/>
    <s v="2023 04 9202 22607"/>
    <n v="700"/>
    <x v="663"/>
    <s v="CONTROL CRONOMETRAJE PRUEBAS 7 SGTOS SEIS Y PC, REALIZADAS EL 21-3-23."/>
    <s v="220"/>
    <s v="PALENCIA"/>
    <s v="PALENCIA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3647"/>
    <s v="AD"/>
    <d v="2023-04-10T00:00:00"/>
    <n v="22023003078"/>
    <s v="2023 05 4331 22799"/>
    <n v="6755.16"/>
    <x v="812"/>
    <s v="TAPA DEL TALENTO CON CAMARA DE COMERCIO Y ESCUELA INTERNACIONAL DE COCINA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8973"/>
    <s v="AD"/>
    <d v="2023-05-10T00:00:00"/>
    <n v="22023004087"/>
    <s v="2023 11 3111 22113"/>
    <n v="17879.560000000001"/>
    <x v="141"/>
    <s v="CONTRATO DE SUMINISTRO DE PIENSOS Y ACCESORIOS PARA ALIMENTACION ANIMALES DEL C.M.P.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13"/>
  </r>
  <r>
    <n v="220230025392"/>
    <s v="AD"/>
    <d v="2023-05-26T00:00:00"/>
    <n v="22023004706"/>
    <s v="2023 06 3321 22199"/>
    <n v="33"/>
    <x v="515"/>
    <s v="CTTO SUMINISTRO COPIA LLAVE PARA BIBLIOTECA BARRIO BELÉN//1 DI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17785"/>
    <s v="AD"/>
    <d v="2023-05-04T00:00:00"/>
    <n v="22023003885"/>
    <s v="2023 09 3341 22799"/>
    <n v="4089"/>
    <x v="282"/>
    <s v="EDICION DE UN LIBRO HOMENAJE A JUAN ANTONIO QUINTANA Y MARY MAROTO.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3747"/>
    <s v="AD"/>
    <d v="2023-04-11T00:00:00"/>
    <n v="22023003802"/>
    <s v="2023 09 3341 22699"/>
    <n v="3500"/>
    <x v="282"/>
    <s v="PROMOCION Y DIFUSION DEL CENTRO MARCELINA PONCELA EN LA REVISTA ATTICUS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12965"/>
    <s v="AD"/>
    <d v="2023-04-03T00:00:00"/>
    <n v="22023002906"/>
    <s v="2023 08 1532 22104"/>
    <n v="16713.12"/>
    <x v="143"/>
    <s v="SUMINISTRO DE ROPA DE TRABAJO DE SEGURIDAAD, CALZADO DE SEGURIDAD Y UNIFORMIDAD GENERAL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24846"/>
    <s v="AD"/>
    <d v="2023-05-24T00:00:00"/>
    <n v="22023002906"/>
    <s v="2023 08 1532 22104"/>
    <n v="370"/>
    <x v="143"/>
    <s v="POR ALZA EN LOS PRECIOS del Suministro de ropa de trabajo de seguridad, calzado de seguridad y uniformidad general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16845"/>
    <s v="AD"/>
    <d v="2023-05-02T00:00:00"/>
    <n v="22023004152"/>
    <s v="2023 11 1631 22104"/>
    <n v="2414"/>
    <x v="170"/>
    <s v="SUMINISTRO POLOS MANGA LARGA PARA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04"/>
  </r>
  <r>
    <n v="220230030676"/>
    <s v="AD"/>
    <d v="2023-06-20T00:00:00"/>
    <n v="22023004544"/>
    <s v="2023 0550 4312 632"/>
    <n v="57.55"/>
    <x v="166"/>
    <s v="MODIFICADO DEL PROYECTO DE REHABILITACION GALERIAS MUNICIPALES DE ALIMENTACION RONDILLA DE SANTA TERESA"/>
    <s v="220"/>
    <s v="MALAGA"/>
    <s v="MALAGA"/>
    <x v="1"/>
    <s v="PrAbier - Procedimiento Abierto"/>
    <s v="MultiC - MultiCriterio"/>
    <x v="1"/>
    <x v="1"/>
    <n v="6"/>
    <s v="6. Inversiones reales"/>
    <s v="05"/>
    <x v="7"/>
    <s v="0 43"/>
    <n v="4312"/>
    <n v="63"/>
    <n v="632"/>
  </r>
  <r>
    <n v="220230031201"/>
    <s v="AD"/>
    <d v="2023-06-22T00:00:00"/>
    <n v="22023005053"/>
    <s v="2023 06 3231 632"/>
    <n v="178.62"/>
    <x v="166"/>
    <s v="CONTROL DE CALIDAD LOTE 1 (ENSAYOS) ADECUACIÓN ASEOS CASA NIÑOS Y NIÑAS MAESTRO CLAUDIO Y PAJARILLOS PZ EJE: 25 D"/>
    <s v="220"/>
    <s v="MALAGA"/>
    <s v="MALAGA"/>
    <x v="1"/>
    <s v="PrAbier - Procedimiento Abierto"/>
    <s v="MultiC - MultiCriterio"/>
    <x v="1"/>
    <x v="1"/>
    <s v="6"/>
    <s v="6. Inversiones reales"/>
    <s v="06"/>
    <x v="2"/>
    <s v="3231"/>
    <s v="3231. Escuelas infantiles"/>
    <s v="63"/>
    <s v="632"/>
  </r>
  <r>
    <n v="220230030688"/>
    <s v="AD"/>
    <d v="2023-06-20T00:00:00"/>
    <n v="22023003082"/>
    <s v="2023 0250 9332 632"/>
    <n v="84934.41"/>
    <x v="688"/>
    <s v="DIRECCIÓN FACULTATIVA OBRAS CONSOLIDACIÓN TEATRO LOPE DE VEGA"/>
    <s v="220"/>
    <s v="VALLADOLID"/>
    <s v="VALLADOLID"/>
    <x v="1"/>
    <s v="PrAbier - Procedimiento Abierto"/>
    <s v="MultiC - MultiCriterio"/>
    <x v="0"/>
    <x v="1"/>
    <n v="6"/>
    <s v="6. Inversiones reales"/>
    <s v="02"/>
    <x v="3"/>
    <s v="0 93"/>
    <n v="9332"/>
    <n v="63"/>
    <n v="632"/>
  </r>
  <r>
    <n v="220230031273"/>
    <s v="D"/>
    <d v="2023-06-22T00:00:00"/>
    <n v="22023003104"/>
    <s v="2023 02 1511 609"/>
    <n v="83433.740000000005"/>
    <x v="691"/>
    <s v="ADJUDICAR EXPTE. 4/23 CONTRATO ASISTENCIA TÉCNICA PILOTOS FERROVIARIOS TUNEL LABRADORES FASE II"/>
    <s v="300"/>
    <s v="ALCOLEA DE CINCA"/>
    <s v="HUESCA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0"/>
    <s v="609"/>
  </r>
  <r>
    <n v="220230022634"/>
    <s v="AD"/>
    <d v="2023-05-22T00:00:00"/>
    <n v="22023004608"/>
    <s v="2023 03 9241 203"/>
    <n v="317.88"/>
    <x v="372"/>
    <s v="ALQUILER DE BRAZO ARTICULADO PARA TRABAJOS EN ALTURA EN CIC SEGUNDO MONTES"/>
    <s v="220"/>
    <s v="CABEZON DE PISUERGA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0"/>
    <s v="203"/>
  </r>
  <r>
    <n v="220230016703"/>
    <s v="AD"/>
    <d v="2023-04-27T00:00:00"/>
    <n v="22023004317"/>
    <s v="2023 10 2316 22616"/>
    <n v="363"/>
    <x v="813"/>
    <s v="PRESTAMO DE LA PELICULA ALMA GITANA PARA SU PROYECCION DENTRO DE LA XX SEMANA INTERCULTURAL - MAYO 2023"/>
    <s v="220"/>
    <s v="BARCELONA"/>
    <s v="BARCELONA"/>
    <x v="4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91"/>
    <s v="AD"/>
    <d v="2023-04-26T00:00:00"/>
    <n v="22023004044"/>
    <s v="2023 11 1321 213"/>
    <n v="1936"/>
    <x v="283"/>
    <s v="MONTAJE Y DESMONTAJE DE EQUIPACIÓN TETRA EN VEHÍCULOS POLICIALE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20469"/>
    <s v="AD"/>
    <d v="2023-05-11T00:00:00"/>
    <n v="22023004373"/>
    <s v="2023 03 9241 212"/>
    <n v="772.51"/>
    <x v="339"/>
    <s v="SUMINISTRO DE ESPEJO PARA CIC SANTIAGO LÓPEZ Y VIDRIOS CLIMALIT PARA KIOSCO PZA. CAÑO ARGALES"/>
    <s v="220"/>
    <s v="ZARATAN"/>
    <s v="VALLADOLID"/>
    <x v="3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1"/>
    <s v="212"/>
  </r>
  <r>
    <n v="220230022632"/>
    <s v="AD"/>
    <d v="2023-05-22T00:00:00"/>
    <n v="22023004584"/>
    <s v="2023 01 9207 22001"/>
    <n v="699.95"/>
    <x v="373"/>
    <s v="ADJUDICA RENOVACIÓN ANUAL SUSCRIPCIÓN Nº 234295 PERIÓDICO ABC - MEDIOS DE COMUNICACIÓN - Del 01/05/2023 al 30/04/2024"/>
    <s v="220"/>
    <s v="MADRID"/>
    <s v="MADRID"/>
    <x v="3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13636"/>
    <s v="AD"/>
    <d v="2023-04-10T00:00:00"/>
    <n v="22023003754"/>
    <s v="2023 04 9231 22705"/>
    <n v="605"/>
    <x v="303"/>
    <s v="ANUNCIO EXPOSICION CENSO ELECTORAL 9 Y 10 ABRIL 2023 - EL MUNDO"/>
    <s v="220"/>
    <s v="VALLADOLID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16012"/>
    <s v="AD"/>
    <d v="2023-04-26T00:00:00"/>
    <n v="22023004099"/>
    <s v="2023 06 3321 22001"/>
    <n v="50.63"/>
    <x v="814"/>
    <s v="CTTO SUSCRIPCIÓN REVISTA CLÍO PARA BIBLIOTECAS PÚBLICAS//AÑO 2023"/>
    <s v="220"/>
    <s v="BARCELONA"/>
    <s v="BARCELONA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5963"/>
    <s v="AD"/>
    <d v="2023-04-26T00:00:00"/>
    <n v="22023003950"/>
    <s v="2023 06 2315 22611"/>
    <n v="6171"/>
    <x v="815"/>
    <s v="FESTIVAL ZORRILLAS FEST 23 KUMBIA QUEERS / 24 MAY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11"/>
    <s v="AD"/>
    <d v="2023-04-26T00:00:00"/>
    <n v="22023004098"/>
    <s v="2023 06 3321 22001"/>
    <n v="170"/>
    <x v="816"/>
    <s v="CTTO 2 SUSCRIPCIONES REVISTA PRIMICIAS NEWS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24851"/>
    <s v="AD"/>
    <d v="2023-05-24T00:00:00"/>
    <n v="22023004532"/>
    <s v="2023 05 4331 22699"/>
    <n v="18150"/>
    <x v="817"/>
    <s v="PARTICIPACIÓN DEL AYUNTAMIENTO DE VALLADOLID EN LA VI EDICIÓN DEL PREMIO INGENIEROS DE VALLADOLID"/>
    <s v="220"/>
    <s v="VALLADOLID"/>
    <s v="VALLADOLID"/>
    <x v="4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8176"/>
    <s v="AD"/>
    <d v="2023-05-08T00:00:00"/>
    <n v="22023004343"/>
    <s v="2023 03 9241 22699"/>
    <n v="702.9"/>
    <x v="288"/>
    <s v="SERVICIO DE CONTENEDORES PARA RETIRADA DE ESCOMBROS OBRA REALIZADA POR EL SERVICIO DE MANTENIMIENTO EN CC J. M. LUELMO"/>
    <s v="220"/>
    <s v="LA FLECHA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62"/>
    <s v="AD"/>
    <d v="2023-04-26T00:00:00"/>
    <n v="22023003945"/>
    <s v="2023 11 1621 22199"/>
    <n v="494.29"/>
    <x v="627"/>
    <s v="COMPRA PEGATINAS NO APARCAR PARA CONTENEDORES DEL SERVICIO DE LIMPIEZA."/>
    <s v="220"/>
    <s v="GETAFE"/>
    <s v="MADR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20536"/>
    <s v="AD"/>
    <d v="2023-05-12T00:00:00"/>
    <n v="22023004392"/>
    <s v="2023 10 2312 22612"/>
    <n v="1540"/>
    <x v="818"/>
    <s v="IMPARTICION CHARLAS SOBRE COMERCIO JUSTO   EN 11 CENTROS DE VIDA ACTIVA( ANTES CPM) EN MAYO DE 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5984"/>
    <s v="AD"/>
    <d v="2023-04-26T00:00:00"/>
    <n v="22023004036"/>
    <s v="2023 09 3341 22602"/>
    <n v="4836.53"/>
    <x v="819"/>
    <s v="REALIZACION DEL PROGRAMA EN DIRECTO DE RNE A MEDIA MAÑANA EL DIA 2 DE JUNIO CON MOTIVO DE LA FERIA DEL LIBRO DE VA"/>
    <s v="220"/>
    <s v="POZUELO DE ALARCON"/>
    <s v="MADR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2"/>
  </r>
  <r>
    <n v="220230015955"/>
    <s v="AD"/>
    <d v="2023-04-26T00:00:00"/>
    <n v="22023003918"/>
    <s v="2023 06 3231 213"/>
    <n v="1500"/>
    <x v="148"/>
    <s v="CTTO TRABAJOS PRUEBA ESTANQUEIDAD DEL SISTEMA Y OTROS NO INCLUIDOS EN CTTO DE MANTENIMIENTO DE EIM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3"/>
  </r>
  <r>
    <n v="220230018165"/>
    <s v="AD"/>
    <d v="2023-05-08T00:00:00"/>
    <n v="22023004376"/>
    <s v="2023 08 1532 213"/>
    <n v="560.96"/>
    <x v="148"/>
    <s v="Revisión, carga y timbrado de extintores de las instalaciones del SEPI, en C/ Títulos 51.-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22640"/>
    <s v="AD"/>
    <d v="2023-05-22T00:00:00"/>
    <n v="22023004614"/>
    <s v="2023 11 3111 213"/>
    <n v="116.16"/>
    <x v="148"/>
    <s v="REVISION Y ACTUALIZACION DE EXTINTORES PARA CASA DEL BARCO Y CENTRO MUNICIPAL DE PROTECCION ANIMAL PARA EL 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24860"/>
    <s v="AD"/>
    <d v="2023-05-24T00:00:00"/>
    <n v="22023004654"/>
    <s v="2023 08 1532 213"/>
    <n v="1512.55"/>
    <x v="289"/>
    <s v="Revisión periódica de 4500 h. de máquina mixta  retrocargadora JCB  3CX Turbo.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3"/>
  </r>
  <r>
    <n v="220230016849"/>
    <s v="AD"/>
    <d v="2023-05-02T00:00:00"/>
    <n v="22023004186"/>
    <s v="2023 10 2412 633"/>
    <n v="387.2"/>
    <x v="181"/>
    <s v="TRANPALETA PARA EL CENTRO DE FORMACION PARA EL EMPLEO PARA EL DESPLAZAMIENTO DE MATERIALES"/>
    <s v="220"/>
    <s v="VALLADOLID"/>
    <s v="VALLADOLID"/>
    <x v="3"/>
    <s v="AdDirec - Adjudicación Directa"/>
    <s v="SinC - Sin Criterio"/>
    <x v="3"/>
    <x v="1"/>
    <s v="6"/>
    <s v="6. Inversiones reales"/>
    <s v="10"/>
    <x v="1"/>
    <s v="2412"/>
    <s v="2412. Formación para el empleo"/>
    <s v="63"/>
    <s v="633"/>
  </r>
  <r>
    <n v="220230012981"/>
    <s v="AD"/>
    <d v="2023-04-03T00:00:00"/>
    <n v="22023003729"/>
    <s v="2023 06 3321 22799"/>
    <n v="665.5"/>
    <x v="451"/>
    <s v="CTTO SERVICIOS VISITA GUIADA INAUGURACIÓN NUEVA BIBLIOTECA PARQUESOL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15936"/>
    <s v="AD"/>
    <d v="2023-04-26T00:00:00"/>
    <n v="22023002882"/>
    <s v="2023 10 2316 22799"/>
    <n v="8646"/>
    <x v="820"/>
    <s v="4 CURSOS DE REF. CULTURALES, VALORES CONST. Y ESTATUT. DE CyL Y 1 CURSO DE HAB SOC PARA LA CONVIVENCIA PARA INMIGRANT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25400"/>
    <s v="AD"/>
    <d v="2023-05-26T00:00:00"/>
    <n v="22023004695"/>
    <s v="2023 03 9241 22699"/>
    <n v="1008.72"/>
    <x v="152"/>
    <s v="RECOGIDA, PLEGADO Y REPARTO DE CARPETAS MUESTRA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89"/>
    <s v="AD"/>
    <d v="2023-04-26T00:00:00"/>
    <n v="22023004109"/>
    <s v="2023 03 9241 22602"/>
    <n v="18.149999999999999"/>
    <x v="153"/>
    <s v="RENOVACIÓN DEL DOMINIO VALLANOCHE.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965"/>
    <s v="AD"/>
    <d v="2023-04-26T00:00:00"/>
    <n v="22023003977"/>
    <s v="2023 08 1651 22699"/>
    <n v="212.36"/>
    <x v="162"/>
    <s v="Suministro de raticida, leuco bf bloque 100g parafinado 50ppmm lote nº 7 a 323063"/>
    <s v="220"/>
    <s v="OROZKO"/>
    <s v="VIZCAYA"/>
    <x v="3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699"/>
  </r>
  <r>
    <n v="220230017786"/>
    <s v="AD"/>
    <d v="2023-05-04T00:00:00"/>
    <n v="22023004139"/>
    <s v="2023 05 4312 22706"/>
    <n v="10769"/>
    <x v="821"/>
    <s v="SERVICIOS DE BENCHMARKING DE VENTA NO SEDENTARIA EN MERCADILLOS Y/O RASTROS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06"/>
  </r>
  <r>
    <n v="220230016809"/>
    <s v="AD"/>
    <d v="2023-04-28T00:00:00"/>
    <n v="22023003668"/>
    <s v="2023 08 1341 22602"/>
    <n v="15999.99"/>
    <x v="553"/>
    <s v="Campaña de comunicación sobre actuaciones de fomento de la movilidad activa y sostenible (tv)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41"/>
    <s v="1341. Movilidad"/>
    <s v="22"/>
    <s v="22602"/>
  </r>
  <r>
    <n v="220230013644"/>
    <s v="AD"/>
    <d v="2023-04-10T00:00:00"/>
    <n v="22023003770"/>
    <s v="2023 08 1301 22602"/>
    <n v="1210"/>
    <x v="303"/>
    <s v="Campaña de difusión Metrominuto 2023.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01"/>
    <s v="1301. Dirección del área de seguridad"/>
    <s v="22"/>
    <s v="22602"/>
  </r>
  <r>
    <n v="220230022579"/>
    <s v="ADO"/>
    <d v="2023-05-19T00:00:00"/>
    <n v="22023004411"/>
    <s v="2023 07 1721 22100"/>
    <n v="39.46"/>
    <x v="379"/>
    <s v="COMPENSACION BONO SOCIAL REMESA FACTURAS FOTOVOLTAICAS ABRIL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20034179"/>
    <s v="AD"/>
    <d v="2023-04-21T00:00:00"/>
    <n v="22022002693"/>
    <s v="2023 04 9204 636"/>
    <n v="4889.7299999999996"/>
    <x v="177"/>
    <s v="MTO. Y REPARACIÓN DE LOS SISTEMAS ELÉCTRICOS Y DE ALIMENTACIÓN ININTERRUMPIDA, LOTE 2 , (73/2021)"/>
    <s v="220"/>
    <s v="VALLADOLID"/>
    <s v="VALLADOLID"/>
    <x v="1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3"/>
    <s v="636"/>
  </r>
  <r>
    <n v="220230019396"/>
    <s v="AD"/>
    <d v="2023-05-10T00:00:00"/>
    <n v="22023002404"/>
    <s v="2023 11 1361 22104"/>
    <n v="7532.25"/>
    <x v="822"/>
    <s v="EXPTE.: SPSC 013_2021;PRIMERA PRÓRROGA CONTRATO SUMINISTRO VESTURIO; LOTE 5: EQUIPAMIENTO DEPORTIVO; SEISYPC."/>
    <s v="220"/>
    <s v="VILLAVICIOSA DE ODON"/>
    <s v="MADRID"/>
    <x v="3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2"/>
    <s v="22104"/>
  </r>
  <r>
    <n v="220230029594"/>
    <s v="AD"/>
    <d v="2023-06-14T00:00:00"/>
    <n v="22023003993"/>
    <s v="2023 07 1711 619"/>
    <n v="50276.43"/>
    <x v="47"/>
    <s v="COMPLEMENTARIO PARA HACER FRENTE A LA CERTIFICACION 7 Y FINAL &quot;&quot;MEJORA EFICIENCIA FUENTE PLAZA ZORRILLA&quot;&quot; EXP.V.6-20 PS.37"/>
    <s v="220"/>
    <s v="PONTEVEDRA"/>
    <s v="PONTEVEDRA"/>
    <x v="2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30031261"/>
    <s v="D"/>
    <d v="2023-06-22T00:00:00"/>
    <n v="22023000202"/>
    <s v="2023 11 1321 204"/>
    <n v="27036.240000000002"/>
    <x v="76"/>
    <s v="CONTRATO RENTING VEHÍCULOS CAMUFLADOS PARA  POLICÍA MUNICIPAL. DE 1 DE JUNIO A 31 DE DIC DE 2023. EXPTE SPS- SE 03/2023."/>
    <s v="300"/>
    <s v="LUGO"/>
    <s v="LUGO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30682"/>
    <s v="AD"/>
    <d v="2023-06-20T00:00:00"/>
    <n v="22023004957"/>
    <s v="2023 0850 1301 22706"/>
    <n v="11700.99"/>
    <x v="472"/>
    <s v="Contrato basado para la redacción de proyecto de obras de implantación de ascensor en calle Veleta (exp. 26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31393"/>
    <s v="AD"/>
    <d v="2023-06-26T00:00:00"/>
    <n v="22023005151"/>
    <s v="2023 06 3232 632"/>
    <n v="47161.27"/>
    <x v="823"/>
    <s v="SE 35-2023 CTTO OBRAS SUSTITUCIÓN PARCIAL VENTANAS CEIP PEDRO GOMEZ BOSQUE. PLZ EJ: 44 D LABORABLES"/>
    <s v="220"/>
    <s v="PALENCIA"/>
    <s v="PALENCIA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12983"/>
    <s v="AD"/>
    <d v="2023-04-03T00:00:00"/>
    <n v="22023003741"/>
    <s v="2023 08 1532 22103"/>
    <n v="2354.41"/>
    <x v="12"/>
    <s v="Suministro de 2.700 L. de GASÓLEO C para la caldera del Parque de Conservación de la Vía Pública, C/ Títulos, 51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3"/>
  </r>
  <r>
    <n v="220230020466"/>
    <s v="AD"/>
    <d v="2023-05-11T00:00:00"/>
    <n v="22023003741"/>
    <s v="2023 08 1532 22103"/>
    <n v="252.66"/>
    <x v="12"/>
    <s v="GASTO COMPLEMENTARIO en el Suministro de 2.700 L. de GASÓLEO C para caldera del Parque Vias Públicas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3"/>
  </r>
  <r>
    <n v="220230024866"/>
    <s v="AD"/>
    <d v="2023-05-24T00:00:00"/>
    <n v="22023004647"/>
    <s v="2023 11 1321 22199"/>
    <n v="2000"/>
    <x v="292"/>
    <s v="SUMINISTRO DE PAPEL PARA TRABAJOS ELABORADOS POR LA IMPRENTA MUNICIPAL PARA POLICÍA ( BOLET. DENUNCIA, SOLICITAS, ETC.)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5384"/>
    <s v="AD"/>
    <d v="2023-05-26T00:00:00"/>
    <n v="22023004587"/>
    <s v="2023 06 2315 22699"/>
    <n v="1000"/>
    <x v="292"/>
    <s v="IMPRESIÓN DE SOPORTES PUBLICITARIOS A TRAVÉS DE IMPRENTA MUNICIPAL 2023: IGUALDAD E INFANCIA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99"/>
  </r>
  <r>
    <n v="220230022637"/>
    <s v="AD"/>
    <d v="2023-05-22T00:00:00"/>
    <n v="22023004591"/>
    <s v="2023 11 1631 22199"/>
    <n v="711.99"/>
    <x v="292"/>
    <s v="SUMINISTRO RESMAS PAPEL IMPRENTA MUNICIPAL PARA CARTELES Y FOLLETOS DE LA CAMPAÑA DE RECICLAJE.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99"/>
  </r>
  <r>
    <n v="220230022644"/>
    <s v="AD"/>
    <d v="2023-05-22T00:00:00"/>
    <n v="22023004627"/>
    <s v="2023 09 3341 22699"/>
    <n v="605"/>
    <x v="292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35"/>
    <s v="AD"/>
    <d v="2023-05-22T00:00:00"/>
    <n v="22023004612"/>
    <s v="2023 03 9241 22609"/>
    <n v="332.27"/>
    <x v="292"/>
    <s v="SUMINISTRO DE PAPEL, SERVIDO EN IMPRENTA MUNICIPAL, PARA REVISTA EL PÁRAMO (COLAB. CON C.P. VILLANUBLA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54"/>
    <s v="AD"/>
    <d v="2023-04-26T00:00:00"/>
    <n v="22023003952"/>
    <s v="2023 03 9241 22602"/>
    <n v="275.83"/>
    <x v="292"/>
    <s v="SUMINISTRO DE PAPEL (SERVIDO EN IMPRENTA MUNICIPAL) PARA CARPETAS MUESTRAS (MTV Y MCT 2023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986"/>
    <s v="AD"/>
    <d v="2023-04-26T00:00:00"/>
    <n v="22023004041"/>
    <s v="2023 03 9241 22602"/>
    <n v="234.01"/>
    <x v="292"/>
    <s v="SUMINISTRO DE PAPEL SERVIDO EN IMPRENTA MUNICIPAL PARA CARTELES MUESTRAS DE TEATRO Y CULTURA TRADICIONAL 2023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8168"/>
    <s v="AD"/>
    <d v="2023-05-08T00:00:00"/>
    <n v="22023004293"/>
    <s v="2023 05 4331 22199"/>
    <n v="37.15"/>
    <x v="292"/>
    <s v="SUMINISTRO DE PAPEL PARA LA AGENCIA DE INNOVACIÓN Y PARA LA IMPRENTA MUNICIPAL PARA LA ELABORACIÓN CARTELES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199"/>
  </r>
  <r>
    <n v="220230012980"/>
    <s v="AD"/>
    <d v="2023-04-03T00:00:00"/>
    <n v="22023003722"/>
    <s v="2023 06 3321 22199"/>
    <n v="258.08999999999997"/>
    <x v="824"/>
    <s v="CTTO SUMINISTRO ALCOHOL LIMPIEZA PARA BIBLIOTECAS PÚBLICAS//AÑO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0787"/>
    <s v="AD"/>
    <d v="2023-05-16T00:00:00"/>
    <n v="22023004448"/>
    <s v="2023 05 4312 632"/>
    <n v="3485.01"/>
    <x v="825"/>
    <s v="SUMINISTRO E INSTALACION DE CALDERA IsoFast MA 35-CS/1-Sf MiPro Sense R, EN EDIFICIO  SITO EN  C/HOSTIEROS 1."/>
    <s v="220"/>
    <s v="VALLADOLID"/>
    <s v="VALLADOLID"/>
    <x v="3"/>
    <s v="AdDirec - Adjudicación Directa"/>
    <s v="SinC - Sin Criterio"/>
    <x v="3"/>
    <x v="1"/>
    <s v="6"/>
    <s v="6. Inversiones reales"/>
    <s v="05"/>
    <x v="7"/>
    <s v="4312"/>
    <s v="4312. Mercados, abastos y lonjas"/>
    <s v="63"/>
    <s v="632"/>
  </r>
  <r>
    <n v="220230020529"/>
    <s v="AD"/>
    <d v="2023-05-12T00:00:00"/>
    <n v="22023004356"/>
    <s v="2023 11 1361 22199"/>
    <n v="338.16"/>
    <x v="826"/>
    <s v="Adquisición de productos detergentes para el lavavajillas industrial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6601"/>
    <s v="AD"/>
    <d v="2023-04-27T00:00:00"/>
    <n v="22023002880"/>
    <s v="2023 07 1701 22799"/>
    <n v="5242.66"/>
    <x v="167"/>
    <s v="SEGUNDA PRÓRROGA LOTE 2 CONTRATO PROGR. EDUCACIÓN AMBIENTAL (RED DE HUERTOS ESCOLARES). PLAZO: 01/09/2023 AL 31/12/2023"/>
    <s v="220"/>
    <s v="PALENCIA"/>
    <s v="PALENCIA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30018151"/>
    <s v="AD"/>
    <d v="2023-05-08T00:00:00"/>
    <n v="22023004210"/>
    <s v="2023 01 9207 22001"/>
    <n v="1166"/>
    <x v="827"/>
    <s v="RENOVACIÓN DE DOS SUSCRIPCIONES ANUALES (215030/1 y 943643/1) AL PERIÓDICO EL PAÍS"/>
    <s v="220"/>
    <s v="MADRID"/>
    <s v="MADRID"/>
    <x v="3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18155"/>
    <s v="AD"/>
    <d v="2023-05-08T00:00:00"/>
    <n v="22023004334"/>
    <s v="2023 09 3341 213"/>
    <n v="81.680000000000007"/>
    <x v="117"/>
    <s v="REPARACION FUGA DE AGUA EN MAQUINA EXTERIOR DE CLIMA EN SALA TECNICA DEL CENTRO MARCELINA PONCELA"/>
    <s v="220"/>
    <s v="ALBACETE"/>
    <s v="ALBACETE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1"/>
    <s v="213"/>
  </r>
  <r>
    <n v="220230012973"/>
    <s v="AD"/>
    <d v="2023-04-03T00:00:00"/>
    <n v="22023003494"/>
    <s v="2023 06 3321 22001"/>
    <n v="13893.74"/>
    <x v="183"/>
    <s v="CTTO SUMINISTRO DIARIOS EL MUNDO, MARCA Y EXPANSIÓN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8175"/>
    <s v="AD"/>
    <d v="2023-05-08T00:00:00"/>
    <n v="22023004342"/>
    <s v="2023 03 9241 22609"/>
    <n v="4598"/>
    <x v="828"/>
    <s v="PROYECTO &quot;&quot;ÉRASE UNA VEZ EL BARRIO...&quot;&quot; A DESARROLLAR EN DISTINTOS BARRIOS DE LA CIUDAD, SEPT-DIC 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0474"/>
    <s v="AD"/>
    <d v="2023-05-11T00:00:00"/>
    <n v="22023004419"/>
    <s v="2023 05 4312 632"/>
    <n v="7029.62"/>
    <x v="186"/>
    <s v="SUMINISTRO E INSTALACION DE LUMINARIAS PARA CORREGIR DEFICIENCIAS SEGUN INSPECCION EN MERCADO LAS DELICIAS"/>
    <s v="220"/>
    <s v="VALLADOLID"/>
    <s v="VALLADOLID"/>
    <x v="1"/>
    <s v="AdDirec - Adjudicación Directa"/>
    <s v="SinC - Sin Criterio"/>
    <x v="3"/>
    <x v="1"/>
    <s v="6"/>
    <s v="6. Inversiones reales"/>
    <s v="05"/>
    <x v="7"/>
    <s v="4312"/>
    <s v="4312. Mercados, abastos y lonjas"/>
    <s v="63"/>
    <s v="632"/>
  </r>
  <r>
    <n v="220230015361"/>
    <s v="AD"/>
    <d v="2023-04-25T00:00:00"/>
    <n v="22023003906"/>
    <s v="2023 06 3232 213"/>
    <n v="3000"/>
    <x v="186"/>
    <s v="CTTO LOCALIZACIÓN AVERÍAS, ADECUACIÓN DE ALUMBRADO Y OTRAS ACTUACIONES EN COLEGIOS PÚBLICOS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6597"/>
    <s v="AD"/>
    <d v="2023-04-27T00:00:00"/>
    <n v="22023002861"/>
    <s v="2023 02 1511 609"/>
    <n v="7562.5"/>
    <x v="402"/>
    <s v="CONTRATO BASADO SERVICIOS PARA LA  ASISTENCIA TÉCNICA  A LA DIREC.FACULTAT.OBRAS DE LA CALLE PADRE CLARET(10 MESES)."/>
    <s v="220"/>
    <s v="ARROYO DE LA ENCOMIENDA"/>
    <s v="VALLADOLID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0"/>
    <s v="609"/>
  </r>
  <r>
    <n v="220230020479"/>
    <s v="AD"/>
    <d v="2023-05-11T00:00:00"/>
    <n v="22023004446"/>
    <s v="2023 03 9241 213"/>
    <n v="1730"/>
    <x v="186"/>
    <s v="SUM. SUSTITUCIÓN Y ADAPTACIÓN DE BOMBA AGUAS RESIDUALES EN CC ROND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6838"/>
    <s v="AD"/>
    <d v="2023-05-02T00:00:00"/>
    <n v="22023003869"/>
    <s v="2023 11 1621 213"/>
    <n v="17914.8"/>
    <x v="829"/>
    <s v="ADQUISICIÓN DE RECPTORES PARA MANIOBRAR LAS PLATAFORMAS QUE ALOJAN CONTENEDORES SOTERRADOS PARA 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6160"/>
    <s v="D"/>
    <d v="2023-04-27T00:00:00"/>
    <n v="22023001670"/>
    <s v="2023 01 9206 22001"/>
    <n v="941.11"/>
    <x v="830"/>
    <s v="CONGRESO INTERNACIONAL EL DESAFIO DE LA REPARACION / PRACTICUM-CONTRATOS PUBLICOS 2022 TOMSON REUTERS / CURSO DE CONTRAT"/>
    <s v="30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001"/>
  </r>
  <r>
    <n v="220230015977"/>
    <s v="AD"/>
    <d v="2023-04-26T00:00:00"/>
    <n v="22023004065"/>
    <s v="2023 06 2315 22611"/>
    <n v="960"/>
    <x v="188"/>
    <s v="TALLER DE ASERTIVIDAD Y GENERO EN EL CENTRO MUNICIPAL DE LA IGUALDAD MAYO -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4849"/>
    <s v="AD"/>
    <d v="2023-05-24T00:00:00"/>
    <n v="22023004511"/>
    <s v="2023 05 4331 609"/>
    <n v="7690.26"/>
    <x v="52"/>
    <s v="LIQUIDACIÓN CONTRATO OBRAS SIST DRENAJE URBANO SOSTENIBLES(SUD´s). URBAN GreenUP G.A. nº 730426. EXPTE AI-13/2020."/>
    <s v="220"/>
    <s v="VALLADOLID"/>
    <s v="VALLADOLID"/>
    <x v="2"/>
    <s v="PrAbier - Procedimiento Abierto"/>
    <s v="MultiC - MultiCriterio"/>
    <x v="0"/>
    <x v="1"/>
    <s v="6"/>
    <s v="6. Inversiones reales"/>
    <s v="05"/>
    <x v="7"/>
    <s v="4331"/>
    <s v="4331. Desarrollo empresarial"/>
    <s v="60"/>
    <s v="609"/>
  </r>
  <r>
    <n v="220230020513"/>
    <s v="AD"/>
    <d v="2023-05-12T00:00:00"/>
    <n v="22023003362"/>
    <s v="2023 10 2312 22799"/>
    <n v="6669.61"/>
    <x v="236"/>
    <s v="prorroga  1/7 a 31/12-L 1 y2  prog.prev.fam.moneo y ded-y otros en C.esc y entid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5979"/>
    <s v="AD"/>
    <d v="2023-04-26T00:00:00"/>
    <n v="22023004071"/>
    <s v="2023 06 2315 22611"/>
    <n v="960"/>
    <x v="188"/>
    <s v="TALLER DE DESARROLLO PERSONAL, BIENESTAR EMOCIONAL Y EMPODERAMIENTO OCTUBRE - DICIEMBR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62"/>
    <s v="AD"/>
    <d v="2023-04-04T00:00:00"/>
    <n v="22023003714"/>
    <s v="2023 06 2315 22611"/>
    <n v="800.94"/>
    <x v="831"/>
    <s v="TALLER SOBRE INTRODUCCIÓN DE PERSPECTIVA DE GENERO / ABRIL 2023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61"/>
    <s v="AD"/>
    <d v="2023-04-04T00:00:00"/>
    <n v="22023003713"/>
    <s v="2023 07 1711 213"/>
    <n v="2500"/>
    <x v="832"/>
    <s v="MANTENIMIENTO Y REPARACIÓN DE MAQUINARIA DE JARDINERIA EN GARANTIA.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22625"/>
    <s v="AD"/>
    <d v="2023-05-22T00:00:00"/>
    <n v="22023004527"/>
    <s v="2023 06 2315 22614"/>
    <n v="240"/>
    <x v="833"/>
    <s v="SERVICIO TRANSPORTE ALUMNOS PARA TALLER MUSICAL IMUSICART / 23 Y 24 MAY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5959"/>
    <s v="AD"/>
    <d v="2023-04-26T00:00:00"/>
    <n v="22023003988"/>
    <s v="2023 10 2313 22699"/>
    <n v="715"/>
    <x v="192"/>
    <s v="Café para la sesión de cierre del mandato del Consejo Municipal de Servicios Sociales.-4/5/23-1 DIA"/>
    <s v="220"/>
    <s v="CORESES"/>
    <s v="ZAMORA"/>
    <x v="1"/>
    <s v="AdDirec - Adjudicación Directa"/>
    <s v="SinC - Sin Criterio"/>
    <x v="3"/>
    <x v="1"/>
    <s v="2"/>
    <s v="2. Gastos corrientes en bienes y servicios"/>
    <s v="10"/>
    <x v="1"/>
    <s v="2313"/>
    <s v="2313. Dirección del área de servicios sociales"/>
    <s v="22"/>
    <s v="22699"/>
  </r>
  <r>
    <n v="220230013746"/>
    <s v="AD"/>
    <d v="2023-04-11T00:00:00"/>
    <n v="22023003801"/>
    <s v="2023 09 3341 22699"/>
    <n v="125.84"/>
    <x v="192"/>
    <s v="ACTO DEL FALLO DEL 70 PREMIO DE NOVELA ATENEO CIUDAD DE VALLADOLID EL DIA 12 DE ABRIL DE 2023"/>
    <s v="220"/>
    <s v="CORESES"/>
    <s v="ZAMOR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16014"/>
    <s v="AD"/>
    <d v="2023-04-26T00:00:00"/>
    <n v="22023004106"/>
    <s v="2023 06 3321 22199"/>
    <n v="543.53"/>
    <x v="834"/>
    <s v="CTTO SUMINISTRO ETIQUETAS SEÑALIZACIÓN ZONA JOVEN PARA BIBLIOTECAS PÚBLICAS//1 MES//2023"/>
    <s v="220"/>
    <s v="VILLANUBLA (VALLADOLID)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2627"/>
    <s v="AD"/>
    <d v="2023-05-22T00:00:00"/>
    <n v="22023004106"/>
    <s v="2023 06 3321 22199"/>
    <n v="148.59"/>
    <x v="834"/>
    <s v="CTTO AMPLIACIÓN SUMINISTRO ETIQUETAS ZONA JOVEN NUEVA BIBLIOTECA PARQUESOL//1 MES//2023"/>
    <s v="220"/>
    <s v="VILLANUBLA (VALLADOLID)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5394"/>
    <s v="AD"/>
    <d v="2023-05-26T00:00:00"/>
    <n v="22023004697"/>
    <s v="2023 10 2311 213"/>
    <n v="3148.01"/>
    <x v="205"/>
    <s v="SUMINISTRO E INSTALACIÓN CAJAS DE PROTECCIÓN TERMOSTATOS DEL CENTRO INTEGRADO.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22628"/>
    <s v="AD"/>
    <d v="2023-05-22T00:00:00"/>
    <n v="22023004596"/>
    <s v="2023 06 2314 213"/>
    <n v="1123.8499999999999"/>
    <x v="205"/>
    <s v="MANTENIMIENTO DE FILTROS PARA CLIMATIZADOR ESPACIO JOVEN NORTE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1"/>
    <s v="213"/>
  </r>
  <r>
    <n v="220230012984"/>
    <s v="AD"/>
    <d v="2023-04-03T00:00:00"/>
    <n v="22023003727"/>
    <s v="2023 03 9241 213"/>
    <n v="60.38"/>
    <x v="205"/>
    <s v="SUM DE DOS CRISTALES BIE PARA SUSTITUCIÓN EN SIST. INCENDIOS DEL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13737"/>
    <s v="AD"/>
    <d v="2023-04-11T00:00:00"/>
    <n v="22023003772"/>
    <s v="2023 09 3341 22799"/>
    <n v="2567.8200000000002"/>
    <x v="211"/>
    <s v="PRESTACION SERVICIO DE ASISTENCIA Y COORDINACION DE SERVICIOS AUXILIARES CUPULA DEL MILENIO DURANTE 2 MESES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93"/>
    <s v="AD"/>
    <d v="2023-04-25T00:00:00"/>
    <n v="22023003812"/>
    <s v="2023 11 1631 219"/>
    <n v="1731.54"/>
    <x v="835"/>
    <s v="CUBOS 90L PARA CARRITOS DE PEONES DESTINADOS A LIMPIEZA VIARIA."/>
    <s v="220"/>
    <s v="CADRETE"/>
    <s v="ZARAGOZA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9"/>
  </r>
  <r>
    <n v="220230015976"/>
    <s v="AD"/>
    <d v="2023-04-26T00:00:00"/>
    <n v="22023004063"/>
    <s v="2023 06 2315 22611"/>
    <n v="280"/>
    <x v="836"/>
    <s v="TALLER TOTEBAG EN EL CENTRO MUNICIPAL DE LA IGUALDAD MAYO"/>
    <s v="220"/>
    <s v="BARCELONA"/>
    <s v="BARCELONA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53"/>
    <s v="AD"/>
    <d v="2023-05-08T00:00:00"/>
    <n v="22023004282"/>
    <s v="2023 03 9241 22609"/>
    <n v="242"/>
    <x v="836"/>
    <s v="TALLER COLLAGISTAS EN CC CASA CUNA JUNIO 2023"/>
    <s v="220"/>
    <s v="BARCELONA"/>
    <s v="BARCELONA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3366"/>
    <s v="AD"/>
    <d v="2023-04-04T00:00:00"/>
    <n v="22023002089"/>
    <s v="2023 11 1621 22700"/>
    <n v="14029.4"/>
    <x v="74"/>
    <s v="RETIRADA DE LODOS DEL ARENERO DE LA NAVE DEL LAVADERO DE VEHÍCULOS DEL SERVICIO DE LIMPIEZA.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22358"/>
    <s v="AD"/>
    <d v="2023-05-19T00:00:00"/>
    <n v="22023004476"/>
    <s v="2023 01 9207 22602"/>
    <n v="1754.5"/>
    <x v="837"/>
    <s v="ADJ,UDICA INSERTAR PUBLICIDAD EN ANUARIO TAURINO 2022 (se publica en primavera de 2023) - GOBIERNO Y RELACIONES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602"/>
  </r>
  <r>
    <n v="220230013646"/>
    <s v="AD"/>
    <d v="2023-04-10T00:00:00"/>
    <n v="22023003525"/>
    <s v="2023 11 1631 22700"/>
    <n v="6548.87"/>
    <x v="481"/>
    <s v="TALA DE ARBUSTOS, DESBROCE MANUAL Y ELIMINACIÓN RESTOS ZONA LATERAL NAVE DEL SERVICIO DE LIMPIEZA"/>
    <s v="220"/>
    <s v="SAN SEBASTIAN DE LOS REYES"/>
    <s v="MADR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700"/>
  </r>
  <r>
    <n v="220230018173"/>
    <s v="AD"/>
    <d v="2023-05-08T00:00:00"/>
    <n v="22023004375"/>
    <s v="2023 02 1501 22699"/>
    <n v="3025"/>
    <x v="838"/>
    <s v="DISEÑO,MAQUETACIÓN Y ARTE FINAL PARA LA PUBLICACIÓN EN HOMENAJE E.MUNICIPAL DE FRANCES &quot;&quot;NESTOR FERNANDEZ&quot;&quot; 1908-1936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1501"/>
    <s v="1501. Dirección del área de urbanismo"/>
    <s v="22"/>
    <s v="22699"/>
  </r>
  <r>
    <n v="220230012988"/>
    <s v="AD"/>
    <d v="2023-04-03T00:00:00"/>
    <n v="22023003612"/>
    <s v="2023 08 1301 22699"/>
    <n v="7139"/>
    <x v="304"/>
    <s v="Contrato Campaña Valladolid se mueve 2023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301"/>
    <s v="1301. Dirección del área de seguridad"/>
    <s v="22"/>
    <s v="22699"/>
  </r>
  <r>
    <n v="220230018169"/>
    <s v="AD"/>
    <d v="2023-05-08T00:00:00"/>
    <n v="22023004304"/>
    <s v="2023 11 1321 22199"/>
    <n v="500"/>
    <x v="839"/>
    <s v="COMPLEMENTOS DE ARMERÍA PARA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2626"/>
    <s v="AD"/>
    <d v="2023-05-22T00:00:00"/>
    <n v="22023004533"/>
    <s v="2023 05 4312 22199"/>
    <n v="22.65"/>
    <x v="218"/>
    <s v="A,M V. 18/2022 COMPRA CERRADURA MERCADO DELICIAS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199"/>
  </r>
  <r>
    <n v="220230018798"/>
    <s v="AD"/>
    <d v="2023-05-09T00:00:00"/>
    <n v="22023003005"/>
    <s v="2023 03 9241 213"/>
    <n v="4976.6000000000004"/>
    <x v="130"/>
    <s v="SE-PC 12/2023: PRÓRROGA CONTRATO DE MANTENIMIENTO DE ASCENSORES DE LOS CENTROS DE PARTICIPACIÓN CIUDADANA (4 MAY-31 DIC)"/>
    <s v="220"/>
    <s v="VIGO"/>
    <s v="PONTEVEDRA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16602"/>
    <s v="AD"/>
    <d v="2023-04-27T00:00:00"/>
    <n v="22023002881"/>
    <s v="2023 07 1701 22799"/>
    <n v="5828"/>
    <x v="238"/>
    <s v="2ª PRÓRROGA. LOTE 3. CONTRATO PROGRAMAS EDUCACIÓN AMBIENTAL (ACCIONES EDUCATIVAS). PLAZO: 01/09/2023 AL 31/12/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99"/>
  </r>
  <r>
    <n v="220230018613"/>
    <s v="ADO"/>
    <d v="2023-05-09T00:00:00"/>
    <n v="22023003941"/>
    <s v="2023 07 1721 22100"/>
    <n v="26.08"/>
    <x v="379"/>
    <s v="COMPENSACION BONO SOCIAL REMESA FACTURAS FOTOVOLTAICAS MES DE MARZO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30013736"/>
    <s v="AD"/>
    <d v="2023-04-11T00:00:00"/>
    <n v="22023003116"/>
    <s v="2023 05 4331 22699"/>
    <n v="60.5"/>
    <x v="222"/>
    <s v="AMPLIACION POR SUBIDA DE PRECIOS RESPECTO AL AÑO ANTERIOR SEGUN INDICACIÓN DEL DPTO TECNOLOGIAS DE LA INFORMACION."/>
    <s v="220"/>
    <s v="BARCELONA"/>
    <s v="BARCELON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0792"/>
    <s v="AD"/>
    <d v="2023-05-16T00:00:00"/>
    <n v="22023004515"/>
    <s v="2023 11 1321 22199"/>
    <n v="2874.72"/>
    <x v="840"/>
    <s v="SUMINISTRO DE CONUMIBLES PARA GRUAS DE LA POLICÍA MUNICIPAL."/>
    <s v="220"/>
    <s v="INDUSTRIA 46"/>
    <s v="BARCELONA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15081"/>
    <s v="AD"/>
    <d v="2023-04-25T00:00:00"/>
    <n v="22023003679"/>
    <s v="2023 11 1361 213"/>
    <n v="1161.5999999999999"/>
    <x v="841"/>
    <s v="Subsanación deficiencias en instalación Gas Natural parque bomberos Canterac; SEISYPC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0482"/>
    <s v="AD"/>
    <d v="2023-05-11T00:00:00"/>
    <n v="22023004475"/>
    <s v="2023 06 3232 212"/>
    <n v="6655"/>
    <x v="842"/>
    <s v="CONTRATO DE OBRAS PARA TRABAJOS DE ALBAÑILERIA EN COLEGIOS PUBLICOS. 8 MESES"/>
    <s v="220"/>
    <s v="VALLADOLID"/>
    <s v="VALLADOLID"/>
    <x v="2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4858"/>
    <s v="AD"/>
    <d v="2023-05-24T00:00:00"/>
    <n v="22023004646"/>
    <s v="2023 05 4331 22799"/>
    <n v="10127.700000000001"/>
    <x v="843"/>
    <s v="DESMONTAJE Y ACOPIO DEL JARDÍN VERTICAL SITUADO EN LA CALLE CONSTITUCIÓN EN EL ANTIGUO EDIFICIO DE EL CORTE INGLÉS."/>
    <s v="220"/>
    <s v="VALLADOLID"/>
    <s v="VALLADOLID"/>
    <x v="2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733"/>
    <s v="AD"/>
    <d v="2023-04-11T00:00:00"/>
    <n v="22023003774"/>
    <s v="2023 10 2312 22615"/>
    <n v="1500"/>
    <x v="236"/>
    <s v="CAMPAÑA DE PREVENCION DE ADICCIONES EN EL BARRIO DE LA VICTORIA-OVERUELA DENTRO DEL PLAN DE DROGAS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5"/>
  </r>
  <r>
    <n v="220230016833"/>
    <s v="AD"/>
    <d v="2023-05-02T00:00:00"/>
    <n v="22023002651"/>
    <s v="2023 10 2312 22799"/>
    <n v="7087.5"/>
    <x v="844"/>
    <s v="CONCIERTO DE PRIMAVERA PARA LAS P. MAYORES DE VALLADOLID QUE SE CELABRARA EL 22 DE ABRIL DE 2023 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99"/>
  </r>
  <r>
    <n v="220230016833"/>
    <s v="AD"/>
    <d v="2023-05-02T00:00:00"/>
    <n v="22023002652"/>
    <s v="2023 10 2312 22799"/>
    <n v="7087.5"/>
    <x v="844"/>
    <s v="CONCIERTO DE PRIMAVERA PARA LAS P. MAYORES DE VALLADOLID QUE SE CELABRARA EL 22 DE ABRIL DE 2023 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99"/>
  </r>
  <r>
    <n v="220230013648"/>
    <s v="AD"/>
    <d v="2023-04-10T00:00:00"/>
    <n v="22023003078"/>
    <s v="2023 05 4331 22799"/>
    <n v="5872.13"/>
    <x v="239"/>
    <s v="ASISTENCIA PERSONAL EN EL PALACIO DE CONGRESOS CONDE ANSUREZ PARA ATENDER AL NUMEROSO PÚBLICO Y PONENTES TOUR DEL TALENT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49"/>
    <s v="AD"/>
    <d v="2023-04-10T00:00:00"/>
    <n v="22023003078"/>
    <s v="2023 05 4331 22799"/>
    <n v="5841"/>
    <x v="239"/>
    <s v="SERVICIOS DE CATERING EN EL PALACIO DE CONGRESOS CONDE ANSÚREZ DE LA UNIVERSIDAD DE VALLADOLID Y SERVICIO DE AUTOCARES"/>
    <s v="23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40"/>
    <s v="AD"/>
    <d v="2023-04-10T00:00:00"/>
    <n v="22023003600"/>
    <s v="2023 05 4331 22699"/>
    <n v="5765.65"/>
    <x v="239"/>
    <s v="CONTRATO AYUNTAMIENTO DE VALLADOLID Y FUNGE UVA. JORNADA DE APOYO AL TALENTO EN PALACIO DE CONGRESOS CONDE ANSUREZ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12978"/>
    <s v="AD"/>
    <d v="2023-04-03T00:00:00"/>
    <n v="22023003709"/>
    <s v="2023 06 3321 22699"/>
    <n v="1100"/>
    <x v="240"/>
    <s v="CTTO SERVICIO CATERING INAUGURACIÓN NUEVA BIBLIOTECA PARQUESOL//31-03-2023"/>
    <s v="220"/>
    <s v="LEON"/>
    <s v="LEON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635"/>
    <s v="AD"/>
    <d v="2023-04-10T00:00:00"/>
    <n v="22023003753"/>
    <s v="2023 04 9231 22705"/>
    <n v="605"/>
    <x v="304"/>
    <s v="ANUNCIO EXPOSICION CENSO ELECTORAL 9 Y 10 ABRIL 2023 - EL NORTE"/>
    <s v="220"/>
    <s v="VALLADOLID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15985"/>
    <s v="AD"/>
    <d v="2023-04-26T00:00:00"/>
    <n v="22023004039"/>
    <s v="2023 05 4314 22699"/>
    <n v="3475.12"/>
    <x v="241"/>
    <s v="ALQUILER SALA CONCHA VELASCO 19 Y20 ABRIL 2023.CELEBRACION DE LA XIII SEMANA DE LA MODA ORGANIZADA POR AVADECO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4"/>
    <s v="4314. Fomento del comercio"/>
    <s v="22"/>
    <s v="22699"/>
  </r>
  <r>
    <n v="220230018159"/>
    <s v="AD"/>
    <d v="2023-05-08T00:00:00"/>
    <n v="22023004338"/>
    <s v="2023 06 2315 22611"/>
    <n v="163.35"/>
    <x v="241"/>
    <s v="CESION SALA CASA REVILLA FMC JORNADAS IGUALDAD &quot;&quot;CON M DE MALVA&quot;&quot;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745"/>
    <s v="AD"/>
    <d v="2023-04-11T00:00:00"/>
    <n v="22023003798"/>
    <s v="2023 03 9241 22699"/>
    <n v="246.38"/>
    <x v="247"/>
    <s v="SUMINISTRO DE GAS ARCAL 1 PARA TRABAJOS DE SOLDADURA EN CIC SANTIAGO LÓPEZ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8802"/>
    <s v="AD"/>
    <d v="2023-05-09T00:00:00"/>
    <n v="22023002562"/>
    <s v="2023 03 9241 22799"/>
    <n v="9366.3700000000008"/>
    <x v="263"/>
    <s v="SERVICIOS DE DINAMIZACIÓN Y ASISTENCIA AL VOTO EN LOS PRESUPUESTOS PARTICIPATIVOS 20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99"/>
  </r>
  <r>
    <n v="220230020475"/>
    <s v="AD"/>
    <d v="2023-05-11T00:00:00"/>
    <n v="22023004434"/>
    <s v="2023 06 2315 22611"/>
    <n v="4089.8"/>
    <x v="845"/>
    <s v="ALQUILER CARPA 10X15 CENTRO MUNICIPAL DE LA IGUALDAD / JULIO A SEPTIEMBRE 2023"/>
    <s v="220"/>
    <s v="SANTOVENIA DE PISUERGA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20076538"/>
    <s v="AD"/>
    <d v="2023-04-21T00:00:00"/>
    <n v="22022004797"/>
    <s v="2023 1050 2313 641"/>
    <n v="113200"/>
    <x v="112"/>
    <s v="TRANSFORMACION DIGITAL DE LOS SERVICIOS DE ATENCION SOAL A LAS PERSONAS-convenio con JCYL financiado xFONDOS PRTR"/>
    <s v="220"/>
    <s v="MADRID"/>
    <s v="MADRID"/>
    <x v="1"/>
    <s v="PrAbier - Procedimiento Abierto"/>
    <s v="MultiC - MultiCriterio"/>
    <x v="0"/>
    <x v="1"/>
    <n v="6"/>
    <s v="6. Inversiones reales"/>
    <s v="10"/>
    <x v="1"/>
    <s v="0 23"/>
    <n v="2313"/>
    <n v="64"/>
    <n v="641"/>
  </r>
  <r>
    <n v="220230021939"/>
    <s v="AD"/>
    <d v="2023-05-18T00:00:00"/>
    <n v="22023004530"/>
    <s v="2023 10 2312 22699"/>
    <n v="406.13"/>
    <x v="296"/>
    <s v="SOLICITUDES  DE INSCRIPCION EN LAS ACTIVIDADES DE ENVEJECIMIENTO ACTIVO DE LOS CVA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7052"/>
    <s v="AD"/>
    <d v="2023-05-02T00:00:00"/>
    <n v="22023003859"/>
    <s v="2023 10 2412 22102"/>
    <n v="1436.05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1939"/>
    <s v="AD"/>
    <d v="2023-05-18T00:00:00"/>
    <n v="22023004529"/>
    <s v="2023 10 2312 22699"/>
    <n v="290.10000000000002"/>
    <x v="296"/>
    <s v="SOLICITUDES  DE INSCRIPCION EN LAS ACTIVIDADES DE ENVEJECIMIENTO ACTIVO DE LOS CVA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2976"/>
    <s v="AD"/>
    <d v="2023-04-03T00:00:00"/>
    <n v="22023003690"/>
    <s v="2023 06 3321 22699"/>
    <n v="186"/>
    <x v="296"/>
    <s v="CTTO SUMINISTRO MARCAPÁGINAS PARA PUBLICITAR LA INAUGURACIÓN DE LA NUEVA BIBLIOTECA PARQUESOL//1 SEMAN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645"/>
    <s v="AD"/>
    <d v="2023-04-10T00:00:00"/>
    <n v="22023003752"/>
    <s v="2023 03 9241 22602"/>
    <n v="41.87"/>
    <x v="298"/>
    <s v="CARTELES A3 COLOR LASER PARA CC ESGUEV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5109"/>
    <s v="AD"/>
    <d v="2023-04-25T00:00:00"/>
    <n v="22023003856"/>
    <s v="2023 01 9203 22699"/>
    <n v="364.6"/>
    <x v="300"/>
    <s v="ADQUISICION PLACAS Y PEANAS HOMENAJE ACTOS OFICIALES Y REPRESENTATIVO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5993"/>
    <s v="AD"/>
    <d v="2023-04-26T00:00:00"/>
    <n v="22023003920"/>
    <s v="2023 02 1501 22602"/>
    <n v="7260"/>
    <x v="304"/>
    <s v="DAR A CONOCER LAS POLÍTICAS SOBRE VIVIENDA QUE DESARROLLA EL ÁREA ASI COMO LA DENÁMICA DEL SECTOR INMOBIL. EN VALLAD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1501"/>
    <s v="1501. Dirección del área de urbanismo"/>
    <s v="22"/>
    <s v="22602"/>
  </r>
  <r>
    <n v="220230013734"/>
    <s v="AD"/>
    <d v="2023-04-11T00:00:00"/>
    <n v="22023003777"/>
    <s v="2023 10 2316 22616"/>
    <n v="363"/>
    <x v="300"/>
    <s v="1.000 PULSERAS COLORES COMUNIDAD GITANA - DÍA DEL PUEBLO GITANO - PLAN DE CONVIVENCIA CIUDAD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43"/>
    <s v="AD"/>
    <d v="2023-05-22T00:00:00"/>
    <n v="22023004619"/>
    <s v="2023 06 2315 22611"/>
    <n v="145.19999999999999"/>
    <x v="846"/>
    <s v="MATERIAL SENSIBILIZACION DIA 17 DE MAY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7052"/>
    <s v="AD"/>
    <d v="2023-05-02T00:00:00"/>
    <n v="22023003858"/>
    <s v="2023 10 2412 22102"/>
    <n v="1148.8499999999999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16028"/>
    <s v="AD"/>
    <d v="2023-04-26T00:00:00"/>
    <n v="22023004033"/>
    <s v="2023 06 3321 22001"/>
    <n v="234.31"/>
    <x v="304"/>
    <s v="CTTO AMPLIACIÓN SUSCRIPCIÓN NORTE DE CASTILLA NUEVA  BIBLIOTECA PARQUESOL//31-03-2023 al  30-12-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7052"/>
    <s v="AD"/>
    <d v="2023-05-02T00:00:00"/>
    <n v="22023003857"/>
    <s v="2023 10 2412 22102"/>
    <n v="1140.4000000000001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6355"/>
    <s v="D"/>
    <d v="2023-05-31T00:00:00"/>
    <n v="22023001344"/>
    <s v="2023 03 9241 213"/>
    <n v="45.21"/>
    <x v="358"/>
    <s v="CIC NATIVIDAD ALVAREZ CHACÓN Y CC JL MOSQUERA/ MATERIALES VARIOS TRABAJOS ELÉCTRICO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426"/>
    <s v="D"/>
    <d v="2023-05-31T00:00:00"/>
    <n v="22023001466"/>
    <s v="2023 11 1621 22199"/>
    <n v="77.55"/>
    <x v="358"/>
    <s v="CONTACTO SE ZBE-101 NA / CONTACTO SE ZBE-102 NC / INTERRUP NIESSEN 1...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428"/>
    <s v="D"/>
    <d v="2023-05-31T00:00:00"/>
    <n v="22023001476"/>
    <s v="2023 11 1631 22199"/>
    <n v="7.39"/>
    <x v="358"/>
    <s v="MARCO 1E SE NU200218 BL. POLAR / INTERRUPT SE NU310118  ESTR. BL POLAR/ ACUERDO MARCO SUMINISTROS. LIMPIEZA VIAR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656"/>
    <s v="D"/>
    <d v="2023-05-31T00:00:00"/>
    <n v="22023003827"/>
    <s v="2023 10 2311 212"/>
    <n v="7.26"/>
    <x v="358"/>
    <s v="F - 5022 - INTERRUPTORES Y TAPAS - VVDA VINOS DE RUEDA 22 2ºB- CADIELSA SLU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4125"/>
    <s v="D"/>
    <d v="2023-04-19T00:00:00"/>
    <n v="22023001956"/>
    <s v="2023 07 1711 214"/>
    <n v="544.80999999999995"/>
    <x v="359"/>
    <s v="TOTAL TRABAJOS REPARACION MATRICULA 0589GMF / TOTAL PIEZAS / ANEXO DETALLE FTP000020159 Y VAL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89"/>
    <s v="D"/>
    <d v="2023-04-27T00:00:00"/>
    <n v="22023001459"/>
    <s v="2023 11 1621 214"/>
    <n v="1042.33"/>
    <x v="359"/>
    <s v="TOTAL TRABAJOS REPARACION MATRICULA 4069KXH / TOTAL PIEZAS 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216"/>
    <s v="D"/>
    <d v="2023-04-27T00:00:00"/>
    <n v="22023000213"/>
    <s v="2023 11 1321 214"/>
    <n v="1310.05"/>
    <x v="359"/>
    <s v="ACUERDO MARCO. TRABAJOS REPARACION MATRICULA 8671JXF / TOTAL PIEZAS / ANEXO DETALLE FTP000020196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18"/>
    <s v="D"/>
    <d v="2023-04-27T00:00:00"/>
    <n v="22023000213"/>
    <s v="2023 11 1321 214"/>
    <n v="169.06"/>
    <x v="359"/>
    <s v="ACUERDO MARCO.  TRABAJOS REPARACION MATRICULA 8671JXF / TOTAL PIEZAS / ANEXO DETALLE FTP000020196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570"/>
    <s v="D"/>
    <d v="2023-05-09T00:00:00"/>
    <n v="22023001459"/>
    <s v="2023 11 1621 214"/>
    <n v="662.92"/>
    <x v="359"/>
    <s v="TOTAL TRABAJOS REPARACION MATRICULA 4042KXH / TOTAL PIEZAS / FTP000020269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49"/>
    <s v="D"/>
    <d v="2023-04-27T00:00:00"/>
    <n v="22023001638"/>
    <s v="2023 11 3111 214"/>
    <n v="936.54"/>
    <x v="520"/>
    <s v="MANO DE OBRA INSTALACIÓN FUNDAS+ DES/MONTAJE DISPOSITIVO DE GEOLOCALIZACION / TRASLADO 2 VEHICULOS PARA CARROZAR  / FUND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1"/>
    <s v="214"/>
  </r>
  <r>
    <n v="220230016051"/>
    <s v="D"/>
    <d v="2023-04-27T00:00:00"/>
    <n v="22023001638"/>
    <s v="2023 11 3111 214"/>
    <n v="418.36"/>
    <x v="520"/>
    <s v="MANO DE OBRA DIAGNOSTICCO SUSTITUCION / POLEA ARBOL DE LEVAS / KIT DISTRIBUCION / CORREA DE ACCESORIOS  / OFICIA CONTABL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1"/>
    <s v="214"/>
  </r>
  <r>
    <n v="220230020133"/>
    <s v="D"/>
    <d v="2023-05-11T00:00:00"/>
    <n v="22023001459"/>
    <s v="2023 11 1621 214"/>
    <n v="73.459999999999994"/>
    <x v="359"/>
    <s v="TOTAL TRABAJOS REPARACION MATRICULA 4069KXH / ANEXO DETALLE FTP000020284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1063"/>
    <s v="D"/>
    <d v="2023-05-16T00:00:00"/>
    <n v="22023001956"/>
    <s v="2023 07 1711 214"/>
    <n v="430.55"/>
    <x v="359"/>
    <s v="TOTAL TRABAJOS REPARACIÓN MATRICULA 3856DDD / TOTAL PIEZAS / ANEXO DETALLE FTM000008507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536"/>
    <s v="D"/>
    <d v="2023-05-19T00:00:00"/>
    <n v="22023000213"/>
    <s v="2023 11 1321 214"/>
    <n v="146.91999999999999"/>
    <x v="359"/>
    <s v="TRABAJOS REPARACIÓN VEHÍCULO MATRICULA 8831JXF / ANEXO DETALLE FTP000020390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620"/>
    <s v="D"/>
    <d v="2023-05-31T00:00:00"/>
    <n v="22023001459"/>
    <s v="2023 11 1621 214"/>
    <n v="2019.22"/>
    <x v="359"/>
    <s v="TOTAL TRABAJOS REPARACIÓN MATRÍCULA 2568FZB / TOTAL PIEZAS / ANEXO DETALLE FTP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2"/>
    <s v="D"/>
    <d v="2023-05-31T00:00:00"/>
    <n v="22023001459"/>
    <s v="2023 11 1621 214"/>
    <n v="539.54"/>
    <x v="359"/>
    <s v="ALBARÁN 0026898 MATRÍCULA 2488FXC: 52,56¿ ALBARÁN 0027228 MATRÍCULA 4042KXH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6"/>
    <s v="D"/>
    <d v="2023-05-31T00:00:00"/>
    <n v="22023001459"/>
    <s v="2023 11 1621 214"/>
    <n v="2635.69"/>
    <x v="359"/>
    <s v="TOTAL TRABAJOS REPARACIÓN MATRÍCULA 4042KXH / TOTAL PIEZAS / ANEXO DETALLE FTP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4"/>
    <s v="D"/>
    <d v="2023-04-24T00:00:00"/>
    <n v="22023001459"/>
    <s v="2023 11 1621 214"/>
    <n v="8.59"/>
    <x v="847"/>
    <s v="MATERIALES (ALBARAN 101W000036) DEL 27/01/2023 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6"/>
    <s v="D"/>
    <d v="2023-04-24T00:00:00"/>
    <n v="22023001459"/>
    <s v="2023 11 1621 214"/>
    <n v="1385.66"/>
    <x v="847"/>
    <s v="MATRÍ.: 1273GKG //  MATERIALES Y MANO DE OBRA (FUGA DE ACEITE Y REVISIÓN ITV GRUA) 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3488"/>
    <s v="D"/>
    <d v="2023-04-05T00:00:00"/>
    <n v="22023001956"/>
    <s v="2023 07 1711 214"/>
    <n v="108.33"/>
    <x v="360"/>
    <s v="5546213-ALBARAN23 185 14/02/2023 500025218L LITRO AD BLUE / 5546356-ALBARAN23 187 14/02/2023 0504096615 INTERRUPTOR / 55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3490"/>
    <s v="D"/>
    <d v="2023-04-05T00:00:00"/>
    <n v="22023001956"/>
    <s v="2023 07 1711 214"/>
    <n v="183.11"/>
    <x v="360"/>
    <s v="TA23 284 REPARACION 3687-FJM KMS.137822  D-M PIÑA DE LUCES, COMPROBAR INSTALACION Y REPARAR LA MISMA. / D-M PANEL DE PU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79"/>
    <s v="D"/>
    <d v="2023-04-27T00:00:00"/>
    <n v="22023001462"/>
    <s v="2023 11 1621 214"/>
    <n v="4642.99"/>
    <x v="514"/>
    <s v="6616 LBZ / DONAL/SH63566 - FILTRO HIDRAULICO / (34565-BGW) / BOSCH/0001251006 - MOT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123"/>
    <s v="D"/>
    <d v="2023-04-19T00:00:00"/>
    <n v="22023001956"/>
    <s v="2023 07 1711 214"/>
    <n v="216.71"/>
    <x v="360"/>
    <s v="TA23 456 REPARACION 5833-BZK KMS.234076  REV.LUCES, REPARAR INSTALACIONES DE LOS 2 PILOTOS TRASEROS Y DE LAS LUCES DE M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4544"/>
    <s v="D"/>
    <d v="2023-04-24T00:00:00"/>
    <n v="22023001459"/>
    <s v="2023 11 1621 214"/>
    <n v="1140.26"/>
    <x v="360"/>
    <s v="7686-CZT D-M CAJA DE CAMBIOS PARA CAMBIAR EMBRAGUE Y RODAMIENTO DE PUNTA.... 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46"/>
    <s v="D"/>
    <d v="2023-04-24T00:00:00"/>
    <n v="22023001459"/>
    <s v="2023 11 1621 214"/>
    <n v="3289.02"/>
    <x v="360"/>
    <s v="3511-BHT KMS.606351 HACER PRUEBAS Y DIAG. AVERIA. CAMBIAR GOMAS DEL CILINDRO DE GAMA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48"/>
    <s v="D"/>
    <d v="2023-04-24T00:00:00"/>
    <n v="22023001459"/>
    <s v="2023 11 1621 214"/>
    <n v="1352.66"/>
    <x v="360"/>
    <s v="4459-KLP REV.DIRECCION INESTABLE, COMPROBAR SI TIENE HOLGURAS Y APRETAR ABARCONES .../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0"/>
    <s v="D"/>
    <d v="2023-04-24T00:00:00"/>
    <n v="22023001459"/>
    <s v="2023 11 1621 214"/>
    <n v="1306.97"/>
    <x v="360"/>
    <s v="0838-KWH CAMBIAR ACEITE MOTOR, FILTROS DE ACEITE, GASOIL, AIRE, SECADOR, ADBLUE Y RE.../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52"/>
    <s v="D"/>
    <d v="2023-04-24T00:00:00"/>
    <n v="22023001459"/>
    <s v="2023 11 1621 214"/>
    <n v="6222.64"/>
    <x v="360"/>
    <s v="4178-JDZ CAMBIAR RADIADOR DE AGUA / METER EASY PARA VER AVERIAS, HACER SANITY REGENERACI/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30"/>
    <s v="D"/>
    <d v="2023-04-27T00:00:00"/>
    <n v="22023000263"/>
    <s v="2023 02 9332 214"/>
    <n v="495.93"/>
    <x v="360"/>
    <s v="TA23 10 REPARACION 3816-GKW KMS.125332 CAMBIAR MOTOR Y FILTRO DE ACEITE  / D-M ACCESORIOS DE CALEFACCION PARA CAMBIAR MO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32"/>
    <s v="D"/>
    <d v="2023-04-27T00:00:00"/>
    <n v="22023000263"/>
    <s v="2023 02 9332 214"/>
    <n v="133.54"/>
    <x v="360"/>
    <s v="TA23 32 REPARACION 8367-JKB KMS.39161 CAMBIAR BATERIA  / 64A BATERIA 64AH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64"/>
    <s v="D"/>
    <d v="2023-04-27T00:00:00"/>
    <n v="22023000263"/>
    <s v="2023 02 9332 214"/>
    <n v="152.85"/>
    <x v="360"/>
    <s v="TA23 324 REPARACION 3883-FMN KMS.89640 REVISAR FUGA DE GASES DE ESCAPE, HACER PRUEBA MANUAL DE INYECTORES, D-M INYECTOR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81"/>
    <s v="D"/>
    <d v="2023-04-27T00:00:00"/>
    <n v="22023001459"/>
    <s v="2023 11 1621 214"/>
    <n v="6156.37"/>
    <x v="360"/>
    <s v="TA23 373 REPARACION 0044-GJV KMS.369694 REVISAR RUIDO EN CAJA CAMBIOS D-M CAJA D...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264"/>
    <s v="D"/>
    <d v="2023-04-27T00:00:00"/>
    <n v="22023001608"/>
    <s v="2023 08 1532 214"/>
    <n v="127.82"/>
    <x v="360"/>
    <s v="TA23 581 REPARACION 5689-CFT // KMS.122253  CAMBIAR TIRANTES Y CASQUILLOS DE LA BARRA ESTABILZIADORA / 081252 - SOPORTE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7"/>
    <s v="D"/>
    <d v="2023-04-27T00:00:00"/>
    <n v="22023001608"/>
    <s v="2023 08 1532 214"/>
    <n v="94.68"/>
    <x v="360"/>
    <s v="R23 159  5552681-ALBARÁN 23 290 06/03/2023 0504096596 INTERRUPTOR / 0504096615 INTERRUPTOR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360"/>
    <s v="D"/>
    <d v="2023-04-27T00:00:00"/>
    <n v="22023001956"/>
    <s v="2023 07 1711 214"/>
    <n v="523.63"/>
    <x v="360"/>
    <s v="TA23 479 REPARACION VA-9532-X KMS.80954  REV.PERDIDA DE ACEITE, SOLTAR TRANSMISION,  D-M TOMA DE FUERZA DEL VEHICULO D-M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5"/>
    <s v="D"/>
    <d v="2023-05-09T00:00:00"/>
    <n v="22023001956"/>
    <s v="2023 07 1711 214"/>
    <n v="666.71"/>
    <x v="360"/>
    <s v="TA23 534 REPARACION 3687-FJM // KMS.136221 REVISAR, SE CALIENTA D-M RADIADORES DE LA UNIDAD PARA LIMPIAR, CAMBIAR TESMOS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947"/>
    <s v="D"/>
    <d v="2023-05-10T00:00:00"/>
    <n v="22023001608"/>
    <s v="2023 08 1532 214"/>
    <n v="237.17"/>
    <x v="360"/>
    <s v="TA23 618 REPARACIÓN 7535-LLT KMS.15630 REV. INSTALACIÓN DEL MOTOR DEL BASCULANTE, NO CIERRA EL CIRCUITO, REPARAR ELEC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8890"/>
    <s v="ADO"/>
    <d v="2023-05-10T00:00:00"/>
    <n v="22023003594"/>
    <s v="2023 07 1711 22699"/>
    <n v="1545.36"/>
    <x v="289"/>
    <s v="OPA 220220076995 - ALBARÁN Nº 301V070070 DEL 18/07/2022 // REVISION 500 H. 3CX SERVO PLUS"/>
    <s v="24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699"/>
  </r>
  <r>
    <n v="220230020094"/>
    <s v="D"/>
    <d v="2023-05-11T00:00:00"/>
    <n v="22023000213"/>
    <s v="2023 11 1321 214"/>
    <n v="3902.09"/>
    <x v="360"/>
    <s v="REPARACION 8831-JXF KMS.77358 D-M ACCESORIOS PARA D-M CATALIZADOR Y  REPARACION DE CATALIZADOR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128"/>
    <s v="D"/>
    <d v="2023-05-11T00:00:00"/>
    <n v="22023001459"/>
    <s v="2023 11 1621 214"/>
    <n v="1208.1500000000001"/>
    <x v="360"/>
    <s v="TA23 494 REPARACION 0838-KWH // KMS.104762 METER EASY PARA VER AVERIAS, HACE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876"/>
    <s v="D"/>
    <d v="2023-05-16T00:00:00"/>
    <n v="22023001956"/>
    <s v="2023 07 1711 214"/>
    <n v="98.95"/>
    <x v="360"/>
    <s v="R23 161  5553594-ALBARÁN 23 313 09/03/2023 500025218L LITRO AD BLUE / 5560285-ALBARÁN 23 375 31/03/2023 500025218L LI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313"/>
    <s v="D"/>
    <d v="2023-05-31T00:00:00"/>
    <n v="22023001459"/>
    <s v="2023 11 1621 214"/>
    <n v="1748.07"/>
    <x v="360"/>
    <s v="0838-KWH // CAMBIAR FILTRO DE PARTICULAS / 1 580202036900 - FILTRO / 1 580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17"/>
    <s v="D"/>
    <d v="2023-05-31T00:00:00"/>
    <n v="22023001459"/>
    <s v="2023 11 1621 214"/>
    <n v="805.44"/>
    <x v="360"/>
    <s v="TA23 634 REPARACIÓN 0838-KWH // KMS.104590 D-M VALVULA 4 VIAS, SUSTITUIR LA MI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32"/>
    <s v="D"/>
    <d v="2023-05-31T00:00:00"/>
    <n v="22023001459"/>
    <s v="2023 11 1621 214"/>
    <n v="1250.6400000000001"/>
    <x v="360"/>
    <s v="TA23 641 REPARAR 0838-KWH// KMS.105464 // REV.NO ENTRAN LAS VELOCIDADES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2975"/>
    <s v="AD"/>
    <d v="2023-04-03T00:00:00"/>
    <n v="22023003687"/>
    <s v="2023 03 9241 22700"/>
    <n v="2270.42"/>
    <x v="26"/>
    <s v="LIMPIEZA Y REFORMA DE LA ZONA AJARDINADA DEL CC JOSÉ MARÍA LUELMO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00"/>
  </r>
  <r>
    <n v="220230026334"/>
    <s v="D"/>
    <d v="2023-05-31T00:00:00"/>
    <n v="22023001459"/>
    <s v="2023 11 1621 214"/>
    <n v="385.68"/>
    <x v="360"/>
    <s v="TA23 642 REPARACION 6671-KWD // KMS.110733 // REV.PERDIDA DE ACEITE PO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36"/>
    <s v="D"/>
    <d v="2023-05-31T00:00:00"/>
    <n v="22023001459"/>
    <s v="2023 11 1621 214"/>
    <n v="2635.19"/>
    <x v="360"/>
    <s v="TA23 661 REPARACION 7334-LWL //  KMS.24653 // REPARAR GOLPE SUPERIOR DE CAJA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624"/>
    <s v="D"/>
    <d v="2023-05-31T00:00:00"/>
    <n v="22023001459"/>
    <s v="2023 11 1621 214"/>
    <n v="996.33"/>
    <x v="360"/>
    <s v="TA23 690 REPARACIÓN 6616-LBZ KMS.108576 METER EASY PARA VER AVERIAS, HACER P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56"/>
    <s v="D"/>
    <d v="2023-04-27T00:00:00"/>
    <n v="22023001670"/>
    <s v="2023 01 9206 22001"/>
    <n v="662.3"/>
    <x v="848"/>
    <s v="9788409204038 1220 PREGUNTAS ESTATÚTO BÁSICO EP 3ª ED / 9788470528804 PRÁCTICA TRIBUTARIA PRESUPUESTARIA Y FINANCIERA"/>
    <s v="300"/>
    <s v="VILLANUEVA DE SAN MANCIO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16158"/>
    <s v="D"/>
    <d v="2023-04-27T00:00:00"/>
    <n v="22023001670"/>
    <s v="2023 01 9206 22001"/>
    <n v="1231.3900000000001"/>
    <x v="849"/>
    <s v="CÓDIGO DE RÉGIMEN LOCAL ( Corresponde a N/E  4 ) / ED.2022 SUPUESTOS PRÁCTICOS DE RÉGIMEN LOCAL  ( Corresponde a N/E  3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2636"/>
    <s v="AD"/>
    <d v="2023-05-22T00:00:00"/>
    <n v="22023004590"/>
    <s v="2023 11 1631 212"/>
    <n v="226.27"/>
    <x v="307"/>
    <s v="REPARACIÓN PUERTA CON CAMBIO DE BISAGRAS. LIMPIEZA VIARIA."/>
    <s v="220"/>
    <s v="MEJORADA DEL CAMPO"/>
    <s v="MADR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2"/>
  </r>
  <r>
    <n v="220230016358"/>
    <s v="D"/>
    <d v="2023-04-27T00:00:00"/>
    <n v="22023001549"/>
    <s v="2023 07 1711 22199"/>
    <n v="23.99"/>
    <x v="599"/>
    <s v="MACETA COMETA 22X21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6452"/>
    <s v="D"/>
    <d v="2023-04-27T00:00:00"/>
    <n v="22023001478"/>
    <s v="2023 10 2412 22199"/>
    <n v="77.39"/>
    <x v="599"/>
    <s v="SUMINISTRO DE HORTICOLAS VARIADAS,FRESAS 4 UD,ANTIHORMIGAS CEBO PARA EL CURSO DE PARQUES Y JARDINES IVDEL C. DE F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185"/>
    <s v="D"/>
    <d v="2023-05-31T00:00:00"/>
    <n v="22023003935"/>
    <s v="2023 07 1711 619"/>
    <n v="896.01"/>
    <x v="599"/>
    <s v="LAURUS NOBILIS / ROMERO POSTATUM / LAVANDA HYBRIDA / THYMUS VULGARIS / THYMUS CITRIODORU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8640"/>
    <s v="D"/>
    <d v="2023-05-09T00:00:00"/>
    <n v="22023001549"/>
    <s v="2023 07 1711 22199"/>
    <n v="19.579999999999998"/>
    <x v="479"/>
    <s v="MATERIAL VARIO CONSTRUCCIO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647"/>
    <s v="D"/>
    <d v="2023-05-09T00:00:00"/>
    <n v="22023001468"/>
    <s v="2023 10 2312 212"/>
    <n v="45.73"/>
    <x v="479"/>
    <s v="MANTENIMIENTO, SUMINISTRO DE  MATERIAL VARIO CONSTRUCCION PRA EL CPM ZONA ESTE- DUR 1 DIA"/>
    <s v="300"/>
    <s v="VALLADOLID"/>
    <s v="VALLADOLID"/>
    <x v="3"/>
    <s v="PrAbier - Procedimiento Abierto"/>
    <s v="MultiC - MultiCriterio"/>
    <x v="3"/>
    <x v="1"/>
    <s v="2"/>
    <s v="2. Gastos corrientes en bienes y servicios"/>
    <s v="10"/>
    <x v="1"/>
    <s v="2312"/>
    <s v="2312. Iniciativas sociales"/>
    <s v="21"/>
    <s v="212"/>
  </r>
  <r>
    <n v="220230021930"/>
    <s v="AD"/>
    <d v="2023-05-18T00:00:00"/>
    <n v="22023004498"/>
    <s v="2023 03 9241 212"/>
    <n v="208.25"/>
    <x v="479"/>
    <s v="SUMINISTRO MATERIALES PARA TRABAJOS DE ALBAÑILERÍA REALIZADOS POR MANTENIMIENTO EN CC J.M. LUELMO Y CIC SEGUNDO MONTES"/>
    <s v="220"/>
    <s v="VALLADOLID"/>
    <s v="VALLADOLID"/>
    <x v="3"/>
    <s v="PrAbier - Procedimiento Abierto"/>
    <s v="MultiC - MultiCriterio"/>
    <x v="3"/>
    <x v="1"/>
    <s v="2"/>
    <s v="2. Gastos corrientes en bienes y servicios"/>
    <s v="03"/>
    <x v="10"/>
    <s v="9241"/>
    <s v="9241. Participación ciudadana"/>
    <s v="21"/>
    <s v="212"/>
  </r>
  <r>
    <n v="220230021933"/>
    <s v="AD"/>
    <d v="2023-05-18T00:00:00"/>
    <n v="22023004547"/>
    <s v="2023 05 4312 22199"/>
    <n v="326.02"/>
    <x v="479"/>
    <s v="TECHO 1 PLUS B7 6OO*600/40MM EUROCOUSTIC D, DE LA OFICINA DE VENTA AMBULANTE SITA EN LA C/ HOSTIEROS, 1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199"/>
  </r>
  <r>
    <n v="220230026555"/>
    <s v="D"/>
    <d v="2023-05-31T00:00:00"/>
    <n v="22023001130"/>
    <s v="2023 07 1721 22199"/>
    <n v="20.51"/>
    <x v="479"/>
    <s v="MATERIAL VARIO CONSTRUCCION"/>
    <s v="30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99"/>
  </r>
  <r>
    <n v="220230026580"/>
    <s v="D"/>
    <d v="2023-05-31T00:00:00"/>
    <n v="22023001468"/>
    <s v="2023 10 2312 212"/>
    <n v="196.26"/>
    <x v="479"/>
    <s v="MANTENIMINETO, SUMINISTRO DE MATERIAL VARIO CONSTRUCCION PRA EL CPM ZONA ESTE- DURA 1 DIA"/>
    <s v="30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13493"/>
    <s v="D"/>
    <d v="2023-04-05T00:00:00"/>
    <n v="22023002053"/>
    <s v="2023 07 1711 213"/>
    <n v="1341.87"/>
    <x v="380"/>
    <s v="ACEITE MOTOR PLUS-50 LATA 5.Lts / SIGAUS / ARANDELA METAL GOMA M18 / PILOTO INTERMITENCIA/POSICION / TAPADERA / ANILLO T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4558"/>
    <s v="D"/>
    <d v="2023-04-24T00:00:00"/>
    <n v="22023001473"/>
    <s v="2023 11 1631 214"/>
    <n v="2814.41"/>
    <x v="514"/>
    <s v="CEGUI/210600014 - RAVO CEPILLO LATERAL NYLON-ACERO TRENZADO / EXP.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40"/>
    <s v="D"/>
    <d v="2023-04-27T00:00:00"/>
    <n v="22023000263"/>
    <s v="2023 02 9332 214"/>
    <n v="114.25"/>
    <x v="514"/>
    <s v="JCB/81190589 - PIVOT PIN 32x118mm' / JCB/13153419Z - BOLT M10X90' / JCB/13700303D - NUT M10 STD SELF LOCK'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105"/>
    <s v="D"/>
    <d v="2023-04-27T00:00:00"/>
    <n v="22023001462"/>
    <s v="2023 11 1621 214"/>
    <n v="2933.5"/>
    <x v="514"/>
    <s v="4042KXH / SWF/132651 - 2UD ESC.650 650 / 8875KMN / JURID/2925305390 - PASTILLAS V. J.../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38"/>
    <s v="D"/>
    <d v="2023-05-09T00:00:00"/>
    <n v="22023001462"/>
    <s v="2023 11 1621 214"/>
    <n v="1337.95"/>
    <x v="514"/>
    <s v="ASPOC/215200017-PILOTO POSICION BLANCO C/REFLECTANTE/RINDE/17100-LAT.AMBAR S/REF.../ EXP V36/2017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30"/>
    <s v="D"/>
    <d v="2023-05-11T00:00:00"/>
    <n v="22023001462"/>
    <s v="2023 11 1621 214"/>
    <n v="322.89999999999998"/>
    <x v="514"/>
    <s v="8500LRN / ADAIC/0106047 - BRIDA SOPORTE ALETA ACERO CINCADO D.42 REGULABLE.../ AM EXP V36/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4537"/>
    <s v="D"/>
    <d v="2023-04-24T00:00:00"/>
    <n v="22023001466"/>
    <s v="2023 11 1621 22199"/>
    <n v="621.09"/>
    <x v="170"/>
    <s v="KGS PLANCHA GOMA SBR C/TEJIDO 3PLY 8MMX1.40MTSX10MTS 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269"/>
    <s v="D"/>
    <d v="2023-04-27T00:00:00"/>
    <n v="22023001578"/>
    <s v="2023 11 3111 22199"/>
    <n v="205.53"/>
    <x v="170"/>
    <s v="PULVERIZADOR 1000CC LUXE COLORES / ROLLO CINTA BALIZAMIENTO SINEX ROJO/BLANCA 200MX70MM 0.03MM / GUANTE PIEL T/FLOR BLA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6546"/>
    <s v="D"/>
    <d v="2023-05-31T00:00:00"/>
    <n v="22023001578"/>
    <s v="2023 11 3111 22199"/>
    <n v="170.79"/>
    <x v="170"/>
    <s v="ROLLO ALAMBRE GALVANIZADO BOBINA Nº4 0.9MMX60M / ROLLO ALAMBRE GALVANIZADO BOBINA Nº7 1.25MMX50M / PISTOLA SILICONA TAJ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0998"/>
    <s v="D"/>
    <d v="2023-05-16T00:00:00"/>
    <n v="22023001469"/>
    <s v="2023 11 1631 214"/>
    <n v="1092.7"/>
    <x v="850"/>
    <s v="PARABRISAS VERDE (E 1768 BGJ) / MONTAR PARABRISAS PEGADO CAMIONES PEQUEÑOS /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3461"/>
    <s v="D"/>
    <d v="2023-04-05T00:00:00"/>
    <n v="22023001956"/>
    <s v="2023 07 1711 214"/>
    <n v="70"/>
    <x v="361"/>
    <s v="BATERIA BTX7A-BS ( HR-II JOTA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3497"/>
    <s v="D"/>
    <d v="2023-04-05T00:00:00"/>
    <n v="22023001956"/>
    <s v="2023 07 1711 214"/>
    <n v="39.93"/>
    <x v="361"/>
    <s v="MOTUL 710 MEZCAL MOTORES 2T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6053"/>
    <s v="D"/>
    <d v="2023-04-27T00:00:00"/>
    <n v="22023000213"/>
    <s v="2023 11 1321 214"/>
    <n v="213.2"/>
    <x v="361"/>
    <s v="ACUERDO MARCO. REPARACION MOTOCICLETA. MANETA DE FRENO DELANTERO ORIGINAL HONDA CB-500-X 1 DIS / MAN. FRENO DELANTERO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27"/>
    <s v="D"/>
    <d v="2023-04-27T00:00:00"/>
    <n v="22023000213"/>
    <s v="2023 11 1321 214"/>
    <n v="186.09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942"/>
    <s v="D"/>
    <d v="2023-05-16T00:00:00"/>
    <n v="22023001956"/>
    <s v="2023 07 1711 214"/>
    <n v="215.11"/>
    <x v="361"/>
    <s v="NEUMÁTICO DELANTERO DUNLOP SCOOTSMART 90/90-14 52P (3391-KWN HR-I) / NEUMÁTICO TRASERO DUNLOP SCOOTSMART 100/90-14 57P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0952"/>
    <s v="D"/>
    <d v="2023-05-16T00:00:00"/>
    <n v="22023001956"/>
    <s v="2023 07 1711 214"/>
    <n v="328.56"/>
    <x v="361"/>
    <s v="NEUMATICO DELANTERO DUNLOP SCOOTSMART 90/90-14 52P ( 3391-KWN HR-I ) / NEUMATICO TRASERO DUNLOP SCOOTSMART 100/90-14 57P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380"/>
    <s v="D"/>
    <d v="2023-05-19T00:00:00"/>
    <n v="22023000213"/>
    <s v="2023 11 1321 214"/>
    <n v="525.48"/>
    <x v="361"/>
    <s v="ACU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2483"/>
    <s v="D"/>
    <d v="2023-05-19T00:00:00"/>
    <n v="22023000213"/>
    <s v="2023 11 1321 214"/>
    <n v="456.48"/>
    <x v="361"/>
    <s v="ACUE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33"/>
    <s v="D"/>
    <d v="2023-04-27T00:00:00"/>
    <n v="22023001586"/>
    <s v="2023 08 1651 22199"/>
    <n v="226.92"/>
    <x v="217"/>
    <s v="PUNTA BAHCO 1/4HEX-4X25MM STAN / VASO 1/4 P. PH-1 23730 PROXXON / VASO 1/4 P. PH-2 23731 PROXXON / JGO PUNTAS Y ADAPTAD.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651"/>
    <s v="1651. Alumbrado público"/>
    <s v="22"/>
    <s v="22199"/>
  </r>
  <r>
    <n v="220230022532"/>
    <s v="D"/>
    <d v="2023-05-19T00:00:00"/>
    <n v="22023000213"/>
    <s v="2023 11 1321 214"/>
    <n v="546.79999999999995"/>
    <x v="361"/>
    <s v="ACUERDO MARCO. REPARACIÓN DE MOTOCICLETA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2534"/>
    <s v="D"/>
    <d v="2023-05-19T00:00:00"/>
    <n v="22023000213"/>
    <s v="2023 11 1321 214"/>
    <n v="1238.4000000000001"/>
    <x v="361"/>
    <s v="ACUERDO MARCO. REPARACIÓN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44"/>
    <s v="D"/>
    <d v="2023-05-22T00:00:00"/>
    <n v="22023000213"/>
    <s v="2023 11 1321 214"/>
    <n v="635.25"/>
    <x v="361"/>
    <s v="REPARACIÓN MOTOCICLETA DE POLICÍA MATRÍCULA: 9096-JPW // REPARACIÓN MÓDULO ABS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50"/>
    <s v="D"/>
    <d v="2023-05-22T00:00:00"/>
    <n v="22023000213"/>
    <s v="2023 11 1321 214"/>
    <n v="619.07000000000005"/>
    <x v="361"/>
    <s v="ACU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392"/>
    <s v="D"/>
    <d v="2023-05-31T00:00:00"/>
    <n v="22023000213"/>
    <s v="2023 11 1321 214"/>
    <n v="1498.65"/>
    <x v="361"/>
    <s v="ACUERDO MARCO. REPARACIÓN MOTOCICLETA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4127"/>
    <s v="D"/>
    <d v="2023-04-19T00:00:00"/>
    <n v="22023002053"/>
    <s v="2023 07 1711 213"/>
    <n v="654.79"/>
    <x v="851"/>
    <s v="CORREA XPA 1600 / TORNILLO / CASQUILLO / TUERCA / PASADOR / ARANDELA / ARANDELA / RUEDA PROFIHOPPER PLATAFORMA /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879"/>
    <s v="D"/>
    <d v="2023-05-16T00:00:00"/>
    <n v="22023002053"/>
    <s v="2023 07 1711 213"/>
    <n v="102.41"/>
    <x v="851"/>
    <s v="TUERCA / TORNILLO / CHAVETA / ARANDELA / TORNILLO M8X45 / CASQUILLO / CASQUILLO / Mano de obra a cliente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881"/>
    <s v="D"/>
    <d v="2023-05-16T00:00:00"/>
    <n v="22023002053"/>
    <s v="2023 07 1711 213"/>
    <n v="1971.31"/>
    <x v="851"/>
    <s v="TUBO COMBUSTIBLE / ANILL8 / KIT BOMBA AGUA / COOL-GARD II  TM / SIGAUS / LATA 5L.TOTAL TIR 8900 10W40 / SIGAUS / FILTRO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56"/>
    <s v="D"/>
    <d v="2023-05-16T00:00:00"/>
    <n v="22023002053"/>
    <s v="2023 07 1711 213"/>
    <n v="86.76"/>
    <x v="851"/>
    <s v="SOPORTE A ROSCA / BULON ESPECIAL / TUERCA / TORNILLO / CHAVETA / ARANDELA / TORNILLO M8X45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7678"/>
    <s v="D"/>
    <d v="2023-05-04T00:00:00"/>
    <n v="22023001459"/>
    <s v="2023 11 1621 214"/>
    <n v="1592.8"/>
    <x v="427"/>
    <s v="MANTENIMIENTOS/CAMBIAR BUJIAS X5/CAMBIAR ACEITE EJE TRASERO/KIT REPARACION.../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38"/>
    <s v="D"/>
    <d v="2023-05-09T00:00:00"/>
    <n v="22023001459"/>
    <s v="2023 11 1621 214"/>
    <n v="194.74"/>
    <x v="427"/>
    <s v="SELENOIDE / AM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440"/>
    <s v="D"/>
    <d v="2023-05-09T00:00:00"/>
    <n v="22023001459"/>
    <s v="2023 11 1621 214"/>
    <n v="446.16"/>
    <x v="427"/>
    <s v="CAMBIAR VALVULA APS ( 10258000 ) / VALVULA APS ( 2310330 )/ AM SPSC 23/2020 /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36"/>
    <s v="D"/>
    <d v="2023-05-11T00:00:00"/>
    <n v="22023001459"/>
    <s v="2023 11 1621 214"/>
    <n v="1723.48"/>
    <x v="427"/>
    <s v="OR: 11633 - MATRICULA: 0375LDD / MANTENIENTOS (00175129) / CAMBIAR BUJIAS (0.../ AM SPSC 23/2020.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156"/>
    <s v="D"/>
    <d v="2023-05-11T00:00:00"/>
    <n v="22023001459"/>
    <s v="2023 11 1621 214"/>
    <n v="149.13999999999999"/>
    <x v="427"/>
    <s v="OR: 11660 - MATRICULA: 0432KMP / LOCALIZACION DE AVERIAS ( 16005012 ).../ AM SPSC 23/2020. SERVICIO DE LIMI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11"/>
    <s v="D"/>
    <d v="2023-05-31T00:00:00"/>
    <n v="22023001459"/>
    <s v="2023 11 1621 214"/>
    <n v="913.9"/>
    <x v="427"/>
    <s v="OR: 11773 - MATRICULA: 0432KMP / CAMBIAR VALVULA CAMBIO ( 05528000 ) / SELENOIDE/ AM SPSC 23/2020. SERVICIO DE LIMPIEZA."/>
    <s v="300"/>
    <s v="FUENSALDAÑA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62"/>
    <s v="D"/>
    <d v="2023-04-27T00:00:00"/>
    <n v="22023001479"/>
    <s v="2023 10 2412 22199"/>
    <n v="750.89"/>
    <x v="181"/>
    <s v="SUMINISTRO DE MATERIAL PARA EL CURSO DE  PINTURA DECORATIVA V DEL C. DE FORMACION PARA EL EMPLE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237"/>
    <s v="D"/>
    <d v="2023-04-27T00:00:00"/>
    <n v="22023002739"/>
    <s v="2023 02 9332 212"/>
    <n v="215.94"/>
    <x v="181"/>
    <s v="ALBARAN: AV23/01681 F: 28/03/2023 / LLAVE AJUSTABLE M/CENTRAL AISLADA 200MM / MINI ARCO DE SIERRA ALYCO / GE0011750 / EL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283"/>
    <s v="D"/>
    <d v="2023-04-27T00:00:00"/>
    <n v="22023001607"/>
    <s v="2023 08 1532 210"/>
    <n v="2207.84"/>
    <x v="181"/>
    <s v="ALBARÁN: AV23/00899 F: 20/02/2023 / CARTUCHO HP ORIGINAL HP 302 TRICOLOR / LTS.TALADRINA ECOCOOL MG 540. / TORNILLO AUT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6288"/>
    <s v="D"/>
    <d v="2023-04-27T00:00:00"/>
    <n v="22023002536"/>
    <s v="2023 01 9203 214"/>
    <n v="208.33"/>
    <x v="325"/>
    <s v="ACUERDO MARCO REPARACION VEHICULO OFICIAL RENAULT LAGUNA 0901 GKZ, R.I.I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457"/>
    <s v="D"/>
    <d v="2023-04-27T00:00:00"/>
    <n v="22023001477"/>
    <s v="2023 10 2412 212"/>
    <n v="143.24"/>
    <x v="181"/>
    <s v="MANT. SUMINISTRO DE  PACK ARO ARKOS LED 8W 3000K / ECO TASA BOMBILLAS, PARA REPARACION DEL JACINTO BENAVENTE.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17052"/>
    <s v="AD"/>
    <d v="2023-05-02T00:00:00"/>
    <n v="22023001139"/>
    <s v="2023 10 2412 22102"/>
    <n v="527.85"/>
    <x v="72"/>
    <s v="AJUSTE PRESUPUESTARIO DEL 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17051"/>
    <s v="AD/"/>
    <d v="2023-05-02T00:00:00"/>
    <n v="22023001139"/>
    <s v="2023 10 2412 22102"/>
    <n v="-4253.1499999999996"/>
    <x v="72"/>
    <s v="SUMINISTRO DE GAS PARA EL CENTRO DE FORMACION PARA EL EMPLEO  DEL 1/1 A 30/9/2023"/>
    <s v="220"/>
    <s v="BARCELONA"/>
    <s v="BARCELON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2"/>
  </r>
  <r>
    <n v="220230024875"/>
    <s v="AD"/>
    <d v="2023-05-24T00:00:00"/>
    <n v="22023002790"/>
    <s v="2023 04 9204 641"/>
    <n v="34165.43"/>
    <x v="112"/>
    <s v="LICENCIAS, MTO. Y ASISTENCIA TÉCNICA DEL GESTOR DOCUMENTAL ALFRESCO, SEGUNDA PRÓRROGA DEL 1/6/23 AL 31/5/24 (3/2023)"/>
    <s v="220"/>
    <s v="MADRID"/>
    <s v="MADR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30016029"/>
    <s v="AD"/>
    <d v="2023-04-26T00:00:00"/>
    <n v="22023000712"/>
    <s v="2023 04 9231 22705"/>
    <n v="46246.2"/>
    <x v="646"/>
    <s v="CONTRATO PARA LA IMPRESION DE PAPELETAS ELECTORALES - ELECCIONES MUNICIPALES MAYO 2023"/>
    <s v="230"/>
    <s v="LA CISTERNIGA"/>
    <s v="VALLADOLID"/>
    <x v="3"/>
    <s v="PrAbier - Procedimiento Abierto"/>
    <s v="MultiC - MultiCriterio"/>
    <x v="0"/>
    <x v="1"/>
    <s v="2"/>
    <s v="2. Gastos corrientes en bienes y servicios"/>
    <s v="04"/>
    <x v="5"/>
    <s v="9231"/>
    <s v="9231. Información, registro y gestión del padrón"/>
    <s v="22"/>
    <s v="22705"/>
  </r>
  <r>
    <n v="220230016459"/>
    <s v="D"/>
    <d v="2023-04-27T00:00:00"/>
    <n v="22023001479"/>
    <s v="2023 10 2412 22199"/>
    <n v="681.52"/>
    <x v="181"/>
    <s v="SUMINISTRO DE MATERIAL PARA EL CURSO DE PINTURA DECORATIVA V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8622"/>
    <s v="D"/>
    <d v="2023-05-09T00:00:00"/>
    <n v="22023001549"/>
    <s v="2023 07 1711 22199"/>
    <n v="1534.15"/>
    <x v="181"/>
    <s v="ALBARAN: AV23/01503 F: 20/03/2023 / BIDON C/CANULA 5LTS. REF.670008 / ELECTRODO CITOFIX 2,5MM / ELECTRODO CITOFIX 3,25M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954"/>
    <s v="D"/>
    <d v="2023-05-10T00:00:00"/>
    <n v="22023001607"/>
    <s v="2023 08 1532 210"/>
    <n v="1727.89"/>
    <x v="181"/>
    <s v="ALBARAN: AV23/01915 F: 10/04/2023 / DISCO CORTE MADERA 125*2*22,2 / TORNILLO AUTOTAL.C/ARANDELA 5,5*38 7504K / PILA 4R25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0251"/>
    <s v="D"/>
    <d v="2023-05-11T00:00:00"/>
    <n v="22023002181"/>
    <s v="2023 06 3232 212"/>
    <n v="56.31"/>
    <x v="181"/>
    <s v="ALBARÁN: AV23/02029 F: 14/04/2023 / MTS.CADENA GALVANIZADA DE 4,00mm / GE0012478 / C.P. MIGUEL DELIBES / ID0036228 / ALB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62"/>
    <s v="D"/>
    <d v="2023-05-16T00:00:00"/>
    <n v="22023001476"/>
    <s v="2023 11 1631 22199"/>
    <n v="52.82"/>
    <x v="181"/>
    <s v="ALBARÁN: AV23/01643 F: 25/03/2023 / TIJERA WOLFPACK PODAR REF. 1172 60CM / FLE.../ AM EXP V36/2017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293"/>
    <s v="D"/>
    <d v="2023-05-31T00:00:00"/>
    <n v="22023001479"/>
    <s v="2023 10 2412 22199"/>
    <n v="41.93"/>
    <x v="181"/>
    <s v="SUMINISTRO DE MATERIAL , COLGADOR 107*30*52MM 2088-2 INOFIX / CURSO PINTURA DECORATIVA V- 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295"/>
    <s v="D"/>
    <d v="2023-05-31T00:00:00"/>
    <n v="22023001480"/>
    <s v="2023 10 2412 22199"/>
    <n v="23.87"/>
    <x v="181"/>
    <s v="SUMINISTRO DE MATERIAL ,  PERCHA MADERA / CURSO SOCIOSANITARIO VI- 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57"/>
    <s v="D"/>
    <d v="2023-05-31T00:00:00"/>
    <n v="22023001344"/>
    <s v="2023 03 9241 213"/>
    <n v="171.15"/>
    <x v="181"/>
    <s v="MATERIALES PARA CIC SEGUNDO MONTES Y CC J.M. LUELM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3610"/>
    <s v="D"/>
    <d v="2023-04-10T00:00:00"/>
    <n v="22023001965"/>
    <s v="2023 11 1631 634"/>
    <n v="145684"/>
    <x v="852"/>
    <s v="ADQUISICION DOS BARREDORAS ARTICULADAS DE PEQUEÑAS DIMENSIONES. LIMPIEZA VIARIA."/>
    <s v="300"/>
    <s v="GRANOLLERS"/>
    <s v="BARCELONA"/>
    <x v="3"/>
    <s v="PrAbier - Procedimiento Abierto"/>
    <s v="MultiC - MultiCriterio"/>
    <x v="0"/>
    <x v="1"/>
    <s v="6"/>
    <s v="6. Inversiones reales"/>
    <s v="11"/>
    <x v="6"/>
    <s v="1631"/>
    <s v="1631. Limpieza viaria"/>
    <s v="63"/>
    <s v="634"/>
  </r>
  <r>
    <n v="220230026368"/>
    <s v="D"/>
    <d v="2023-05-31T00:00:00"/>
    <n v="22023003832"/>
    <s v="2023 10 2412 22199"/>
    <n v="562.32000000000005"/>
    <x v="181"/>
    <s v="SUMINISTRO DE MATERIAL,  CINTA SUJETAGAFAS PACK 10 UND,ETC....PARA EL CURSO PARQUES Y JARDINES IV DEL C. DE F.PARAEMPLE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0"/>
    <s v="D"/>
    <d v="2023-05-31T00:00:00"/>
    <n v="22023003832"/>
    <s v="2023 10 2412 22199"/>
    <n v="772"/>
    <x v="181"/>
    <s v="SUMINISTRO MATERIAL PARA EL CURSO DE PARQUES Y JARDINES IV DEL C. DE F. PARA EL EMPLEO- INICIATIVAS SOCIALES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94"/>
    <s v="D"/>
    <d v="2023-05-31T00:00:00"/>
    <n v="22023003832"/>
    <s v="2023 10 2412 22199"/>
    <n v="230.6"/>
    <x v="181"/>
    <s v="SUMINISTRO MATERIAL,  BARBUQUEJO, CASCO, GUANTE, FILTROS DEL  CURSO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8161"/>
    <s v="AD"/>
    <d v="2023-05-08T00:00:00"/>
    <n v="22023004353"/>
    <s v="2023 11 1621 22706"/>
    <n v="4931.68"/>
    <x v="853"/>
    <s v="SERVICIO ANUAL AÑO 2023 DE TRANSMISIÓN DE DATOS DE EQUIPOS GPS INSTALADOS EN VEHÍCULOS DEL SERVICIO DE LIMPIEZA."/>
    <s v="220"/>
    <s v="TRES CANTOS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6716"/>
    <s v="D"/>
    <d v="2023-05-31T00:00:00"/>
    <n v="22023003925"/>
    <s v="2023 10 2412 213"/>
    <n v="791.24"/>
    <x v="181"/>
    <s v="REPARACIONESPEQUEÑA  MAQUINARIA PARA EL CURSO PARQUES Y JARDINES IV 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16066"/>
    <s v="D"/>
    <d v="2023-04-27T00:00:00"/>
    <n v="22023002739"/>
    <s v="2023 02 9332 212"/>
    <n v="173.97"/>
    <x v="177"/>
    <s v="LWR25BG-EU - FOCO DE TRABAJO 30W RECARGABLE 2500M 5000k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64"/>
    <s v="D"/>
    <d v="2023-04-27T00:00:00"/>
    <n v="22023002460"/>
    <s v="2023 05 4331 212"/>
    <n v="61.47"/>
    <x v="177"/>
    <s v="2217291500 - DOWNLIGHT LED ECOLEX 2 1729 14W 4000K 1380LM CRI90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2"/>
  </r>
  <r>
    <n v="220230028526"/>
    <s v="ADO"/>
    <d v="2023-06-07T00:00:00"/>
    <n v="22023004771"/>
    <s v="2023 07 1721 22100"/>
    <n v="54.28"/>
    <x v="379"/>
    <s v="COMPENSACION BONO SOCIAL REMESA FACTURAS FOTOVOLTAICAS MAYO 2023"/>
    <s v="240"/>
    <s v="BILBAO"/>
    <s v="VIZCAYA"/>
    <x v="4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00"/>
  </r>
  <r>
    <n v="220230016425"/>
    <s v="D"/>
    <d v="2023-04-27T00:00:00"/>
    <n v="22023002536"/>
    <s v="2023 01 9203 214"/>
    <n v="420.52"/>
    <x v="325"/>
    <s v="A.M. REPARACION VEHICULO OFICIAL RENAULT VEL SATIS 3161 GFG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427"/>
    <s v="D"/>
    <d v="2023-04-27T00:00:00"/>
    <n v="22023002536"/>
    <s v="2023 01 9203 214"/>
    <n v="515.51"/>
    <x v="325"/>
    <s v="A.M. REPARACION DE VEHICULO OFICIAL RENAULT LAGUNA 0908 GKZ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16273"/>
    <s v="D"/>
    <d v="2023-04-27T00:00:00"/>
    <n v="22023001514"/>
    <s v="2023 11 1361 22199"/>
    <n v="95.32"/>
    <x v="177"/>
    <s v="PDPLR06C10 - Pila alcalina Duracell-Procell AA LR06 1,5V (caja  / T - GE0003954 PREVENCION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346"/>
    <s v="D"/>
    <d v="2023-04-27T00:00:00"/>
    <n v="22023001412"/>
    <s v="2023 10 2311 212"/>
    <n v="39.26"/>
    <x v="177"/>
    <s v="F - 2913 - DETECTOR PIR 360 PARA ALBERGUE MUNICIPAL - ENERGINOBA SL.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403"/>
    <s v="D"/>
    <d v="2023-04-27T00:00:00"/>
    <n v="22023001468"/>
    <s v="2023 10 2312 212"/>
    <n v="527.67999999999995"/>
    <x v="177"/>
    <s v="MANTENIMIENTO, SUMINISTRO MATERIAL PARA REPARACIONES DEL CPM ZONA SUR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502"/>
    <s v="D"/>
    <d v="2023-04-27T00:00:00"/>
    <n v="22023001131"/>
    <s v="2023 07 1721 22112"/>
    <n v="509.39"/>
    <x v="177"/>
    <s v="NSYCRN345150 - Armario metálico puerta ciega 450x150x300 mm / REC36-12 - Batería Yuasa AGM 12V 36Ah C20 196x130x169 11,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12"/>
  </r>
  <r>
    <n v="220230018512"/>
    <s v="D"/>
    <d v="2023-05-09T00:00:00"/>
    <n v="22023001468"/>
    <s v="2023 10 2312 212"/>
    <n v="1046.3699999999999"/>
    <x v="177"/>
    <s v="MANT. SUMINT. DE  MATERIAL PARA REPARACIONES(Lámpara Osram F-6W L-20/640 T5)DEL CPM ZONA SUR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18"/>
    <s v="AD"/>
    <d v="2023-04-26T00:00:00"/>
    <n v="22023004135"/>
    <s v="2023 07 1711 213"/>
    <n v="2500"/>
    <x v="854"/>
    <s v="Mantenimiento y reparación de maquinaria de jardinería en garantía."/>
    <s v="220"/>
    <s v="LA BAÑEZA"/>
    <s v="LEON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22383"/>
    <s v="D"/>
    <d v="2023-05-19T00:00:00"/>
    <n v="22023000268"/>
    <s v="2023 11 1321 213"/>
    <n v="3661.76"/>
    <x v="177"/>
    <s v="ACUERDO MARCO. SUMINISTRO DE MATERIAL ELECTRICO: CAJA DE RECARGA EHOME LINK T2S16 TRI / 13979 - CAJA ESTANCA MINIK. ETC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3235"/>
    <s v="D"/>
    <d v="2023-05-22T00:00:00"/>
    <n v="22023000268"/>
    <s v="2023 11 1321 213"/>
    <n v="97.71"/>
    <x v="177"/>
    <s v="ACUERDO MARCO. SUMINISTRO DE MATERIAL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18800"/>
    <s v="AD"/>
    <d v="2023-05-09T00:00:00"/>
    <n v="22023003007"/>
    <s v="2023 03 9241 22700"/>
    <n v="10080.709999999999"/>
    <x v="26"/>
    <s v="SE-PC 14/2023: PRÓRROGA CONTRATO DE MANTENIMIENTO DE JARDINES DE LOS CENTROS DE PARTICIPACIÓN CIUDADANA (25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30020805"/>
    <s v="AD"/>
    <d v="2023-05-16T00:00:00"/>
    <n v="22023004497"/>
    <s v="2023 10 2412 22100"/>
    <n v="5352.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16835"/>
    <s v="AD"/>
    <d v="2023-05-02T00:00:00"/>
    <n v="22023003991"/>
    <s v="2023 10 2311 22799"/>
    <n v="5112.12"/>
    <x v="308"/>
    <s v="SERVICIO DE REPARTO DOCUMENTACION Y MENSAJERIA CEAS Y CPMS. 52 REPARTOS. DE 1/4/23 A 31/3/24  (39 EN 2023 Y 13 EN 2024)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99"/>
  </r>
  <r>
    <n v="220230021929"/>
    <s v="AD"/>
    <d v="2023-05-18T00:00:00"/>
    <n v="22023004397"/>
    <s v="2023 04 9204 22002"/>
    <n v="2669.14"/>
    <x v="855"/>
    <s v="SUMINISTRO DE LECTORES DE CÓDIGO DE BARRAS, CON DESTINO EL EXCMO. AYUNTAMIENTO DE VALLADOLID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04"/>
    <s v="9204. Tecnologías de la información y comunicación"/>
    <s v="22"/>
    <s v="22002"/>
  </r>
  <r>
    <n v="220230016015"/>
    <s v="AD"/>
    <d v="2023-04-26T00:00:00"/>
    <n v="22023004107"/>
    <s v="2023 06 3321 22001"/>
    <n v="450.01"/>
    <x v="856"/>
    <s v="CTTO SUSCRIPCIÓN REVISTAS FOTOGRAMAS, ELLE, ELLE DECORACIÓN, HARPER´S BAZAAR Y COSMOPOLITAN PARA BIBLIOTECAS P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16299"/>
    <s v="ADO"/>
    <d v="2023-04-27T00:00:00"/>
    <n v="22023003671"/>
    <s v="2023 10 2311 22799"/>
    <n v="61013.15"/>
    <x v="16"/>
    <s v="F - 141 - GESTION DEL ALBERGUE MUNICIPAL - DICIEMBRE 2022 - FUNDACION INTRAS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3372"/>
    <s v="AD/"/>
    <d v="2023-04-04T00:00:00"/>
    <n v="22023001355"/>
    <s v="2023 11 1361 22199"/>
    <n v="-127.93"/>
    <x v="316"/>
    <s v="Válvula Norgren_ distribuidor de presión de circuito de frenos del vehículo FSV 6, matr 7587GMS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8178"/>
    <s v="AD"/>
    <d v="2023-05-08T00:00:00"/>
    <n v="22023004352"/>
    <s v="2023 10 2312 213"/>
    <n v="1007.93"/>
    <x v="857"/>
    <s v="REPARACION ARMARIO DE FRIO DEL CVA DELICIAS- INICIATIVAS SOCIALES- ABRIL 2023"/>
    <s v="220"/>
    <s v="LAGUNA DE DUERO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6433"/>
    <s v="ADO"/>
    <d v="2023-05-31T00:00:00"/>
    <n v="22023004537"/>
    <s v="2023 04 9202 22607"/>
    <n v="90.5"/>
    <x v="242"/>
    <s v="PISTAS DE ATLETISMO &quot;&quot;CIUDAD DE VALLADOLID&quot;&quot; , EL GIMNASIO Y LA PISCINA H DEL REY 21/03/23 PRUEBAS SELECITVAS DEL S.E.I.S."/>
    <s v="24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3386"/>
    <s v="AD"/>
    <d v="2023-04-04T00:00:00"/>
    <n v="22023003751"/>
    <s v="2023 07 1721 22706"/>
    <n v="871.2"/>
    <x v="858"/>
    <s v="TRAMITACIÓN DE LA PATENTE DEL LOGO AEMVA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26435"/>
    <s v="ADO"/>
    <d v="2023-05-31T00:00:00"/>
    <n v="22023004538"/>
    <s v="2023 04 9202 22607"/>
    <n v="156"/>
    <x v="242"/>
    <s v="PISTAS DE ATLETISMO &quot;&quot;CIUDAD DE VALLADOLID&quot;&quot; Y PISCINA HUERTA DEL REY // 24-04-2023 // PRUEBAS FÍSICAS POLICIA LOCAL"/>
    <s v="24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997"/>
    <s v="AD"/>
    <d v="2023-04-26T00:00:00"/>
    <n v="22023004059"/>
    <s v="2023 10 2312 213"/>
    <n v="2199.8000000000002"/>
    <x v="131"/>
    <s v="MANTENIMIETO DE LOS ELEVADORES DE LOS CVA  ZONA SUR, Z.ESTE, FRAY LUIS, RONDILL, DELIC,PTE.COLG Y VICTORIAEN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15997"/>
    <s v="AD"/>
    <d v="2023-04-26T00:00:00"/>
    <n v="22023004060"/>
    <s v="2023 10 2312 213"/>
    <n v="2199.8000000000002"/>
    <x v="131"/>
    <s v="MANTENIMIETO DE LOS ELEVADORES DE LOS CVA  ZONA SUR, Z.ESTE, FRAY LUIS, RONDILL, DELIC,PTE.COLG Y VICTORIAEN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16844"/>
    <s v="AD"/>
    <d v="2023-05-02T00:00:00"/>
    <n v="22023003820"/>
    <s v="2023 04 3121 22706"/>
    <n v="2153.8000000000002"/>
    <x v="859"/>
    <s v="Mediciones Higiénicas de humos de soldadura, humos de asfalto y polvo de madera. DPTO. DE PREVENCION Y SALUD LABORAL"/>
    <s v="220"/>
    <s v="LUGO"/>
    <s v="LUGO"/>
    <x v="1"/>
    <s v="AdDirec - Adjudicación Directa"/>
    <s v="SinC - Sin Criterio"/>
    <x v="3"/>
    <x v="1"/>
    <s v="2"/>
    <s v="2. Gastos corrientes en bienes y servicios"/>
    <s v="04"/>
    <x v="5"/>
    <s v="3121"/>
    <s v="3121. Prevención y salud laboral"/>
    <s v="22"/>
    <s v="22706"/>
  </r>
  <r>
    <n v="220230016021"/>
    <s v="AD"/>
    <d v="2023-04-26T00:00:00"/>
    <n v="22023004156"/>
    <s v="2023 08 1341 22100"/>
    <n v="266.44"/>
    <x v="860"/>
    <s v="ENTRONQUE CON RED DE DISTRIBUCIÓN/REFUERZO RED EXISTENTE PASEO JUAN CARLOS I 3 BAJO 5"/>
    <s v="220"/>
    <s v="BILBAO"/>
    <s v="BIZKAIA"/>
    <x v="1"/>
    <s v="AdDirec - Adjudicación Directa"/>
    <s v="SinC - Sin Criterio"/>
    <x v="3"/>
    <x v="1"/>
    <s v="2"/>
    <s v="2. Gastos corrientes en bienes y servicios"/>
    <s v="08"/>
    <x v="0"/>
    <s v="1341"/>
    <s v="1341. Movilidad"/>
    <s v="22"/>
    <s v="22100"/>
  </r>
  <r>
    <n v="220230016848"/>
    <s v="AD"/>
    <d v="2023-05-02T00:00:00"/>
    <n v="22023004161"/>
    <s v="2023 10 2312 22612"/>
    <n v="1090"/>
    <x v="861"/>
    <s v="IMPARTICION DEL CURSO SOBRE COMERCIO JUSTO-HERRAMIENTA DE DESARROLLO Y AGENDA 2030, DIRIGUIDO A PERSONAL MUNICIPAL"/>
    <s v="220"/>
    <s v="VILLAFRANCA DE CORDOBA"/>
    <s v="CORDOB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6867"/>
    <s v="AD"/>
    <d v="2023-05-02T00:00:00"/>
    <n v="22023004208"/>
    <s v="2023 06 2315 22614"/>
    <n v="2117.5"/>
    <x v="376"/>
    <s v="DESARROLLO PLENO Y COMISIONES DEL CONSEJO MUNICIPAL DE LA INFANCIA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8157"/>
    <s v="AD"/>
    <d v="2023-05-08T00:00:00"/>
    <n v="22023004305"/>
    <s v="2023 06 2315 22611"/>
    <n v="6655"/>
    <x v="304"/>
    <s v="COLABORACIÓN 6ª MARCHA Y CARRERA DE LAS MUJERES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7964"/>
    <s v="AD"/>
    <d v="2023-05-04T00:00:00"/>
    <n v="22023004112"/>
    <s v="2023 09 3341 22799"/>
    <n v="6715.5"/>
    <x v="327"/>
    <s v="SERVICIO DIFUSION Y DINAMIZACION DE LA ACTIVIDAD DE RESTAURACION Y PROTECION DEL PATRIMONIO EN CENTRO MARCELINA PONCELA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91"/>
    <s v="AD"/>
    <d v="2023-04-25T00:00:00"/>
    <n v="22023003605"/>
    <s v="2023 10 2311 22700"/>
    <n v="1873.08"/>
    <x v="2"/>
    <s v="APORTACION MUNICIPAL AL CONVENIO CON CAIXA PARA CIBERAULA - GASTOS DE LIMPIEZA"/>
    <s v="220"/>
    <s v="MADRID"/>
    <s v="MADR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00"/>
  </r>
  <r>
    <n v="220230020665"/>
    <s v="AD"/>
    <d v="2023-05-15T00:00:00"/>
    <n v="22023000905"/>
    <s v="2023 10 2311 22706"/>
    <n v="3025"/>
    <x v="331"/>
    <s v="PRÓRROGA CONV. ASESOR. JURÍDICO S/DCHO FAMILIA Y PENAL Y S/MECANIS. 2ª OPORTUNIDAD - DE 1/7 A 31/1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06"/>
  </r>
  <r>
    <n v="220230016861"/>
    <s v="AD"/>
    <d v="2023-05-02T00:00:00"/>
    <n v="22023004296"/>
    <s v="2023 10 2316 22616"/>
    <n v="300"/>
    <x v="333"/>
    <s v="Gastos comida con ponentes a la finalización del Festival de Cine &quot;&quot;Mirada gitana&quot;&quot;, actividad de la XX Semana Intercultur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0794"/>
    <s v="AD"/>
    <d v="2023-05-16T00:00:00"/>
    <n v="22023004540"/>
    <s v="2023 10 2311 22699"/>
    <n v="115"/>
    <x v="333"/>
    <s v="Alojamiento/manutención ponente acción formativa Ley 8/2021 (17-mayo) para personal de serv/equipos familia-infa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16862"/>
    <s v="AD"/>
    <d v="2023-05-02T00:00:00"/>
    <n v="22023004298"/>
    <s v="2023 10 2316 22616"/>
    <n v="83"/>
    <x v="333"/>
    <s v="Alojamiento y desayuno de uno de los ponentes Festival Cine &quot;&quot;Mirada gitana&quot;&quot;, actividad de la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177"/>
    <s v="AD"/>
    <d v="2023-05-08T00:00:00"/>
    <n v="22023004351"/>
    <s v="2023 10 2312 22001"/>
    <n v="344.7"/>
    <x v="304"/>
    <s v="SUSCRICIÓN DE DOS EJEMPLARES DEL 1 DE MAYO AL 17 DE OCTUBRE PARA EL CVA PARQUESOL- INICI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001"/>
  </r>
  <r>
    <n v="220230020537"/>
    <s v="AD"/>
    <d v="2023-05-12T00:00:00"/>
    <n v="22023004421"/>
    <s v="2023 10 2316 22616"/>
    <n v="1802.9"/>
    <x v="646"/>
    <s v="IMPRESION 6.000 FOLLETOS DISCRI RACIAL Y ETNICA Y 20.000 GUIA RECURSOS INMIGRANTES CIUDAD VA"/>
    <s v="220"/>
    <s v="LA CISTERNIGA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085"/>
    <s v="AD"/>
    <d v="2023-04-25T00:00:00"/>
    <n v="22023003813"/>
    <s v="2023 11 1621 213"/>
    <n v="726"/>
    <x v="342"/>
    <s v="VALVULAS RETENCIÓN SURTIDOR HIDROCARBUROS NORMATIVA IP-04 PARA EL SURTIDOR D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20532"/>
    <s v="AD"/>
    <d v="2023-05-12T00:00:00"/>
    <n v="22023004454"/>
    <s v="2023 11 1321 626"/>
    <n v="2141.8000000000002"/>
    <x v="862"/>
    <s v="ADQUISICIÓN DE DOS ORDENADORES PORTÁTILES  PARA GALERÍA DE TIRO E INFORMÁTICA DE LA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6"/>
  </r>
  <r>
    <n v="220230024852"/>
    <s v="AD"/>
    <d v="2023-05-24T00:00:00"/>
    <n v="22023004575"/>
    <s v="2023 10 2312 22699"/>
    <n v="1400"/>
    <x v="304"/>
    <s v="FESTIVAL 60+ACTIVOS EL 20 DE MAYO EN LA CUPULA DEL MILENIO- CENTROS DE VIDA ACTIV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0789"/>
    <s v="AD"/>
    <d v="2023-05-16T00:00:00"/>
    <n v="22023004451"/>
    <s v="2023 06 2314 22613"/>
    <n v="72.67"/>
    <x v="345"/>
    <s v="REPOSICIÓN SOPORTES PANELES HORA DEL PLANETA / 1 DIA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5086"/>
    <s v="AD"/>
    <d v="2023-04-25T00:00:00"/>
    <n v="22023003840"/>
    <s v="2023 11 1621 213"/>
    <n v="2516.8200000000002"/>
    <x v="351"/>
    <s v="ELECTRIF. Y LEGALIZ. DE INSTALACIÓN ELÉC. 2 PLAFAFORMAS CONTENEDORES SOTERRADOS PLAZA SAN ANDRES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15980"/>
    <s v="AD"/>
    <d v="2023-04-26T00:00:00"/>
    <n v="22023004021"/>
    <s v="2023 01 9203 203"/>
    <n v="544.5"/>
    <x v="351"/>
    <s v="ALQUILER CAMION CESTA PARA MONTAJE Y DESMONTAJE TELAS EN FACHADA SERMON DE LAS SIETE PALABRAS SEMANA SANTA 2023, R.I.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0"/>
    <s v="203"/>
  </r>
  <r>
    <n v="220230015087"/>
    <s v="AD"/>
    <d v="2023-04-25T00:00:00"/>
    <n v="22023003844"/>
    <s v="2023 06 2315 22100"/>
    <n v="393.25"/>
    <x v="351"/>
    <s v="INSTALACION ELECTRICA TEMPORAL DIA 15 DE ABRIL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100"/>
  </r>
  <r>
    <n v="220230015998"/>
    <s v="AD"/>
    <d v="2023-04-26T00:00:00"/>
    <n v="22023004061"/>
    <s v="2023 10 2316 22616"/>
    <n v="393.25"/>
    <x v="351"/>
    <s v="ALQUILER INST ELÉCT TEMPORAL CELEBRACIÓN FESTIVAL CULTURAS - XX SEMANA INTERCULTURAL - 30 DE ABRI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6842"/>
    <s v="AD"/>
    <d v="2023-05-02T00:00:00"/>
    <n v="22023004121"/>
    <s v="2023 10 2312 212"/>
    <n v="186.91"/>
    <x v="863"/>
    <s v="COLOCACIÓN CIRCUITO DE ALIMENTACIÓN  ELÉCTRICA  PARA CONECTAR HORNO DE REGENER. EN LAS E. DIURNAS DEL CVA PARQUESOL.2023"/>
    <s v="220"/>
    <s v="VALLADOLID"/>
    <s v="VALLADOLID"/>
    <x v="5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4852"/>
    <s v="AD"/>
    <d v="2023-05-24T00:00:00"/>
    <n v="22023004576"/>
    <s v="2023 10 2312 22699"/>
    <n v="1960"/>
    <x v="304"/>
    <s v="FESTIVAL 60+ACTIVOS EL 20 DE MAYO EN LA CUPULA DEL MILENIO- CENTROS DE VIDA ACTIV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18171"/>
    <s v="AD"/>
    <d v="2023-05-08T00:00:00"/>
    <n v="22023004348"/>
    <s v="2023 07 1711 22799"/>
    <n v="290.39999999999998"/>
    <x v="363"/>
    <s v="Complementario para sustittucion de instalación que automatiza la gestión climática del invernadero de Renedo de Esgueva"/>
    <s v="220"/>
    <s v="ZARATAN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799"/>
  </r>
  <r>
    <n v="220230013379"/>
    <s v="AD"/>
    <d v="2023-04-04T00:00:00"/>
    <n v="22023003661"/>
    <s v="2023 10 2311 22606"/>
    <n v="7260"/>
    <x v="864"/>
    <s v="CONTRATACIÓN SALAS Y MONTAJE/DESMONTAJE EN FERIA DE VALL. PARA JORNADAS CONGRESO &quot;&quot;DEPORTE QUE TRANSFORMA&quot;&quot; (29-31 MARZO)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06"/>
  </r>
  <r>
    <n v="220230018980"/>
    <s v="AD"/>
    <d v="2023-05-10T00:00:00"/>
    <n v="22023004212"/>
    <s v="2023 02 9332 22799"/>
    <n v="9471.5499999999993"/>
    <x v="367"/>
    <s v="MANTENIMIENTO SISTEMAS SEGURIDAD EN INST.Y CENTROS DEPENDIENTES DEL SERVICIO DE MANTENIMIENTO. (Expte.8/23)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2"/>
    <s v="22799"/>
  </r>
  <r>
    <n v="220230016006"/>
    <s v="AD"/>
    <d v="2023-04-26T00:00:00"/>
    <n v="22023002684"/>
    <s v="2023 06 3261 213"/>
    <n v="508.2"/>
    <x v="367"/>
    <s v="AMPLIACIÓN CONTRATO MANTENIMIENTO STMAS DE SEGURIDAD EMMVA EN EL ANTIGUO COMEDOR COLEGIO MARIA DE MOLINA.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1"/>
    <s v="213"/>
  </r>
  <r>
    <n v="220230021928"/>
    <s v="AD"/>
    <d v="2023-05-18T00:00:00"/>
    <n v="22023004204"/>
    <s v="2023 02 1511 609"/>
    <n v="12948.82"/>
    <x v="101"/>
    <s v="SEGURIDAD Y SALUD OBRA PADRE CLARET."/>
    <s v="220"/>
    <s v="VALLADOLID"/>
    <s v="VALLADOLID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0"/>
    <s v="609"/>
  </r>
  <r>
    <n v="220230016599"/>
    <s v="D"/>
    <d v="2023-04-27T00:00:00"/>
    <n v="22023001967"/>
    <s v="2023 02 1511 619"/>
    <n v="1512.57"/>
    <x v="101"/>
    <s v="SEGURIDAD Y SALUD OBRA URBANIZACIÓN CAMINO VIEJO SIMANCAS  -TRAMO 1 (EXPTE. 17/2022)."/>
    <s v="300"/>
    <s v="VALLADOLID"/>
    <s v="VALLADOLID"/>
    <x v="1"/>
    <s v="PrAbier - Procedimiento Abierto"/>
    <s v="MultiC - MultiCriterio"/>
    <x v="0"/>
    <x v="1"/>
    <s v="6"/>
    <s v="6. Inversiones reales"/>
    <s v="02"/>
    <x v="3"/>
    <s v="1511"/>
    <s v="1511. Planficación y gestión del urbanismo"/>
    <s v="61"/>
    <s v="619"/>
  </r>
  <r>
    <n v="220230015987"/>
    <s v="AD"/>
    <d v="2023-04-26T00:00:00"/>
    <n v="22023004096"/>
    <s v="2023 08 1532 619"/>
    <n v="158.57"/>
    <x v="101"/>
    <s v="Redacción Estudio Seguridad y Salud Proyecto Urbanización y carril bici en C/ Arca Real, entre Avda.Zamora y C/ Bronce.-"/>
    <s v="220"/>
    <s v="VALLADOLID"/>
    <s v="VALLADOLID"/>
    <x v="1"/>
    <s v="PrAbier - Procedimiento Abierto"/>
    <s v="MultiC - MultiCriterio"/>
    <x v="0"/>
    <x v="1"/>
    <s v="6"/>
    <s v="6. Inversiones reales"/>
    <s v="08"/>
    <x v="0"/>
    <s v="1532"/>
    <s v="1532. Pavimentación vias públicas y otros servicios urbanísticos"/>
    <s v="61"/>
    <s v="619"/>
  </r>
  <r>
    <n v="220230015988"/>
    <s v="AD"/>
    <d v="2023-04-26T00:00:00"/>
    <n v="22023004100"/>
    <s v="2023 08 1532 619"/>
    <n v="129.25"/>
    <x v="101"/>
    <s v="REDAC ESTUDIO SEGURIDAD-SALUD PROYTO Y DE EJECUCIÓN OBRAS E INSTALACIÓN PARA IMPLANTACIÓN DE ASCENSOR URBANO C/ VELETA."/>
    <s v="220"/>
    <s v="VALLADOLID"/>
    <s v="VALLADOLID"/>
    <x v="1"/>
    <s v="PrAbier - Procedimiento Abierto"/>
    <s v="MultiC - MultiCriterio"/>
    <x v="0"/>
    <x v="1"/>
    <s v="6"/>
    <s v="6. Inversiones reales"/>
    <s v="08"/>
    <x v="0"/>
    <s v="1532"/>
    <s v="1532. Pavimentación vias públicas y otros servicios urbanísticos"/>
    <s v="61"/>
    <s v="619"/>
  </r>
  <r>
    <n v="220230018154"/>
    <s v="AD"/>
    <d v="2023-05-08T00:00:00"/>
    <n v="22023004332"/>
    <s v="2023 09 3341 22609"/>
    <n v="1318.9"/>
    <x v="865"/>
    <s v="ELABORACION DISEÑO CARTEL IDENTIFICATIVO DE LA 56 EDICION DE LA FERIA DEL LIBRO DE VALLADOLID 2023"/>
    <s v="220"/>
    <s v="MADRID"/>
    <s v="MADR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5396"/>
    <s v="AD"/>
    <d v="2023-05-26T00:00:00"/>
    <n v="22023004707"/>
    <s v="2023 05 4331 22001"/>
    <n v="1320"/>
    <x v="304"/>
    <s v="SUSCRIPCION PERIODICOS EL NORTE DE CASTILLA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001"/>
  </r>
  <r>
    <n v="220230020788"/>
    <s v="AD"/>
    <d v="2023-05-16T00:00:00"/>
    <n v="22023004470"/>
    <s v="2023 05 4331 22799"/>
    <n v="6655"/>
    <x v="390"/>
    <s v="REALIZACION DEL EVENTO FESTIVA EN EL METAVERSO DENTRO DEL PLAN SMARTVA EL DIA 19 DE MAYO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097"/>
    <s v="AD"/>
    <d v="2023-04-25T00:00:00"/>
    <n v="22023003836"/>
    <s v="2023 10 2412 22001"/>
    <n v="231.2"/>
    <x v="200"/>
    <s v="SUMINISTRO DE LIBROS , GUIA DE PLANTAS PARA EL CURSO DE PARQUES Y JARDINES IV DEL CENTRO DE FORMACION PARA EL EMPLEO-23"/>
    <s v="220"/>
    <s v="POZUELO DE ALARCON"/>
    <s v="MADR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001"/>
  </r>
  <r>
    <n v="220230015363"/>
    <s v="AD"/>
    <d v="2023-04-25T00:00:00"/>
    <n v="22023003902"/>
    <s v="2023 10 2316 22616"/>
    <n v="661.5"/>
    <x v="200"/>
    <s v="COMPRA DE 70 EJEMPLARES DE CONSTITUCIÓN ESPAÑOLA PARA ENTREGAR EN CURSOS VALORES CONST. PARA INMIGRANTES"/>
    <s v="220"/>
    <s v="POZUELO DE ALARCON"/>
    <s v="MADR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633"/>
    <s v="AD"/>
    <d v="2023-05-22T00:00:00"/>
    <n v="22023004586"/>
    <s v="2023 09 3341 22609"/>
    <n v="6050"/>
    <x v="390"/>
    <s v="GASTO SUMINISTRO ESCENARIO Y EQUIPO DE SONIDO PARA ESPECTACULO FESTIVAL JAIPUR EN FERIA DEL LIBRO VALLADOLID 2023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6864"/>
    <s v="AD"/>
    <d v="2023-05-02T00:00:00"/>
    <n v="22023004320"/>
    <s v="2023 10 2316 22616"/>
    <n v="3630"/>
    <x v="390"/>
    <s v="ALQUILER SONIDO, ESCENARIO, PERSONAL COLOCACION SILLAS, Y PERSONAL TÉCNICO 22-MAYO -  MESA DIVERSIDAD RELIGIOS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2977"/>
    <s v="AD"/>
    <d v="2023-04-03T00:00:00"/>
    <n v="22023003700"/>
    <s v="2023 06 3321 22699"/>
    <n v="38"/>
    <x v="866"/>
    <s v="CTTO SUMINISTRO FOTOGRAFÍA Y ENMARCADO DE BIBLIOTECA PARQUESOL &quot;&quot;SANTIAGO DE LOS MOZOS&quot;&quot;//1 SEMAN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20805"/>
    <s v="AD"/>
    <d v="2023-05-16T00:00:00"/>
    <n v="22023004496"/>
    <s v="2023 10 2412 22100"/>
    <n v="3391.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0805"/>
    <s v="AD"/>
    <d v="2023-05-16T00:00:00"/>
    <n v="22023004495"/>
    <s v="2023 10 2412 22100"/>
    <n v="2384.9899999999998"/>
    <x v="23"/>
    <s v="AJUSTE PRESUPUESTARIO SUMINISTRO DE ELECTRICIDAD DEL CENTRO DE FORMACION PARA EL EMPLEO EN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0806"/>
    <s v="AD/"/>
    <d v="2023-05-16T00:00:00"/>
    <n v="22023000595"/>
    <s v="2023 10 2412 22100"/>
    <n v="-11129.95"/>
    <x v="23"/>
    <s v="CONTRATO SUMINISTRO ENERGIA ELECTRICA DEL CENTRO DE FORMACION PARA EL  EMPLEO- JACINTO BENAVENTE EN 2022 Y 2023"/>
    <s v="220"/>
    <s v="BILBAO"/>
    <s v="VIZCAYA"/>
    <x v="3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100"/>
  </r>
  <r>
    <n v="220230026515"/>
    <s v="D"/>
    <d v="2023-05-31T00:00:00"/>
    <n v="22023004052"/>
    <s v="2023 11 1621 214"/>
    <n v="1313.85"/>
    <x v="316"/>
    <s v="ALB. A23/176463 de 03/04/2023 / REPARACIÓN MANGUERA PRESIÓN / ALB. A23/176466 .../ AM EXP V18/2022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0779"/>
    <s v="AD"/>
    <d v="2023-05-16T00:00:00"/>
    <n v="22023004047"/>
    <s v="2023 11 1631 22110"/>
    <n v="3176.25"/>
    <x v="867"/>
    <s v="PRORROGA CONTRATO SUMINISTRO FUNDENTES LOTE 2 PARA VIALIDAD VÍAS PÚBLICAS OCTUBRE 2023 SEPTIEMBRE 2024 LIMPIEZA VIARIA."/>
    <s v="220"/>
    <s v="REMOLINOS"/>
    <s v="ZARAGOZA"/>
    <x v="3"/>
    <s v="PrAbier - Procedimiento Abierto"/>
    <s v="MultiC - MultiCriterio"/>
    <x v="0"/>
    <x v="1"/>
    <s v="2"/>
    <s v="2. Gastos corrientes en bienes y servicios"/>
    <s v="11"/>
    <x v="6"/>
    <s v="1631"/>
    <s v="1631. Limpieza viaria"/>
    <s v="22"/>
    <s v="22110"/>
  </r>
  <r>
    <n v="220230012974"/>
    <s v="AD"/>
    <d v="2023-04-03T00:00:00"/>
    <n v="22023003682"/>
    <s v="2023 06 3261 22799"/>
    <n v="550"/>
    <x v="393"/>
    <s v="CUENTACUENTOS INFANTIL 12-JUNIO. COLABORACIÓN CON EL PROYECTO &quot;&quot;EN JUNIO LA ESGUEVA 2023&quot;&quot;."/>
    <s v="220"/>
    <s v="ALDEA DE SAN MIGUEL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20534"/>
    <s v="AD"/>
    <d v="2023-05-12T00:00:00"/>
    <n v="22023004380"/>
    <s v="2023 10 2311 213"/>
    <n v="1319.64"/>
    <x v="253"/>
    <s v="SUBSANACIÓN ANOMALÍAS SISTEMA PREV INCENDIOS EN COMEDOR Y ALBERGUE DETECTADAS POR CONCESIONARIA AL REALIZAR LA OCA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17054"/>
    <s v="AD"/>
    <d v="2023-05-02T00:00:00"/>
    <n v="22023004286"/>
    <s v="2023 10 2312 213"/>
    <n v="588.57000000000005"/>
    <x v="253"/>
    <s v="CONEXION DE PUERTA A AUTOMATICA NUEVA CON EL SISTEMA DE PROTECCION DE INCENDIOS DEL CVA ZONA ESTE -2023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0534"/>
    <s v="AD"/>
    <d v="2023-05-12T00:00:00"/>
    <n v="22023004379"/>
    <s v="2023 10 2311 213"/>
    <n v="177.08"/>
    <x v="253"/>
    <s v="SUBSANACIÓN ANOMALÍAS SISTEMA PREV INCENDIOS EN COMEDOR Y ALBERGUE DETECTADAS POR CONCESIONARIA AL REALIZAR LA OCA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25402"/>
    <s v="AD"/>
    <d v="2023-05-26T00:00:00"/>
    <n v="22023004672"/>
    <s v="2023 10 2412 213"/>
    <n v="161.72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17405"/>
    <s v="D"/>
    <d v="2023-05-03T00:00:00"/>
    <n v="22023002598"/>
    <s v="2023 04 9204 213"/>
    <n v="44.77"/>
    <x v="469"/>
    <s v="ADQUISICIÓN SET URINARIO, SERVICIO DE CABALLEROS PLANTA PRIMERA, CDIT"/>
    <s v="300"/>
    <s v="VALDELAFUENTE"/>
    <s v="LEON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6277"/>
    <s v="D"/>
    <d v="2023-05-31T00:00:00"/>
    <n v="22023004056"/>
    <s v="2023 11 1621 22199"/>
    <n v="277.66000000000003"/>
    <x v="177"/>
    <s v="LFP245B140F-03 - PROYECTOR GUARDIAN PRO 245W 4000K 28000 LM IP65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0233"/>
    <s v="D"/>
    <d v="2023-05-11T00:00:00"/>
    <n v="22023002013"/>
    <s v="2023 0650 3321 629"/>
    <n v="1500"/>
    <x v="200"/>
    <s v="ADQUISICIÓN FONDO BIBLIOGRÁFICO BIBLIOT DELICIAS &quot;&quot;BLAS PAJARERO&quot;&quot; NEXT GENERATION EU-RTR-C24.I2.P4 DOTACION BIBLIOTECAS"/>
    <s v="300"/>
    <s v="POZUELO DE ALARCON"/>
    <s v="MADR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02"/>
    <s v="D"/>
    <d v="2023-05-18T00:00:00"/>
    <n v="22023002013"/>
    <s v="2023 0650 3321 629"/>
    <n v="1500"/>
    <x v="868"/>
    <s v="ADQUISICIÓN FONDO BIBLIOGRÁFICO BIBLI PARQUESOL &quot;&quot;S. DE LOS MOZOS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04"/>
    <s v="D"/>
    <d v="2023-05-18T00:00:00"/>
    <n v="22023002013"/>
    <s v="2023 0650 3321 629"/>
    <n v="1500"/>
    <x v="868"/>
    <s v="ADQUISICION FONDO BIBLIOGRAFICO  BIBLI  HUERTA DEL REY &quot;&quot;FCO PINO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06"/>
    <s v="D"/>
    <d v="2023-05-18T00:00:00"/>
    <n v="22023002013"/>
    <s v="2023 0650 3321 629"/>
    <n v="1500"/>
    <x v="868"/>
    <s v="ADQUISICION FONFO BIBLIOGRAFICO BIBLIO SAN JUAN &quot;&quot;B. V. ESCUDERO&quot;&quot;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5402"/>
    <s v="AD"/>
    <d v="2023-05-26T00:00:00"/>
    <n v="22023004674"/>
    <s v="2023 10 2412 213"/>
    <n v="161.72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17667"/>
    <s v="ADO"/>
    <d v="2023-05-04T00:00:00"/>
    <n v="22023002642"/>
    <s v="2023 08 1341 22799"/>
    <n v="291842.2"/>
    <x v="0"/>
    <s v="Conv.Gto.Insuf. AD 22022000145 PRESTACIÓN SERVICIO PÚBLICO REGULACIÓN ESTACIONAMIENTO VEHÍCULOS VIA PUBLICA DICIEMBRE-22"/>
    <s v="240"/>
    <s v="MADRID"/>
    <s v="MADRID"/>
    <x v="1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25402"/>
    <s v="AD"/>
    <d v="2023-05-26T00:00:00"/>
    <n v="22023004673"/>
    <s v="2023 10 2412 213"/>
    <n v="129.37"/>
    <x v="253"/>
    <s v="CORRECTIVOS A REALIZAR EN EL C. DE FORMACION PARA EL EMPLEO, JAC. BENAVENTE   DE LOS SISTEMAS DE PROTECCIÓN DE INCENDIO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1"/>
    <s v="213"/>
  </r>
  <r>
    <n v="220230025397"/>
    <s v="AD"/>
    <d v="2023-05-26T00:00:00"/>
    <n v="22023004670"/>
    <s v="2023 10 2312 213"/>
    <n v="115.56"/>
    <x v="253"/>
    <s v="REPARACION DE PUERTA RETENEDORA RF DEL CVA PUENTE COLGANTE- MAYO 2023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4854"/>
    <s v="AD"/>
    <d v="2023-05-24T00:00:00"/>
    <n v="22023004618"/>
    <s v="2023 05 4331 22799"/>
    <n v="3176.25"/>
    <x v="869"/>
    <s v="PROMOCIONAR LA NUEVA MARCA DE LA AGENCIA Y CRECER EN CUANTO A COMUNIDAD EN LA RED PROFESIONAL DE LINKEDIN."/>
    <s v="220"/>
    <s v="GIJON"/>
    <s v="ASTURIAS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5391"/>
    <s v="AD"/>
    <d v="2023-05-26T00:00:00"/>
    <n v="22023004704"/>
    <s v="2023 06 2315 22614"/>
    <n v="1986.34"/>
    <x v="870"/>
    <s v="ADQUISICION CAMISETAS ENCUENTRO INTERCENTROS IMUSICAR 2023"/>
    <s v="220"/>
    <s v="ZAMORA"/>
    <s v="ZAMORA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4"/>
  </r>
  <r>
    <n v="220230018167"/>
    <s v="AD"/>
    <d v="2023-05-08T00:00:00"/>
    <n v="22023004391"/>
    <s v="2023 08 1532 204"/>
    <n v="1437.01"/>
    <x v="871"/>
    <s v="Transporte de dos viajes de polvo asfáltico desde ASFALTOS DE MAESTU SA hasta el Parque Conserv.Vias Públicas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0"/>
    <s v="204"/>
  </r>
  <r>
    <n v="220230016855"/>
    <s v="AD"/>
    <d v="2023-05-02T00:00:00"/>
    <n v="22023004195"/>
    <s v="2023 03 9241 22199"/>
    <n v="956.47"/>
    <x v="872"/>
    <s v="SUMINISTRO DE MATERIALES PARA ACTIVIDADES DE PINTURA A LA ACUARELA EN CIC CONDE ANSÚREZ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199"/>
  </r>
  <r>
    <n v="220230020543"/>
    <s v="AD"/>
    <d v="2023-05-12T00:00:00"/>
    <n v="22023004402"/>
    <s v="2023 11 3111 213"/>
    <n v="946.26"/>
    <x v="873"/>
    <s v="REVISION MANTENIMIENTO HORNO INCINERADOR C.M.P.A. INCLUYENDO PEQUEÑA REPARACION"/>
    <s v="220"/>
    <s v="ZARAGOZA"/>
    <s v="ZARAGOZA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16008"/>
    <s v="AD"/>
    <d v="2023-04-26T00:00:00"/>
    <n v="22023004117"/>
    <s v="2023 06 2315 22611"/>
    <n v="605"/>
    <x v="874"/>
    <s v="TALLERES SOBRE LA DIVERSIDAD EN EL CENTRO MUNICIPAL DE LA IGUALDA MAYO -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106"/>
    <s v="AD"/>
    <d v="2023-04-25T00:00:00"/>
    <n v="22023003847"/>
    <s v="2023 01 9206 22199"/>
    <n v="34.85"/>
    <x v="381"/>
    <s v="MATERIAL DE ELECTRICIDAD REQUERDIO POR EL SERVICIO DE MANTENIMIENTO PARA REPARACIÓN EN ARCHIVO MUNICIPAL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25398"/>
    <s v="AD"/>
    <d v="2023-05-26T00:00:00"/>
    <n v="22023004684"/>
    <s v="2023 10 2412 22199"/>
    <n v="752.64"/>
    <x v="381"/>
    <s v="SUMINISTRO DE DOS  CARRETILLOS, TRES ESCALERAS DE 8 PELDAÑOS  Y CINCO CUBOS DE 80 LT. PARA EL JACINTO BENAVENTE EN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7046"/>
    <s v="AD"/>
    <d v="2023-05-02T00:00:00"/>
    <n v="22023003759"/>
    <s v="2023 05 4312 22199"/>
    <n v="15.95"/>
    <x v="217"/>
    <s v="A.M.  V. 36-2017.  COPIA LLAVES MERCADO DEL VAL Y DELICIAS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8145"/>
    <s v="AD"/>
    <d v="2023-05-08T00:00:00"/>
    <n v="22023004028"/>
    <s v="2023 09 3341 22799"/>
    <n v="306.13"/>
    <x v="875"/>
    <s v="SERVICIO DE TRASLADO DE LOS ALUMNOS QUE REALIZARAN EL VIDEO UNESCO DESDE PAJARILLOS A ACEIMAR"/>
    <s v="220"/>
    <s v="VALLADOLID"/>
    <s v="VALLADOLID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0542"/>
    <s v="AD"/>
    <d v="2023-05-12T00:00:00"/>
    <n v="22023004028"/>
    <s v="2023 09 3341 22799"/>
    <n v="126.5"/>
    <x v="875"/>
    <s v="TRASLADO ALUMNOS QUE REALIZAN VIDEO UNESCO A ACEIMAR UN DIA ADICIONAL, POR LO QUE SE HACE LA AMPLIACION DEL GASTO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083"/>
    <s v="AD"/>
    <d v="2023-04-25T00:00:00"/>
    <n v="22023003808"/>
    <s v="2023 11 1621 22700"/>
    <n v="2268.7800000000002"/>
    <x v="876"/>
    <s v="LIMPIEZA CERRAMIENTOS VERTICALES, LUCERNARIOS, LÁMPARAS Y AEROTERMOS CALEFACCIÓN DEL TALLER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25401"/>
    <s v="AD"/>
    <d v="2023-05-26T00:00:00"/>
    <n v="22023004713"/>
    <s v="2023 10 2312 22699"/>
    <n v="1809.5"/>
    <x v="877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5401"/>
    <s v="AD"/>
    <d v="2023-05-26T00:00:00"/>
    <n v="22023004712"/>
    <s v="2023 10 2312 22699"/>
    <n v="1292.5"/>
    <x v="877"/>
    <s v="SEIS AUTOCARES PARA TRASPORTAR A LOS USUARIOS DE LOS CVA A MEDINA DE RIOSECO PARA REALIZAR UNA ACTIVIDAD EL 15 DEJUNIO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4853"/>
    <s v="AD"/>
    <d v="2023-05-24T00:00:00"/>
    <n v="22023004594"/>
    <s v="2023 08 1532 22104"/>
    <n v="2028"/>
    <x v="878"/>
    <s v="Suministro de 6 gafas de protección laboral monofocal y 6 gafas de protección laboral progresiva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17047"/>
    <s v="AD"/>
    <d v="2023-05-02T00:00:00"/>
    <n v="22023003814"/>
    <s v="2023 05 4312 22199"/>
    <n v="3.73"/>
    <x v="217"/>
    <s v="A. M . V 36-2017 COPIA LLAVE DOBLE ARCHIVADOR MERCADO DELICIA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7048"/>
    <s v="AD"/>
    <d v="2023-05-02T00:00:00"/>
    <n v="22023003724"/>
    <s v="2023 07 1721 22112"/>
    <n v="3902.25"/>
    <x v="448"/>
    <s v="REPOSICION FUNGIBLES DE LOS NANOSENSORES DE LA ZONA DE BAJAS EMISIONES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12"/>
  </r>
  <r>
    <n v="220230013381"/>
    <s v="AD"/>
    <d v="2023-04-04T00:00:00"/>
    <n v="22023003723"/>
    <s v="2023 07 1721 22799"/>
    <n v="3599.75"/>
    <x v="448"/>
    <s v="MANTENIMIENTO DE LOS NANOSENSORES DE LA ZONA DE BAJAS EMISIONES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25399"/>
    <s v="AD"/>
    <d v="2023-05-26T00:00:00"/>
    <n v="22023004694"/>
    <s v="2023 03 9241 22699"/>
    <n v="439.08"/>
    <x v="452"/>
    <s v="VINILO VELEDA BLANCO Y ESPÁTULAS FIELTRO PARA CC RONDILL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7056"/>
    <s v="AD"/>
    <d v="2023-05-02T00:00:00"/>
    <n v="22023003897"/>
    <s v="2023 11 1621 22700"/>
    <n v="16225"/>
    <x v="879"/>
    <s v="SERVICIO DE RECOGIDA DE RESIDUOS DE FIBROCEMENTO ABANDO EN LA VÍA PÚBLICA PARA 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16005"/>
    <s v="AD"/>
    <d v="2023-04-26T00:00:00"/>
    <n v="22023004108"/>
    <s v="2023 06 2315 22611"/>
    <n v="178.9"/>
    <x v="455"/>
    <s v="TALLER UNA TAZA CON HISTORIA EN EL CENTRO MUNICIPAL DE LA IGUALDAD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523"/>
    <s v="AD"/>
    <d v="2023-05-12T00:00:00"/>
    <n v="22023004283"/>
    <s v="2023 07 1711 213"/>
    <n v="332.97"/>
    <x v="880"/>
    <s v="Mantenimiento y reparación de maquinaria.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1"/>
    <s v="213"/>
  </r>
  <r>
    <n v="220230016020"/>
    <s v="AD"/>
    <d v="2023-04-26T00:00:00"/>
    <n v="22023004111"/>
    <s v="2023 06 3231 22699"/>
    <n v="7260"/>
    <x v="881"/>
    <s v="11 REPRESENTACIONES ESPECTACULO TEATRAL &quot;&quot;LA GRANJA&quot;&quot; PARA LOS NIÑOS DE LAS ESCUELAS INFANTILES MUNICIPALES.MAYO-JUNI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699"/>
  </r>
  <r>
    <n v="220230012986"/>
    <s v="AD"/>
    <d v="2023-04-03T00:00:00"/>
    <n v="22023003725"/>
    <s v="2023 03 9241 22609"/>
    <n v="228.3"/>
    <x v="882"/>
    <s v="CONFERENCIA EN CC ESGUEVA POR DIA INTERNACIONAL DE LA MUJER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5973"/>
    <s v="AD"/>
    <d v="2023-04-26T00:00:00"/>
    <n v="22023004043"/>
    <s v="2023 06 2315 22611"/>
    <n v="1270.58"/>
    <x v="492"/>
    <s v="ACTIVIDADES DE ESCRITURA CREATIVA Y LECTURA EN EL CENTRO MUNICIPAL DE IGUALDAD / OCTUBRE A DICIEMBR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797"/>
    <s v="AD"/>
    <d v="2023-05-16T00:00:00"/>
    <n v="22023004494"/>
    <s v="2023 05 4312 22199"/>
    <n v="20.61"/>
    <x v="209"/>
    <s v="AM V 18/2022 CEYS MONTCK CINTA BLISTER CANALETA IMPRESORA PARA CABLES SERVICIO COMERCIO."/>
    <s v="220"/>
    <s v="BARCELONA"/>
    <s v="BARCELONA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15972"/>
    <s v="AD"/>
    <d v="2023-04-26T00:00:00"/>
    <n v="22023004042"/>
    <s v="2023 06 2315 22611"/>
    <n v="376.47"/>
    <x v="492"/>
    <s v="TALLER LECTURA Y ESCRITURA CREATIVA &quot;&quot;HILAR PALABRAS&quot;&quot; / MAYO Y JUNI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237"/>
    <s v="D"/>
    <d v="2023-05-11T00:00:00"/>
    <n v="22023002013"/>
    <s v="2023 0650 3321 629"/>
    <n v="1500"/>
    <x v="830"/>
    <s v="ADQUISICIÓN FONDO BIBLIOGRÁFICO BIBLIOT LA VICTORIA &quot;&quot;GLORIA FUERTES&quot;&quot;-NEXT GENERATION EU- RTR-C24.I2.P4-DOTACIÓN BIBLIOT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13524"/>
    <s v="D"/>
    <d v="2023-04-05T00:00:00"/>
    <n v="22023002053"/>
    <s v="2023 07 1711 213"/>
    <n v="1077.0899999999999"/>
    <x v="381"/>
    <s v="HILO STIHL CORTE REDONDO Ø 2,7MM X 208,0M 9302227 / CADENA STIHL MOTOSIERRA 63 PM PICCO MICRO ESLABON / CADENA STIH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3526"/>
    <s v="D"/>
    <d v="2023-04-05T00:00:00"/>
    <n v="22023002053"/>
    <s v="2023 07 1711 213"/>
    <n v="1508.53"/>
    <x v="381"/>
    <s v="MANO DE OBRA / STIHL CINTA DE FRENO 11231605400 / STIHL  JUNTA DE SILENCIADOR 11371490601 / STIHL EMBRAGUE 11371602000 /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068"/>
    <s v="D"/>
    <d v="2023-04-27T00:00:00"/>
    <n v="22023002739"/>
    <s v="2023 02 9332 212"/>
    <n v="310.61"/>
    <x v="381"/>
    <s v="SIN ID-MANTENIMIENTO PARQUE / COPIA LLAVE MCM 54 D-41125 / SIN ID-CERRAJERIA / REPARACION GRUPO SOLDAR POWERTEC 350C PR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16"/>
    <s v="D"/>
    <d v="2023-04-27T00:00:00"/>
    <n v="22023002181"/>
    <s v="2023 06 3232 212"/>
    <n v="1198.3499999999999"/>
    <x v="381"/>
    <s v="ID: 0035332-CP JOSE ZORRILLA / BOMBILLO MCM EAN: 10-30 F-33152 / ID: 0035484-CP ENTRE RIOS / BOMBILLO MCM EAN: 30-30 F-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66"/>
    <s v="D"/>
    <d v="2023-04-27T00:00:00"/>
    <n v="22023001514"/>
    <s v="2023 11 1361 22199"/>
    <n v="81.069999999999993"/>
    <x v="381"/>
    <s v="F.C. COGEDOR MANGO REF. 33401 METALICO / IMAN CIRCULAR MACHO M-6 32 MM NIQUEL NEODIMIO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176"/>
    <s v="D"/>
    <d v="2023-04-27T00:00:00"/>
    <n v="22023002185"/>
    <s v="2023 06 3231 212"/>
    <n v="14.64"/>
    <x v="381"/>
    <s v="ID: 0034090-EIM CASCABEL / LOCTITE REF. 20,0 GR PROFESIONAL XXL / LLAVERO PORTAETIQUETAS AMIG 80 AZUL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191"/>
    <s v="D"/>
    <d v="2023-04-27T00:00:00"/>
    <n v="22023002181"/>
    <s v="2023 06 3232 212"/>
    <n v="49.97"/>
    <x v="381"/>
    <s v="ID 35421-FRANCISCO PINO / CERRADURA MCM 1301 2-50-00 S/BOMBILLO / ID 0035621-C.E.I.P PONCE DE LEON / BROCA SDS-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39"/>
    <s v="D"/>
    <d v="2023-04-27T00:00:00"/>
    <n v="22023002740"/>
    <s v="2023 02 9332 213"/>
    <n v="391.29"/>
    <x v="381"/>
    <s v="PILAR (MANTENIMIENTO) / MAARTILLO BOSCH GSH 5 ( QUITAR BROCA ROTA EN EL PORTABROCAS.  ) / -LIMPIEZA Y ENGRASE / -P.A.P.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16304"/>
    <s v="D"/>
    <d v="2023-04-27T00:00:00"/>
    <n v="22023001343"/>
    <s v="2023 03 9241 212"/>
    <n v="307.38"/>
    <x v="381"/>
    <s v="ID: 0035254-CC JOSE LUIS MOSQUERA / ANTIP. TESA CERRADURA CF60RSR9ZCE / SIN ID-CC JOSE MARIA LUENGO / DISCO DIA. BOSCH 2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6348"/>
    <s v="D"/>
    <d v="2023-04-27T00:00:00"/>
    <n v="22023001412"/>
    <s v="2023 10 2311 212"/>
    <n v="26.34"/>
    <x v="381"/>
    <s v="F - 2950 - TORNILLO INDEX INVIOLABLE - CALLE JR JIMENEZ ESQUINA DE BECQUER 9 - EXCLUSIVAS MAOR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447"/>
    <s v="D"/>
    <d v="2023-05-09T00:00:00"/>
    <n v="22023002053"/>
    <s v="2023 07 1711 213"/>
    <n v="173.56"/>
    <x v="381"/>
    <s v="CEPILLO BARB. MEXIL 1- 8 UNO 11x4 POLIP. / STIHL  GRASA PARA ENGRANAJE 7811201110 / STIHL GRASA PARA ENGRANAJE SUPERLUB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449"/>
    <s v="D"/>
    <d v="2023-05-09T00:00:00"/>
    <n v="22023002053"/>
    <s v="2023 07 1711 213"/>
    <n v="2584.9699999999998"/>
    <x v="381"/>
    <s v="MANO DE OBRA / KUBOTA ROTULA DIRECCION K125316604 / KUBOTA ROTULA DIRECCION 6K125316603 / MANO DE OBRA / STIHL  FILTRO 4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485"/>
    <s v="D"/>
    <d v="2023-05-09T00:00:00"/>
    <n v="22023002053"/>
    <s v="2023 07 1711 213"/>
    <n v="22.6"/>
    <x v="381"/>
    <s v="ID 0035645-CAMPO GRANDE / ACEITE  WD-40  500ML D/ACCION CANULA FIJ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243"/>
    <s v="D"/>
    <d v="2023-05-11T00:00:00"/>
    <n v="22023002013"/>
    <s v="2023 0650 3321 629"/>
    <n v="1500"/>
    <x v="883"/>
    <s v="ADQUISICIÓN FONDO BIBLIOGRÁFICO EL PTO LECTURA PILARICA-NEXT GENERATION EU-RTR-C24.I2.P4-DOTACION BIBLIOTECAS"/>
    <s v="300"/>
    <s v="CANTABRIA"/>
    <s v="SANTANDER"/>
    <x v="3"/>
    <s v="PrAbier - Procedimiento Abierto"/>
    <s v="MultiC - MultiCriterio"/>
    <x v="1"/>
    <x v="1"/>
    <n v="6"/>
    <s v="6. Inversiones reales"/>
    <s v="06"/>
    <x v="2"/>
    <s v="0 33"/>
    <n v="3321"/>
    <n v="6"/>
    <n v="629"/>
  </r>
  <r>
    <n v="220230018510"/>
    <s v="D"/>
    <d v="2023-05-09T00:00:00"/>
    <n v="22023001468"/>
    <s v="2023 10 2312 212"/>
    <n v="25.53"/>
    <x v="381"/>
    <s v="MANT. SUMINISTRO DE MASTERIAL PARA REPARACIONES DEL CVA PARQUESOL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30"/>
    <s v="D"/>
    <d v="2023-05-09T00:00:00"/>
    <n v="22023001466"/>
    <s v="2023 11 1621 22199"/>
    <n v="180.08"/>
    <x v="381"/>
    <s v="PROTECTOR AUDITIVO 3M OPTIME III H540A / M.S. LLAVE CONTACTO HONDA REF 55-4610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8532"/>
    <s v="D"/>
    <d v="2023-05-09T00:00:00"/>
    <n v="22023001466"/>
    <s v="2023 11 1621 22199"/>
    <n v="104.51"/>
    <x v="381"/>
    <s v="ID: 0035351-LIMPIEZA C/TOPOCIO-63 / EGAÑA AMORTI. TOPE PROGRE. TP 70 M M-12 / BO.../ EXP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0253"/>
    <s v="D"/>
    <d v="2023-05-11T00:00:00"/>
    <n v="22023002181"/>
    <s v="2023 06 3232 212"/>
    <n v="18.05"/>
    <x v="381"/>
    <s v="ID: 0036272 - CEIP CARDENAL MENDOZA / VINILO ROJO TROQUELADO &quot;&quot;USO EXCLUSIVO BOMBEROS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44"/>
    <s v="D"/>
    <d v="2023-05-16T00:00:00"/>
    <n v="22023002161"/>
    <s v="2023 07 1711 213"/>
    <n v="1421.68"/>
    <x v="381"/>
    <s v="MANO DE OBRA / AUSA KIT FILTROS MOTOR KUBOTA 93403RE00 / KUBOTA FILTRO ACEITE W21ESO1530 / KUBOTA FILTRO AIRE INT. K3181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46"/>
    <s v="D"/>
    <d v="2023-05-16T00:00:00"/>
    <n v="22023002161"/>
    <s v="2023 07 1711 213"/>
    <n v="1194.43"/>
    <x v="381"/>
    <s v="HILO STIHL CORTE REDONDO Ø 2,7 MM X 208,0 M 9302227 / STIHL  PARTE INFERIOR 40027139708 / STIHL  BOBINA 40027133017 / ST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54"/>
    <s v="D"/>
    <d v="2023-05-16T00:00:00"/>
    <n v="22023001549"/>
    <s v="2023 07 1711 22199"/>
    <n v="3671.13"/>
    <x v="381"/>
    <s v="ANDAMIO ZARGES PAXTOWER S-PLUS 1T REF. 53524 + REGULADOR DE ALTURA EN RUEDA / PILA VARTA 9V. INDUSTRIAL PRO / CUERDA DRI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0968"/>
    <s v="D"/>
    <d v="2023-05-16T00:00:00"/>
    <n v="22023001344"/>
    <s v="2023 03 9241 213"/>
    <n v="433.86"/>
    <x v="381"/>
    <s v="ID: 0036788 - CC JOSÉ MARÍA LUELMO / TAPA PLANA TF-502 A-316 43 / SOPORTE ARTICULADO SA-404 A-316 43 / TAPA PLANA TF-502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1011"/>
    <s v="D"/>
    <d v="2023-05-16T00:00:00"/>
    <n v="22023002185"/>
    <s v="2023 06 3231 212"/>
    <n v="193.12"/>
    <x v="381"/>
    <s v="ID: 0034090 - EIM CASCABEL / PLACA GRABADA 25x15 ADHESIVA ORO / NÚMERO NEGRO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3248"/>
    <s v="D"/>
    <d v="2023-05-22T00:00:00"/>
    <n v="22023001412"/>
    <s v="2023 10 2311 212"/>
    <n v="8.42"/>
    <x v="381"/>
    <s v="F - 4391 - CERRADURA BTV PARA VVDA VINOS DE RUEDA 22 3M - EXCLUSVAS MA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228"/>
    <s v="D"/>
    <d v="2023-05-31T00:00:00"/>
    <n v="22023002161"/>
    <s v="2023 07 1711 213"/>
    <n v="1131.83"/>
    <x v="381"/>
    <s v="MANO DE OBRA / KUBOTA FILTRO ACEITE REF. W21TSHK700 -R / KUBOTA FILTRO ACEITE REF  W21ESO1500 / KUBOTA FILTRO AIRE REF.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6230"/>
    <s v="D"/>
    <d v="2023-05-31T00:00:00"/>
    <n v="22023002161"/>
    <s v="2023 07 1711 213"/>
    <n v="1141.6400000000001"/>
    <x v="381"/>
    <s v="STIHL CABEZAL DE CORTE AUTOCUT 25-2 40027102108 / STIHL ACEITE HP SUPER 5L 7813198055 / STIHL ACEITE HP 5L 7813198433 /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6234"/>
    <s v="D"/>
    <d v="2023-05-31T00:00:00"/>
    <n v="22023001549"/>
    <s v="2023 07 1711 22199"/>
    <n v="274.38"/>
    <x v="381"/>
    <s v="RODILLERA RUBI PROFESIONAL REF.81994 / GAVETA TAYG Nº 53 AZ 336x160x130 253027 / TRANSPLANTADOR OUTILS-WOLF REF. LP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7"/>
    <s v="D"/>
    <d v="2023-05-31T00:00:00"/>
    <n v="22023001468"/>
    <s v="2023 10 2312 212"/>
    <n v="286.92"/>
    <x v="381"/>
    <s v="MANT. SUMINISTRO MATERIAL PARA REPAR DEL  CPM PARQUESOL / PLACA GRABADA 25x15 ADHESIVA ORO / NÚMERO NEGRO-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351"/>
    <s v="D"/>
    <d v="2023-05-31T00:00:00"/>
    <n v="22023001343"/>
    <s v="2023 03 9241 212"/>
    <n v="145.88999999999999"/>
    <x v="381"/>
    <s v="MATERIALES VARIOS PARA CENTRO SEGUNDO MONTES, DELICIAS Y KIOSCO CAÑO ARGALE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416"/>
    <s v="D"/>
    <d v="2023-05-31T00:00:00"/>
    <n v="22023001466"/>
    <s v="2023 11 1621 22199"/>
    <n v="78.7"/>
    <x v="381"/>
    <s v="PROTECTOR AUDITIVO 3M OPTIME III H540A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422"/>
    <s v="D"/>
    <d v="2023-05-31T00:00:00"/>
    <n v="22023001476"/>
    <s v="2023 11 1631 22199"/>
    <n v="47.99"/>
    <x v="381"/>
    <s v="ID: 0036234-CUARTO VIGILANTES / MANILLA SOAL CHAPARRO M9005 NEGRA  (UND)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424"/>
    <s v="D"/>
    <d v="2023-05-31T00:00:00"/>
    <n v="22023001466"/>
    <s v="2023 11 1621 22199"/>
    <n v="32.32"/>
    <x v="381"/>
    <s v="CUELGA ESCOBAS BRINOX 7064 BLANCO x1 / PERCHA BRINOX 7044 GRA. CROMO x2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714"/>
    <s v="D"/>
    <d v="2023-05-31T00:00:00"/>
    <n v="22023004200"/>
    <s v="2023 09 3341 213"/>
    <n v="1043.44"/>
    <x v="381"/>
    <s v="SUMINISTRO MATERIALES BOMBILLOS Y COPIA DE LLAVES PARA EL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4131"/>
    <s v="D"/>
    <d v="2023-04-19T00:00:00"/>
    <n v="22023002053"/>
    <s v="2023 07 1711 213"/>
    <n v="38.159999999999997"/>
    <x v="362"/>
    <s v="VEHÍCULO 5969KFL // SUSTITUCION LAMPARA CRUCE DERECHO Y FRENO IZQUIERDO / 2 KE26089989 - BOMBILLA / 2 KE26289948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59"/>
    <s v="D"/>
    <d v="2023-05-16T00:00:00"/>
    <n v="22023001956"/>
    <s v="2023 07 1711 214"/>
    <n v="316.95999999999998"/>
    <x v="362"/>
    <s v="3058DTC VERIFICACION AVERIA LIMPIAPARABRISAS. SUSTITUCION MOTOR LAVAPARABRISAS Y PILOTO TRASERO IZQUIERDO.ENCONTRANDO F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16"/>
    <s v="D"/>
    <d v="2023-05-31T00:00:00"/>
    <n v="22023001956"/>
    <s v="2023 07 1711 214"/>
    <n v="233.08"/>
    <x v="362"/>
    <s v="1617DTJ MANTENIMIENTO 180.000.SUSTITUCION ACEITE / 2 SMOIL5W40 - ACEITE 5W40 1L / 2 GAU - MANUAL / 2 1520800Q0D - FILTR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18"/>
    <s v="D"/>
    <d v="2023-05-31T00:00:00"/>
    <n v="22023001956"/>
    <s v="2023 07 1711 214"/>
    <n v="500.72"/>
    <x v="362"/>
    <s v="4272GHL MANTENIMIENTO 140.000 SUSTITUCION / 2 SMOIL5W40 - ACEITE 5W40 1L / 2 GAU - MANUAL / 2 15208BN30A - FILTRO ACEIT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4587"/>
    <s v="D"/>
    <d v="2023-04-24T00:00:00"/>
    <n v="22023002378"/>
    <s v="2023 09 3341 213"/>
    <n v="19.95"/>
    <x v="217"/>
    <s v="SUMINISTRO CUBO PEDAL CUBIK 23L, PARA EL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16072"/>
    <s v="D"/>
    <d v="2023-04-27T00:00:00"/>
    <n v="22023002739"/>
    <s v="2023 02 9332 212"/>
    <n v="197.62"/>
    <x v="217"/>
    <s v="COMMENT|++ SEMANA SANTA ++ / *CJ TUERCA DIN 6923 M8X125 CINC. (500UD) / CELESA BROCA DIN 338 HSS-CO RECT. Ø 05,00 MM / 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118"/>
    <s v="D"/>
    <d v="2023-04-27T00:00:00"/>
    <n v="22023002181"/>
    <s v="2023 06 3232 212"/>
    <n v="8.75"/>
    <x v="217"/>
    <s v="MANGO AZADA DARMAN 900X3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42"/>
    <s v="D"/>
    <d v="2023-04-27T00:00:00"/>
    <n v="22023002182"/>
    <s v="2023 06 3321 212"/>
    <n v="35.53"/>
    <x v="217"/>
    <s v="COPIA LLAVE NORMAL / PRECINTO MIARCO MARR. 48X132M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144"/>
    <s v="D"/>
    <d v="2023-04-27T00:00:00"/>
    <n v="22023002182"/>
    <s v="2023 06 3321 212"/>
    <n v="381.26"/>
    <x v="217"/>
    <s v="ESCALERA 3 PELD. ANCHO C/GOMA 423.0 DISBUR / ARMARIO LLAVERO. 48 LLAVES. EHL. / *DUOBLADE FISCHER WH/6K NV-10 / PRECINT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154"/>
    <s v="D"/>
    <d v="2023-04-27T00:00:00"/>
    <n v="22023002182"/>
    <s v="2023 06 3321 212"/>
    <n v="34.42"/>
    <x v="217"/>
    <s v="SILICONA SOUDAL NEUTRA 300ML BLANCO / *BL FISCHER ESCARPIA 18X50 / *BL FISCHER ESCARPIA 19X60 / *BOMBILLA GARZA  9W E-27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16174"/>
    <s v="D"/>
    <d v="2023-04-27T00:00:00"/>
    <n v="22023002185"/>
    <s v="2023 06 3231 212"/>
    <n v="45.98"/>
    <x v="217"/>
    <s v="ARANDELA DIN 127 GROWER ZINCADA M- 6 / TORNI. DIN  912 8.8 ALLEN  6X 20MM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271"/>
    <s v="D"/>
    <d v="2023-04-27T00:00:00"/>
    <n v="22023001514"/>
    <s v="2023 11 1361 22199"/>
    <n v="4357.8900000000003"/>
    <x v="217"/>
    <s v="COPIA LLAVE NORMAL/CILINDRO SERRETA AMIG 60 (30-30) 4587/CILIND SEGU AMIG 9800 CROMO BRILL 70 (35-35) 6082 /ESCUDO/SEISP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306"/>
    <s v="D"/>
    <d v="2023-04-27T00:00:00"/>
    <n v="22023001412"/>
    <s v="2023 10 2311 212"/>
    <n v="87.35"/>
    <x v="217"/>
    <s v="F - 2100 -CINTA ANT+TORN+UMBRAL EN CI -TORNILLOS  EN DELI-CANTERAC -CERRADURA+GOLPETE EN DELI-ARGALES - ORTIZ -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7439"/>
    <s v="D"/>
    <d v="2023-05-03T00:00:00"/>
    <n v="22023001412"/>
    <s v="2023 10 2311 212"/>
    <n v="16.54"/>
    <x v="217"/>
    <s v="F - 3337 - RESBALON LINCE Y COPIA LLAVE SEGURIDAD - CALLE ALBACETE, 10 BAJO D - FERRETERIA ORTIZ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413"/>
    <s v="D"/>
    <d v="2023-05-09T00:00:00"/>
    <n v="22023001343"/>
    <s v="2023 03 9241 212"/>
    <n v="72.239999999999995"/>
    <x v="217"/>
    <s v="CENTRO CIVICO JOSÉ MARIA LUELMO / AFILADO DE CUCHILLO GRANDE / AFILADO DE CUCHILLO PEQUEÑ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8961"/>
    <s v="D"/>
    <d v="2023-05-10T00:00:00"/>
    <n v="22023002460"/>
    <s v="2023 05 4331 212"/>
    <n v="68.180000000000007"/>
    <x v="217"/>
    <s v="CERRADURA TESA 2030 50 HL RED. 1/2 / PATA REDONDA REI 100 CR MATE / TORNI. DIN  603 6.8 10X140MM"/>
    <s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7"/>
    <s v="4331"/>
    <s v="4331. Desarrollo empresarial"/>
    <s v="21"/>
    <s v="212"/>
  </r>
  <r>
    <n v="220230020255"/>
    <s v="D"/>
    <d v="2023-05-11T00:00:00"/>
    <n v="22023002181"/>
    <s v="2023 06 3232 212"/>
    <n v="129.87"/>
    <x v="217"/>
    <s v="CLAVO FSK 14 MM (CAJA 1000 PZAS) / GRAPA FSK REDONDA 12MM 500UD / GRAPA 530 DE 1000 DE 8 MM RATIO / CAJA MULTIUSO RATI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257"/>
    <s v="D"/>
    <d v="2023-05-11T00:00:00"/>
    <n v="22023002185"/>
    <s v="2023 06 3231 212"/>
    <n v="20.93"/>
    <x v="217"/>
    <s v="PILA LITIO CR2430 RENATA 3V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4341"/>
    <s v="AD"/>
    <d v="2023-04-21T00:00:00"/>
    <n v="22023000517"/>
    <s v="2023 10 2311 22799"/>
    <n v="18065.810000000001"/>
    <x v="16"/>
    <s v="MOD.CONT.GESTION ALBERGUE-CI ATENCION A PERSONAS SIN HOGAR-PLAZAS ADIC.EMERG.CLIMATICA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8967"/>
    <s v="AD"/>
    <d v="2023-05-10T00:00:00"/>
    <n v="22023000539"/>
    <s v="2023 04 9204 22002"/>
    <n v="5544.89"/>
    <x v="231"/>
    <s v="SUMINISTRO DE FUNGIBLES COMPATIBLES Y  CINTAS MAGNÉTICAS, LOTE 2 (2/2023) PRIMERA PRÓRROGA"/>
    <s v="220"/>
    <s v="MADRID"/>
    <s v="MADRID"/>
    <x v="3"/>
    <s v="PrAbier - Procedimiento Abierto"/>
    <s v="UniC - Único Criterio"/>
    <x v="0"/>
    <x v="1"/>
    <s v="2"/>
    <s v="2. Gastos corrientes en bienes y servicios"/>
    <s v="04"/>
    <x v="5"/>
    <s v="9204"/>
    <s v="9204. Tecnologías de la información y comunicación"/>
    <s v="22"/>
    <s v="22002"/>
  </r>
  <r>
    <n v="220230018794"/>
    <s v="D"/>
    <d v="2023-05-09T00:00:00"/>
    <n v="22023002188"/>
    <s v="2023 07 1711 610"/>
    <n v="175000"/>
    <x v="52"/>
    <s v="CONTRATACIÓN CONSERVACIÓN Y MEJORA INFRAESTRUCTURAS VERDES DE LAS ZONAS CENTRO Y NORTE. LOTE 3. O. CIVIL. V.34/2022."/>
    <s v="300"/>
    <s v="VALLADOLID"/>
    <s v="VALLADOLID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5944"/>
    <s v="AD"/>
    <d v="2023-04-26T00:00:00"/>
    <n v="22023003916"/>
    <s v="2023 10 2412 213"/>
    <n v="1242.47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810"/>
    <s v="AD"/>
    <d v="2023-04-28T00:00:00"/>
    <n v="22023003743"/>
    <s v="2023 05 4312 623"/>
    <n v="14613.5"/>
    <x v="884"/>
    <s v="SUMINISTRO E INSTALACIÓN DE &quot;&quot;LOCKERS&quot;&quot; O TAQUILLAS INTELIGENTES PARA EL MERCADO MUNICIPAL DEL VAL."/>
    <s v="220"/>
    <s v="COSLADA"/>
    <s v="MADRID"/>
    <x v="3"/>
    <s v="AdDirec - Adjudicación Directa"/>
    <s v="SinC - Sin Criterio"/>
    <x v="3"/>
    <x v="1"/>
    <s v="6"/>
    <s v="6. Inversiones reales"/>
    <s v="05"/>
    <x v="7"/>
    <s v="4312"/>
    <s v="4312. Mercados, abastos y lonjas"/>
    <s v="62"/>
    <s v="623"/>
  </r>
  <r>
    <n v="220230021766"/>
    <s v="AD"/>
    <d v="2023-05-17T00:00:00"/>
    <n v="22023003903"/>
    <s v="2023 10 2316 22799"/>
    <n v="11192.5"/>
    <x v="58"/>
    <s v="ORGANIZACIÓN, INFRAESTRUCTURA Y DESARROLLO FESTIVAL DE LAS CULTURAS. XX SEMANA INTERCULTURAL DEL 21 AL 30 DE ABRI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13377"/>
    <s v="AD"/>
    <d v="2023-04-04T00:00:00"/>
    <n v="22023003587"/>
    <s v="2023 07 1721 22700"/>
    <n v="1573"/>
    <x v="885"/>
    <s v="LIMPIEZA CENTRO DE ACUSTICA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0"/>
  </r>
  <r>
    <n v="220230020800"/>
    <s v="AD"/>
    <d v="2023-05-16T00:00:00"/>
    <n v="22023004507"/>
    <s v="2023 06 2315 22611"/>
    <n v="302.5"/>
    <x v="493"/>
    <s v="DISEÑO CAMPAÑA INSTITUCIONAL DÍA INTERNACIONAL CONTRA LA HOMOFOBIA, TRANSFOBIA Y BIFOBIA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0802"/>
    <s v="AD"/>
    <d v="2023-05-16T00:00:00"/>
    <n v="22023004516"/>
    <s v="2023 06 2315 22611"/>
    <n v="229.9"/>
    <x v="493"/>
    <s v="TALLER LA CREATIVIDAD NO TIENE GÉNERO: CREACIÓN DE MARCAPÁGINAS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3216"/>
    <s v="D"/>
    <d v="2023-05-22T00:00:00"/>
    <n v="22023000273"/>
    <s v="2023 11 1321 22199"/>
    <n v="65.69"/>
    <x v="217"/>
    <s v="ACUERDO MARCO. SUMINISTRO DE MATERIAL DE FERRETERIA PARA DEPENDENCIA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3246"/>
    <s v="D"/>
    <d v="2023-05-22T00:00:00"/>
    <n v="22023001412"/>
    <s v="2023 10 2311 212"/>
    <n v="54.22"/>
    <x v="217"/>
    <s v="F - 5004 - REPOSAPIES ERGO - CEAS DELICIAS-ARGALES - FERRETERIA ORTIZ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144"/>
    <s v="D"/>
    <d v="2023-05-31T00:00:00"/>
    <n v="22023002739"/>
    <s v="2023 02 9332 212"/>
    <n v="10.37"/>
    <x v="217"/>
    <s v="COMMENT|++ SAN BENITO ++ / PICAPORTE LINCE UNIF. LATON 70 MM / COPIA LLAVE NORMAL / COMMENT|++ COPIA DE LLAVE EDIFICIO 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8952"/>
    <s v="D"/>
    <d v="2023-05-10T00:00:00"/>
    <n v="22023002598"/>
    <s v="2023 04 9204 213"/>
    <n v="15.33"/>
    <x v="469"/>
    <s v="ADQUISICIÓN ENCHUFE, SALUD LABORAL"/>
    <s v="300"/>
    <s v="VALDELAFUENTE"/>
    <s v="LEON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6148"/>
    <s v="D"/>
    <d v="2023-05-31T00:00:00"/>
    <n v="22023002739"/>
    <s v="2023 02 9332 212"/>
    <n v="24.99"/>
    <x v="217"/>
    <s v="TORNI. DIN  933 8.8 C/EXA.  8X10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232"/>
    <s v="D"/>
    <d v="2023-05-31T00:00:00"/>
    <n v="22023001549"/>
    <s v="2023 07 1711 22199"/>
    <n v="90.62"/>
    <x v="217"/>
    <s v="ALCOTANA BELLOTA 5932-0 / MANGO REDONDO 33CM FIBRA VIDRIO EHL / BRIDA NYLON INDEX 2.5X160 NEGRA (100UD) / COPIA LLAV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1"/>
    <s v="D"/>
    <d v="2023-05-31T00:00:00"/>
    <n v="22023001468"/>
    <s v="2023 10 2312 212"/>
    <n v="60.92"/>
    <x v="217"/>
    <s v="MANT. SUMINISTRO PARA CPM FAY LUIS DE LEON DE CERRADURA UCEM 5134 50 Y RESBALON LINCE 8890-50  PARA CPM D ARCA - DUR 1 D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420"/>
    <s v="D"/>
    <d v="2023-05-31T00:00:00"/>
    <n v="22023001476"/>
    <s v="2023 11 1631 22199"/>
    <n v="17.670000000000002"/>
    <x v="217"/>
    <s v="CERRADURA LINCE CORTAFUEGO 7770 CE/ ACUERDO MARCO DE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8799"/>
    <s v="AD"/>
    <d v="2023-05-09T00:00:00"/>
    <n v="22023003006"/>
    <s v="2023 03 9241 213"/>
    <n v="3518.36"/>
    <x v="205"/>
    <s v="SE-PC 13/2023: PRÓRROGA CONTRATO DE MANTENIMIENTO DE EXTINTORES DE LOS CENTROS DE PARTICIPACIÓN CIUDADANA (4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14397"/>
    <s v="AD"/>
    <d v="2023-04-21T00:00:00"/>
    <n v="22022002193"/>
    <s v="2023 04 9204 641"/>
    <n v="4582.8599999999997"/>
    <x v="201"/>
    <s v="SUMINISTRO DE LICENCIAS Y SOPORTE TÉCNICO DE LOS PRODUCTOS ArcGIS, DE MARZO DE 2022 AL MARZO 2023"/>
    <s v="220"/>
    <s v="MADRID"/>
    <s v="MADRID"/>
    <x v="3"/>
    <s v="PrAbier - Procedimiento Abierto"/>
    <s v="MultiC - MultiCriterio"/>
    <x v="0"/>
    <x v="1"/>
    <s v="6"/>
    <s v="6. Inversiones reales"/>
    <s v="04"/>
    <x v="5"/>
    <s v="9204"/>
    <s v="9204. Tecnologías de la información y comunicación"/>
    <s v="64"/>
    <s v="641"/>
  </r>
  <r>
    <n v="220230018972"/>
    <s v="D"/>
    <d v="2023-05-10T00:00:00"/>
    <n v="22023002764"/>
    <s v="2023 11 1361 214"/>
    <n v="45333.59"/>
    <x v="886"/>
    <s v="EXPTE.: SPSC_SE 048_2022; SERVICIO DE REPARACIÓN DE LA AEA 10; SEISYPC"/>
    <s v="300"/>
    <s v="PARACUELLOS DE JARAMA (MADRID)"/>
    <s v="MADRID"/>
    <x v="1"/>
    <s v="PrNegSP - Procedimiento Negociado Sin Publicidad"/>
    <s v="SinC - Sin Criterio"/>
    <x v="2"/>
    <x v="1"/>
    <s v="2"/>
    <s v="2. Gastos corrientes en bienes y servicios"/>
    <s v="11"/>
    <x v="6"/>
    <s v="1361"/>
    <s v="1361. Prevención y extinción de incencios"/>
    <s v="21"/>
    <s v="214"/>
  </r>
  <r>
    <n v="220230016017"/>
    <s v="AD"/>
    <d v="2023-04-26T00:00:00"/>
    <n v="22023004132"/>
    <s v="2023 11 1361 22199"/>
    <n v="168.8"/>
    <x v="494"/>
    <s v="Reparaciones de prendas y materiales; Servicio de Extinción de Incendios, Salvamento y Protección Civil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5945"/>
    <s v="AD"/>
    <d v="2023-04-26T00:00:00"/>
    <n v="22023003919"/>
    <s v="2023 11 1321 22699"/>
    <n v="2112.66"/>
    <x v="887"/>
    <s v="SUMINISTRO DE CAMISETAS PARA CROSS DE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0245"/>
    <s v="D"/>
    <d v="2023-05-11T00:00:00"/>
    <n v="22023002013"/>
    <s v="2023 0650 3321 629"/>
    <n v="1500"/>
    <x v="883"/>
    <s v="ADQUISICIÓN FONDO BIBLIOGRÁFICO  BIBLIOTECA Z.S &quot;&quot;ROSA CHACEL&quot;&quot;- NEXT GENERATION EU-RTR-C24.I2.P4-DOTACION BIBLIOTECAS"/>
    <s v="300"/>
    <s v="CANTABRIA"/>
    <s v="SANTANDER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0055"/>
    <s v="AD"/>
    <d v="2023-05-11T00:00:00"/>
    <n v="22023003606"/>
    <s v="2023 02 1511 619"/>
    <n v="4234.68"/>
    <x v="194"/>
    <s v="CONTRATO BASADO DE CONTROL CALIDAD (LOTE 2) OBRA URBAN.CAMINO VIEJO SIMANCAS (LOTE 1)."/>
    <s v="220"/>
    <s v="ZARATAN"/>
    <s v="VALLADOLID"/>
    <x v="1"/>
    <s v="PrAbier - Procedimiento Abierto"/>
    <s v="MultiC - MultiCriterio"/>
    <x v="1"/>
    <x v="1"/>
    <s v="6"/>
    <s v="6. Inversiones reales"/>
    <s v="02"/>
    <x v="3"/>
    <s v="1511"/>
    <s v="1511. Planficación y gestión del urbanismo"/>
    <s v="61"/>
    <s v="619"/>
  </r>
  <r>
    <n v="220230013727"/>
    <s v="AD"/>
    <d v="2023-04-11T00:00:00"/>
    <n v="22023003199"/>
    <s v="2023 11 1621 214"/>
    <n v="8772.5"/>
    <x v="464"/>
    <s v="SUMINISTRO Y MONTAJE NEUMÁTICOS NUEVOS Y RECAUCHUTADOS CAMIÓN, BARREDORA Y REPARACIÓN DE PINCHAZOS. SERVICIO DE LIMPIEZA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4"/>
  </r>
  <r>
    <n v="220230026396"/>
    <s v="D"/>
    <d v="2023-05-31T00:00:00"/>
    <n v="22023003833"/>
    <s v="2023 10 2412 22199"/>
    <n v="2370.09"/>
    <x v="473"/>
    <s v="SUMINISTRO MATERIAL PINTURA, PAPEL, BROCAS, PINTURA, LIJAS... PARA EL CURSO DE PINT. DECORATIVA V- JACINTO BNE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454"/>
    <s v="D"/>
    <d v="2023-05-31T00:00:00"/>
    <n v="22023002182"/>
    <s v="2023 06 3321 212"/>
    <n v="263.89999999999998"/>
    <x v="217"/>
    <s v="PLACA COLGANTE ALUMINIO ORO 25mm Nº 1-92 / PLACA COLGANTE ALUMINIO AZUL 25mm Nº  1-92 / ANILLA INDUS LLAVERO AC. NIQU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26603"/>
    <s v="D"/>
    <d v="2023-05-31T00:00:00"/>
    <n v="22023001343"/>
    <s v="2023 03 9241 212"/>
    <n v="107.4"/>
    <x v="217"/>
    <s v="COMMENT| CENTRO CÍVICO JOSE LUIS MOSQUERA / PILA DURACELL IND AA LR06 (10UDS) OFERTA / PILA DURACELL IND AAA LR03 (10UD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05"/>
    <s v="D"/>
    <d v="2023-05-31T00:00:00"/>
    <n v="22023001344"/>
    <s v="2023 03 9241 213"/>
    <n v="80.709999999999994"/>
    <x v="217"/>
    <s v="COMMENT| CENTRO CÍVICO JOSE LUIS MOSQUERA / PILA DURACELL PLUS LR61 9V BULK OFERT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08"/>
    <s v="D"/>
    <d v="2023-05-31T00:00:00"/>
    <n v="22023001344"/>
    <s v="2023 03 9241 213"/>
    <n v="43.25"/>
    <x v="217"/>
    <s v="COMMENT| CENTRO CÍVICO ZONA SUR / MUELLE TELESCO 22 56T4 22 REPUESTO -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28"/>
    <s v="D"/>
    <d v="2023-05-31T00:00:00"/>
    <n v="22023001343"/>
    <s v="2023 03 9241 212"/>
    <n v="162.66999999999999"/>
    <x v="217"/>
    <s v="CC PILARICA / TATAY ESCOBILLA WC STANDARD BLANCA 44314.01 / CINTA MIARCO KREPP 24MMX45M / WD-40 250ML DOBLE ACC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1"/>
    <s v="D"/>
    <d v="2023-05-31T00:00:00"/>
    <n v="22023001343"/>
    <s v="2023 03 9241 212"/>
    <n v="3.22"/>
    <x v="217"/>
    <s v="COMMENT| CENTRO CÍVICO JUAN DE AUSTRIA / PROTEGE ESQUINAS BRINOX SILIC ADH BL4UN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5"/>
    <s v="D"/>
    <d v="2023-05-31T00:00:00"/>
    <n v="22023001343"/>
    <s v="2023 03 9241 212"/>
    <n v="151.79"/>
    <x v="217"/>
    <s v="COMMENT| CENTRO CÍVICO ZONA SUR / PERFIL ARANIA RANUR. AR3.5 2.0M GRIS 1.6MM / PIE ARANIA PLAST. SENCILLO P/AR3.5 / ESCU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38"/>
    <s v="D"/>
    <d v="2023-05-31T00:00:00"/>
    <n v="22023001343"/>
    <s v="2023 03 9241 212"/>
    <n v="106.86"/>
    <x v="217"/>
    <s v="COMMENT| C.C. CANAL DE CASTILLA Y C.C. LA OVERUELA / LIMPIA BARROS COCO 1MT ANCHO (MT) DISBUR / LIMPIA BARROS COCO 2MT 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40"/>
    <s v="D"/>
    <d v="2023-05-31T00:00:00"/>
    <n v="22023001343"/>
    <s v="2023 03 9241 212"/>
    <n v="22.54"/>
    <x v="217"/>
    <s v="COMMENT| CENTRO CÍVICO DELICIAS / RUEDA 460/50 POL G ER M 50D 50K AF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42"/>
    <s v="D"/>
    <d v="2023-05-31T00:00:00"/>
    <n v="22023001344"/>
    <s v="2023 03 9241 213"/>
    <n v="18.91"/>
    <x v="217"/>
    <s v="COMMENT| CV CANAL DE CASTILLA / PILA DURACELL PLUS LR61 9V BULK OFERTA / RASCADOR EHLIS VITROC.CUCHILLA REC.10 UND / RAS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6644"/>
    <s v="D"/>
    <d v="2023-05-31T00:00:00"/>
    <n v="22023001343"/>
    <s v="2023 03 9241 212"/>
    <n v="40.729999999999997"/>
    <x v="217"/>
    <s v="COMMENT| CENTRO CÍVICO DELICIAS / TIRADOR REI  309 34 MM NEGRO / BISAGRA AMIG CAZOLETA 35MM RECTA NIQ. / CJ TORNI 7505 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73"/>
    <s v="D"/>
    <d v="2023-05-31T00:00:00"/>
    <n v="22023001343"/>
    <s v="2023 03 9241 212"/>
    <n v="23.28"/>
    <x v="217"/>
    <s v="CENTRO CÍVICO ZONA SUR / CERRADURA DORMA 281 FC-A 55/72/8/EPC 20R-304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75"/>
    <s v="D"/>
    <d v="2023-05-31T00:00:00"/>
    <n v="22023001343"/>
    <s v="2023 03 9241 212"/>
    <n v="54.69"/>
    <x v="217"/>
    <s v="CENTRO CÍVICO ZONA SUR / TATAY ESCOBILLA WC STANDARD BLANCA 44314.01 / RASCAVIDRIOS FSK MET. / 258Y TAPA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883"/>
    <s v="D"/>
    <d v="2023-05-16T00:00:00"/>
    <n v="22023001548"/>
    <s v="2023 07 1711 22106"/>
    <n v="218.68"/>
    <x v="485"/>
    <s v="ROUNDUP ULTRA PLUS (20 L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01"/>
    <s v="D"/>
    <d v="2023-05-31T00:00:00"/>
    <n v="22023001548"/>
    <s v="2023 07 1711 22106"/>
    <n v="3.9"/>
    <x v="485"/>
    <s v="TIDEX (5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01"/>
    <s v="D"/>
    <d v="2023-05-31T00:00:00"/>
    <n v="22023003931"/>
    <s v="2023 07 1711 22106"/>
    <n v="36.1"/>
    <x v="485"/>
    <s v="TIDEX (5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10"/>
    <s v="D"/>
    <d v="2023-05-31T00:00:00"/>
    <n v="22023003931"/>
    <s v="2023 07 1711 22106"/>
    <n v="198.01"/>
    <x v="485"/>
    <s v="VALDOR FLEX (PISTOL FLEX) (500 GRS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6212"/>
    <s v="D"/>
    <d v="2023-05-31T00:00:00"/>
    <n v="22023003931"/>
    <s v="2023 07 1711 22106"/>
    <n v="646.99"/>
    <x v="485"/>
    <s v="SERGOMIL ECO SVL ESES (5 L) / PROTAMINAL PLUS (5 L) PREMIUM / TIDEX (5 L) / VALDOR FLEX (PISTOL FLEX) (500 GRS) / LIDAFO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13972"/>
    <s v="AD"/>
    <d v="2023-04-14T00:00:00"/>
    <n v="22023002722"/>
    <s v="2023 03 9241 22602"/>
    <n v="1815"/>
    <x v="748"/>
    <s v="CAMPAÑA PUBLICIDAD RADIO PROCESO VOTACIONES PPTOS. PARTICIPATIVOS 2023 (DEL 23 FEB. AL 20 MARZO)"/>
    <s v="220"/>
    <s v="VALLADOLID"/>
    <s v="VALLADOLID"/>
    <x v="1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2"/>
    <s v="22602"/>
  </r>
  <r>
    <n v="220230026328"/>
    <s v="D"/>
    <d v="2023-05-31T00:00:00"/>
    <n v="22023003832"/>
    <s v="2023 10 2412 22199"/>
    <n v="114.87"/>
    <x v="485"/>
    <s v="SUMINISTRO DE SULFATO HIERRO GRANULADO,ABONO CE, PREBEN LACA GRANDE, FESIL WG 80 PARA EL CURSO DE PARQ Y JARD IV DUR 1 D"/>
    <s v="300"/>
    <s v="TORDESILLAS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4593"/>
    <s v="D"/>
    <d v="2023-04-24T00:00:00"/>
    <n v="22023002185"/>
    <s v="2023 06 3231 212"/>
    <n v="16.37"/>
    <x v="438"/>
    <s v="ALB: 23-206945 PED: 23-011111-1003 S/PED: ESCUELA CAMPANILLA / LLAVE DE CABINA APERTURA ARMARIOS DISTRIBUCIÓN. marz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3641"/>
    <s v="AD"/>
    <d v="2023-04-10T00:00:00"/>
    <n v="22023003079"/>
    <s v="2023 05 4331 22602"/>
    <n v="2420"/>
    <x v="319"/>
    <s v="INSERCIÓN DE PUBLICIDAD DIGITAL RELATIVA AL TOUR DEL TALENTO."/>
    <s v="230"/>
    <s v="BOECILLO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15944"/>
    <s v="AD"/>
    <d v="2023-04-26T00:00:00"/>
    <n v="22023003915"/>
    <s v="2023 10 2412 213"/>
    <n v="787.3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057"/>
    <s v="D"/>
    <d v="2023-04-27T00:00:00"/>
    <n v="22023001607"/>
    <s v="2023 08 1532 210"/>
    <n v="1130.32"/>
    <x v="438"/>
    <s v="ALB: 23-205790 PED: 23-009288-1001 S/PED/ MEDID FLEXOMETRO ESTUCHE ABS CROMADO 5MX25MM (1525) / VARTA PILA PLUS ALCA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6103"/>
    <s v="D"/>
    <d v="2023-04-27T00:00:00"/>
    <n v="22023001462"/>
    <s v="2023 11 1621 214"/>
    <n v="1.19"/>
    <x v="438"/>
    <s v="ALB: 23-205119 PED: 23-008223-1008 S/PED:  / TIPO 1 PASADOR-JUNTA-ARANDELA  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95"/>
    <s v="D"/>
    <d v="2023-04-27T00:00:00"/>
    <n v="22023002181"/>
    <s v="2023 06 3232 212"/>
    <n v="19.489999999999998"/>
    <x v="438"/>
    <s v="ALB: 23-206886 PED: 23-010993-1003 S/PED: CRISTOBAL COLON / CODO 45º SANITARIO H-H DN 110 / PEGAMENTO PVC GEL 250G / MAR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58"/>
    <s v="D"/>
    <d v="2023-04-27T00:00:00"/>
    <n v="22023001608"/>
    <s v="2023 08 1532 214"/>
    <n v="639.84"/>
    <x v="438"/>
    <s v="ALB: 23-206903 PED: 23-005949-1001 S/PED: PARQUE VALE / REPARACION DE:COMPRESOR MARCA: ATLAS COPCO MODELO:  XAS36 REPUES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0"/>
    <s v="D"/>
    <d v="2023-04-27T00:00:00"/>
    <n v="22023001608"/>
    <s v="2023 08 1532 214"/>
    <n v="26.85"/>
    <x v="438"/>
    <s v="ALB: 23-207216 PED: 23-011314-1001 S/PED: PARQUE / REPARACIÓN DE: GENERADOR MARCA:YERBE MODELO: 5000 NS:M-0041 / MANO DE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262"/>
    <s v="D"/>
    <d v="2023-04-27T00:00:00"/>
    <n v="22023001608"/>
    <s v="2023 08 1532 214"/>
    <n v="51.23"/>
    <x v="438"/>
    <s v="ALB: 23-206902 PED: 23-009282-1017 S/PED: PARQUE / REPARACIÓN DE: GENERADOR MARCA: AYERBE MODELO: 5000 / MANO DE OBRA /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8797"/>
    <s v="D"/>
    <d v="2023-05-09T00:00:00"/>
    <n v="22023002310"/>
    <s v="2023 07 1711 22799"/>
    <n v="147573.65"/>
    <x v="772"/>
    <s v="CONTRATACIÓN CONSERVACIÓN Y MEJORA DE LAS INFRAESTRUCTURAS VERDES DE ZONAS CENTRO Y NORTE. LOTE 2. ZONA NORTE. V.34/2022"/>
    <s v="300"/>
    <s v="MADRID"/>
    <s v="MADRID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799"/>
  </r>
  <r>
    <n v="220230020538"/>
    <s v="AD"/>
    <d v="2023-05-12T00:00:00"/>
    <n v="22023004428"/>
    <s v="2023 11 1321 22699"/>
    <n v="274.43"/>
    <x v="887"/>
    <s v="SUMINISTRO DE VINILOS PARA COLOCACIÓN DE CARTELES EN APARCAMIENTOS PATIO DE JEFATURA DE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16807"/>
    <s v="AD"/>
    <d v="2023-04-28T00:00:00"/>
    <n v="22023003209"/>
    <s v="2023 06 2315 22619"/>
    <n v="47000"/>
    <x v="496"/>
    <s v="PRORROGA CTTO DE SERVICIOS DE GEST. Y DES. DE LAS ACT. INFANTILES EN EPOCA DE VACACIONES ESCOLARES / 19/06/23 A 18/06/24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06"/>
    <x v="2"/>
    <s v="2315"/>
    <s v="2315. Políticas de Igualdad e infancia"/>
    <s v="22"/>
    <s v="22619"/>
  </r>
  <r>
    <n v="220230015975"/>
    <s v="AD"/>
    <d v="2023-04-26T00:00:00"/>
    <n v="22023004062"/>
    <s v="2023 06 2315 22611"/>
    <n v="484"/>
    <x v="501"/>
    <s v="TALLERES EDUCATIVOS EN EL CENTRO MUNICIPAL DE LA IGUALDAD / MAYO 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637"/>
    <s v="AD"/>
    <d v="2023-04-10T00:00:00"/>
    <n v="22023003755"/>
    <s v="2023 04 9231 22705"/>
    <n v="720"/>
    <x v="319"/>
    <s v="ANUNCIO EXPOSICION CENSO ELECTORAL 9 Y 10 ABRIL 2023 - EL ESPAÑOL DIGITAL"/>
    <s v="220"/>
    <s v="BOECILLO"/>
    <s v="VALLADOLID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24864"/>
    <s v="AD"/>
    <d v="2023-05-24T00:00:00"/>
    <n v="22023004666"/>
    <s v="2023 03 9241 22609"/>
    <n v="300"/>
    <x v="501"/>
    <s v="ACTIVIDADES FIESTA BIENVENIDA KIOSCO PZA. CAÑO ARGAL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3380"/>
    <s v="AD"/>
    <d v="2023-04-04T00:00:00"/>
    <n v="22023003664"/>
    <s v="2023 10 2316 22616"/>
    <n v="1000"/>
    <x v="503"/>
    <s v="4 RUTAS INTERCULTURALES POR LA CIUDAD DEL 24 AL 30 DE ABRIL. ACTIVIDAD DENTRO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3744"/>
    <s v="AD"/>
    <d v="2023-04-11T00:00:00"/>
    <n v="22023003796"/>
    <s v="2023 03 9241 22609"/>
    <n v="605"/>
    <x v="503"/>
    <s v="EL CALABACÍN ERRANTE: CUENTA CUENTOS EN CM LA OVERUELA EL DÍA 26/03/2023. MF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18164"/>
    <s v="AD"/>
    <d v="2023-05-08T00:00:00"/>
    <n v="22023003664"/>
    <s v="2023 10 2316 22616"/>
    <n v="500"/>
    <x v="503"/>
    <s v="CONTRATACION DE 2 RUTAS A MAYORES DEBIDO A LA GRAN DEMANDA SOBRE LAS 4 INICIALES. - 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174"/>
    <s v="AD"/>
    <d v="2023-05-08T00:00:00"/>
    <n v="22023004309"/>
    <s v="2023 07 1721 213"/>
    <n v="324.16000000000003"/>
    <x v="888"/>
    <s v="REPARACION LAVAVAJILLAS LABORATORIO RED DE CONTAMINACIÓN"/>
    <s v="220"/>
    <s v="SALAMANCA"/>
    <s v="SALAMANCA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1"/>
    <s v="213"/>
  </r>
  <r>
    <n v="220230015952"/>
    <s v="AD"/>
    <d v="2023-04-26T00:00:00"/>
    <n v="22023003946"/>
    <s v="2023 03 9241 22602"/>
    <n v="983.25"/>
    <x v="507"/>
    <s v="IMPRESIÓN Y ENCUADERNACIÓN DE 50 MEMORIAS REFERENTES A 2022 DEL SPC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20470"/>
    <s v="AD"/>
    <d v="2023-05-11T00:00:00"/>
    <n v="22023004095"/>
    <s v="2023 06 2315 22611"/>
    <n v="840"/>
    <x v="507"/>
    <s v="AMPLIACION MATERIAL DIFUSION ESTUDIO VIOLENCIA DE SUSTITUCION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02"/>
    <s v="AD"/>
    <d v="2023-04-26T00:00:00"/>
    <n v="22023004095"/>
    <s v="2023 06 2315 22611"/>
    <n v="391"/>
    <x v="507"/>
    <s v="MATERIAL DIFUSIÓN ESTUDIO VIOLENCIA DE SUSTITUCIÓN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096"/>
    <s v="AD"/>
    <d v="2023-04-25T00:00:00"/>
    <n v="22023003854"/>
    <s v="2023 08 1301 22706"/>
    <n v="259.18"/>
    <x v="507"/>
    <s v="Impresión de MUPIS para la difusión del festival PUCELA FESTIVALL el día 21 de abril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301"/>
    <s v="1301. Dirección del área de seguridad"/>
    <s v="22"/>
    <s v="22706"/>
  </r>
  <r>
    <n v="220230013735"/>
    <s v="AD"/>
    <d v="2023-04-11T00:00:00"/>
    <n v="22023003778"/>
    <s v="2023 10 2316 22616"/>
    <n v="255"/>
    <x v="507"/>
    <s v="500 DÍPTICOS CON LA PROGRAMACIÓN DEL DÍA DEL PUEBLO GITANO - DENTRO DEL PLAN DE CONVIVENCIA CIUDAD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6003"/>
    <s v="AD"/>
    <d v="2023-04-26T00:00:00"/>
    <n v="22023004101"/>
    <s v="2023 06 2314 22613"/>
    <n v="221.43"/>
    <x v="507"/>
    <s v="SUMINISTRO MATERIAL DIFUSION ESPACIOS JOVENES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6853"/>
    <s v="AD"/>
    <d v="2023-05-02T00:00:00"/>
    <n v="22023004193"/>
    <s v="2023 10 2313 22699"/>
    <n v="180"/>
    <x v="507"/>
    <s v="IMPRESION DE 20 EJEMPLARES DE LA MEMORIA 2022 DEL AREA DE SERVICIOS SOCIALES Y MEDIACION COMUNITARIA-MATA DIGITAL-1 DI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3"/>
    <s v="2313. Dirección del área de servicios sociales"/>
    <s v="22"/>
    <s v="22699"/>
  </r>
  <r>
    <n v="220230015104"/>
    <s v="AD"/>
    <d v="2023-04-25T00:00:00"/>
    <n v="22023003842"/>
    <s v="2023 01 9206 22199"/>
    <n v="14.57"/>
    <x v="467"/>
    <s v="MATERIAL PARA REPARACIÓN DE PUERTA DE MADERA EN ARCHVIO MUNICIPAL REQUERIDO POR EL SERVICIO DE MANTENIMIENTO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20801"/>
    <s v="AD"/>
    <d v="2023-05-16T00:00:00"/>
    <n v="22023004513"/>
    <s v="2023 06 2315 22611"/>
    <n v="165"/>
    <x v="507"/>
    <s v="IMPRESION DIPTICOS DIA INTERNACIONAL CONTRA LA HOMOFOBIA, TRANSFOBIA Y BIFOBIA 17 DE MAY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5389"/>
    <s v="AD"/>
    <d v="2023-05-26T00:00:00"/>
    <n v="22023004679"/>
    <s v="2023 06 2315 22611"/>
    <n v="87"/>
    <x v="507"/>
    <s v="IMPRESION DIPLOMAS &quot;&quot;PLAN DE INSERCION LABORAL&quot;&quot; Y CONSEJO MUNICIPAL DE LA INFANCIA&quot;&quot;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944"/>
    <s v="AD"/>
    <d v="2023-04-26T00:00:00"/>
    <n v="22023003914"/>
    <s v="2023 10 2412 213"/>
    <n v="553.57000000000005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001"/>
    <s v="AD"/>
    <d v="2023-04-26T00:00:00"/>
    <n v="22023004094"/>
    <s v="2023 06 2315 22611"/>
    <n v="71.31"/>
    <x v="507"/>
    <s v="MATERIAL DIFUSIÓN PRESENTACIÓN LIBRO PERIODISMO FEMINISTA / MAY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5982"/>
    <s v="AD"/>
    <d v="2023-04-26T00:00:00"/>
    <n v="22023004026"/>
    <s v="2023 09 3341 22699"/>
    <n v="4000"/>
    <x v="889"/>
    <s v="ADQUISICION 200 EJEMPLARES LIBRO GANADOR DEL 70 PREMIO DE NOVELA ATENEO CIUDAD DE VALLADOLID"/>
    <s v="220"/>
    <s v="PALENCIA"/>
    <s v="PALENCIA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47"/>
    <s v="AD"/>
    <d v="2023-05-22T00:00:00"/>
    <n v="22023004642"/>
    <s v="2023 09 3341 22699"/>
    <n v="1560"/>
    <x v="889"/>
    <s v="EDICION Y ADQUISICION DE LIBROS DEL FINALISTA DEL PREMIO ATENEO CIUDAD DE VALLADOLID"/>
    <s v="220"/>
    <s v="PALENCIA"/>
    <s v="PALENCI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2624"/>
    <s v="AD"/>
    <d v="2023-05-22T00:00:00"/>
    <n v="22023004485"/>
    <s v="2023 07 1721 22799"/>
    <n v="2308.6799999999998"/>
    <x v="890"/>
    <s v="CALIBRACION Y MANTENIMIENTO DE LA BALANZA DEL LABORATORIO DE LA RED DE CONTAMINACION"/>
    <s v="220"/>
    <s v="HOSPITALET DE LLOBREGAT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15961"/>
    <s v="AD"/>
    <d v="2023-04-26T00:00:00"/>
    <n v="22023003929"/>
    <s v="2023 11 1631 22106"/>
    <n v="3000"/>
    <x v="509"/>
    <s v="COMPRA CREMAS SOLARES PARA TRABAJOS EN VÍA PÚBLICA DEL PERSONAL DE LIMPIEZA VIARI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06"/>
  </r>
  <r>
    <n v="220230021937"/>
    <s v="AD"/>
    <d v="2023-05-18T00:00:00"/>
    <n v="22023004403"/>
    <s v="2023 11 3111 22106"/>
    <n v="2500"/>
    <x v="509"/>
    <s v="SUMINISTRO MEDICAMENTOS PARA EL CENTRO MUNICIPAL DE PROTECCIÓN ANIMAL DURANTE EL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20784"/>
    <s v="AD"/>
    <d v="2023-05-16T00:00:00"/>
    <n v="22023004386"/>
    <s v="2023 05 4331 22699"/>
    <n v="514.25"/>
    <x v="891"/>
    <s v="REPARACIÓN BAÑO CÚPULA DEL MILENIO POR INCIDENCIA EN ACTIVIDAD DEL TOUR DEL TALENTO QUE HA ORGANIZADO LA AGENCIA"/>
    <s v="220"/>
    <s v="ZAMORA"/>
    <s v="ZAMOR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2356"/>
    <s v="AD"/>
    <d v="2023-05-19T00:00:00"/>
    <n v="22023004394"/>
    <s v="2023 11 1321 206"/>
    <n v="2178"/>
    <x v="892"/>
    <s v="ALQUILER DE SOFTWARE CROQUIZADOR PARA LA POLICÍA MUNICIPAL."/>
    <s v="220"/>
    <s v="BARCELONA"/>
    <s v="BARCELONA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0"/>
    <s v="206"/>
  </r>
  <r>
    <n v="220230020804"/>
    <s v="AD"/>
    <d v="2023-05-16T00:00:00"/>
    <n v="22023004500"/>
    <s v="2023 03 9241 22699"/>
    <n v="37.82"/>
    <x v="518"/>
    <s v="SUMINISTRO DE PRODUCTOS PARA EVENTO PARTICIPATIVO EN CIC NATIVIDAD ÁLVAREZ CHACÓN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7055"/>
    <s v="AD"/>
    <d v="2023-05-02T00:00:00"/>
    <n v="22023003894"/>
    <s v="2023 04 9231 22705"/>
    <n v="16032.5"/>
    <x v="526"/>
    <s v="CONTRATACION SERVICIO TRANSPORTE Y REPARTO DE MATERIAL ELECTORAL A LOS LOCALES ELECTORALES - ELECCIONES LOCALES 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4855"/>
    <s v="AD"/>
    <d v="2023-05-24T00:00:00"/>
    <n v="22023004620"/>
    <s v="2023 10 2312 223"/>
    <n v="1149.5"/>
    <x v="526"/>
    <s v="TRASLADO MUEBLES DESDE EL ESPACIO DE MAYORES PARQUESOL A LOS DIFERENTES CVA 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3"/>
  </r>
  <r>
    <n v="220230018170"/>
    <s v="AD"/>
    <d v="2023-05-08T00:00:00"/>
    <n v="22023004310"/>
    <s v="2023 11 1321 623"/>
    <n v="2497.4"/>
    <x v="537"/>
    <s v="ADQUISICIÓN DE DOS DRONES  DJI MINI 3 PRO RC COMO EQUIPOS DE VIGILANCIA AÉREA Y TERRESTRE PARA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3"/>
  </r>
  <r>
    <n v="220230015105"/>
    <s v="AD"/>
    <d v="2023-04-25T00:00:00"/>
    <n v="22023003846"/>
    <s v="2023 01 9206 22199"/>
    <n v="102.98"/>
    <x v="469"/>
    <s v="MATERIAL FONTANERÍA REQUERIDO POR SERVICIO DE MANTENIMIENTO PARA INSTALACIÓN DE FUENTE DE AGUA EN ARCHIVO MUNICIPAL."/>
    <s v="220"/>
    <s v="VALDELAFUENTE"/>
    <s v="LEON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18160"/>
    <s v="AD"/>
    <d v="2023-05-08T00:00:00"/>
    <n v="22023004339"/>
    <s v="2023 06 3321 22699"/>
    <n v="27.55"/>
    <x v="537"/>
    <s v="CTTO SUMINISTRO COPIAS FOTOS VARIOS TAMAÑOS PARA BIBLIOTECA PÚBLICA &quot;&quot;ROSA CHACEL&quot;&quot;//1 DIA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699"/>
  </r>
  <r>
    <n v="220230013729"/>
    <s v="AD"/>
    <d v="2023-04-11T00:00:00"/>
    <n v="22023003663"/>
    <s v="2023 05 4331 22799"/>
    <n v="18137.900000000001"/>
    <x v="893"/>
    <s v="ORGANIZACIÓN EVENTO POP UP QUE REPRODUCE EL UNICO SALON RECREATIVO JAPONES OFICIAL EN FORMATO ARCADE."/>
    <s v="220"/>
    <s v="MURCHANTE"/>
    <s v="NAVARR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1931"/>
    <s v="AD"/>
    <d v="2023-05-18T00:00:00"/>
    <n v="22023004499"/>
    <s v="2023 03 9241 212"/>
    <n v="332.75"/>
    <x v="540"/>
    <s v="SUMINISTRO DE MATERIALES (BALDOSAS) PARA CC JOSÉ MARÍA LUELM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5088"/>
    <s v="AD"/>
    <d v="2023-04-25T00:00:00"/>
    <n v="22023003845"/>
    <s v="2023 03 9241 212"/>
    <n v="145.19999999999999"/>
    <x v="540"/>
    <s v="SUM. DE 10 ML MÁS DE PELDAÑO PARA  REPARACIÓN ESCALERAS CC J. M. LUELM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6398"/>
    <s v="D"/>
    <d v="2023-05-31T00:00:00"/>
    <n v="22023003833"/>
    <s v="2023 10 2412 22199"/>
    <n v="356.37"/>
    <x v="473"/>
    <s v="SUMINISTRO DE MATERIAL, PINTURA BLANCA ,  PARA EL CURSO DE PINT. Y DECORACION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5944"/>
    <s v="AD"/>
    <d v="2023-04-26T00:00:00"/>
    <n v="22023003369"/>
    <s v="2023 10 2412 213"/>
    <n v="516.66"/>
    <x v="24"/>
    <s v="SUMINISTROS DE IMPRESION DE2023 DEL CENTRO DE FORMACION PARA EL EMPLEO-JACINTO BENAVENTE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6551"/>
    <s v="D"/>
    <d v="2023-05-31T00:00:00"/>
    <n v="22023004206"/>
    <s v="2023 06 3232 212"/>
    <n v="272.77999999999997"/>
    <x v="473"/>
    <s v="IBERSAT BASE BL 750ML ( ID35219 FRANCISCO DE QUEVEDO C/GRANADA ) / UNO+BASE BL 750ML ( ID35219 FRANCISCO DE QUEVEDO C/GR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5960"/>
    <s v="AD"/>
    <d v="2023-04-26T00:00:00"/>
    <n v="22023003922"/>
    <s v="2023 06 3321 212"/>
    <n v="6639.05"/>
    <x v="99"/>
    <s v="CTTO SERVICIOS ADAPTACION TOMAS DE CORRIENTE EN BIBLIOTECA PARQUESOL//15 DÍAS//2023"/>
    <s v="220"/>
    <s v="ALDEAMAYOR DE SAN MARTIN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15352"/>
    <s v="AD"/>
    <d v="2023-04-25T00:00:00"/>
    <n v="22023003883"/>
    <s v="2023 10 2312 213"/>
    <n v="114.93"/>
    <x v="547"/>
    <s v="INSPECCION PERIODICA DE PROTECCION CONTRA INCENDIOS DEL CVA PARQUESOL EN 2023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0481"/>
    <s v="AD"/>
    <d v="2023-05-11T00:00:00"/>
    <n v="22023004468"/>
    <s v="2023 06 3321 22199"/>
    <n v="2750"/>
    <x v="894"/>
    <s v="CTTO SUMINISTRO MATERIAL REALIZACION DE ACTIVIDADES DE ANIMACION A LA LECTURA//BIBLIOTECAS PÚBLICAS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5387"/>
    <s v="AD"/>
    <d v="2023-05-26T00:00:00"/>
    <n v="22023003052"/>
    <s v="2023 06 2315 22611"/>
    <n v="181.5"/>
    <x v="556"/>
    <s v="AMPLIACION DISEÑO, MAQUETACIÓN Y ARTE FINAL INVITACIÓN ACTO 10M MUJERES VALLISOLETANAS REPRESALIADA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19"/>
    <s v="AD"/>
    <d v="2023-04-26T00:00:00"/>
    <n v="22023004140"/>
    <s v="2023 02 9332 22700"/>
    <n v="1635.92"/>
    <x v="895"/>
    <s v="LIMPIEZA Y DESINFECCIÓN TORRE EVAPORACIÓN INSTALACIÓN FRIO DEL EDIFICIO MUNICIPAL SAN BENITO"/>
    <s v="220"/>
    <s v="IRUN"/>
    <s v="GUIPUZKOA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2"/>
    <s v="22700"/>
  </r>
  <r>
    <n v="220230017050"/>
    <s v="AD"/>
    <d v="2023-05-02T00:00:00"/>
    <n v="22023003154"/>
    <s v="2023 10 2412 22799"/>
    <n v="1080"/>
    <x v="896"/>
    <s v="CURSOS DE HIGUIENE ALIMENTARIA PARA LOS PARTICIPANTES DE LAS DOS FASES DEL CURSO DE VALLADOLID CUIDA VI-DEL C. DE F. EMP"/>
    <s v="220"/>
    <s v="LEON"/>
    <s v="LEON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799"/>
  </r>
  <r>
    <n v="220230015362"/>
    <s v="AD"/>
    <d v="2023-04-25T00:00:00"/>
    <n v="22023003900"/>
    <s v="2023 04 9231 22799"/>
    <n v="2500"/>
    <x v="568"/>
    <s v="REALIZACIÓN DE PLACAS ROTULADORAS DE VÍAS PÚBLICAS PARA LA CIUDAD DE VALLADOLID. 2023"/>
    <s v="220"/>
    <s v="VALLADOLID"/>
    <s v="VALLADOLID"/>
    <x v="3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99"/>
  </r>
  <r>
    <n v="220230018143"/>
    <s v="AD"/>
    <d v="2023-05-08T00:00:00"/>
    <n v="22023003928"/>
    <s v="2023 01 9203 22699"/>
    <n v="1235.4100000000001"/>
    <x v="568"/>
    <s v="ADQUISICION PLACAS HOMENAJE Y SEÑALIZACIÓN EDIFICIOS MUNICIPALE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3728"/>
    <s v="AD"/>
    <d v="2023-04-11T00:00:00"/>
    <n v="22023003578"/>
    <s v="2023 01 9203 22699"/>
    <n v="1214.8399999999999"/>
    <x v="568"/>
    <s v="ADQUISICION PLACAS INAUGURACIONES DIVERSOS EDIFICIOS MUNICIPALES, R.I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99"/>
  </r>
  <r>
    <n v="220230016859"/>
    <s v="AD"/>
    <d v="2023-05-02T00:00:00"/>
    <n v="22023004270"/>
    <s v="2023 03 9241 22699"/>
    <n v="280.72000000000003"/>
    <x v="568"/>
    <s v="ROTULACIONES PARA SEÑALIZACIÓN DE ESPACIOS EN CC JL MOSQUERA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5990"/>
    <s v="AD"/>
    <d v="2023-04-26T00:00:00"/>
    <n v="22023004110"/>
    <s v="2023 03 9241 212"/>
    <n v="553.30999999999995"/>
    <x v="469"/>
    <s v="SUMINISTRO DE MATERIALES PARA TRABAJOS DE FONTANERÍA, REALIZADOS POR MANTENIMIENTO, EN CIC CONDE ANSÚREZ Y CC DELICIAS"/>
    <s v="220"/>
    <s v="VALDELAFUENTE"/>
    <s v="LEON"/>
    <x v="3"/>
    <s v="PrAbier - Procedimiento Abierto"/>
    <s v="MultiC - MultiCriterio"/>
    <x v="1"/>
    <x v="1"/>
    <s v="2"/>
    <s v="2. Gastos corrientes en bienes y servicios"/>
    <s v="03"/>
    <x v="10"/>
    <s v="9241"/>
    <s v="9241. Participación ciudadana"/>
    <s v="21"/>
    <s v="212"/>
  </r>
  <r>
    <n v="220230020477"/>
    <s v="AD"/>
    <d v="2023-05-11T00:00:00"/>
    <n v="22023004444"/>
    <s v="2023 03 9241 22699"/>
    <n v="119.19"/>
    <x v="568"/>
    <s v="ROTULACIÓN LOCAL SEDE AV LA RUBI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16856"/>
    <s v="AD"/>
    <d v="2023-05-02T00:00:00"/>
    <n v="22023004209"/>
    <s v="2023 10 2311 212"/>
    <n v="109.94"/>
    <x v="469"/>
    <s v="MATERIAL PARA REPARACIÓN URGENTE DUCHA (FLEXO, MONOMANDO, SOPORTE) EN VVDA SOCIAL EN C/ VINOS DE RUEDA 22, 3M"/>
    <s v="22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009"/>
    <s v="AD"/>
    <d v="2023-04-26T00:00:00"/>
    <n v="22023004123"/>
    <s v="2023 10 2312 22199"/>
    <n v="102.85"/>
    <x v="568"/>
    <s v="VINILOS DE DIFERENTES COLORES Y FORMAS PARA LOS CRISTALES DE LAS VENTANAS DEL CVA HUERTA DEL REY-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199"/>
  </r>
  <r>
    <n v="220230015355"/>
    <s v="AD"/>
    <d v="2023-04-25T00:00:00"/>
    <n v="22023003892"/>
    <s v="2023 06 2315 22611"/>
    <n v="75.02"/>
    <x v="568"/>
    <s v="IDENTIFICADOR PUERTA DESPACHO ESCUELA MUNICIPAL DE MÚSICA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50"/>
    <s v="AD"/>
    <d v="2023-05-08T00:00:00"/>
    <n v="22023004177"/>
    <s v="2023 01 9203 22602"/>
    <n v="1247.5"/>
    <x v="897"/>
    <s v="ADQUISICION CAJAS MEDALLAS  REGALOS PUBLICITARIOS PARA ACTOS OFICIALES"/>
    <s v="220"/>
    <s v="ALICANTE"/>
    <s v="ALICANTE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02"/>
  </r>
  <r>
    <n v="220230015938"/>
    <s v="AD"/>
    <d v="2023-04-26T00:00:00"/>
    <n v="22023004103"/>
    <s v="2023 02 9332 632"/>
    <n v="6050"/>
    <x v="898"/>
    <s v="TRABAJOS RETEJADO-REPARACIÓN GOTERAS 30-40 M2.ZONA CALLE JESÚS , JUNTO TORREON (CASA CONSISTORIAL)."/>
    <s v="220"/>
    <s v="VIANA DE CEGA"/>
    <s v="VALLADOLID"/>
    <x v="2"/>
    <s v="AdDirec - Adjudicación Directa"/>
    <s v="SinC - Sin Criterio"/>
    <x v="3"/>
    <x v="1"/>
    <s v="6"/>
    <s v="6. Inversiones reales"/>
    <s v="02"/>
    <x v="3"/>
    <s v="9332"/>
    <s v="9332. Mantenimiento de edificios e instalaciones municipales"/>
    <s v="63"/>
    <s v="632"/>
  </r>
  <r>
    <n v="220230015983"/>
    <s v="AD"/>
    <d v="2023-04-26T00:00:00"/>
    <n v="22023004027"/>
    <s v="2023 09 3341 22799"/>
    <n v="4235"/>
    <x v="899"/>
    <s v="MATERIAL AUDIOVISUAL PARA LA FORMACION DE ALUMNOS QUE REALIZARAN UNA PRODUCCION AUDIOVISUAL"/>
    <s v="220"/>
    <s v="VIGO"/>
    <s v="PONTEVEDRA"/>
    <x v="4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0530"/>
    <s v="AD"/>
    <d v="2023-05-12T00:00:00"/>
    <n v="22023004362"/>
    <s v="2023 07 1721 22199"/>
    <n v="1207.3399999999999"/>
    <x v="900"/>
    <s v="COMPRA DE PRECINTOS DE PLACAS DE MATRICULA PARA HOSTELERIA"/>
    <s v="220"/>
    <s v="XIRIVELLA"/>
    <s v="VALENCIA"/>
    <x v="3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199"/>
  </r>
  <r>
    <n v="220230018162"/>
    <s v="AD"/>
    <d v="2023-05-08T00:00:00"/>
    <n v="22023004370"/>
    <s v="2023 10 2316 22616"/>
    <n v="2090"/>
    <x v="820"/>
    <s v="30 HH FORMACION NORMAS CONVIVENCIA PERSONAS INMIGRANTES PROYECTO &quot;&quot;ACABO DE LLEGAR&quot;&quot; MAYO Y DIC 23 - PROGESTIA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3642"/>
    <s v="AD"/>
    <d v="2023-04-10T00:00:00"/>
    <n v="22023003079"/>
    <s v="2023 05 4331 22602"/>
    <n v="2420"/>
    <x v="528"/>
    <s v="INSERCIÓN DE PUBLICIDAD DIGITAL RELATIVA AL TOUR DEL TALENTO."/>
    <s v="230"/>
    <s v="VALLADOLID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26633"/>
    <s v="D"/>
    <d v="2023-05-31T00:00:00"/>
    <n v="22023003827"/>
    <s v="2023 10 2311 212"/>
    <n v="171.77"/>
    <x v="473"/>
    <s v="F - 4917 - PINTURA CINTA Y PAPEL PARA VVDA VINOS DE RUEDA 22 3M - DEC Y PINT JOSE HERRAD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3652"/>
    <s v="D"/>
    <d v="2023-04-10T00:00:00"/>
    <n v="22022008449"/>
    <s v="2023 03 9241 635"/>
    <n v="46143.45"/>
    <x v="901"/>
    <s v="RENOVACIÓN MOBILIARIO CENTROS DE PARTICIPACIÓN CIUDADANA LOTE 1: CENTROS CÍVICOS"/>
    <s v="300"/>
    <s v="CACERES"/>
    <s v="CACERES"/>
    <x v="3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5"/>
  </r>
  <r>
    <n v="220230018493"/>
    <s v="D"/>
    <d v="2023-05-09T00:00:00"/>
    <n v="22023002053"/>
    <s v="2023 07 1711 213"/>
    <n v="186.79"/>
    <x v="438"/>
    <s v="ALB: 23-207682 PED: 23-011561-1017 S/PED: VALE Nº585 / REPARACION DE: DESBROZADORA MARCA: AS MODELO: 940 NS: 27420040008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8586"/>
    <s v="D"/>
    <d v="2023-05-09T00:00:00"/>
    <n v="22023001343"/>
    <s v="2023 03 9241 212"/>
    <n v="424.54"/>
    <x v="438"/>
    <s v="ALB: 23-206803 PED: 23-010790-1001 S/PED:/ OBRA ASOCIACIÓN DE VECINO SAN ISIDRO EL PARAMO / REGISTRO ALUMINIO ESTANCO N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126"/>
    <s v="D"/>
    <d v="2023-05-11T00:00:00"/>
    <n v="22023001466"/>
    <s v="2023 11 1621 22199"/>
    <n v="24.13"/>
    <x v="438"/>
    <s v="ALB: 23-207623 PED: 23-012319-1018 S/PED: / LIMPIA-CRISTALES PROFESIONAL.../ AM EXP V36/2017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0893"/>
    <s v="D"/>
    <d v="2023-05-16T00:00:00"/>
    <n v="22023001478"/>
    <s v="2023 10 2412 22199"/>
    <n v="2.4900000000000002"/>
    <x v="438"/>
    <s v="SUMINISTRO DE MATERIAL PARA EL PROGRAMA MIXTO FORMACIÓN EMPLEO /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179"/>
    <s v="D"/>
    <d v="2023-05-31T00:00:00"/>
    <n v="22023001563"/>
    <s v="2023 07 1711 619"/>
    <n v="711.89"/>
    <x v="438"/>
    <s v="ALB: 23-202203 PED: 23-003572-1001 S/PED: 1364 / ENLACE ROSCA MACHO PE 50-11/2 / TE PE MIXTA ROSCA HEMBRA 50-11/2&quot;&quot; / MA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79"/>
    <s v="D"/>
    <d v="2023-05-31T00:00:00"/>
    <n v="22023003934"/>
    <s v="2023 07 1711 619"/>
    <n v="1747.01"/>
    <x v="438"/>
    <s v="ALB: 23-202203 PED: 23-003572-1001 S/PED: 1364 / ENLACE ROSCA MACHO PE 50-11/2 / TE PE MIXTA ROSCA HEMBRA 50-11/2&quot;&quot; / MA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1"/>
    <s v="D"/>
    <d v="2023-05-31T00:00:00"/>
    <n v="22023003934"/>
    <s v="2023 07 1711 619"/>
    <n v="1815.33"/>
    <x v="438"/>
    <s v="ALB: 23-205055 PED: 23-008096-1003 S/PED: 509 / UNION AUTOBLOCANTE REPARACION 9240 L-174 DN 90 / CONO POLIETILENO REFLEC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7"/>
    <s v="D"/>
    <d v="2023-05-31T00:00:00"/>
    <n v="22023003934"/>
    <s v="2023 07 1711 619"/>
    <n v="2665.45"/>
    <x v="438"/>
    <s v="ACUERDO MARCO V.18/2022   -   ELEMENTOS DE RIEG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322"/>
    <s v="D"/>
    <d v="2023-05-31T00:00:00"/>
    <n v="22023003832"/>
    <s v="2023 10 2412 22199"/>
    <n v="353.82"/>
    <x v="438"/>
    <s v="PROGRAMA MIXTO PARA LA FORMACION Y EMPLEO/PARQUES Y JARDINES IV- C. JACINTO BENAVENTE , SUMINISTRO MATER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24"/>
    <s v="D"/>
    <d v="2023-05-31T00:00:00"/>
    <n v="22023003832"/>
    <s v="2023 10 2412 22199"/>
    <n v="133.38"/>
    <x v="438"/>
    <s v="PROGRAMA MIXTO PARA LA FORMACION EMPLEO/PARQUES Y JARDINES IV-COLEGIO JACINTO BENAVEN-SUMINISTRO DE MATER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26"/>
    <s v="D"/>
    <d v="2023-05-31T00:00:00"/>
    <n v="22023003832"/>
    <s v="2023 10 2412 22199"/>
    <n v="97.16"/>
    <x v="438"/>
    <s v="SUMINISTRO MATERIALES PARA EL PROGRAMA MIXTO PARA LA FORMACION EMPLEO/PARQUES Y JARDINES IV-COLEGIO JACINTO BENAVE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59"/>
    <s v="D"/>
    <d v="2023-05-31T00:00:00"/>
    <n v="22023004206"/>
    <s v="2023 06 3232 212"/>
    <n v="162.71"/>
    <x v="438"/>
    <s v="ALB: 23-212573 PED: 23-020799-1001 S/PED: C.P. PARQUE ALAMEDA / PB MANGUITO DN 22 / PB LLAVE DE PASO PARA EMPOTRAR DN 2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372"/>
    <s v="D"/>
    <d v="2023-05-31T00:00:00"/>
    <n v="22023003832"/>
    <s v="2023 10 2412 22199"/>
    <n v="43.12"/>
    <x v="438"/>
    <s v="SUMINISTRO MATERIAL PARA EL CURSO PARQUES Y JARDINES IV / 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4"/>
    <s v="D"/>
    <d v="2023-05-31T00:00:00"/>
    <n v="22023003832"/>
    <s v="2023 10 2412 22199"/>
    <n v="51.81"/>
    <x v="438"/>
    <s v="SUMINISTRO MATERIALES PARA EL CURSO PARQUES Y JARDINES IV -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6"/>
    <s v="D"/>
    <d v="2023-05-31T00:00:00"/>
    <n v="22023003832"/>
    <s v="2023 10 2412 22199"/>
    <n v="174.11"/>
    <x v="438"/>
    <s v="SUMINISTRO MATERIALES PARA EL CURSO DE PARQUES Y JRDINES IV- JACINTO BENAVENTE- DURA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78"/>
    <s v="D"/>
    <d v="2023-05-31T00:00:00"/>
    <n v="22023003832"/>
    <s v="2023 10 2412 22199"/>
    <n v="51.96"/>
    <x v="438"/>
    <s v="SUMINISTRO DE MATERIALES PARA EL CURSO DE  PARQUES Y JARDINES 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402"/>
    <s v="D"/>
    <d v="2023-05-31T00:00:00"/>
    <n v="22023001578"/>
    <s v="2023 11 3111 22199"/>
    <n v="151.47"/>
    <x v="438"/>
    <s v="ALB: 23-211156 PED: 23-018374-1003 S/PED: PERRERA MUNICIPAL / BARRA 2 ML. COBRE DURO DN-22   (UNE-EN1057) / LATIGUILLO H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6452"/>
    <s v="D"/>
    <d v="2023-05-31T00:00:00"/>
    <n v="22023004206"/>
    <s v="2023 06 3232 212"/>
    <n v="68.12"/>
    <x v="438"/>
    <s v="ALB: 23-210868 PED: 23-017903-1003 S/PED: TERESA IÑIGO TORO / MONOMANDO PANAM CROMO (94697) BAÑO-DUCH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56"/>
    <s v="D"/>
    <d v="2023-05-31T00:00:00"/>
    <n v="22023004206"/>
    <s v="2023 06 3232 212"/>
    <n v="24.67"/>
    <x v="438"/>
    <s v="ALB: 23-211386 PED: 23-018769-1017 S/PED: IÑIGO DE TORO / MANGUITO ENCOLAR PRESION DN 63 / CODO 90º PVC PRESION DN  63 /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58"/>
    <s v="D"/>
    <d v="2023-05-31T00:00:00"/>
    <n v="22023004206"/>
    <s v="2023 06 3232 212"/>
    <n v="34.01"/>
    <x v="438"/>
    <s v="ALB: 23-210361 PED: 23-016950-1003 S/PED: CEIP FCO PINO / CODO 87º SANITARIO M-H DN 100 / PB CODO 90º T-T DN 22 / PB MA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0"/>
    <s v="D"/>
    <d v="2023-05-31T00:00:00"/>
    <n v="22023004206"/>
    <s v="2023 06 3232 212"/>
    <n v="65.61"/>
    <x v="438"/>
    <s v="ALB: 23-208456 PED: 23-013775-1003 S/PED: ANTONIO  MACHADO / TUB.FLEXIBLE SPX FLEX ROLLO DE 30ML / BOLSA 10 CONEXION A P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2"/>
    <s v="D"/>
    <d v="2023-05-31T00:00:00"/>
    <n v="22023002181"/>
    <s v="2023 06 3232 212"/>
    <n v="3.13"/>
    <x v="438"/>
    <s v="ALB: 23-210362 PED: 23-016950-1003 S/PED: CEIP FCO PINO / PB CASQUILLO PARA TUBO PB DN 2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464"/>
    <s v="D"/>
    <d v="2023-05-31T00:00:00"/>
    <n v="22023002181"/>
    <s v="2023 06 3232 212"/>
    <n v="4.01"/>
    <x v="438"/>
    <s v="ALB: 23-208459 PED: 23-013775-1003 S/PED: ANTONIO  MACHADO / TUERCA REDUCIDA PE 3/4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6677"/>
    <s v="D"/>
    <d v="2023-05-31T00:00:00"/>
    <n v="22023001466"/>
    <s v="2023 11 1621 22199"/>
    <n v="94.53"/>
    <x v="438"/>
    <s v="ALB: 23-209946 PED: 23-016382-1003 S/PED:  / ABRAZADERA SUPER I.../ ACUERDO MARCO DE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719"/>
    <s v="D"/>
    <d v="2023-05-31T00:00:00"/>
    <n v="22023003832"/>
    <s v="2023 10 2412 22199"/>
    <n v="39.31"/>
    <x v="438"/>
    <s v="SUMINISTRO MATERIAL,MICRO A ESTABILIZADOR CONTRAPESO HEMBRA DENTADO 15 CM, MICRO A VALVULA ANTPARA CUR. DE PARQ Y JARDI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721"/>
    <s v="D"/>
    <d v="2023-05-31T00:00:00"/>
    <n v="22023003832"/>
    <s v="2023 10 2412 22199"/>
    <n v="516.9"/>
    <x v="438"/>
    <s v="SUMINISTRO MATERIAL PARA EL CURSO DE  PARQUES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723"/>
    <s v="D"/>
    <d v="2023-05-31T00:00:00"/>
    <n v="22023003925"/>
    <s v="2023 10 2412 213"/>
    <n v="43.98"/>
    <x v="438"/>
    <s v="REPARACION DE: MOTOSIERRA   MARCA: HUSQVARNA  MODELO:338XP PARA EL CURSO DE PARQ Y JARDINESIV 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16351"/>
    <s v="D"/>
    <d v="2023-04-27T00:00:00"/>
    <n v="22023001565"/>
    <s v="2023 07 1711 619"/>
    <n v="317.2"/>
    <x v="902"/>
    <s v="UD PINUS PINEA 3M ALTURA CONTAINER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9"/>
    <s v="D"/>
    <d v="2023-05-31T00:00:00"/>
    <n v="22023003935"/>
    <s v="2023 07 1711 619"/>
    <n v="3732.3"/>
    <x v="902"/>
    <s v="UD CRATEAGUS PAUL-SCARLET CEPELLON 18/20 // UD MELIA CEPELLON 20/25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207"/>
    <s v="D"/>
    <d v="2023-05-31T00:00:00"/>
    <n v="22023003935"/>
    <s v="2023 07 1711 619"/>
    <n v="5272.19"/>
    <x v="902"/>
    <s v="UD CELTIS AUSTRALIS 30/35 CEPELLON // UD GINKGO BILOBA 20/25 EN CONTAINER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16294"/>
    <s v="D"/>
    <d v="2023-04-27T00:00:00"/>
    <n v="22023001542"/>
    <s v="2023 07 1711 203"/>
    <n v="984.64"/>
    <x v="903"/>
    <s v="PARTE 9330 DEL 13-2-2023, Nº 28. / 705009 · ENTREGA EN AVDA. SALAMANCA, 15. / 705008 · ALQUILER DE BRAZO DIESE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26236"/>
    <s v="D"/>
    <d v="2023-05-31T00:00:00"/>
    <n v="22023001542"/>
    <s v="2023 07 1711 203"/>
    <n v="1249.93"/>
    <x v="903"/>
    <s v="PARTE 6490 DEL 18-4-2023, Nº 28. / 705009 · ENTREGA EN C/ MATEO SEOANE SOBRAL ---------------- / 705008 · ALQUILER DE B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16180"/>
    <s v="D"/>
    <d v="2023-04-27T00:00:00"/>
    <n v="22023002460"/>
    <s v="2023 05 4331 212"/>
    <n v="218.77"/>
    <x v="209"/>
    <s v="SUMINISTRO VARIOS MATERIALES AGENCIA DE INNOVACIÓN"/>
    <s v="300"/>
    <s v="BARCELONA"/>
    <s v="BARCELONA"/>
    <x v="3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2"/>
  </r>
  <r>
    <n v="220230017441"/>
    <s v="D"/>
    <d v="2023-05-03T00:00:00"/>
    <n v="22023001412"/>
    <s v="2023 10 2311 212"/>
    <n v="94.2"/>
    <x v="209"/>
    <s v="F - 3436 - TERMOSTATO REGULACIÓN C. CADIZ Y C. LA VICTORIA - GRUPO ELECTRO STOCKS -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506"/>
    <s v="D"/>
    <d v="2023-05-09T00:00:00"/>
    <n v="22023001467"/>
    <s v="2023 10 2312 212"/>
    <n v="77.599999999999994"/>
    <x v="209"/>
    <s v="MANT. SUMINISTRO DE MATERIAL PARA  REPARACIONES DEL CPM DELICIAS Y ZONA SUR- DURA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7281"/>
    <s v="ADO"/>
    <d v="2023-05-03T00:00:00"/>
    <n v="22023002886"/>
    <s v="2023 08 1341 22799"/>
    <n v="691.53"/>
    <x v="101"/>
    <s v="Insuf.Saldo 0,01 cent - COOR. SS EJECUCIÓN PROYECTO INTEGRAL MOVILIDAD VERTICAL, ELEVADORES MEC. LAD-NORT PARQ-C-10/12"/>
    <s v="240"/>
    <s v="VALLADOLID"/>
    <s v="VALLADOLID"/>
    <x v="1"/>
    <s v="PrAbier - Procedimiento Abierto"/>
    <s v="MultiC - MultiCriterio"/>
    <x v="0"/>
    <x v="1"/>
    <s v="2"/>
    <s v="2. Gastos corrientes en bienes y servicios"/>
    <s v="08"/>
    <x v="0"/>
    <s v="1341"/>
    <s v="1341. Movilidad"/>
    <s v="22"/>
    <s v="22799"/>
  </r>
  <r>
    <n v="220230026670"/>
    <s v="D"/>
    <d v="2023-05-31T00:00:00"/>
    <n v="22023001343"/>
    <s v="2023 03 9241 212"/>
    <n v="162.77000000000001"/>
    <x v="473"/>
    <s v="IBERSAT BASE TR 4L (CIC NATIVIDAD ALVAREZ CHACON) / MAGNUM + BLANCO 15+2.5L (CIC NATIVIDAD ALVAREZ CHACO) / PINCEL CAB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5994"/>
    <s v="AD"/>
    <d v="2023-04-26T00:00:00"/>
    <n v="22023004057"/>
    <s v="2023 10 2316 22616"/>
    <n v="660"/>
    <x v="820"/>
    <s v="ORGANIZACIÓN, GESTIÓN Y DESARROLLO CAFÉ COLOQUIO DENTRO DE LA PROGRAMACIÓN DE LA XX SEMANA INTERCULTURAL - 27 DE ABRI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2177"/>
    <s v="D"/>
    <d v="2023-05-18T00:00:00"/>
    <n v="22023004206"/>
    <s v="2023 06 3232 212"/>
    <n v="149.94"/>
    <x v="473"/>
    <s v="DISOLVENTE UNIVERSAL 1405 DE 5L (M) ( GE0012478 ID0034887 FRANCISCO QUEVEDO C/CABALLEROS ) / UNO+BLANCO 750ML ( GE001247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5958"/>
    <s v="AD"/>
    <d v="2023-04-26T00:00:00"/>
    <n v="22023003974"/>
    <s v="2023 10 2316 22616"/>
    <n v="350"/>
    <x v="904"/>
    <s v="COMIDA PONENTES JORNADA TECNICA DERECHOS HUMANOS- 21-4-23- XX SEMANA INTERCULTURAL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1934"/>
    <s v="AD"/>
    <d v="2023-05-18T00:00:00"/>
    <n v="22023004558"/>
    <s v="2023 06 3261 22699"/>
    <n v="465.85"/>
    <x v="583"/>
    <s v="COLABORACIÓN SUMINISTRO REGALOS ANTIGUOS ALUMNOS Y PROFESORES POR EL 75 ANIVERSARIO CEIP SAN FERNANDO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18156"/>
    <s v="AD"/>
    <d v="2023-05-08T00:00:00"/>
    <n v="22023004287"/>
    <s v="2023 11 1621 22199"/>
    <n v="500"/>
    <x v="469"/>
    <s v="MATERIALES PARA REPARACIONES FONTANERÍA POR EL Sº DE MANTENIMIENTO DEL AYUNT. DE VALLADOLID PARA EL SERVICIO DE LIMPIEZA"/>
    <s v="22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8158"/>
    <s v="AD"/>
    <d v="2023-05-08T00:00:00"/>
    <n v="22023004306"/>
    <s v="2023 06 3232 212"/>
    <n v="7260"/>
    <x v="469"/>
    <s v="SUMINISTRO DE PIEZAS DE FONTANERIA PARA COLEGIOS PUBLICOS. AÑO 2023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857"/>
    <s v="AD"/>
    <d v="2023-05-02T00:00:00"/>
    <n v="22023004211"/>
    <s v="2023 11 1631 22700"/>
    <n v="5000"/>
    <x v="590"/>
    <s v="GESTIÓN DE ESCOMBROS PARA LIMPIEZA VIARI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20791"/>
    <s v="AD"/>
    <d v="2023-05-16T00:00:00"/>
    <n v="22023004477"/>
    <s v="2023 10 2312 22706"/>
    <n v="4235"/>
    <x v="605"/>
    <s v="ASESORIA TECNICA PARA EL CVA ARCA REAL Y HUERTA DEL REY (ANTES CPM) INICIATIVAS SOCIALES JUNIO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706"/>
  </r>
  <r>
    <n v="220230015098"/>
    <s v="AD"/>
    <d v="2023-04-25T00:00:00"/>
    <n v="22023003841"/>
    <s v="2023 06 2315 22611"/>
    <n v="847"/>
    <x v="610"/>
    <s v="EQUIPACION SONIDO E ILUMINACIÓN MANIFIESTO MANIFESTACIÓN FEMINISTA 15 ABRIL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8172"/>
    <s v="AD"/>
    <d v="2023-05-08T00:00:00"/>
    <n v="22023004369"/>
    <s v="2023 11 3111 22799"/>
    <n v="562.83000000000004"/>
    <x v="616"/>
    <s v="ELABORACION Y FABRICACION DE SIETE CARTELES EN ALUMINO CON POSTE PARA IDENTIFICACIÓN COLONIAS FELINAS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99"/>
  </r>
  <r>
    <n v="220230016834"/>
    <s v="AD/"/>
    <d v="2023-05-02T00:00:00"/>
    <n v="22023003695"/>
    <s v="2023 11 3111 22799"/>
    <n v="-340.49"/>
    <x v="616"/>
    <s v="ELABORACION Y FABRICACION DE SIETE CARTELES EN ALUMINIO CON POSTE PARA IDENTIFICACION DE COLONIAS FELINAS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99"/>
  </r>
  <r>
    <n v="220230024856"/>
    <s v="AD"/>
    <d v="2023-05-24T00:00:00"/>
    <n v="22023004626"/>
    <s v="2023 05 4331 22699"/>
    <n v="242"/>
    <x v="617"/>
    <s v="RENOVACIONL ROLLUP DE SMARTVA CON LA MARCA ANTIGUA DE &quot;&quot;VALLADOLID ADELANTE&quot;&quot; POR LA DE &quot;&quot;IDEVA&quot;&quot;."/>
    <s v="220"/>
    <s v="VALLADOLID"/>
    <s v="VALLADOLID"/>
    <x v="3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99"/>
  </r>
  <r>
    <n v="220230020480"/>
    <s v="AD"/>
    <d v="2023-05-11T00:00:00"/>
    <n v="22023004447"/>
    <s v="2023 03 9241 22602"/>
    <n v="1354.72"/>
    <x v="629"/>
    <s v="BOLIGRAFOS, GORRAS Y CAMISETAS PUBLICITARIOS (CC ESGUEVA, CIC CONDE ANSÚREZ Y CC JOSÉ LUIS MOSQUERA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8506"/>
    <s v="D"/>
    <d v="2023-05-09T00:00:00"/>
    <n v="22023001468"/>
    <s v="2023 10 2312 212"/>
    <n v="869.16"/>
    <x v="209"/>
    <s v="MANT. SUMINISTRO DE MATERIAL PARA  REPARACIONES DEL CPM DELICIAS Y ZONA SUR- DURA 1 DIA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8544"/>
    <s v="D"/>
    <d v="2023-05-09T00:00:00"/>
    <n v="22023001344"/>
    <s v="2023 03 9241 213"/>
    <n v="49.22"/>
    <x v="209"/>
    <s v="MATERIALES TRABAJOS ELÉCTRICOS EN CC CANAL DE CASTILLA Y EN CC RONDILLA"/>
    <s v="300"/>
    <s v="BARCELONA"/>
    <s v="BARCELONA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0890"/>
    <s v="D"/>
    <d v="2023-05-16T00:00:00"/>
    <n v="22023001477"/>
    <s v="2023 10 2412 212"/>
    <n v="12.63"/>
    <x v="209"/>
    <s v="MANTENIM. SUMINISTRO DE  LAMP. LED SPOT PAR16  9W, PORTALAMP HALOG. PARA ELC. DE FORMACIONDE EMPLEO- JACINTO BENAVENTE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1951"/>
    <s v="D"/>
    <d v="2023-05-18T00:00:00"/>
    <n v="22023001514"/>
    <s v="2023 11 1361 22199"/>
    <n v="284.35000000000002"/>
    <x v="209"/>
    <s v="PROLONGADOR 220-240V 3 POLOS 16A///SERVICIO DE EXTINCIÓN DE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3213"/>
    <s v="D"/>
    <d v="2023-05-22T00:00:00"/>
    <n v="22023000273"/>
    <s v="2023 11 1321 22199"/>
    <n v="362.21"/>
    <x v="209"/>
    <s v="ACUERDO MARCO. SUMINISTRO DE MATERIAL ELÉCTRICO PARA VEHÍCULOS ELÉCTRICOS DE POLICÍA.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6226"/>
    <s v="D"/>
    <d v="2023-05-31T00:00:00"/>
    <n v="22023001549"/>
    <s v="2023 07 1711 22199"/>
    <n v="48.39"/>
    <x v="209"/>
    <s v="CONT 9A 1NA 1NC 230V 50 60HZ / ELEMENTO DE CONTACTO NC"/>
    <s v="300"/>
    <s v="BARCELONA"/>
    <s v="BARCELONA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348"/>
    <s v="D"/>
    <d v="2023-05-31T00:00:00"/>
    <n v="22023001344"/>
    <s v="2023 03 9241 213"/>
    <n v="1537.87"/>
    <x v="209"/>
    <s v="CAMBIO EMERGENCIAS CIC EMPECINADO Y MATERIALES VARIOS CC DELICIAS Y KIOSCO CAÑO ARGALES"/>
    <s v="300"/>
    <s v="BARCELONA"/>
    <s v="BARCELONA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16042"/>
    <s v="D"/>
    <d v="2023-04-27T00:00:00"/>
    <n v="22023000263"/>
    <s v="2023 02 9332 214"/>
    <n v="348"/>
    <x v="442"/>
    <s v="MATRÍCULA VA37960VE //DESMONTAR Y MONTAR CARDILLA DELANTERA DERECHA Y SUSTITUIR RETEN. REPONER ACEITE / TORICA / RETEN /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091"/>
    <s v="D"/>
    <d v="2023-04-27T00:00:00"/>
    <n v="22023001459"/>
    <s v="2023 11 1621 214"/>
    <n v="598.84"/>
    <x v="442"/>
    <s v="74418LDY // SUST. PASTILLAS 2 PINZAS FRENOS EJE ANT. / SUST. PASTILLAS 2 PINZAS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3"/>
    <s v="D"/>
    <d v="2023-04-27T00:00:00"/>
    <n v="22023001459"/>
    <s v="2023 11 1621 214"/>
    <n v="1827.61"/>
    <x v="442"/>
    <s v="7337LWL // EO, CAMBIO DE ACEITE Y FILTRO DE ACEITE / EP2, SUST. FILTRO SECA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5"/>
    <s v="D"/>
    <d v="2023-04-27T00:00:00"/>
    <n v="22023001459"/>
    <s v="2023 11 1621 214"/>
    <n v="587.29999999999995"/>
    <x v="442"/>
    <s v="7334 LWL // SUST.PASTILLAS 2 PINZAS FRENOS EJE ANT. / SUST. PASTILLAS 2 PINZAS F.../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7"/>
    <s v="D"/>
    <d v="2023-04-27T00:00:00"/>
    <n v="22023001459"/>
    <s v="2023 11 1621 214"/>
    <n v="1553.72"/>
    <x v="442"/>
    <s v="7333LWL // H.M.O., REVISAR  INSTALACIÓN QUEMADA DE EQUIPO, SANEAR Y REC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099"/>
    <s v="D"/>
    <d v="2023-04-27T00:00:00"/>
    <n v="22023001459"/>
    <s v="2023 11 1621 214"/>
    <n v="3691.77"/>
    <x v="442"/>
    <s v="8500 LRN // H.M.O., REV. AVERIAS, HACER PROCEDIMIENTO GUIADO, AJUSTAR SENSOR DEL.../ SPSC 23/2020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101"/>
    <s v="D"/>
    <d v="2023-04-27T00:00:00"/>
    <n v="22023001469"/>
    <s v="2023 11 1631 214"/>
    <n v="1952.92"/>
    <x v="442"/>
    <s v="3185 LLB // H.M.O. DESM. SOPORTES Y DEPOSITO DE COMBUSTIBLE PARA SUST., SUST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172"/>
    <s v="D"/>
    <d v="2023-04-27T00:00:00"/>
    <n v="22023001513"/>
    <s v="2023 11 1361 214"/>
    <n v="40.81"/>
    <x v="442"/>
    <s v="MATRÍCULA 4894JLF//REVISAR CALEFACCION PARA DETERMINAR AVERIA /COMPROBAR COMPRESOR/SEISPC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1"/>
    <s v="214"/>
  </r>
  <r>
    <n v="220230026400"/>
    <s v="D"/>
    <d v="2023-05-31T00:00:00"/>
    <n v="22023003833"/>
    <s v="2023 10 2412 22199"/>
    <n v="131.55000000000001"/>
    <x v="473"/>
    <s v="SUMINISTRO DE CAJA FIELTROS ANDREAE 1,00 10M BLANCO ECOFILTER PARA EL CURSO DE PINT. DECORATIVA V ( JACINTO BENAVENTE )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2175"/>
    <s v="D"/>
    <d v="2023-05-18T00:00:00"/>
    <n v="22023004206"/>
    <s v="2023 06 3232 212"/>
    <n v="91.85"/>
    <x v="473"/>
    <s v="DANPIN PACK 2 REC. VELOUR 11CM (ID0034899 FRANCISCO QUEVEDO C/GRANADOS) / DANPIN PACK 2 REC. ANTIGOTA EXTRA 6CM / DANPI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3367"/>
    <s v="D"/>
    <d v="2023-04-04T00:00:00"/>
    <n v="22023001970"/>
    <s v="2023 04 9231 22799"/>
    <n v="14589.28"/>
    <x v="905"/>
    <s v="CONTRATO OBSERVATORIO URBANO - INFORMACION - AÑO 2023"/>
    <s v="300"/>
    <s v="VALLADOLID"/>
    <s v="VALLADOLID"/>
    <x v="1"/>
    <s v="PrAbier - Procedimiento Abierto"/>
    <s v="MultiC - MultiCriterio"/>
    <x v="0"/>
    <x v="1"/>
    <s v="2"/>
    <s v="2. Gastos corrientes en bienes y servicios"/>
    <s v="04"/>
    <x v="5"/>
    <s v="9231"/>
    <s v="9231. Información, registro y gestión del padrón"/>
    <s v="22"/>
    <s v="22799"/>
  </r>
  <r>
    <n v="220230018966"/>
    <s v="AD"/>
    <d v="2023-05-10T00:00:00"/>
    <n v="22023000538"/>
    <s v="2023 04 9204 22002"/>
    <n v="20249.11"/>
    <x v="110"/>
    <s v="SUMINISTRO DE FUNGIBLES ORIGINALES, LOTE 1 (2/2023) PRIMERA PRÓRROGA"/>
    <s v="220"/>
    <s v="BASAURI"/>
    <s v="BIZKAIA"/>
    <x v="3"/>
    <s v="PrAbier - Procedimiento Abierto"/>
    <s v="UniC - Único Criterio"/>
    <x v="0"/>
    <x v="1"/>
    <s v="2"/>
    <s v="2. Gastos corrientes en bienes y servicios"/>
    <s v="04"/>
    <x v="5"/>
    <s v="9204"/>
    <s v="9204. Tecnologías de la información y comunicación"/>
    <s v="22"/>
    <s v="22002"/>
  </r>
  <r>
    <n v="220230025385"/>
    <s v="AD"/>
    <d v="2023-05-26T00:00:00"/>
    <n v="22023004588"/>
    <s v="2023 06 2314 22602"/>
    <n v="1500"/>
    <x v="630"/>
    <s v="IMPRESION DE SOPORTES PUBLICITARIOS A TRAVES DE IMPRENTA MUNICIPAL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02"/>
  </r>
  <r>
    <n v="220230022645"/>
    <s v="AD"/>
    <d v="2023-05-22T00:00:00"/>
    <n v="22023004628"/>
    <s v="2023 09 3341 22699"/>
    <n v="302.5"/>
    <x v="630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0472"/>
    <s v="AD"/>
    <d v="2023-05-11T00:00:00"/>
    <n v="22023004417"/>
    <s v="2023 06 2314 22700"/>
    <n v="482"/>
    <x v="44"/>
    <s v="DESINSECTACION, DESRATIZACION, TRATAMIENTO PREVENCION Y CONTROL LEGIONELLA ESPACIO JOVEN PINAR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700"/>
  </r>
  <r>
    <n v="220230017420"/>
    <s v="ADO"/>
    <d v="2023-05-03T00:00:00"/>
    <n v="22023003913"/>
    <s v="2023 05 4331 22606"/>
    <n v="759"/>
    <x v="906"/>
    <s v="CATERING CHARLA // DÍA 27 DE OCTUBRE DE 2022. RELACIONADO CON AD 920220020982"/>
    <s v="240"/>
    <s v="LA CISTERNIGA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606"/>
  </r>
  <r>
    <n v="220230013575"/>
    <s v="ADO"/>
    <d v="2023-04-05T00:00:00"/>
    <n v="22023003615"/>
    <s v="2023 06 3232 213"/>
    <n v="200.11"/>
    <x v="547"/>
    <s v="PCI (INSPECCION PERIODICA PROTECCION CONTRA INCENDIOS)  CEIP FEDERICO GARCÍA LORCA FECHA INSPECCIÓN: 31/10/22"/>
    <s v="240"/>
    <s v="ARROYO DE LA ENCOMIENDA"/>
    <s v="VALLADOLID"/>
    <x v="1"/>
    <s v="PrAbier - Procedimiento Abierto"/>
    <s v="MultiC - MultiCriterio"/>
    <x v="0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3368"/>
    <s v="D"/>
    <d v="2023-04-04T00:00:00"/>
    <n v="22023001969"/>
    <s v="2023 09 3301 22799"/>
    <n v="1535.72"/>
    <x v="905"/>
    <s v="ADJUDICACION CONTRATO CENTRALIZADO PUBLICACION DATOS TURISMO EN EL OBSERVATORIO URBANO PARA EL AÑO 2023"/>
    <s v="300"/>
    <s v="VALLADOLID"/>
    <s v="VALLADOLID"/>
    <x v="1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230018434"/>
    <s v="D"/>
    <d v="2023-05-09T00:00:00"/>
    <n v="22023001469"/>
    <s v="2023 11 1631 214"/>
    <n v="762.92"/>
    <x v="442"/>
    <s v="SUST. INTERRUPTOR DE FRENO/DESM-MONT GUARNECIDOS  DE CABINA PARA SUST.../ SPSC / 23/2020 /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436"/>
    <s v="D"/>
    <d v="2023-05-09T00:00:00"/>
    <n v="22023001469"/>
    <s v="2023 11 1631 214"/>
    <n v="468.08"/>
    <x v="442"/>
    <s v="REVISAR NO  ENTRAN BIEN VELOCIDADES SUST. SERVOEMBRAGUE SUST. LIQ EMBRAG.../ SPSC 23/2020 /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0113"/>
    <s v="D"/>
    <d v="2023-05-11T00:00:00"/>
    <n v="22023001459"/>
    <s v="2023 11 1621 214"/>
    <n v="1078.57"/>
    <x v="442"/>
    <s v="TAPA / INTERRUPTOR LETRAS CAMBIO / PERSIANA ANTISO / SENSOR NOX ANTERIOR / CE.../ AM SPSC 23/2020 /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41"/>
    <s v="D"/>
    <d v="2023-05-31T00:00:00"/>
    <n v="22023001459"/>
    <s v="2023 11 1621 214"/>
    <n v="3941.99"/>
    <x v="442"/>
    <s v="8612LRG //H.M.O.COMPROBAR  SE ENCIENDE ERROR SENSOR RADAR, HACER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343"/>
    <s v="D"/>
    <d v="2023-05-31T00:00:00"/>
    <n v="22023001469"/>
    <s v="2023 11 1631 214"/>
    <n v="651.21"/>
    <x v="442"/>
    <s v="0984FGF // TAPIZADO ASIENTO CON GOMA NUEVA / TAPIZADO BAQUE 2 PLAZAS.../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346"/>
    <s v="D"/>
    <d v="2023-05-31T00:00:00"/>
    <n v="22023003924"/>
    <s v="2023 10 2412 214"/>
    <n v="612.64"/>
    <x v="442"/>
    <s v="SUMINISTRO DE  PILOTO H.M.O.  CAMBIO DE ACEITE, FILTRO DE ACEITE Y AIRE,DE LA FURGONTE DEL C. F PARA EL EMPLEO 6817GJG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4"/>
  </r>
  <r>
    <n v="220230026353"/>
    <s v="D"/>
    <d v="2023-05-31T00:00:00"/>
    <n v="22023001459"/>
    <s v="2023 11 1621 214"/>
    <n v="620.54999999999995"/>
    <x v="442"/>
    <s v="7333LWL //  H.M.O. DETERMINAR  CORTO  EN EQUIPO DEL  VEHÍCULO, FUNDE  EL FUSIB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5942"/>
    <s v="AD"/>
    <d v="2023-04-26T00:00:00"/>
    <n v="22023003912"/>
    <s v="2023 10 2412 213"/>
    <n v="176.33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6300"/>
    <s v="ADO"/>
    <d v="2023-04-27T00:00:00"/>
    <n v="22023003672"/>
    <s v="2023 10 2311 22799"/>
    <n v="28111.67"/>
    <x v="17"/>
    <s v="F - 251 - COMIDAS COMEDOR SOCIAL - SUPL 80-COMIDAS 60-CENAS- DICIEMBRE 2022 - SCAS SL"/>
    <s v="240"/>
    <s v="VILLAMURIEL DE CERRATO"/>
    <s v="PALENCIA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6851"/>
    <s v="AD"/>
    <d v="2023-05-02T00:00:00"/>
    <n v="22023004190"/>
    <s v="2023 10 2312 22617"/>
    <n v="363"/>
    <x v="44"/>
    <s v="LIMPIEZA DE LAS INSTALACIONES DEL LAVA POR EL CONCIERTO  DE PREDIFEST- PLAN DE ACCESIBILIDAD-INICIATIVAS SOCIALES"/>
    <s v="220"/>
    <s v="MADRID"/>
    <s v="MADR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26504"/>
    <s v="D"/>
    <d v="2023-05-31T00:00:00"/>
    <n v="22023001459"/>
    <s v="2023 11 1621 214"/>
    <n v="2565.7600000000002"/>
    <x v="442"/>
    <s v="PLACA INTERMEDIA / PICAPORTE INTER.DERECH / SENSOR NOX POSTERIOR / DISCO D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6417"/>
    <s v="D"/>
    <d v="2023-04-27T00:00:00"/>
    <n v="22023001549"/>
    <s v="2023 07 1711 22199"/>
    <n v="50.01"/>
    <x v="606"/>
    <s v="Nº VALE 568 ( DESTINO: PARQUESOL ) / CORREA POLEA INTERMEDIA A DESBROZADOR RIDER 21AWD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6301"/>
    <s v="ADO"/>
    <d v="2023-04-27T00:00:00"/>
    <n v="22023003674"/>
    <s v="2023 10 2311 22799"/>
    <n v="6626.77"/>
    <x v="86"/>
    <s v="F - 325 - SERVICIO CELADURIAS CEAS Y COMEDOR SOCIAL-CAI - DICIEMBRE 2022 - SIFU MADRID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6301"/>
    <s v="ADO"/>
    <d v="2023-04-27T00:00:00"/>
    <n v="22023003673"/>
    <s v="2023 10 2311 22799"/>
    <n v="1059.26"/>
    <x v="86"/>
    <s v="F - 325 - SERVICIO CELADURIAS CEAS Y COMEDOR SOCIAL-CAI - DICIEMBRE 2022 - SIFU MADRID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15084"/>
    <s v="AD"/>
    <d v="2023-04-25T00:00:00"/>
    <n v="22023000758"/>
    <s v="2023 11 1621 212"/>
    <n v="3702.18"/>
    <x v="416"/>
    <s v="REPARACIÓN FACHADA EDIFICIO C/ TOPACIO 63, SERVICIO DE LIMPIEZA."/>
    <s v="220"/>
    <s v="VALDESTILLAS"/>
    <s v="VALLADOLID"/>
    <x v="2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15089"/>
    <s v="AD"/>
    <d v="2023-04-25T00:00:00"/>
    <n v="22023003853"/>
    <s v="2023 06 2315 22611"/>
    <n v="935"/>
    <x v="636"/>
    <s v="ACTUACION ZORRILLA'S FEST 23 SANTIAGO SIERRA / 24 JUNI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6023"/>
    <s v="AD"/>
    <d v="2023-04-26T00:00:00"/>
    <n v="22023004160"/>
    <s v="2023 11 1321 22699"/>
    <n v="617.1"/>
    <x v="907"/>
    <s v="SUMINISTRO DE DISTINTIVOS DE RECONOCIMIENTO POLICI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16846"/>
    <s v="AD"/>
    <d v="2023-05-02T00:00:00"/>
    <n v="22023004153"/>
    <s v="2023 10 2312 22617"/>
    <n v="452.73"/>
    <x v="91"/>
    <s v="PERSONAL TECNICO PARA CONCIERTO DE PREDIFEST - PLAN DE ACCESIBILIDAD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18970"/>
    <s v="AD"/>
    <d v="2023-05-10T00:00:00"/>
    <n v="22023003838"/>
    <s v="2023 06 3321 213"/>
    <n v="174.24"/>
    <x v="647"/>
    <s v="CTTO SERVICIO MANTENIMIENTO Y CONEXIÓN CRA DE LA ALARMA DE LA NUEVA BIBLIOTECA PARQUESOL//ABRIL-DICIEM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3"/>
  </r>
  <r>
    <n v="220230015351"/>
    <s v="AD"/>
    <d v="2023-04-25T00:00:00"/>
    <n v="22023003874"/>
    <s v="2023 06 2315 213"/>
    <n v="500"/>
    <x v="400"/>
    <s v="MANTENIMIENTO PINTURA CENTRO MUNICIPAL DE LA IGUALDAD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1"/>
    <s v="213"/>
  </r>
  <r>
    <n v="220230013749"/>
    <s v="AD"/>
    <d v="2023-04-11T00:00:00"/>
    <n v="22023003809"/>
    <s v="2023 03 9241 212"/>
    <n v="94.97"/>
    <x v="400"/>
    <s v="SUM. MATERIALES PARA TRABAJOS DE PINTURA MANTENIMIENTO EN CC JOSÉ LUIS MOSQUERA Y LOCAL C/ ORIOL (AV SAN ISIDRO)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8149"/>
    <s v="AD"/>
    <d v="2023-05-08T00:00:00"/>
    <n v="22023004176"/>
    <s v="2023 01 9203 22602"/>
    <n v="1936"/>
    <x v="908"/>
    <s v="ADQUISICION REGALOS PUBLICITARIOS MEDALLAS PARA ACTOS OFICIALES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602"/>
  </r>
  <r>
    <n v="220230018166"/>
    <s v="AD"/>
    <d v="2023-05-08T00:00:00"/>
    <n v="22023004377"/>
    <s v="2023 03 9241 212"/>
    <n v="51.07"/>
    <x v="469"/>
    <s v="SUM. RECAMBIOS WC CC DELICIAS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16841"/>
    <s v="AD"/>
    <d v="2023-05-02T00:00:00"/>
    <n v="22023004105"/>
    <s v="2023 09 3341 22799"/>
    <n v="6655"/>
    <x v="654"/>
    <s v="SOPORTE Y MANTENIMIENTO PARA EL CORRECTO FUNCIONAMIENTO DE LOS PORTALES WEB DE CULTURA Y TURISMO, 5 MESES"/>
    <s v="220"/>
    <s v="ZAMORA"/>
    <s v="ZAMORA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5395"/>
    <s v="AD"/>
    <d v="2023-05-26T00:00:00"/>
    <n v="22023004705"/>
    <s v="2023 10 2311 22700"/>
    <n v="1441.11"/>
    <x v="909"/>
    <s v="LIMPIEZA, RETIRADA DE ENSERES Y DESINFECCIÓN VIVIENDA CALLE BECQUER 9, BAJO C"/>
    <s v="220"/>
    <s v="LA CISTERNIGA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700"/>
  </r>
  <r>
    <n v="220230020544"/>
    <s v="AD"/>
    <d v="2023-05-12T00:00:00"/>
    <n v="22023004409"/>
    <s v="2023 09 3341 22799"/>
    <n v="34.880000000000003"/>
    <x v="85"/>
    <s v="SERVICIO DE CELADURIA CENTRO GALERIAS VALLADOLID DIA 5 DE MAYO 3 HORAS"/>
    <s v="220"/>
    <s v="EL PINAR DE ANTEQUER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5966"/>
    <s v="AD"/>
    <d v="2023-04-26T00:00:00"/>
    <n v="22023003978"/>
    <s v="2023 05 4331 22700"/>
    <n v="290.39999999999998"/>
    <x v="65"/>
    <s v="LIMPIEZA POSTERIOR A LA OBRA DEL EDIFICIO HUB INNOVACIÓN, SITO EN C/ VALLE DE ARÁN. ABRIL 2023"/>
    <s v="220"/>
    <s v="LOGROÑO"/>
    <s v="LA RIOJ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00"/>
  </r>
  <r>
    <n v="220230016852"/>
    <s v="AD"/>
    <d v="2023-05-02T00:00:00"/>
    <n v="22023004191"/>
    <s v="2023 10 2312 22617"/>
    <n v="232.32"/>
    <x v="666"/>
    <s v="SEGURIDAD DE LA SALA LAVA POR EL CONCIERTO DE PREDIFEST- PLAN DE ACCESIBILIDAD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7"/>
  </r>
  <r>
    <n v="220230016860"/>
    <s v="AD"/>
    <d v="2023-05-02T00:00:00"/>
    <n v="22023004289"/>
    <s v="2023 11 1321 22199"/>
    <n v="500"/>
    <x v="667"/>
    <s v="SUMINISTRO DE CARTUCHOS PARA IMPRESORAS DE FURGONETAS DE INSPECCIÓN CENTRAL DE GUARDIA.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0533"/>
    <s v="AD"/>
    <d v="2023-05-12T00:00:00"/>
    <n v="22023004460"/>
    <s v="2023 11 1631 212"/>
    <n v="2556.8200000000002"/>
    <x v="671"/>
    <s v="SUMINISTRO E INSTALACIÓN DE RED ANTIPÁJAROS Y REVISIÓN LINEA VIDA VERTICAL NAVE ACOPIO DE SAL. LIMPIEZA VIARIA."/>
    <s v="220"/>
    <s v="TUDELA DE DUERO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1"/>
    <s v="212"/>
  </r>
  <r>
    <n v="220230018801"/>
    <s v="AD"/>
    <d v="2023-05-09T00:00:00"/>
    <n v="22023002559"/>
    <s v="2023 03 9241 22799"/>
    <n v="9075"/>
    <x v="672"/>
    <s v="SERVICIOS INFORMÁTICOS PARA EL MTO. DE IMPRESORAS TÉRMICAS Y PROVISIÓN CONTENIDOS PICCS DE LOS CENTROS DEL SPC"/>
    <s v="220"/>
    <s v="LAGUNA DE DUERO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799"/>
  </r>
  <r>
    <n v="220230015949"/>
    <s v="AD"/>
    <d v="2023-04-26T00:00:00"/>
    <n v="22023003940"/>
    <s v="2023 03 9241 22199"/>
    <n v="121"/>
    <x v="672"/>
    <s v="SUMINISTRO DE PAPEL TÉRMICO DE COLORES PARA IMPRESORAS DE TICKETS DE LOS CENTROS CÍVICOS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199"/>
  </r>
  <r>
    <n v="220230015999"/>
    <s v="AD"/>
    <d v="2023-04-26T00:00:00"/>
    <n v="22023004090"/>
    <s v="2023 06 2314 22613"/>
    <n v="1000"/>
    <x v="910"/>
    <s v="COLABORACIÓN PARA EL DESARROLLO ACTIVIDADES JUVENTUD FIESTAS SAN PEDRO REGALADO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16600"/>
    <s v="AD"/>
    <d v="2023-04-27T00:00:00"/>
    <n v="22023002879"/>
    <s v="2023 07 1701 22706"/>
    <n v="28221.67"/>
    <x v="673"/>
    <s v="SEGUNDA PRÓRROGA LOTE 1 CONTRATO PROGRAMOS EDUCACIÓN AMBIENTAL (HUERTOS URBANOS). PLAZO: DEL 01/06/2023 AL 31/12/2023"/>
    <s v="220"/>
    <s v="BARCELONA"/>
    <s v="BARCELONA"/>
    <x v="1"/>
    <s v="PrAbier - Procedimiento Abierto"/>
    <s v="MultiC - MultiCriterio"/>
    <x v="0"/>
    <x v="1"/>
    <s v="2"/>
    <s v="2. Gastos corrientes en bienes y servicios"/>
    <s v="07"/>
    <x v="4"/>
    <s v="1701"/>
    <s v="1701. Dirección del área de medio ambiente"/>
    <s v="22"/>
    <s v="22706"/>
  </r>
  <r>
    <n v="220230025403"/>
    <s v="AD"/>
    <d v="2023-05-26T00:00:00"/>
    <n v="22023004710"/>
    <s v="2023 01 9203 22000"/>
    <n v="4191.22"/>
    <x v="911"/>
    <s v="SUMINISTRO SOBRES IMPRESOS AYUNTAMIENTO VALLADOLID ALMACEN, R.I."/>
    <s v="220"/>
    <s v="IRURA"/>
    <s v="GUIPUZKOA"/>
    <x v="3"/>
    <s v="AdDirec - Adjudicación Directa"/>
    <s v="SinC - Sin Criterio"/>
    <x v="3"/>
    <x v="1"/>
    <s v="2"/>
    <s v="2. Gastos corrientes en bienes y servicios"/>
    <s v="01"/>
    <x v="8"/>
    <s v="9203"/>
    <s v="9203. Unidad de régimen interior"/>
    <s v="22"/>
    <s v="22000"/>
  </r>
  <r>
    <n v="220230020468"/>
    <s v="AD"/>
    <d v="2023-05-11T00:00:00"/>
    <n v="22023004300"/>
    <s v="2023 08 1532 210"/>
    <n v="4066.88"/>
    <x v="912"/>
    <s v="SUMINISTRO DE 51.080 KGS. DE POLVO ASFÁLTICO  (2 VIAJES) .-"/>
    <s v="220"/>
    <s v="VITORIA"/>
    <s v="ALAVA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6306"/>
    <s v="D"/>
    <d v="2023-05-31T00:00:00"/>
    <n v="22023004048"/>
    <s v="2023 11 1631 214"/>
    <n v="3377.35"/>
    <x v="913"/>
    <s v="RAVO LAT. NYLON ACERO / DESCUENTO 30% ACUERDO MARCO / RAVO LATERAL NYLON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3731"/>
    <s v="D"/>
    <d v="2023-04-11T00:00:00"/>
    <n v="22022005397"/>
    <s v="2023 08 1532 619"/>
    <n v="1386.64"/>
    <x v="194"/>
    <s v="Control de Calidad de las obras de la avda de los Reyes Católicos ( expte1/2022) LOTE 2"/>
    <s v="300"/>
    <s v="ZARATAN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3731"/>
    <s v="D"/>
    <d v="2023-04-11T00:00:00"/>
    <n v="22023001963"/>
    <s v="2023 08 1532 619"/>
    <n v="18104.97"/>
    <x v="194"/>
    <s v="Control de Calidad de las obras de la avda de los Reyes Católicos ( expte1/2022) LOTE 2"/>
    <s v="300"/>
    <s v="ZARATAN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18700"/>
    <s v="D"/>
    <d v="2023-05-09T00:00:00"/>
    <n v="22023001565"/>
    <s v="2023 07 1711 619"/>
    <n v="113.85"/>
    <x v="613"/>
    <s v="ARBOLADO Y ARBUSTO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0986"/>
    <s v="D"/>
    <d v="2023-05-16T00:00:00"/>
    <n v="22023001565"/>
    <s v="2023 07 1711 619"/>
    <n v="247.5"/>
    <x v="613"/>
    <s v="CUPRESSO LEYLANDII C-5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0996"/>
    <s v="D"/>
    <d v="2023-05-16T00:00:00"/>
    <n v="22023001565"/>
    <s v="2023 07 1711 619"/>
    <n v="107.25"/>
    <x v="613"/>
    <s v="GAURA C-1 L / PEROVSKIA / CONVOLVULUS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1"/>
    <s v="D"/>
    <d v="2023-05-31T00:00:00"/>
    <n v="22023001565"/>
    <s v="2023 07 1711 619"/>
    <n v="6.89"/>
    <x v="613"/>
    <s v="LAURO / EVONIMUS C-3 L / JUNIPERO C-3 L / ESCALONIA C-3 L / LOROPETALUM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1"/>
    <s v="D"/>
    <d v="2023-05-31T00:00:00"/>
    <n v="22023003935"/>
    <s v="2023 07 1711 619"/>
    <n v="1979.44"/>
    <x v="613"/>
    <s v="LAURO / EVONIMUS C-3 L / JUNIPERO C-3 L / ESCALONIA C-3 L / LOROPETALUM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3"/>
    <s v="D"/>
    <d v="2023-05-31T00:00:00"/>
    <n v="22023003935"/>
    <s v="2023 07 1711 619"/>
    <n v="970.2"/>
    <x v="613"/>
    <s v="COTTONEASTER C-3 L / ELEAGNUS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87"/>
    <s v="D"/>
    <d v="2023-05-31T00:00:00"/>
    <n v="22023003935"/>
    <s v="2023 07 1711 619"/>
    <n v="1340.91"/>
    <x v="613"/>
    <s v="PRUNUS PISSARDII 14/16 CONT / EVONIMUS C-3 L / TEUCRIUM C-1 L / EVONIMUS PUCHELUS C-3 L / BUDLEIA DAVIDII C-3 L / ESCALO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199"/>
    <s v="D"/>
    <d v="2023-05-31T00:00:00"/>
    <n v="22023003935"/>
    <s v="2023 07 1711 619"/>
    <n v="539"/>
    <x v="613"/>
    <s v="GAURA C-1 L / JUNIPERO C-3 L / VERONICA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6339"/>
    <s v="D"/>
    <d v="2023-05-31T00:00:00"/>
    <n v="22023003832"/>
    <s v="2023 10 2412 22199"/>
    <n v="198.55"/>
    <x v="613"/>
    <s v="SUMINISTRO DE MATERIALES PARA -EL CURSO DE  PARQUES Y JARDINES IV DEL C. DE F. PARA EL EMPLEO ( JACINTO BENAVENTE )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235"/>
    <s v="D"/>
    <d v="2023-04-27T00:00:00"/>
    <n v="22023000273"/>
    <s v="2023 11 1321 22199"/>
    <n v="102.87"/>
    <x v="445"/>
    <s v="AUERDO MARCO. MATERIAL PARA MANTENIMIENTO DE INSTALACIONE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6279"/>
    <s v="D"/>
    <d v="2023-04-27T00:00:00"/>
    <n v="22023001514"/>
    <s v="2023 11 1361 22199"/>
    <n v="517.07000000000005"/>
    <x v="445"/>
    <s v="GM-158625/B  FLEXOMETRO MEDICION BRICODY CON FRENO GOMA 05MT-25,0MM  (53883) / 401 BC 5G ADHESIVO INSTANTANEO USO GENER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279"/>
    <s v="D"/>
    <d v="2023-05-31T00:00:00"/>
    <n v="22023004048"/>
    <s v="2023 11 1631 214"/>
    <n v="2704.37"/>
    <x v="913"/>
    <s v="CITY CAT  2000 CEPILLO LATERAL / DESCUENTO 30&amp; ACUERDO MARCO / RAVO LATERA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4847"/>
    <s v="AD/"/>
    <d v="2023-05-24T00:00:00"/>
    <n v="22023001314"/>
    <s v="2023 10 2312 22799"/>
    <n v="-16899.580000000002"/>
    <x v="7"/>
    <s v="LIBERAR CREDITO PRORROGA ESTANCIAS DIURNAS-UC1 RONDILLA (16 PLAZAS) EN Y FEB23-X ENT.VIGOR NUEVO CONTRATO EN ENERO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2378"/>
    <s v="D"/>
    <d v="2023-05-19T00:00:00"/>
    <n v="22023000268"/>
    <s v="2023 11 1321 213"/>
    <n v="839.74"/>
    <x v="283"/>
    <s v="ACUERDO MARCO. SUMINISTRO DE TONER IMPRESORAS GABINETE TÉCNICO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4848"/>
    <s v="AD/"/>
    <d v="2023-05-24T00:00:00"/>
    <n v="22023001315"/>
    <s v="2023 10 2312 22799"/>
    <n v="-118297.09"/>
    <x v="7"/>
    <s v="LIBERAR CRED.PRORROGA ESTANCIAS DIURNAS 7 UCS: UC2 ROND,Z.SUR,HTA.REY,D-ARCA Y Z.ESTE-EN Y FE23-X ENTRADA VIGOR CONT.NUE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3639"/>
    <s v="AD"/>
    <d v="2023-04-10T00:00:00"/>
    <n v="22023003698"/>
    <s v="2023 05 4331 22799"/>
    <n v="3993"/>
    <x v="680"/>
    <s v="SERVICIOS DE AUDITORÍA PARA CONTROL EXTERNO DE PRIMER NIVEL DE LOS PROY.EUROPEOS URBAN GREENUP Y TRANSICIÓN VERDE CENCYL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100"/>
    <s v="AD"/>
    <d v="2023-04-25T00:00:00"/>
    <n v="22023002097"/>
    <s v="2023 10 2412 22199"/>
    <n v="1521.61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5942"/>
    <s v="AD"/>
    <d v="2023-04-26T00:00:00"/>
    <n v="22023003911"/>
    <s v="2023 10 2412 213"/>
    <n v="111.74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5100"/>
    <s v="AD"/>
    <d v="2023-04-25T00:00:00"/>
    <n v="22023002096"/>
    <s v="2023 10 2412 22199"/>
    <n v="85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639"/>
    <s v="AD"/>
    <d v="2023-04-10T00:00:00"/>
    <n v="22023003699"/>
    <s v="2023 05 4331 22799"/>
    <n v="1331"/>
    <x v="680"/>
    <s v="SERVICIOS DE AUDITORÍA PARA CONTROL EXTERNO DE PRIMER NIVEL DE LOS PROY.EUROPEOS URBAN GREENUP Y TRANSICIÓN VERDE CENCYL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5100"/>
    <s v="AD"/>
    <d v="2023-04-25T00:00:00"/>
    <n v="22023002095"/>
    <s v="2023 10 2412 22199"/>
    <n v="35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5100"/>
    <s v="AD"/>
    <d v="2023-04-25T00:00:00"/>
    <n v="22023002098"/>
    <s v="2023 10 2412 22199"/>
    <n v="10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612"/>
    <s v="AD"/>
    <d v="2023-04-10T00:00:00"/>
    <n v="22023002944"/>
    <s v="2023 05 4331 214"/>
    <n v="89.66"/>
    <x v="791"/>
    <s v="REVISIÓN Y REPARACIÓN VEHÍCULO ZOE MATRICULA 6048JPN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05"/>
    <x v="7"/>
    <s v="4331"/>
    <s v="4331. Desarrollo empresarial"/>
    <s v="21"/>
    <s v="214"/>
  </r>
  <r>
    <n v="220230014230"/>
    <s v="AD"/>
    <d v="2023-04-20T00:00:00"/>
    <n v="22023003907"/>
    <s v="2023 05 4331 22799"/>
    <n v="471.9"/>
    <x v="680"/>
    <s v="CONT DE SERVICIOS AUDITORIA Y CONTROL EXTERNO DEL PROYECTO EUROPEO- PGI05173_ PE4TRANS-INTERREG EUROPE.REF 920220014461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4865"/>
    <s v="AD"/>
    <d v="2023-05-24T00:00:00"/>
    <n v="22023004667"/>
    <s v="2023 03 9241 212"/>
    <n v="94.27"/>
    <x v="469"/>
    <s v="SUM. MATERIALES TRABAJOS DE FONTANERÍA EN LOCAL AV SANTOS PILARICA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5390"/>
    <s v="AD"/>
    <d v="2023-05-26T00:00:00"/>
    <n v="22023004700"/>
    <s v="2023 06 3231 212"/>
    <n v="1210"/>
    <x v="469"/>
    <s v="SUMINISTRO DE MATERIAL DE SANEAMIENTO Y CALEFACCIÓN PARA LAS ESCUELAS INFANTILES MUNICIPALES. AÑO 2023.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1"/>
    <s v="212"/>
  </r>
  <r>
    <n v="220230016837"/>
    <s v="AD"/>
    <d v="2023-05-02T00:00:00"/>
    <n v="22023003843"/>
    <s v="2023 06 3232 213"/>
    <n v="17871.7"/>
    <x v="914"/>
    <s v="CONTRATO DE SERVICIOS PARA LA MEJORA DE LOS CIRCUITOS ELECTRICOS Y DE FONTANERÍA EN LOS COLEGIOS PÚBLICOS. HASTA 31/12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5951"/>
    <s v="AD"/>
    <d v="2023-04-26T00:00:00"/>
    <n v="22023003944"/>
    <s v="2023 03 9241 22699"/>
    <n v="980.1"/>
    <x v="255"/>
    <s v="ESTORES MOTORIZADOS PARA CC ZONA SUR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0796"/>
    <s v="AD"/>
    <d v="2023-05-16T00:00:00"/>
    <n v="22023004542"/>
    <s v="2023 03 9241 22699"/>
    <n v="319.44"/>
    <x v="255"/>
    <s v="SUMINISTRO DE BOLSAS PARAGUAS PARA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2641"/>
    <s v="AD"/>
    <d v="2023-05-22T00:00:00"/>
    <n v="22023004616"/>
    <s v="2023 11 3111 22106"/>
    <n v="564.12"/>
    <x v="682"/>
    <s v="GESTION DE RESIDUOS SANITARIOS BIOCONTAMINADOS Y MEDICAMENTOS CADUCADOS AÑO 2023"/>
    <s v="220"/>
    <s v="ALDEAMAYOR DE SAN MARTÍN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06"/>
  </r>
  <r>
    <n v="220230024877"/>
    <s v="AD"/>
    <d v="2023-05-24T00:00:00"/>
    <n v="22023004571"/>
    <s v="2023 10 2316 22616"/>
    <n v="1149.5"/>
    <x v="915"/>
    <s v="SERVICIO DE SONIDO Y MEGAFONIA PARA CELEBRACION DIA DEL ALFABETO CIRILICO - 20-5-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78"/>
    <s v="AD"/>
    <d v="2023-04-26T00:00:00"/>
    <n v="22023004066"/>
    <s v="2023 06 2315 22611"/>
    <n v="180"/>
    <x v="98"/>
    <s v="CURSO DE USO DE REDES SOCIALES EN EL CENTRO MUNICIPAL DE LA IGUALDAD /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13385"/>
    <s v="AD"/>
    <d v="2023-04-04T00:00:00"/>
    <n v="22023003742"/>
    <s v="2023 04 9231 22705"/>
    <n v="2157.19"/>
    <x v="695"/>
    <s v="IMPRESION Y ENSOBRADO NOTIFICACIONES MIEMBROS MESAS ELECTORALES - ELECCIONES MUNICIPALES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15099"/>
    <s v="AD/"/>
    <d v="2023-04-25T00:00:00"/>
    <n v="22023002095"/>
    <s v="2023 10 2412 22199"/>
    <n v="-74.48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3378"/>
    <s v="AD"/>
    <d v="2023-04-04T00:00:00"/>
    <n v="22023003592"/>
    <s v="2023 10 2412 22106"/>
    <n v="1000"/>
    <x v="916"/>
    <s v="SUMINISTRO DE MATERIAL SOCIO-SANITARIO PARA EL CURSO DE V. CUIDA VI EN 2023 DEL C. DE F. PARA EL EMPLEO-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06"/>
  </r>
  <r>
    <n v="220230015942"/>
    <s v="AD"/>
    <d v="2023-04-26T00:00:00"/>
    <n v="22023003910"/>
    <s v="2023 10 2412 213"/>
    <n v="78.56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3998"/>
    <s v="AD"/>
    <d v="2023-04-17T00:00:00"/>
    <n v="22023003174"/>
    <s v="2023 04 3121 22706"/>
    <n v="28154.35"/>
    <x v="917"/>
    <s v="REAJUSTE DE ANUALIDADES DEL CONTRATO DE ANALISIS CLINICOS. DEPARTAMENTO DE PREVENCION Y SALUD LABORAL"/>
    <s v="220"/>
    <s v="ESPLUGUES DE LLOBREGAT"/>
    <s v="BARCELONA"/>
    <x v="1"/>
    <s v="PrAbier - Procedimiento Abierto"/>
    <s v="MultiC - MultiCriterio"/>
    <x v="0"/>
    <x v="1"/>
    <s v="2"/>
    <s v="2. Gastos corrientes en bienes y servicios"/>
    <s v="04"/>
    <x v="5"/>
    <s v="3121"/>
    <s v="3121. Prevención y salud laboral"/>
    <s v="22"/>
    <s v="22706"/>
  </r>
  <r>
    <n v="220230013751"/>
    <s v="AD"/>
    <d v="2023-04-11T00:00:00"/>
    <n v="22023003763"/>
    <s v="2023 06 3321 22199"/>
    <n v="1353.32"/>
    <x v="918"/>
    <s v="CTTO SUMINISTRO CINTAS TEJUELADO PROCESO TÉCNICO FONDOS Y ROTULACIÓN BIBLIOTECAS PÚBLICAS//AÑO 2023"/>
    <s v="220"/>
    <s v="VALMOJADO 105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199"/>
  </r>
  <r>
    <n v="220230020473"/>
    <s v="AD"/>
    <d v="2023-05-11T00:00:00"/>
    <n v="22023004418"/>
    <s v="2023 05 4331 22799"/>
    <n v="4477"/>
    <x v="919"/>
    <s v="Asistencia Técnica para la redacción de Informe de Capitalización de Jornada Misión ESPAÑA - PORTUGAL"/>
    <s v="220"/>
    <s v="MADRID"/>
    <s v="MADR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20065899"/>
    <s v="AD"/>
    <d v="2023-04-21T00:00:00"/>
    <n v="22022008190"/>
    <s v="2023 10 2311 633"/>
    <n v="2700.72"/>
    <x v="248"/>
    <s v="SUMINISTRO E INSTALACIÓN DE CALDERA DE CONDENSACIÓN VAILLANT POR AVERIA"/>
    <s v="220"/>
    <s v="VALLADOLID"/>
    <s v="VALLADOLID"/>
    <x v="3"/>
    <s v="AdDirec - Adjudicación Directa"/>
    <s v="SinC - Sin Criterio"/>
    <x v="3"/>
    <x v="1"/>
    <s v="6"/>
    <s v="6. Inversiones reales"/>
    <s v="10"/>
    <x v="1"/>
    <s v="2311"/>
    <s v="2311. Intervención social"/>
    <s v="63"/>
    <s v="633"/>
  </r>
  <r>
    <n v="220230021940"/>
    <s v="AD"/>
    <d v="2023-05-18T00:00:00"/>
    <n v="22023004585"/>
    <s v="2023 09 3341 22609"/>
    <n v="7139"/>
    <x v="920"/>
    <s v="RUTA TEATRALIZADA SOBRE CERVANTES ACTIVIDAD DE DINAMIZACION DE LA FERIA DEL LIBRO DE VALLADOLID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5942"/>
    <s v="AD"/>
    <d v="2023-04-26T00:00:00"/>
    <n v="22023001265"/>
    <s v="2023 10 2412 213"/>
    <n v="73.33"/>
    <x v="131"/>
    <s v="MANTENIMIENTO ASCENSOR DEL CENTRO DE FORMACION PARA EL EMPLEO- J. BENAVENTE DEL 1 DE ENERO AL 31 DE DICIEMBRE DE 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13650"/>
    <s v="AD"/>
    <d v="2023-04-10T00:00:00"/>
    <n v="22023003642"/>
    <s v="2023 05 4331 22799"/>
    <n v="16867.400000000001"/>
    <x v="921"/>
    <s v="CONTRATO PRESTACIÓN DE SERVICIOS DE GESTIÓN EVENTO: ENCUENTRO MISIÓN ESPAÑA-PORTUGAL:HACIA LA NEUTRALIDAD CLIMÁTICA 2030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3633"/>
    <s v="AD"/>
    <d v="2023-04-10T00:00:00"/>
    <n v="22023003425"/>
    <s v="2023 05 4331 22799"/>
    <n v="14288.29"/>
    <x v="921"/>
    <s v="CONTRATO MENOR DE SERVICIOS GESTION EVENTO INTERNACIONAL URBAN GREENUP EL 29 DE MARZO DE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1941"/>
    <s v="AD"/>
    <d v="2023-05-18T00:00:00"/>
    <n v="22023004570"/>
    <s v="2023 05 4331 22799"/>
    <n v="2755.47"/>
    <x v="921"/>
    <s v="GESTIÓN EVENTO JORNADA DE NETWORKING Y PUBLICIDAD ENCUENTRO AYUDAS DESCARBONIZACIÓN SOBRE LA CONCESIÓN DE SUBVENCIONES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5214"/>
    <s v="AD"/>
    <d v="2023-05-25T00:00:00"/>
    <n v="22023004638"/>
    <s v="2023 04 9202 16204"/>
    <n v="2160"/>
    <x v="922"/>
    <s v="RELOJES SEÑORA CELEBRACIÓN STA. RITA 2023."/>
    <s v="220"/>
    <s v="VALLADOLID"/>
    <s v="VALLADOLID"/>
    <x v="3"/>
    <s v="AdDirec - Adjudicación Directa"/>
    <s v="SinC - Sin Criterio"/>
    <x v="3"/>
    <x v="1"/>
    <s v="1"/>
    <s v="1. Gastos de personal"/>
    <s v="04"/>
    <x v="5"/>
    <s v="9202"/>
    <s v="9202. Gestión de recursos humanos"/>
    <s v="16"/>
    <s v="16204"/>
  </r>
  <r>
    <n v="220230026538"/>
    <s v="D"/>
    <d v="2023-05-31T00:00:00"/>
    <n v="22023000263"/>
    <s v="2023 02 9332 214"/>
    <n v="354.41"/>
    <x v="721"/>
    <s v="SALIDA GRUA REMOLCAR ( SALIDA GRUA DE REMOLCAR PARA LLEVAR MINI ESCAVADORA CON MATRICULA VA37960VE DESDE CALLE TOPACIO(V"/>
    <s v="300"/>
    <s v="LA CISTERNIGA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4"/>
  </r>
  <r>
    <n v="220230020476"/>
    <s v="AD"/>
    <d v="2023-05-11T00:00:00"/>
    <n v="22023004439"/>
    <s v="2023 08 1532 22199"/>
    <n v="6050"/>
    <x v="923"/>
    <s v="FABRICACIÓN Y SUMINISTRO DE 50 CUBETOS DE MADERA ESTANCOS PARA ASFALTO FUNDIDO."/>
    <s v="220"/>
    <s v="NAVA DEL REY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99"/>
  </r>
  <r>
    <n v="220220051018"/>
    <s v="AD"/>
    <d v="2023-04-21T00:00:00"/>
    <n v="22023004138"/>
    <s v="2023 11 1361 632"/>
    <n v="38236"/>
    <x v="924"/>
    <s v="Reparación del Torreón del Parque Central de Bomberos; SEISYPC"/>
    <s v="220"/>
    <s v="VALLADOLID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  <r>
    <n v="220230016025"/>
    <s v="AD"/>
    <d v="2023-04-26T00:00:00"/>
    <n v="22023004178"/>
    <s v="2023 11 1361 213"/>
    <n v="515.55999999999995"/>
    <x v="925"/>
    <s v="Reparaciones de 1 chaquetón y 4 cubrepantalones BRISTOL; SEISYPC."/>
    <s v="220"/>
    <s v="RUBÍ"/>
    <s v="BARCELONA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17057"/>
    <s v="AD"/>
    <d v="2023-05-02T00:00:00"/>
    <n v="22023003899"/>
    <s v="2023 11 1631 22700"/>
    <n v="16494.5"/>
    <x v="22"/>
    <s v="LIMPIEZA PLAYA MORERAS PERIODO ESTIVAL CON MAQUINARIA ESPECÍFICA DEL 24/06/23 AL 11/09/23 PARA LIMPIEZA VIARI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700"/>
  </r>
  <r>
    <n v="220230015981"/>
    <s v="AD"/>
    <d v="2023-04-26T00:00:00"/>
    <n v="22023004025"/>
    <s v="2023 09 3341 22609"/>
    <n v="6328.3"/>
    <x v="926"/>
    <s v="SERVICIO DE TRADUCCION SIMULTANEA FERIA DEL LIBRO VALLADOLID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13738"/>
    <s v="AD"/>
    <d v="2023-04-11T00:00:00"/>
    <n v="22023003782"/>
    <s v="2023 09 4321 22799"/>
    <n v="1790.8"/>
    <x v="725"/>
    <s v="DISEÑO CAMPAÑA DIFUSION DIA INTERNACIONAL DE LOS MUSEOS Y NOCHE EUROPEA DE LOS MUSEOS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4321"/>
    <s v="4321. Turismo"/>
    <s v="22"/>
    <s v="22799"/>
  </r>
  <r>
    <n v="220230025213"/>
    <s v="AD"/>
    <d v="2023-05-25T00:00:00"/>
    <n v="22023004757"/>
    <s v="2023 10 2316 22699"/>
    <n v="242"/>
    <x v="727"/>
    <s v="Traslado sillas a Cúpula Milenio para acto Convención iglesias evangélicas.Actividad diversidad relig. Plan Convive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99"/>
  </r>
  <r>
    <n v="220230020539"/>
    <s v="AD"/>
    <d v="2023-05-12T00:00:00"/>
    <n v="22023004431"/>
    <s v="2023 10 2311 632"/>
    <n v="1868.24"/>
    <x v="248"/>
    <s v="INSTALACION, PUESTA EN MARCHA Y EMISION BOLETINES CALDERA HERMAN EN VVDA CALLE MISERICORDIA 3, BAJO D"/>
    <s v="220"/>
    <s v="VALLADOLID"/>
    <s v="VALLADOLID"/>
    <x v="1"/>
    <s v="AdDirec - Adjudicación Directa"/>
    <s v="SinC - Sin Criterio"/>
    <x v="3"/>
    <x v="1"/>
    <s v="6"/>
    <s v="6. Inversiones reales"/>
    <s v="10"/>
    <x v="1"/>
    <s v="2311"/>
    <s v="2311. Intervención social"/>
    <s v="63"/>
    <s v="632"/>
  </r>
  <r>
    <n v="220230016854"/>
    <s v="AD"/>
    <d v="2023-05-02T00:00:00"/>
    <n v="22023004194"/>
    <s v="2023 03 9241 22699"/>
    <n v="290.39999999999998"/>
    <x v="55"/>
    <s v="SERVICIO DE RECOGIDA Y TRASLADO DE ENSERES EN CC DELICIA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5382"/>
    <s v="AD"/>
    <d v="2023-05-26T00:00:00"/>
    <n v="22023004534"/>
    <s v="2023 04 9202 22607"/>
    <n v="5481.8"/>
    <x v="735"/>
    <s v="TASA USO ESPACIO PÚBLICO, ESCUELA INGENIERÍA INFORMÁTICA, PARA 2 EJERCICIO DE 26 AUX.ADMVO.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356"/>
    <s v="AD"/>
    <d v="2023-04-25T00:00:00"/>
    <n v="22023003908"/>
    <s v="2023 04 9202 22607"/>
    <n v="1436.55"/>
    <x v="735"/>
    <s v="AULAS FACULTAD CIENCIAS ECONÓMICAS Y E. PARA PRIMER EJERCICIO 8 PLAZAS CONDUCTOR EL 6 DE MAYO DE 2023. PER-999/2022.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15082"/>
    <s v="AD"/>
    <d v="2023-04-25T00:00:00"/>
    <n v="22023003716"/>
    <s v="2023 11 1361 624"/>
    <n v="4393.3900000000003"/>
    <x v="927"/>
    <s v="Material antiincendios vario para equipamiento remolques NRBQ y BREC de nueva adquisición;SEISYPC."/>
    <s v="220"/>
    <s v="VITORIA"/>
    <s v="ALAVA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4"/>
  </r>
  <r>
    <n v="220230017049"/>
    <s v="AD"/>
    <d v="2023-05-02T00:00:00"/>
    <n v="22023004097"/>
    <s v="2023 11 1621 22199"/>
    <n v="1946.29"/>
    <x v="740"/>
    <s v="COMPRA TALONARIOS DE PARTES DE CONDUCTOR DIARIOS 1000x50x2.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13638"/>
    <s v="AD"/>
    <d v="2023-04-10T00:00:00"/>
    <n v="22023003758"/>
    <s v="2023 04 9231 22705"/>
    <n v="720"/>
    <x v="332"/>
    <s v="ANUNCIO EXPOSICION CENSO ELECTORAL 9 Y 10 ABRIL 2023 - TRIBUNA DIGITAL"/>
    <s v="220"/>
    <s v="SALAMANCA"/>
    <s v="SALAMANCA"/>
    <x v="1"/>
    <s v="PrAbier - Procedimiento Abierto"/>
    <s v="MultiC - MultiCriterio"/>
    <x v="1"/>
    <x v="1"/>
    <s v="2"/>
    <s v="2. Gastos corrientes en bienes y servicios"/>
    <s v="04"/>
    <x v="5"/>
    <s v="9231"/>
    <s v="9231. Información, registro y gestión del padrón"/>
    <s v="22"/>
    <s v="22705"/>
  </r>
  <r>
    <n v="220230022646"/>
    <s v="AD"/>
    <d v="2023-05-22T00:00:00"/>
    <n v="22023004629"/>
    <s v="2023 09 3341 22699"/>
    <n v="302.5"/>
    <x v="740"/>
    <s v="SUMINISTRO PAPEL NECESARIO PARA TRABAJOS A REALIZAR POR LA IMPRENTA MUNICIPAL PARA EL AREA DE CULTURA Y TURISMO"/>
    <s v="220"/>
    <s v="VALLADOLID"/>
    <s v="VALLADOLID"/>
    <x v="3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99"/>
  </r>
  <r>
    <n v="220230020795"/>
    <s v="AD"/>
    <d v="2023-05-16T00:00:00"/>
    <n v="22023004541"/>
    <s v="2023 03 9241 22602"/>
    <n v="3630"/>
    <x v="531"/>
    <s v="RADIO MARCA: EMISIÓN EN DIRECTO DEL CONGRESO DE DEPORTE DESDE LA FERIA DE VALLADOLID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12964"/>
    <s v="AD"/>
    <d v="2023-04-03T00:00:00"/>
    <n v="22023002888"/>
    <s v="2023 11 1621 22199"/>
    <n v="124.26"/>
    <x v="740"/>
    <s v="SUMINISTRO DE RESMAS DE PAPEL A LA IMPRENTA MUNICIPAL PARA 100 TALONARIOS PETICIÓN Y AUTORIZACIÓN. SERVICIO DE LIMPIEZA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20535"/>
    <s v="AD"/>
    <d v="2023-05-12T00:00:00"/>
    <n v="22023004387"/>
    <s v="2023 10 2311 213"/>
    <n v="101.98"/>
    <x v="928"/>
    <s v="COMPROBACIÓN FUNCIONAMIENTO CALDERA DE VVDA EN VINOS DE RUEDA 22, 3M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3"/>
  </r>
  <r>
    <n v="220230015359"/>
    <s v="AD"/>
    <d v="2023-04-25T00:00:00"/>
    <n v="22023003901"/>
    <s v="2023 05 4312 22799"/>
    <n v="61.6"/>
    <x v="928"/>
    <s v="AVERIA EN LA CALDERA DE LA OFICINA DE VENTA AMBULANTE SITA CALLE HOSTIEROS.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99"/>
  </r>
  <r>
    <n v="220230016863"/>
    <s v="AD"/>
    <d v="2023-05-02T00:00:00"/>
    <n v="22023004299"/>
    <s v="2023 10 2316 22616"/>
    <n v="100.2"/>
    <x v="744"/>
    <s v="Gastos desplazamiento de uno de los ponentes del Festival de Cine Mirada gitana, actividad de la XX Semana Intercultural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20793"/>
    <s v="AD"/>
    <d v="2023-05-16T00:00:00"/>
    <n v="22023004521"/>
    <s v="2023 10 2311 22699"/>
    <n v="100.2"/>
    <x v="744"/>
    <s v="Desplazamiento ponente acción formativa Ley 8/2021 dirigido personal relacionado con servicios/equipos familia-infancia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18152"/>
    <s v="AD"/>
    <d v="2023-05-08T00:00:00"/>
    <n v="22023004258"/>
    <s v="2023 11 1361 214"/>
    <n v="122.14"/>
    <x v="929"/>
    <s v="Revisión inspección de dos vehículos eléctricos 8111LPS y 8126LPS; SEISYPC"/>
    <s v="220"/>
    <s v="BARCELONA"/>
    <s v="BARCELONA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4"/>
  </r>
  <r>
    <n v="220230022621"/>
    <s v="AD/"/>
    <d v="2023-05-22T00:00:00"/>
    <n v="22023002631"/>
    <s v="2023 07 1701 22699"/>
    <n v="-1503.37"/>
    <x v="747"/>
    <s v="Anulación operación anterior"/>
    <s v="220"/>
    <s v="VALLADOLID"/>
    <s v="VALLADOLID"/>
    <x v="1"/>
    <s v="AdDirec - Adjudicación Directa"/>
    <s v="SinC - Sin Criterio"/>
    <x v="3"/>
    <x v="1"/>
    <s v="2"/>
    <s v="2. Gastos corrientes en bienes y servicios"/>
    <s v="07"/>
    <x v="4"/>
    <s v="1701"/>
    <s v="1701. Dirección del área de medio ambiente"/>
    <s v="22"/>
    <s v="22699"/>
  </r>
  <r>
    <n v="220230018163"/>
    <s v="AD"/>
    <d v="2023-05-08T00:00:00"/>
    <n v="22023004371"/>
    <s v="2023 10 2316 22616"/>
    <n v="338.8"/>
    <x v="763"/>
    <s v="IMPRESION MATERIAL Y ROLL UP XX SEMANA INTERCULTURAL Y FESTIVAL CINE &quot;&quot;MIRADA GITANA&quot;&quot;. MAY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5956"/>
    <s v="AD"/>
    <d v="2023-04-26T00:00:00"/>
    <n v="22023003921"/>
    <s v="2023 10 2316 22616"/>
    <n v="72.599999999999994"/>
    <x v="763"/>
    <s v="IMPRESIÓN DE 70 DÍPTICOS Y 5 CARTELES DE LA JORNADA DERECHO AL TRABAJO - XX SEMANA INTERCULTURAL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18630"/>
    <s v="D"/>
    <d v="2023-05-09T00:00:00"/>
    <n v="22023001549"/>
    <s v="2023 07 1711 22199"/>
    <n v="62.34"/>
    <x v="445"/>
    <s v="K7801M-16 VASO DE IMPACTO CON CUADRADILLO DE 1/2 etc / 66253050276  MUELA NORTON 200X25X32  39C80K FILAD.CARB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18882"/>
    <s v="D"/>
    <d v="2023-05-10T00:00:00"/>
    <n v="22023001514"/>
    <s v="2023 11 1361 22199"/>
    <n v="476.56"/>
    <x v="445"/>
    <s v="610966 596/6A COTRAVARILLAS 600 UNIOR / 603979 231.7/4 ADAPTADOR 1/2 DE IMPACTO 1/2 3/4 UNIOR / 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0111"/>
    <s v="D"/>
    <d v="2023-05-11T00:00:00"/>
    <n v="22023001466"/>
    <s v="2023 11 1621 22199"/>
    <n v="288.97000000000003"/>
    <x v="445"/>
    <s v="MT-503  7-100 ENGRASADOR RECTO / MT-508  7-100 ENGRASADOR 90 / 57.10X12.../ AM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5099"/>
    <s v="AD/"/>
    <d v="2023-04-25T00:00:00"/>
    <n v="22023002098"/>
    <s v="2023 10 2412 22199"/>
    <n v="-500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0960"/>
    <s v="D"/>
    <d v="2023-05-16T00:00:00"/>
    <n v="22023001475"/>
    <s v="2023 11 1631 22110"/>
    <n v="514.73"/>
    <x v="445"/>
    <s v="BONDERITE C-MC 3000 D2 JC20KG DESENGRASANTE MANTENIMIENTO LOCTITE 1290340 / AM EXP V36/2017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22595"/>
    <s v="D"/>
    <d v="2023-05-19T00:00:00"/>
    <n v="22023000273"/>
    <s v="2023 11 1321 22199"/>
    <n v="206.61"/>
    <x v="445"/>
    <s v="ACUERDO MARCO. SUMINISTRO DE MATERIAL DE FERRETERIA Y FONTANERIA PARA DEPENDENCIAS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5099"/>
    <s v="AD/"/>
    <d v="2023-04-25T00:00:00"/>
    <n v="22023002096"/>
    <s v="2023 10 2412 22199"/>
    <n v="-653.62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6159"/>
    <s v="D"/>
    <d v="2023-05-31T00:00:00"/>
    <n v="22023001670"/>
    <s v="2023 01 9206 22001"/>
    <n v="447.3"/>
    <x v="930"/>
    <s v="MEMENTO CONTRATO DE TRABAJO 2023-2024 / MEMENTO ADMINISTRATIVO 2023 / ADMINISTRACION LOCAL PRACTICA 5ª ED / TODO ADMINIS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1"/>
    <s v="D"/>
    <d v="2023-05-31T00:00:00"/>
    <n v="22023001670"/>
    <s v="2023 01 9206 22001"/>
    <n v="229.51"/>
    <x v="930"/>
    <s v="RÉGIMEN JURÍDICO ESTATAL Y AUTONÓMICO DEL PATRIMONIO MUNICIPAL DE SUELO / NUEVO DERECHO URBANISTICO CASTILLA LEON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3"/>
    <s v="D"/>
    <d v="2023-05-31T00:00:00"/>
    <n v="22023001670"/>
    <s v="2023 01 9206 22001"/>
    <n v="206.86"/>
    <x v="930"/>
    <s v="CASOS PRACTICOS SECRETARIOS TÉCNICOS ADMINISTRACIÓN LOCAL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5"/>
    <s v="D"/>
    <d v="2023-05-31T00:00:00"/>
    <n v="22023001670"/>
    <s v="2023 01 9206 22001"/>
    <n v="195.98"/>
    <x v="930"/>
    <s v="GUÍA DEL JARDÍN DE POLINIZADORES FERNANDO FUEYO / PLANTING DESIGN FOR DRY GARDENS : BEAUTIFUL, RESILIENT GROUNDCOVE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167"/>
    <s v="D"/>
    <d v="2023-05-31T00:00:00"/>
    <n v="22023001670"/>
    <s v="2023 01 9206 22001"/>
    <n v="187.2"/>
    <x v="930"/>
    <s v="MEMENTO MEMENTIX HACIENDA IMPUESTOS LOCALES 2023 // RENOVACIÓN 05/2023 A 05/2024"/>
    <s v="300"/>
    <s v="MADRID"/>
    <s v="MADR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001"/>
  </r>
  <r>
    <n v="220230026517"/>
    <s v="D"/>
    <d v="2023-05-31T00:00:00"/>
    <n v="22023001466"/>
    <s v="2023 11 1621 22199"/>
    <n v="32.08"/>
    <x v="445"/>
    <s v="608821  300/6B DESENCOFRADOR 1000   UNIOR / ACUERDO MARCO DE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038"/>
    <s v="D"/>
    <d v="2023-04-27T00:00:00"/>
    <n v="22023000263"/>
    <s v="2023 02 9332 214"/>
    <n v="356.42"/>
    <x v="464"/>
    <s v="PINCHAZO ( TURISMO+EQUILIBRADO 8776LWS ) / 185/65R15 TRACMAX 92H 4EST ( 8367-JKB  ) / S.I. GESTION DE NFU  (  CAT. B  83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223"/>
    <s v="D"/>
    <d v="2023-04-27T00:00:00"/>
    <n v="22023000213"/>
    <s v="2023 11 1321 214"/>
    <n v="1661.04"/>
    <x v="464"/>
    <s v="ACUERDO MARCO. SUSTITUCIÓN DE NEUMÁTICOS VARIOS VEHÍCULOS DE POLICÍA MUNICIPAL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50"/>
    <s v="D"/>
    <d v="2023-04-27T00:00:00"/>
    <n v="22023001608"/>
    <s v="2023 08 1532 214"/>
    <n v="24.2"/>
    <x v="464"/>
    <s v="PINCHAZO (TURISMO + EQUILIBRADO 4173-LSL)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3218"/>
    <s v="D"/>
    <d v="2023-05-22T00:00:00"/>
    <n v="22023000213"/>
    <s v="2023 11 1321 214"/>
    <n v="1243.25"/>
    <x v="464"/>
    <s v="ACUERDO MARCO. SUSTITUCIÓN RUEDAS VEHÍCULOS POLICÍA (2098-HCN) / S.I. GESTION DE NFU  (CAT. B 2098-HCN) /  (0649-HH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52"/>
    <s v="D"/>
    <d v="2023-05-31T00:00:00"/>
    <n v="22023000263"/>
    <s v="2023 02 9332 214"/>
    <n v="30.25"/>
    <x v="464"/>
    <s v="PINCHAZO FURGÓN (MAS EQUILIBRADO 6989-MBW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26414"/>
    <s v="D"/>
    <d v="2023-05-31T00:00:00"/>
    <n v="22023004052"/>
    <s v="2023 11 1621 214"/>
    <n v="2678.06"/>
    <x v="464"/>
    <s v="CUBIERTA RECAUCHUTADA (315/80R22,5 XDY3 0999-FVN) / CUBIERTA NUEVA (315/80R22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418"/>
    <s v="D"/>
    <d v="2023-05-31T00:00:00"/>
    <n v="22023004048"/>
    <s v="2023 11 1631 214"/>
    <n v="30.25"/>
    <x v="464"/>
    <s v="PINCHAZO FURGON (MÁS EQUILIBRADO 1211-DPF) 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0235"/>
    <s v="D"/>
    <d v="2023-05-11T00:00:00"/>
    <n v="22023002013"/>
    <s v="2023 0650 3321 629"/>
    <n v="1500"/>
    <x v="931"/>
    <s v="ADQUISICIÓN FONDO BIBLIOGRÁFICO BIBLIOT MARTIN ABRIL-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12"/>
    <s v="D"/>
    <d v="2023-05-18T00:00:00"/>
    <n v="22023003137"/>
    <s v="2023 06 3321 629"/>
    <n v="131.35"/>
    <x v="931"/>
    <s v="SE-EIJI 19/2020 PS4. PRORROGA A.M SUMINISTRO FONDOS BIBLIOGRAFICOS  BIBLIOTECAS MUNICIPALES//LOTE1 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22061"/>
    <s v="D"/>
    <d v="2023-05-18T00:00:00"/>
    <n v="22023002013"/>
    <s v="2023 0650 3321 629"/>
    <n v="1500"/>
    <x v="849"/>
    <s v="ADQUISICIÓN DE FONDO  BIBLIOGRAFICO  PARA P. LECTURA-PUENTE DUERO- 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63"/>
    <s v="D"/>
    <d v="2023-05-18T00:00:00"/>
    <n v="22023002013"/>
    <s v="2023 0650 3321 629"/>
    <n v="1500"/>
    <x v="849"/>
    <s v="ADQUISICIÓN DE FONDO BIBLIOGRÁFICO P. LECTURA OVERUELA-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66"/>
    <s v="D"/>
    <d v="2023-05-18T00:00:00"/>
    <n v="22023002013"/>
    <s v="2023 0650 3321 629"/>
    <n v="1500"/>
    <x v="849"/>
    <s v="ADQUISICIÓN FONDO BIBLIOGRÁFICO PUNTO  LECTURA  LAS FLORES- NEXT GENERATION EU-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68"/>
    <s v="D"/>
    <d v="2023-05-18T00:00:00"/>
    <n v="22023002013"/>
    <s v="2023 0650 3321 629"/>
    <n v="1500"/>
    <x v="849"/>
    <s v="ADQUISICION FONDO BIBLIOGRAFICO P.LECTURA S.PEDRO REGALADO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0247"/>
    <s v="D"/>
    <d v="2023-05-11T00:00:00"/>
    <n v="22023002013"/>
    <s v="2023 0650 3321 629"/>
    <n v="1500"/>
    <x v="932"/>
    <s v="ADQUISICIÓN FONDO BIBLIOGRÁFICO PUNTO LECTURA BELÉN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0249"/>
    <s v="D"/>
    <d v="2023-05-11T00:00:00"/>
    <n v="22023002013"/>
    <s v="2023 0650 3321 629"/>
    <n v="1500"/>
    <x v="932"/>
    <s v="ADQUISICIÓN FONDO BIBLIOGRÁFICO BLIBLOT PARQUE ALAMEDA-NEXT GE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15099"/>
    <s v="AD/"/>
    <d v="2023-04-25T00:00:00"/>
    <n v="22023002097"/>
    <s v="2023 10 2412 22199"/>
    <n v="-1593.51"/>
    <x v="145"/>
    <s v="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16203"/>
    <s v="D"/>
    <d v="2023-04-27T00:00:00"/>
    <n v="22023000270"/>
    <s v="2023 11 1321 214"/>
    <n v="274.48"/>
    <x v="465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0115"/>
    <s v="D"/>
    <d v="2023-05-11T00:00:00"/>
    <n v="22023001463"/>
    <s v="2023 11 1621 22103"/>
    <n v="928.07"/>
    <x v="466"/>
    <s v="ADBLUE A GRANEL / AM EXP V36/2017 /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0117"/>
    <s v="D"/>
    <d v="2023-05-11T00:00:00"/>
    <n v="22023001463"/>
    <s v="2023 11 1621 22103"/>
    <n v="883.3"/>
    <x v="466"/>
    <s v="AK-ADIGAS 6 CTN 25 L  / AM EXP V36/2017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0119"/>
    <s v="D"/>
    <d v="2023-05-11T00:00:00"/>
    <n v="22023001463"/>
    <s v="2023 11 1621 22103"/>
    <n v="441.65"/>
    <x v="466"/>
    <s v="AK-ADIGAS 6 CTN 25 L  / AM EXP V36/2017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6281"/>
    <s v="D"/>
    <d v="2023-05-31T00:00:00"/>
    <n v="22023001463"/>
    <s v="2023 11 1621 22103"/>
    <n v="1428.51"/>
    <x v="466"/>
    <s v="ADBLUE A GRANEL / ACUERDO MARCO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6589"/>
    <s v="D"/>
    <d v="2023-05-31T00:00:00"/>
    <n v="22023001463"/>
    <s v="2023 11 1621 22103"/>
    <n v="1960.2"/>
    <x v="466"/>
    <s v="ADBLUE A GRANEL / ACUERDO MARCO DE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22000"/>
    <s v="D"/>
    <d v="2023-05-18T00:00:00"/>
    <n v="22023002013"/>
    <s v="2023 0650 3321 629"/>
    <n v="1500"/>
    <x v="933"/>
    <s v="ADQUISICION FONDO BIBLIOGRÁFICO PTO LECTURA ARTURO EYRIES-NEXT GERNERATION EU-RTR-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2059"/>
    <s v="D"/>
    <d v="2023-05-18T00:00:00"/>
    <n v="22023003137"/>
    <s v="2023 06 3321 629"/>
    <n v="1411.58"/>
    <x v="933"/>
    <s v="SE-EIJI 19/2020 PS4.PRORROGA A.M SUMIN FONDOS BIBLIOGRAFICOS BIBLIOT PÚBLICAS//LOTE1//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22010"/>
    <s v="D"/>
    <d v="2023-05-18T00:00:00"/>
    <n v="22023003137"/>
    <s v="2023 06 3321 629"/>
    <n v="388.22"/>
    <x v="934"/>
    <s v="A.M SUMINISTRO FONDO BIBLIOGRAFICO BIBLIOTECAS MUNICIPALES//LOTE 1 LIBROS//2023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26477"/>
    <s v="D"/>
    <d v="2023-05-31T00:00:00"/>
    <n v="22023002013"/>
    <s v="2023 0650 3321 629"/>
    <n v="1500"/>
    <x v="934"/>
    <s v="ADQUISICIÓN FONDO BIBLIOGRÁFICO P. LECTURA ESGUEVA-UE NEXT GENERATION EU-PRTR-C24.I2.P4-DOTACIÓ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6485"/>
    <s v="D"/>
    <d v="2023-05-31T00:00:00"/>
    <n v="22023002013"/>
    <s v="2023 0650 3321 629"/>
    <n v="1500"/>
    <x v="934"/>
    <s v="ADQUISICIÓN FONDO BIBLIOGRÁFICO B.RONDILLA- FINANCIADA POR LA UE NEXT GENERATION EU-PRTR- C24.I2.P4-DOTACION BIBLIOTECAS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20241"/>
    <s v="D"/>
    <d v="2023-05-11T00:00:00"/>
    <n v="22023002013"/>
    <s v="2023 0650 3321 629"/>
    <n v="1500"/>
    <x v="935"/>
    <s v="ADQUISICIÓN FONDO BIBLIOGRÁFICO BIBLIOT PAJARILLOS &quot;&quot;A. MIAJA DE LA MUELA&quot;&quot;-NEXT GENERATION EU-RTR-C.24.I2.P4-DOTAC BIBLIO"/>
    <s v="300"/>
    <s v="VALLADOLID"/>
    <s v="VALLADOLID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16044"/>
    <s v="D"/>
    <d v="2023-04-27T00:00:00"/>
    <n v="22023002739"/>
    <s v="2023 02 9332 212"/>
    <n v="38.94"/>
    <x v="467"/>
    <s v="MANGUERA ESPIRAL 9 M C/ENGANCHE RAPIDO / CARPINTE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6077"/>
    <s v="D"/>
    <d v="2023-04-27T00:00:00"/>
    <n v="22023000274"/>
    <s v="2023 11 1321 22699"/>
    <n v="84.52"/>
    <x v="467"/>
    <s v="ACUERDO MARCO. MADERAS PARA GRUAS EN  DEPOSITO DE VEHICULOS EL PERAL / PINO NORTE V 50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699"/>
  </r>
  <r>
    <n v="220230016122"/>
    <s v="D"/>
    <d v="2023-04-27T00:00:00"/>
    <n v="22023002181"/>
    <s v="2023 06 3232 212"/>
    <n v="87.06"/>
    <x v="467"/>
    <s v="PERFIL PINO 70 X 10 / SILICONA MADERA Y COLOR / RETIRADO POR CARLOS FRANCISC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378"/>
    <s v="D"/>
    <d v="2023-04-27T00:00:00"/>
    <n v="22023001343"/>
    <s v="2023 03 9241 212"/>
    <n v="181.56"/>
    <x v="467"/>
    <s v="PERFIL PINO LAMINADO 70x45 / TIRAFONDOS 5,0 x 90 / TIRAFONDOS 5,0*100 / TACO DUOPOWER 6*30 (100 U.) 555006/ CC ZONA SUR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8445"/>
    <s v="D"/>
    <d v="2023-05-09T00:00:00"/>
    <n v="22023001549"/>
    <s v="2023 07 1711 22199"/>
    <n v="96.4"/>
    <x v="467"/>
    <s v="TRAVIESA PINO S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6243"/>
    <s v="D"/>
    <d v="2023-05-31T00:00:00"/>
    <n v="22023002536"/>
    <s v="2023 01 9203 214"/>
    <n v="290.52"/>
    <x v="325"/>
    <s v="A.M. REPARACION VEHICULO OFICIAL RENAULT LAGUNA 1426DLN, R.I."/>
    <s v="300"/>
    <s v="VALLADOLID"/>
    <s v="VALLADOLID"/>
    <x v="1"/>
    <s v="PrAbier - Procedimiento Abierto"/>
    <s v="MultiC - MultiCriterio"/>
    <x v="1"/>
    <x v="1"/>
    <s v="2"/>
    <s v="2. Gastos corrientes en bienes y servicios"/>
    <s v="01"/>
    <x v="8"/>
    <s v="9203"/>
    <s v="9203. Unidad de régimen interior"/>
    <s v="21"/>
    <s v="214"/>
  </r>
  <r>
    <n v="220230026320"/>
    <s v="D"/>
    <d v="2023-05-31T00:00:00"/>
    <n v="22023001467"/>
    <s v="2023 10 2312 212"/>
    <n v="36.659999999999997"/>
    <x v="467"/>
    <s v="MANT. SUMINISTRO DE MATERIAL PARA REPARACIONES DEL CPM DELICIAS 36.66 Y ARCA REAL 126.57- INICIATIVAS SOCIALES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320"/>
    <s v="D"/>
    <d v="2023-05-31T00:00:00"/>
    <n v="22023001468"/>
    <s v="2023 10 2312 212"/>
    <n v="126.57"/>
    <x v="467"/>
    <s v="MANT. SUMINISTRO DE MATERIAL PARA REPARACIONES DEL CPM DELICIAS 36.66 Y ARCA REAL 126.57- INICIATIVAS SOCIALES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6508"/>
    <s v="D"/>
    <d v="2023-05-31T00:00:00"/>
    <n v="22023001343"/>
    <s v="2023 03 9241 212"/>
    <n v="56.6"/>
    <x v="467"/>
    <s v="CENTRO CIVICO ZONA SUR / MANILLON ROSETAS 15 / TORNILLO MANILLA 15900001 40106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681"/>
    <s v="D"/>
    <d v="2023-05-31T00:00:00"/>
    <n v="22023003827"/>
    <s v="2023 10 2311 212"/>
    <n v="86.37"/>
    <x v="467"/>
    <s v="F - 5282 - TABLERO Y TORNILLOS - VVDA VINOS DE RUEDA 22 - MARINO DE LA FUENTE 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6543"/>
    <s v="D"/>
    <d v="2023-05-31T00:00:00"/>
    <n v="22023002739"/>
    <s v="2023 02 9332 212"/>
    <n v="9.91"/>
    <x v="383"/>
    <s v="DOBLE PULSADOR D.SENSO COMPACTO"/>
    <s v="30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13463"/>
    <s v="D"/>
    <d v="2023-04-05T00:00:00"/>
    <n v="22023001956"/>
    <s v="2023 07 1711 214"/>
    <n v="398.3"/>
    <x v="366"/>
    <s v="MATRÍCULA 3856DDD // 215/75R17.5 MULTI D MICHELIN / NFU N3 / MONTAJE RUEDA CAMION PEQUEÑO / SACAR Y COLOCAR CAMION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0950"/>
    <s v="D"/>
    <d v="2023-05-16T00:00:00"/>
    <n v="22023001956"/>
    <s v="2023 07 1711 214"/>
    <n v="138.61000000000001"/>
    <x v="366"/>
    <s v="MATRÍCULA 6747KLN // ALINEADO DE CAMIÓN / CONDUCCIÓN RECT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1050"/>
    <s v="D"/>
    <d v="2023-05-16T00:00:00"/>
    <n v="22023001599"/>
    <s v="2023 08 1651 214"/>
    <n v="27.35"/>
    <x v="366"/>
    <s v="MATRÍCULA: 1197MDS // REPARAR RUEDA FURGONETA / EQUILIBRAR RUEDA FURGONETA"/>
    <s v="300"/>
    <s v="VALLADOLID"/>
    <s v="VALLADOLID"/>
    <x v="1"/>
    <s v="PrAbier - Procedimiento Abierto"/>
    <s v="UniC - Único Criterio"/>
    <x v="1"/>
    <x v="1"/>
    <s v="2"/>
    <s v="2. Gastos corrientes en bienes y servicios"/>
    <s v="08"/>
    <x v="0"/>
    <s v="1651"/>
    <s v="1651. Alumbrado público"/>
    <s v="21"/>
    <s v="214"/>
  </r>
  <r>
    <n v="220230026214"/>
    <s v="D"/>
    <d v="2023-05-31T00:00:00"/>
    <n v="22023001956"/>
    <s v="2023 07 1711 214"/>
    <n v="22.39"/>
    <x v="366"/>
    <s v="REPARAR RUED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193"/>
    <s v="D"/>
    <d v="2023-05-31T00:00:00"/>
    <n v="22023003931"/>
    <s v="2023 07 1711 22106"/>
    <n v="387.75"/>
    <x v="490"/>
    <s v="SPORMASTER CRF MINI 20-5-10+3CAO+2MGO ENVASE 25 KG"/>
    <s v="300"/>
    <s v="MOJADO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13730"/>
    <s v="D"/>
    <d v="2023-04-11T00:00:00"/>
    <n v="22022008449"/>
    <s v="2023 03 9241 635"/>
    <n v="7044.38"/>
    <x v="255"/>
    <s v="RENOVACIÓN MOBILIARIO CENTROS DE PARTICIPACIÓN CIUDADANA LOTE 2: CENTROS MUNICIPALES Y DE INICIATIVAS"/>
    <s v="300"/>
    <s v="VALLADOLID"/>
    <s v="VALLADOLID"/>
    <x v="3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5"/>
  </r>
  <r>
    <n v="220230022008"/>
    <s v="D"/>
    <d v="2023-05-18T00:00:00"/>
    <n v="22023002013"/>
    <s v="2023 0650 3321 629"/>
    <n v="1500"/>
    <x v="936"/>
    <s v="ADQUISICIÓN FONDO BIBLIOGRÁFICO BIBLIOTECA CAMPO GRANDE-NEXT GENERATIION EU-RTR-C24.I2.P4-DOTACION BIBLIOTECAS"/>
    <s v="300"/>
    <s v="VILLANUEVA DE LOS INFANTES"/>
    <s v="CIUDAD REAL"/>
    <x v="3"/>
    <s v="PrAbier - Procedimiento Abierto"/>
    <s v="MultiC - MultiCriterio"/>
    <x v="1"/>
    <x v="1"/>
    <n v="6"/>
    <s v="6. Inversiones reales"/>
    <s v="06"/>
    <x v="2"/>
    <s v="0 33"/>
    <n v="3321"/>
    <n v="62"/>
    <n v="629"/>
  </r>
  <r>
    <n v="220230016205"/>
    <s v="D"/>
    <d v="2023-04-27T00:00:00"/>
    <n v="22023000270"/>
    <s v="2023 11 1321 214"/>
    <n v="1294.92"/>
    <x v="468"/>
    <s v="ACUERDO MARCO. SUMINISTRO DE MATERIAL PARA TALLER DE REPARACIÓN DE VEHÍCULO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880"/>
    <s v="ADO"/>
    <d v="2023-05-10T00:00:00"/>
    <n v="22023003210"/>
    <s v="2023 07 1711 22103"/>
    <n v="2092.4499999999998"/>
    <x v="94"/>
    <s v="OPA - FRA. F/2023/421 DEL 17/01/2023 - USO TARJETA CEPSA"/>
    <s v="240"/>
    <s v="MADRID"/>
    <s v="MADRID"/>
    <x v="1"/>
    <s v="PrAbier - Procedimiento Abierto"/>
    <s v="MultiC - MultiCriterio"/>
    <x v="0"/>
    <x v="1"/>
    <s v="2"/>
    <s v="2. Gastos corrientes en bienes y servicios"/>
    <s v="07"/>
    <x v="4"/>
    <s v="1711"/>
    <s v="1711. Parques y jardines"/>
    <s v="22"/>
    <s v="22103"/>
  </r>
  <r>
    <n v="220230016277"/>
    <s v="D"/>
    <d v="2023-04-27T00:00:00"/>
    <n v="22023001514"/>
    <s v="2023 11 1361 22199"/>
    <n v="732.01"/>
    <x v="468"/>
    <s v="BOQUILLA AIRE/CARGADOR-ARRANCADOR/ PLACAS MATRICULAS EUROPEAS 0130-DWZ Y 0095-DWZ///SERV. 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8555"/>
    <s v="D"/>
    <d v="2023-05-09T00:00:00"/>
    <n v="22023001473"/>
    <s v="2023 11 1631 214"/>
    <n v="217.8"/>
    <x v="468"/>
    <s v="SEPIOLITA 20KG. 15-30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557"/>
    <s v="D"/>
    <d v="2023-05-09T00:00:00"/>
    <n v="22023001462"/>
    <s v="2023 11 1621 214"/>
    <n v="957.46"/>
    <x v="468"/>
    <s v="PATIN GUIAJE ELEVADOR UPC 2008 / SENS. MUTING, BARRERAS OPTICAS/ALTERNADOR/ CAS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3239"/>
    <s v="D"/>
    <d v="2023-05-22T00:00:00"/>
    <n v="22023000270"/>
    <s v="2023 11 1321 214"/>
    <n v="539.59"/>
    <x v="468"/>
    <s v="ACUERDO MARCO. SUMINISTRO DE MATERIAL PARA EL TALLER DE REPARACIÓN DE VEHÍCULOS DE POLICÍA .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95"/>
    <s v="D"/>
    <d v="2023-05-31T00:00:00"/>
    <n v="22023001547"/>
    <s v="2023 07 1711 214"/>
    <n v="57.88"/>
    <x v="468"/>
    <s v="IADBLUE 10L / ADAPTADOR 12V 13/7 / Porta fusible aéreo con tapa 30 A / SET DE 2 MINI VENTOSAS Ø 60MM / VENTOSA UNIT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195"/>
    <s v="D"/>
    <d v="2023-05-31T00:00:00"/>
    <n v="22023003930"/>
    <s v="2023 07 1711 214"/>
    <n v="66.22"/>
    <x v="468"/>
    <s v="IADBLUE 10L / ADAPTADOR 12V 13/7 / Porta fusible aéreo con tapa 30 A / SET DE 2 MINI VENTOSAS Ø 60MM / VENTOSA UNITARI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510"/>
    <s v="D"/>
    <d v="2023-05-31T00:00:00"/>
    <n v="22023001462"/>
    <s v="2023 11 1621 214"/>
    <n v="779.07"/>
    <x v="468"/>
    <s v="SENSOR IND M12,0,75M ESTRIBER / PERFIL CONTORNO CHAPA CON ANIMA MET.../ ACUERDO MARCO SUMINISTRO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4840"/>
    <s v="AD/"/>
    <d v="2023-05-24T00:00:00"/>
    <n v="22023000738"/>
    <s v="2023 11 1321 641"/>
    <n v="-95274.83"/>
    <x v="66"/>
    <s v="PARA REAJUSTE DE ANUALIDADES APLICACIÓN INFORMÁTICA DE POLICÍA MUNICIPAL. LOTE Nº 1, EXPTE. 41/2021."/>
    <s v="220"/>
    <s v="CARLET"/>
    <s v="VALENCIA"/>
    <x v="3"/>
    <s v="PrAbier - Procedimiento Abierto"/>
    <s v="MultiC - MultiCriterio"/>
    <x v="0"/>
    <x v="1"/>
    <s v="6"/>
    <s v="6. Inversiones reales"/>
    <s v="11"/>
    <x v="6"/>
    <s v="1321"/>
    <s v="1321. Policía municipal"/>
    <s v="64"/>
    <s v="641"/>
  </r>
  <r>
    <n v="220230026513"/>
    <s v="D"/>
    <d v="2023-05-31T00:00:00"/>
    <n v="22023001473"/>
    <s v="2023 11 1631 214"/>
    <n v="1523.73"/>
    <x v="468"/>
    <s v="SOPORTE BARRA SEG FMO PLUS / LAMINA CIERRE IZQ FMO PLUS / LAMINA.../ ACUERDO MARCO SUMINISTROS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036"/>
    <s v="D"/>
    <d v="2023-04-27T00:00:00"/>
    <n v="22023000263"/>
    <s v="2023 02 9332 214"/>
    <n v="103.24"/>
    <x v="564"/>
    <s v="ADPRO/15W405 - ACEITE 15W40 5L XTD D / TRA/TRA - TASA RECIL.ACEITE LUB.RD679-2006 / BOSCH/3397004629 - RAQUETA LIMPIA-CR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578"/>
    <s v="D"/>
    <d v="2023-05-09T00:00:00"/>
    <n v="22023001466"/>
    <s v="2023 11 1621 22199"/>
    <n v="1035.4100000000001"/>
    <x v="517"/>
    <s v="BOBINA PAPEL INDUSTRIAL CIDAL PASTA GOFRADA (D5026) (PACK 2 UDS) / PILA DURACEL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520"/>
    <s v="D"/>
    <d v="2023-05-31T00:00:00"/>
    <n v="22023001466"/>
    <s v="2023 11 1621 22199"/>
    <n v="601.96"/>
    <x v="517"/>
    <s v="PILA DURACELL MN21 12V ALCALINA A23/K23A LRV08 / REMACHE ESTANDAR 4X.../ ACUERDO MARCO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522"/>
    <s v="D"/>
    <d v="2023-05-31T00:00:00"/>
    <n v="22023001476"/>
    <s v="2023 11 1631 22199"/>
    <n v="408.01"/>
    <x v="517"/>
    <s v="ESCOBIJO BARRENDERO CON MANGO 90MM  00001450 / MANGO BARRENDERO MA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6055"/>
    <s v="D"/>
    <d v="2023-04-27T00:00:00"/>
    <n v="22023001607"/>
    <s v="2023 08 1532 210"/>
    <n v="1553.95"/>
    <x v="656"/>
    <s v="ALB A1-020108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8949"/>
    <s v="D"/>
    <d v="2023-05-10T00:00:00"/>
    <n v="22023001607"/>
    <s v="2023 08 1532 210"/>
    <n v="1916.36"/>
    <x v="656"/>
    <s v="ALBARÁN A1-020496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18958"/>
    <s v="D"/>
    <d v="2023-05-10T00:00:00"/>
    <n v="22023001607"/>
    <s v="2023 08 1532 210"/>
    <n v="1347.64"/>
    <x v="656"/>
    <s v="ALB 01-020209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6380"/>
    <s v="D"/>
    <d v="2023-05-31T00:00:00"/>
    <n v="22023003832"/>
    <s v="2023 10 2412 22199"/>
    <n v="544.9"/>
    <x v="491"/>
    <s v="SUMINISTROS MATERIALES, PROGRAMADORES RIEGO , VALVULA-SOLENOIDE PRA EL CURSO DE PARQ.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382"/>
    <s v="D"/>
    <d v="2023-05-31T00:00:00"/>
    <n v="22023001479"/>
    <s v="2023 10 2412 22199"/>
    <n v="197.54"/>
    <x v="491"/>
    <s v="SUMINISTRO DE DESATASCADOR ROSPI 8H+E PLUS 7,5M Ø8MM / PROGRAMA PINTURA DECORATIVA V MIXTO/22/VA/0012-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16120"/>
    <s v="D"/>
    <d v="2023-04-27T00:00:00"/>
    <n v="22023002181"/>
    <s v="2023 06 3232 212"/>
    <n v="540.20000000000005"/>
    <x v="469"/>
    <s v="C.P. MIGUEL DELIBES // CP PABLO PICASSO // CP CARDENAL MENDOZA // CP ALONSO BERRUGUETE // CP MACIAS PICABEA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97"/>
    <s v="D"/>
    <d v="2023-04-27T00:00:00"/>
    <n v="22023002181"/>
    <s v="2023 06 3232 212"/>
    <n v="1273.42"/>
    <x v="469"/>
    <s v="CP ENTRERIOS / CP ALONSO BERRUGUETE / CP PIO RIO ORTEGA / CENTRO DE AUTISTAS EL CORRO / CP GINES DE LOS RIOS ...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199"/>
    <s v="D"/>
    <d v="2023-04-27T00:00:00"/>
    <n v="22023002181"/>
    <s v="2023 06 3232 212"/>
    <n v="2468.3000000000002"/>
    <x v="469"/>
    <s v="CP MIGUEL DE CERVANTES / CP PABLO PICASSO / CP MARIA TERESA IÑOGO DE TORO / CP GINES DE LOS RIOS / CP NARCISO A.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207"/>
    <s v="D"/>
    <d v="2023-04-27T00:00:00"/>
    <n v="22023002185"/>
    <s v="2023 06 3231 212"/>
    <n v="257.61"/>
    <x v="469"/>
    <s v="ESCUELA INFANTIL EL PRINCIPITO - JUNTA GOMA ANCHA ¾ / MONOMANDO VICTORIA FREG. PARED // ESCUELA INFANTIL PLATERO - marzo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6225"/>
    <s v="D"/>
    <d v="2023-04-27T00:00:00"/>
    <n v="22023000273"/>
    <s v="2023 11 1321 22199"/>
    <n v="8.4499999999999993"/>
    <x v="469"/>
    <s v="ACUERDO MARCO. SUMINISTRO DE MATERIAL DE FERRETERIA PARA DEPENDENCIAS DE POLICÍA MUNICIPAL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6285"/>
    <s v="D"/>
    <d v="2023-04-27T00:00:00"/>
    <n v="22023001578"/>
    <s v="2023 11 3111 22199"/>
    <n v="21.32"/>
    <x v="469"/>
    <s v="COLLAK-DESATASCADOR 1 LT ACIDO / SIFON BIDET S-69 BIDET 1 1/2 / VALVULA CON TAPON Y CADENA RIUVER / MASILLA POLIMERO TOT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16381"/>
    <s v="D"/>
    <d v="2023-04-27T00:00:00"/>
    <n v="22023001343"/>
    <s v="2023 03 9241 212"/>
    <n v="209.4"/>
    <x v="469"/>
    <s v="SUM. MATERIALES VARIOS PARA REPARACIONES CC JOSE LUIS MOSQUERA // CC BAILARIN VICENTE ESCUDERO // C.C. ESGUEVA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6446"/>
    <s v="D"/>
    <d v="2023-04-27T00:00:00"/>
    <n v="22023001467"/>
    <s v="2023 10 2312 212"/>
    <n v="13.01"/>
    <x v="469"/>
    <s v="MANTENIMIENTO, SUMINISTRO DE COLLAK-DESATASCADOR 1 LT ACIDOPARA EL  CVA DELICIAS-DURA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449"/>
    <s v="D"/>
    <d v="2023-04-27T00:00:00"/>
    <n v="22023001467"/>
    <s v="2023 10 2312 212"/>
    <n v="163.59"/>
    <x v="469"/>
    <s v="MANT. SUMINISTRO DE MATERIAL PARA  REPARACIONES DEL C.P.M VICTORIA  Y  RONDILLA- DURA 1 DIA- INICITIVAS SOCIALES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7435"/>
    <s v="D"/>
    <d v="2023-05-03T00:00:00"/>
    <n v="22023001412"/>
    <s v="2023 10 2311 212"/>
    <n v="40.4"/>
    <x v="469"/>
    <s v="F - 3298 - ASIENTO VICTORIA ACERO BLANCO - CENTRO INTEGRADO - SUMINISTROS GARCICHAO SL.-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8584"/>
    <s v="D"/>
    <d v="2023-05-09T00:00:00"/>
    <n v="22023001343"/>
    <s v="2023 03 9241 212"/>
    <n v="1102.31"/>
    <x v="469"/>
    <s v="CC JOSE LUIS MOSQUERA - ASIENTO VICTORIA ACERO BLANCO // CIC CONDE ANSUREZ - MECANISMO UNIVERSAL COMPA E/LATER / MECANIS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15941"/>
    <s v="AD/"/>
    <d v="2023-04-26T00:00:00"/>
    <n v="22023001265"/>
    <s v="2023 10 2412 213"/>
    <n v="-439.96"/>
    <x v="131"/>
    <s v="Mantenimiento de elevador del Centro de Formación Jacinto Benavente. Desde 1 de enero a 31 de diciembre de 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4861"/>
    <s v="AD"/>
    <d v="2023-05-24T00:00:00"/>
    <n v="22023004656"/>
    <s v="2023 08 1651 22606"/>
    <n v="375"/>
    <x v="372"/>
    <s v="Curso de renovación para la formación de plataforma elevadora (4 operarios)"/>
    <s v="220"/>
    <s v="CABEZON DE PISUERGA"/>
    <s v="VALLADOLID"/>
    <x v="1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606"/>
  </r>
  <r>
    <n v="220230018635"/>
    <s v="D"/>
    <d v="2023-05-09T00:00:00"/>
    <n v="22023001549"/>
    <s v="2023 07 1711 22199"/>
    <n v="66.400000000000006"/>
    <x v="469"/>
    <s v="CAMPO GRANDE / ENLACE TUBOS LISOS A-14 DE 11/4 / MANGUITO UNION PVC HH A-9 32 / CODO 90º HH A-1 32 / CODO 90º MH A-6 32"/>
    <s v="300"/>
    <s v="VALDELAFUENTE"/>
    <s v="LEON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4841"/>
    <s v="AD/"/>
    <d v="2023-05-24T00:00:00"/>
    <n v="22023000737"/>
    <s v="2023 11 1321 641"/>
    <n v="-46041.67"/>
    <x v="90"/>
    <s v="PARA REAJUSTE DE ANUALIDADES. MATRIZ DE COMUNICACIONES POLICIA MUNICIPAL.  LOTE Nº 2. EXPTE. 41/2021."/>
    <s v="220"/>
    <s v="ROZAS DE MADRID (LAS)"/>
    <s v="MADRID"/>
    <x v="3"/>
    <s v="PrAbier - Procedimiento Abierto"/>
    <s v="MultiC - MultiCriterio"/>
    <x v="0"/>
    <x v="1"/>
    <s v="6"/>
    <s v="6. Inversiones reales"/>
    <s v="11"/>
    <x v="6"/>
    <s v="1321"/>
    <s v="1321. Policía municipal"/>
    <s v="64"/>
    <s v="641"/>
  </r>
  <r>
    <n v="220230018638"/>
    <s v="D"/>
    <d v="2023-05-09T00:00:00"/>
    <n v="22023001468"/>
    <s v="2023 10 2312 212"/>
    <n v="270.17"/>
    <x v="469"/>
    <s v="MANT. SUMINISTRO DE MATERIALPARA REPARACIONES DEL CPM ZONA SUR- DURA CION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0124"/>
    <s v="D"/>
    <d v="2023-05-11T00:00:00"/>
    <n v="22023001466"/>
    <s v="2023 11 1621 22199"/>
    <n v="170.99"/>
    <x v="469"/>
    <s v="SERVICIO DE LIMPIEZA // C/TOPACIO - MONOMANDO FREG EXTRAIBLE K8 // PUNTO LIMPI.../ AM EXP V36/2017. SERVICIO DE LIMPIEZA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3643"/>
    <s v="AD"/>
    <d v="2023-04-10T00:00:00"/>
    <n v="22023003079"/>
    <s v="2023 05 4331 22602"/>
    <n v="2413.9499999999998"/>
    <x v="332"/>
    <s v="INSERCIÓN DE PUBLICIDAD DIGITAL RELATIVA AL TOUR DEL TALENTO."/>
    <s v="230"/>
    <s v="SALAMANCA"/>
    <s v="SALAMANCA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602"/>
  </r>
  <r>
    <n v="220230026150"/>
    <s v="D"/>
    <d v="2023-05-31T00:00:00"/>
    <n v="22023002739"/>
    <s v="2023 02 9332 212"/>
    <n v="224.1"/>
    <x v="471"/>
    <s v="PULPO CADENA 2 RAM-0,5MTS C/GANC-SEG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15996"/>
    <s v="AD/"/>
    <d v="2023-04-26T00:00:00"/>
    <n v="22023001264"/>
    <s v="2023 10 2312 213"/>
    <n v="-3079.72"/>
    <x v="131"/>
    <s v="Mantenimiento de los elevadores dependientes del Servicio de Iniciativas Sociales durante el  año 2023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1"/>
    <s v="213"/>
  </r>
  <r>
    <n v="220230020166"/>
    <s v="D"/>
    <d v="2023-05-11T00:00:00"/>
    <n v="22023001466"/>
    <s v="2023 11 1621 22199"/>
    <n v="9.3699999999999992"/>
    <x v="469"/>
    <s v="SIFON LAVABO BIDET S-11 11/2  / SERVICIO DE LIMPIEZA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5943"/>
    <s v="AD/"/>
    <d v="2023-04-26T00:00:00"/>
    <n v="22023003369"/>
    <s v="2023 10 2412 213"/>
    <n v="-3100"/>
    <x v="24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1"/>
    <s v="213"/>
  </r>
  <r>
    <n v="220230020198"/>
    <s v="D"/>
    <d v="2023-05-11T00:00:00"/>
    <n v="22023002739"/>
    <s v="2023 02 9332 212"/>
    <n v="81.8"/>
    <x v="469"/>
    <s v="L01471868 ( PUNTO DE ENTREGA:   AYUNTAMIENTO DE VALLADOLID  CL  Nº 1  47001      VALLADOLID ) / CASA CONSISTORIAL ( PUNT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0239"/>
    <s v="D"/>
    <d v="2023-05-11T00:00:00"/>
    <n v="22023002181"/>
    <s v="2023 06 3232 212"/>
    <n v="61.08"/>
    <x v="469"/>
    <s v="E.I.M. MAFALDA Y GUILLE // CARRETE ESTAÑO PLATA 6% / DECAPANTE S-39 320 CULO ANCHO // CP SAN FERNANDO // MASILLA POLIMER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0914"/>
    <s v="D"/>
    <d v="2023-05-16T00:00:00"/>
    <n v="22023001412"/>
    <s v="2023 10 2311 212"/>
    <n v="717.35"/>
    <x v="469"/>
    <s v="F - 3939 - VARIOS FONT. C/VINOS DE RUEDA, C/CENTRO, CEAS DELICIAS-ARG, B.ESPAÑA Y CI-ALBERGUE-MARZO- SUM GARCICHAO-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0970"/>
    <s v="D"/>
    <d v="2023-05-16T00:00:00"/>
    <n v="22023001343"/>
    <s v="2023 03 9241 212"/>
    <n v="419.6"/>
    <x v="469"/>
    <s v="PRESTO CABEZA URINARIO / FISCHER-MASILLA POLIMERO GRIS / PRESTO CABEZA URINARIO 1027 / VARIOS CENTROS"/>
    <s v="300"/>
    <s v="VALDELAFUENTE"/>
    <s v="LEON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0978"/>
    <s v="D"/>
    <d v="2023-05-16T00:00:00"/>
    <n v="22023001467"/>
    <s v="2023 10 2312 212"/>
    <n v="45.85"/>
    <x v="469"/>
    <s v="MANT. SUMINISTRO DE MATERIAL PARA REPARACION DE FONTANERIA DEL CPM DELICIAS- DURACION 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1005"/>
    <s v="D"/>
    <d v="2023-05-16T00:00:00"/>
    <n v="22023001412"/>
    <s v="2023 10 2311 212"/>
    <n v="256.06"/>
    <x v="469"/>
    <s v="F - 4499 - MONOMANDOS, JUNTA, PULSADOR,... PARA VVDAS C/ MISERICORDIA 3, P. BATALLAS 6 Y C.INTEGRADO - GARCICHAO -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1007"/>
    <s v="D"/>
    <d v="2023-05-16T00:00:00"/>
    <n v="22023002181"/>
    <s v="2023 06 3232 212"/>
    <n v="1512.08"/>
    <x v="469"/>
    <s v="PRESTO CABEZA URINARIO 1027 / COLLAK-DESATASCADOR 1 LT ACIDO / ASIENTO VICTORIA ACERO BLANCO / VALVULA LAVABO BIDET ENER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1013"/>
    <s v="D"/>
    <d v="2023-05-16T00:00:00"/>
    <n v="22023002185"/>
    <s v="2023 06 3231 212"/>
    <n v="156.43"/>
    <x v="469"/>
    <s v="EIM CAMPANILLA:PRESTO PISTON 1000M / PRESTO MANETA FLUXOMETRO 1000 / DF-SIFON EXTENSIBLE 40-1 1/2 BL // E. INF CASCANUEC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1015"/>
    <s v="D"/>
    <d v="2023-05-16T00:00:00"/>
    <n v="22023002185"/>
    <s v="2023 06 3231 212"/>
    <n v="220.39"/>
    <x v="469"/>
    <s v="EIM EL PRINCIPITO - PRESTO MANETA FLUXOMETRO 1000M / PRESTO PRISTON 1000M // ESCUELA TALLER JACINTO BENAVENTE - TANQUE V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1953"/>
    <s v="D"/>
    <d v="2023-05-18T00:00:00"/>
    <n v="22023001514"/>
    <s v="2023 11 1361 22199"/>
    <n v="71.959999999999994"/>
    <x v="469"/>
    <s v="GEBERIT LLENADO LATERAL IMPULS / MECANISMO Y TIRANTE DESCARGA T D4T VICTORIA CONJUNTO TIRADOR/SERV. EXTINCION INCENDIOS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421"/>
    <s v="ADO"/>
    <d v="2023-04-27T00:00:00"/>
    <n v="22023003784"/>
    <s v="2023 10 2312 22612"/>
    <n v="15"/>
    <x v="746"/>
    <s v="GASTOS POR TRANSFERENCIA BANCARIA  AL EXTERIOR - FUNDACION DEMUCA- CENTRO AMERICA Y REPUBLICA DOMINICANA- GASTOS SWIFT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16422"/>
    <s v="ADO"/>
    <d v="2023-04-27T00:00:00"/>
    <n v="22023003787"/>
    <s v="2023 10 2312 22612"/>
    <n v="30"/>
    <x v="746"/>
    <s v="GASTOS POR TRANSF. BANCARIA  AL EXTERIOR - FUNDACION DEMUCA- CENTRO AMERICA Y REPUBLICA DOMINICANA- GASTO ADICIONAL OUR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22056"/>
    <s v="D"/>
    <d v="2023-05-18T00:00:00"/>
    <n v="22023002182"/>
    <s v="2023 06 3321 212"/>
    <n v="236.07"/>
    <x v="469"/>
    <s v="BIBLIOTECA PARQUESOL / DOSICO-DIPENS PAPEL ESTANDA INOX / DISOCO-DIPENS PAPEL ARES PURE BL / ESCOBILLERO COMPLETO BIG BL"/>
    <s v="300"/>
    <s v="VALDELAFUENTE"/>
    <s v="LEON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22385"/>
    <s v="D"/>
    <d v="2023-05-19T00:00:00"/>
    <n v="22023000273"/>
    <s v="2023 11 1321 22199"/>
    <n v="88.52"/>
    <x v="469"/>
    <s v="ACUERDO MARCO. SUMINISTRO DE MATERIAL DE FONTANERÍA PARA DEPENDENCIAS DE POLICÍA MUNICIPAL."/>
    <s v="300"/>
    <s v="VALDELAFUENTE"/>
    <s v="LEON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6154"/>
    <s v="D"/>
    <d v="2023-05-31T00:00:00"/>
    <n v="22023002740"/>
    <s v="2023 02 9332 213"/>
    <n v="284.47000000000003"/>
    <x v="469"/>
    <s v="PLAZA SANTA ANA - MECANISMO UNIVERSAL ROCA SIMPLE / MECANISMO UNIVERSAL COMPA E/LATER / KIT G FIJ. + JUNTA VICTORIA TZ /"/>
    <s v="300"/>
    <s v="VALDELAFUENTE"/>
    <s v="LEON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26239"/>
    <s v="D"/>
    <d v="2023-05-31T00:00:00"/>
    <n v="22023001468"/>
    <s v="2023 10 2312 212"/>
    <n v="32.020000000000003"/>
    <x v="469"/>
    <s v="CENTRO OCUPACIONAL, MANTENIMIENTO- SUMINISTRO DE MECANISMO UNIVERSAL ROCA DOBLE- DUR 1 DIA"/>
    <s v="300"/>
    <s v="VALDELAFUENTE"/>
    <s v="LEON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16070"/>
    <s v="D"/>
    <d v="2023-04-27T00:00:00"/>
    <n v="22023002740"/>
    <s v="2023 02 9332 213"/>
    <n v="44.04"/>
    <x v="519"/>
    <s v="MACROCREAM T-BOX 3000 ML C/DISPENSADOR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16085"/>
    <s v="D"/>
    <d v="2023-04-27T00:00:00"/>
    <n v="22023001473"/>
    <s v="2023 11 1631 214"/>
    <n v="3946.66"/>
    <x v="519"/>
    <s v="ARNES CABLEADO MOTOR SERIE 5 EUS / PORTES MAF / RETEN 105-125-16 COMBI NBR CORT.../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107"/>
    <s v="D"/>
    <d v="2023-04-27T00:00:00"/>
    <n v="22023001476"/>
    <s v="2023 11 1631 22199"/>
    <n v="682.52"/>
    <x v="519"/>
    <s v="ESLINGA 1TN LD30 2MT. / ENCIMERA NEGRA SNOW 3306 3600X620 / GRILLETES RE.../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16168"/>
    <s v="D"/>
    <d v="2023-04-27T00:00:00"/>
    <n v="22023001514"/>
    <s v="2023 11 1361 22199"/>
    <n v="141.57"/>
    <x v="519"/>
    <s v="LAVAVAJILLAS MANUAL CIDASOL AMARILLO /// SERVICIO DE EXTINCION DE INCENDIOS, SALVAMENTO Y PROTECCIO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16504"/>
    <s v="D"/>
    <d v="2023-04-27T00:00:00"/>
    <n v="22023001129"/>
    <s v="2023 07 1721 22104"/>
    <n v="1027.33"/>
    <x v="519"/>
    <s v="PARKA SYLOW PLUMA REC Y CAP AMRO T.XL / PARKA SYLOW PLUMA REC Y CAP AMRO T.L / BORDADO LOG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04"/>
  </r>
  <r>
    <n v="220230018559"/>
    <s v="D"/>
    <d v="2023-05-09T00:00:00"/>
    <n v="22023001466"/>
    <s v="2023 11 1621 22199"/>
    <n v="2423.21"/>
    <x v="519"/>
    <s v="JARRA CON TAPA PROTECTORA ANTIPOLVO, (5L) / ALMOHADILLA PARA ARRODILLARSE.../ EXP V36/2017 /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16423"/>
    <s v="ADO"/>
    <d v="2023-04-27T00:00:00"/>
    <n v="22023003789"/>
    <s v="2023 10 2312 22612"/>
    <n v="42"/>
    <x v="746"/>
    <s v="GASTOS POR TRANSFERENCIA BANCARIA  AL EXTERIOR - FUNDACION DEMUCA- CENTRO AMERICA Y REPUBLICA DOMINICANA-"/>
    <s v="240"/>
    <s v="MALAGA"/>
    <s v="MALAGA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1303"/>
    <s v="AD"/>
    <d v="2023-06-23T00:00:00"/>
    <n v="22023005081"/>
    <s v="2023 06 3232 632"/>
    <n v="45939.28"/>
    <x v="937"/>
    <s v="SE 34-23 OBRA REFORMA Y MEJORAS DE LOS ASEOS 1ª PLANTA DEL CEIP FEDERICO GARCÍA LORCA. PLZ EJEC: 40 DIAS LABORALES"/>
    <s v="220"/>
    <s v="TUDELA DE DUERO"/>
    <s v="VALLADOLID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18562"/>
    <s v="D"/>
    <d v="2023-05-09T00:00:00"/>
    <n v="22023001462"/>
    <s v="2023 11 1621 214"/>
    <n v="1185.26"/>
    <x v="519"/>
    <s v="MANTA TERMICA RAVO3 / COJINETE / RUEDA GUIA PARA CAMPAÑA DE ASPIRACION  / PORTES.../ EXP V36/2017 /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8564"/>
    <s v="D"/>
    <d v="2023-05-09T00:00:00"/>
    <n v="22023001475"/>
    <s v="2023 11 1631 22110"/>
    <n v="2044.9"/>
    <x v="519"/>
    <s v="BOLSA NEGRA 90X95 G-140 BDRPLTOTAL (1000 unid)  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18566"/>
    <s v="D"/>
    <d v="2023-05-09T00:00:00"/>
    <n v="22023001476"/>
    <s v="2023 11 1631 22199"/>
    <n v="3308.65"/>
    <x v="519"/>
    <s v="ARNES CABLEADO ELECTRICO MOTOR TRACCION  / FARO / PLACA IZQUIERDA DE CIERRE BRA.../ EXP V36/2017 /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286"/>
    <s v="D"/>
    <d v="2023-05-31T00:00:00"/>
    <n v="22023001466"/>
    <s v="2023 11 1621 22199"/>
    <n v="176.18"/>
    <x v="519"/>
    <s v="MTRO PERFIL ESPONJOSO ADHES 10X20 / JARRA CON TAPA PROTECTORA AN...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289"/>
    <s v="D"/>
    <d v="2023-05-31T00:00:00"/>
    <n v="22023001473"/>
    <s v="2023 11 1631 214"/>
    <n v="1899.76"/>
    <x v="519"/>
    <s v="SENSOR PRESIÓN PARA EL DEPÓSITO AGUA  / VALVULA PARA EL SISTEMA AGUA 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291"/>
    <s v="D"/>
    <d v="2023-05-31T00:00:00"/>
    <n v="22023001475"/>
    <s v="2023 11 1631 22110"/>
    <n v="2044.9"/>
    <x v="519"/>
    <s v="BOLSA NEGRA 90X95 G-140 BDRPLTOTAL (1000 UNID) / BOLSA NEGRA 115X150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31302"/>
    <s v="AD"/>
    <d v="2023-06-23T00:00:00"/>
    <n v="22023005078"/>
    <s v="2023 06 3232 632"/>
    <n v="45361.31"/>
    <x v="938"/>
    <s v="SE 32-23 CTTO DE OBRAS PARA LA REPARACIÓN DE GOTERAS EN TEJADOS DE VARIOS CEIPS. PL EJ: 4 SEMANAS/CENTRO"/>
    <s v="220"/>
    <s v="VALLADOLID"/>
    <s v="VALLADOLID"/>
    <x v="2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26646"/>
    <s v="D"/>
    <d v="2023-05-31T00:00:00"/>
    <n v="22023001466"/>
    <s v="2023 11 1621 22199"/>
    <n v="832.9"/>
    <x v="519"/>
    <s v="CARPETA CANGURO 4 ANILLAS 16MM A-4 / FUNDA GRAFOPLAS 11 TAL PP 80 M.../ ACUERDO MARCO SUMINI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6650"/>
    <s v="D"/>
    <d v="2023-05-31T00:00:00"/>
    <n v="22023001476"/>
    <s v="2023 11 1631 22199"/>
    <n v="148.35"/>
    <x v="519"/>
    <s v="TUERCA AMOLADORA FIXTEC  / BROCA SDS PLUS 6X150/215MM RX4 / TORNILLO DIN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99"/>
  </r>
  <r>
    <n v="220230026661"/>
    <s v="D"/>
    <d v="2023-05-31T00:00:00"/>
    <n v="22023004048"/>
    <s v="2023 11 1631 214"/>
    <n v="1992.99"/>
    <x v="519"/>
    <s v="PORTE MAF / PORTES MAF / PORTES MAF / PUNTAL DE SEGURIDAD PORTON TRASERO / BOM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843"/>
    <s v="AD"/>
    <d v="2023-05-02T00:00:00"/>
    <n v="22023004125"/>
    <s v="2023 03 9241 22699"/>
    <n v="7260"/>
    <x v="765"/>
    <s v="SOPORTE AUDIOVISUAL Y REALIZACIÓN TÉCNICA PARA FESTIVAL PAJARILLOS EDUCA (DIA TIERRA) EN PZA. BIÓLOGO VALVERDE 21/04/23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24844"/>
    <s v="AD/"/>
    <d v="2023-05-24T00:00:00"/>
    <n v="22023000456"/>
    <s v="2023 11 1321 204"/>
    <n v="-12737.31"/>
    <x v="76"/>
    <s v="CONTRATO RENTING  VEHÍCULOS DE 1-1-2023 A 15-8-2027. LOTE Nº 3. EXPTE SPSC 06/2022. REAJUSTE COMIENZO CONTRATO 6-3-2023."/>
    <s v="220"/>
    <s v="LUGO"/>
    <s v="LUGO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31185"/>
    <s v="AD"/>
    <d v="2023-06-22T00:00:00"/>
    <n v="22023003704"/>
    <s v="2023 06 3231 632"/>
    <n v="38205.79"/>
    <x v="644"/>
    <s v="SE 19-23.CTTO OBRAS:ADAPTACIÓN ASEO ACCESIBLE+ASEO AULA 1-2 AÑOS CASAS NIÑ@S MAESTRO CLAUDIO Y PAJARILLOS. 25 DÍAS LABOR"/>
    <s v="220"/>
    <s v="VALLADOLID"/>
    <s v="VALLADOLID"/>
    <x v="2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16034"/>
    <s v="D"/>
    <d v="2023-04-27T00:00:00"/>
    <n v="22023000263"/>
    <s v="2023 02 9332 214"/>
    <n v="542.39"/>
    <x v="325"/>
    <s v="ACUERDO MARCO_VA2712U:CLAUSOR;8367JKB:REVISAR FALLO Y SUSTITUIR CALENTADORES;4558LKC:DISCO CHAPA,MONTAJE Y EQUILIBRADO;0"/>
    <s v="300"/>
    <s v="VALLADOLID"/>
    <s v="VALLADOLID"/>
    <x v="1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6805"/>
    <s v="REIN"/>
    <d v="2023-04-28T00:00:00"/>
    <n v="22023001314"/>
    <s v="2023 10 2312 22799"/>
    <n v="-11383.99"/>
    <x v="7"/>
    <s v="GESTIÓN ESTANCIAS DIURNAS AYTO // ENERO 2023 / HUERTA / SUR / RONDILLA / DELICIAS / ESTE / PARQUESOL"/>
    <s v="891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16275"/>
    <s v="D"/>
    <d v="2023-04-27T00:00:00"/>
    <n v="22023001513"/>
    <s v="2023 11 1361 214"/>
    <n v="136.79"/>
    <x v="325"/>
    <s v="ACUERDO MARCO_1426CDC:REVISAR FUGA ACEITE,SUSTITUIR JUNTA Y REAPRIETE CARTERES Y TAPAS Y LIMPIEZA MOTOR///SEISPC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1"/>
    <s v="214"/>
  </r>
  <r>
    <n v="220230023349"/>
    <s v="ADO"/>
    <d v="2023-05-22T00:00:00"/>
    <n v="22023002626"/>
    <s v="2023 07 1623 22700"/>
    <n v="411527.58"/>
    <x v="592"/>
    <s v="SUSTITUYE F/2023/ 5315 // TN. RECOGIDA RESIDUOS VOLUMINOSOS MARZO 2023 (PRECIOS/ORDENANZA REGULADORA) CTR. MES DE MARZO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23350"/>
    <s v="ADO"/>
    <d v="2023-05-22T00:00:00"/>
    <n v="22023002626"/>
    <s v="2023 07 1623 22700"/>
    <n v="387709.39"/>
    <x v="592"/>
    <s v="TN. RECOGIDA RESIDUOS VOLUMINOSOS ABRIL 2023 (PRECIOS/ORDENANZA REGULADORA). CTR. MES DE ABRIL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16366"/>
    <s v="ADO"/>
    <d v="2023-04-27T00:00:00"/>
    <n v="22023003726"/>
    <s v="2023 10 2311 22799"/>
    <n v="28303.01"/>
    <x v="39"/>
    <s v="F - 238 - LUCHA EXCLUSION BARRIADAS VULNERABLES - DICIEMBRE 2022 - UTE ESTE BARRIO"/>
    <s v="24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3202"/>
    <s v="D"/>
    <d v="2023-05-22T00:00:00"/>
    <n v="22023000213"/>
    <s v="2023 11 1321 214"/>
    <n v="68.430000000000007"/>
    <x v="325"/>
    <s v="ACUERDO MARCO. REPARACIÓN VEHÍCULO POLICÍA 5193DTL:COPIA LLAVE Y CODIFICACION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05"/>
    <s v="D"/>
    <d v="2023-05-22T00:00:00"/>
    <n v="22023000213"/>
    <s v="2023 11 1321 214"/>
    <n v="211.75"/>
    <x v="325"/>
    <s v="ACUERDO MARCO. REPARACIÓN VEHÍCULO 4078JKP:CALENTADOR Nº2,SENSOR PRESION Y ABRAZADERAS, LECTURA Y BORRADO DE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3208"/>
    <s v="D"/>
    <d v="2023-05-22T00:00:00"/>
    <n v="22023000213"/>
    <s v="2023 11 1321 214"/>
    <n v="1941.49"/>
    <x v="325"/>
    <s v="ACUERDO MARCO. REPARACIÓN VEHÍCULO 2098HCN:KIT EMBRAGUE BIMASA,KIT DISTRIBUCION CON BOMB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6146"/>
    <s v="D"/>
    <d v="2023-05-31T00:00:00"/>
    <n v="22023000263"/>
    <s v="2023 02 9332 214"/>
    <n v="111.13"/>
    <x v="325"/>
    <s v="ACUERDO MARCO:5901LFX:REVISION 3ª AÑO Y FILTRO DE POLEN ADH386, Y 0020LFY:REVISION 3ªAÑO Y SUSTITUIR FILTRO DE POLEN ADH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18442"/>
    <s v="D"/>
    <d v="2023-05-09T00:00:00"/>
    <n v="22023001459"/>
    <s v="2023 11 1621 214"/>
    <n v="1536.7"/>
    <x v="660"/>
    <s v="REVISION TAC. DIGITAL 9049 KVH / PILA RESPALDO DATOS / REVISION ANALOGICA 08.../ SPSC 23/2020 /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494"/>
    <s v="D"/>
    <d v="2023-05-31T00:00:00"/>
    <n v="22023001459"/>
    <s v="2023 11 1621 214"/>
    <n v="2538.33"/>
    <x v="660"/>
    <s v="REVISION TACOGRAFO 1211 DPF / CARATULA FRONTAL / SUSTITUIR CARATULA / R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13499"/>
    <s v="D"/>
    <d v="2023-04-05T00:00:00"/>
    <n v="22023002053"/>
    <s v="2023 07 1711 213"/>
    <n v="354.77"/>
    <x v="382"/>
    <s v="ALBARÁN OT/ 136513 DE 6 y 7/03/2023 (REPARACIÓN EN TALLER DE CORTACÉSPED HONDA HRH 536 K4 REF: HUERTA DEL REY 2ª FASE V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4129"/>
    <s v="D"/>
    <d v="2023-04-19T00:00:00"/>
    <n v="22023002053"/>
    <s v="2023 07 1711 213"/>
    <n v="21.71"/>
    <x v="382"/>
    <s v="ALBARÁN OT/136696 DE 14/03/2023 / REPARACIÓN EN TALLER DE CORTACÉSPED HONDA IZY 53 PREMIUM VALE Nº: 558 HUERTA DEL REY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415"/>
    <s v="D"/>
    <d v="2023-04-27T00:00:00"/>
    <n v="22023002053"/>
    <s v="2023 07 1711 213"/>
    <n v="94.02"/>
    <x v="382"/>
    <s v="ALB OT/136794 DE 22/03/2023 /REPARACIÓN PERFILADORA ELIET GX 120//ALB OT/ 136795 DE 22/03/2023 REPARACIÓN GENERADOR BENZ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0994"/>
    <s v="D"/>
    <d v="2023-05-16T00:00:00"/>
    <n v="22023002161"/>
    <s v="2023 07 1711 213"/>
    <n v="752.45"/>
    <x v="382"/>
    <s v="ALBARÁN OT/136860 DE 24/03/2023 (REPARACIÓN EN TALLER DE CORTACÉSPED HONDA HRH 536 REF. MORERAS VALE Nº: 580 RETIRADO E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1061"/>
    <s v="D"/>
    <d v="2023-05-16T00:00:00"/>
    <n v="22023002053"/>
    <s v="2023 07 1711 213"/>
    <n v="109.93"/>
    <x v="382"/>
    <s v="Albarán OT/ 137131 de 14/04/2023 ( REPARACIÓN EN TALLER DE CORTACÉSPED FLOTANTE ELIET REF.: HUERTA DEL REY FASE 1 VALE N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16805"/>
    <s v="REIN"/>
    <d v="2023-04-28T00:00:00"/>
    <n v="22023001315"/>
    <s v="2023 10 2312 22799"/>
    <n v="-56919.99"/>
    <x v="7"/>
    <s v="GESTIÓN ESTANCIAS DIURNAS AYTO // ENERO 2023 / HUERTA / SUR / RONDILLA / DELICIAS / ESTE / PARQUESOL"/>
    <s v="891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23252"/>
    <s v="D"/>
    <d v="2023-05-22T00:00:00"/>
    <n v="22023001412"/>
    <s v="2023 10 2311 212"/>
    <n v="296.45"/>
    <x v="248"/>
    <s v="F - 4835 -  PLACA ELECTRONICA PARA REPARACION CALDERA CEAS BELEN. 17 MARZO- TAHE SL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16256"/>
    <s v="D"/>
    <d v="2023-04-27T00:00:00"/>
    <n v="22023001609"/>
    <s v="2023 08 1532 203"/>
    <n v="528.16999999999996"/>
    <x v="759"/>
    <s v="SUSTITUYE F/2023/4071 (ERROR FECHA) // HORAS DE CAMIÓN BAÑERA TRANSPORTANDO RECICLADO AL PARQUE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0"/>
    <s v="203"/>
  </r>
  <r>
    <n v="220230016229"/>
    <s v="D"/>
    <d v="2023-04-27T00:00:00"/>
    <n v="22023000213"/>
    <s v="2023 11 1321 214"/>
    <n v="99.05"/>
    <x v="470"/>
    <s v="ACUERDO MARCO. REPRACIÓN VEHÍCULO 3997 JKP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231"/>
    <s v="D"/>
    <d v="2023-04-27T00:00:00"/>
    <n v="22023000213"/>
    <s v="2023 11 1321 214"/>
    <n v="43.85"/>
    <x v="470"/>
    <s v="ACUERDO MARCO. REPRACIÓN VEHÍCULO DE POLICÍA 3999 JKP (ENGANCHE CINTURON)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649"/>
    <s v="D"/>
    <d v="2023-05-09T00:00:00"/>
    <n v="22023001956"/>
    <s v="2023 07 1711 214"/>
    <n v="157.11000000000001"/>
    <x v="470"/>
    <s v="ALQUILER BATERIA - RENAULT TWIZY TECHNIC // VEHICULO MATRICULA: 8235HST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1"/>
    <s v="D"/>
    <d v="2023-05-09T00:00:00"/>
    <n v="22023001956"/>
    <s v="2023 07 1711 214"/>
    <n v="157.11000000000001"/>
    <x v="470"/>
    <s v="ALQUILER BATERIA - RENAULT TWIZY URBAN // VEHICULO MATRICULA: 5891HTF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18653"/>
    <s v="D"/>
    <d v="2023-05-09T00:00:00"/>
    <n v="22023001956"/>
    <s v="2023 07 1711 214"/>
    <n v="169.09"/>
    <x v="470"/>
    <s v="ALQUILER BATERIA - RENAULT TWIZY TECNIC // VEHICULO MATRICULA: 9207HPX // MESES: ENERO - MARZO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20"/>
    <s v="D"/>
    <d v="2023-05-31T00:00:00"/>
    <n v="22023001956"/>
    <s v="2023 07 1711 214"/>
    <n v="33.18"/>
    <x v="470"/>
    <s v="ALQUILER BATERIA - RENAULT TWIZY TECHNIC // VEHÍCULO MATRÍCULA 8235HST // DEL 1 AL 19 ABRI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222"/>
    <s v="D"/>
    <d v="2023-05-31T00:00:00"/>
    <n v="22023001956"/>
    <s v="2023 07 1711 214"/>
    <n v="33.18"/>
    <x v="470"/>
    <s v="ALQUILER BATERIA - RENAULT TWIZY URBAN // VEHÍCULO MATRÍCULA: 5891HTF // DEL 1 AL 19 ABRI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4843"/>
    <s v="AD/"/>
    <d v="2023-05-24T00:00:00"/>
    <n v="22023000455"/>
    <s v="2023 11 1321 204"/>
    <n v="-62381.19"/>
    <x v="45"/>
    <s v="RENTING VEHÍCULOS DE 1-1-2023 A 15-8-2027 . LOTE Nº 2. EXPTE. SPSC 06/2022. REAJUSTE POR COMIENZO 17-4-2023."/>
    <s v="220"/>
    <s v="LAS ROZAS"/>
    <s v="MADRID"/>
    <x v="3"/>
    <s v="PrAbier - Procedimiento Abierto"/>
    <s v="MultiC - MultiCriterio"/>
    <x v="0"/>
    <x v="1"/>
    <s v="2"/>
    <s v="2. Gastos corrientes en bienes y servicios"/>
    <s v="11"/>
    <x v="6"/>
    <s v="1321"/>
    <s v="1321. Policía municipal"/>
    <s v="20"/>
    <s v="204"/>
  </r>
  <r>
    <n v="220230026224"/>
    <s v="D"/>
    <d v="2023-05-31T00:00:00"/>
    <n v="22023001956"/>
    <s v="2023 07 1711 214"/>
    <n v="31.77"/>
    <x v="470"/>
    <s v="ALQUILER BATERIA - RENAULT TWIZY TECNIC // VEHÍCULO MATRÍCULA: 9207HPX // DEL 1 AL 19 ABRIL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6388"/>
    <s v="D"/>
    <d v="2023-05-31T00:00:00"/>
    <n v="22023000213"/>
    <s v="2023 11 1321 214"/>
    <n v="57.93"/>
    <x v="470"/>
    <s v="ACUERDO MARCO. REPARACIÓN VEHÍCULO DE POLICÍA  3998JKP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6046"/>
    <s v="D"/>
    <d v="2023-04-27T00:00:00"/>
    <n v="22023000213"/>
    <s v="2023 11 1321 214"/>
    <n v="1996.79"/>
    <x v="520"/>
    <s v="ACUERDO MARCO. REPARACIÓN VEHÍCULO DE POLICÍA MUNICIPAL 4078JKP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18963"/>
    <s v="D"/>
    <d v="2023-05-10T00:00:00"/>
    <n v="22023001608"/>
    <s v="2023 08 1532 214"/>
    <n v="145.72999999999999"/>
    <x v="520"/>
    <s v="MANO DE OBRA / BATERIA  / UNIDAD TRAMITADORA GE0003927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16114"/>
    <s v="D"/>
    <d v="2023-04-27T00:00:00"/>
    <n v="22023001469"/>
    <s v="2023 11 1631 214"/>
    <n v="425.23"/>
    <x v="521"/>
    <s v="CORTAR CHAPA EN MAL ESTADO DE CAZO BASURERO PONER NUEVA/8875 KMN/ SPSC 23/2020 / SERVICIO DE LIMPIEZA 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6412"/>
    <s v="D"/>
    <d v="2023-04-27T00:00:00"/>
    <n v="22023001956"/>
    <s v="2023 07 1711 214"/>
    <n v="57.96"/>
    <x v="521"/>
    <s v="TAPON DESVAPORIZADOR DE 50 MM MARREL // PARQUES Y JARDINES //  Nº VALE 1298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2589"/>
    <s v="D"/>
    <d v="2023-05-19T00:00:00"/>
    <n v="22023001608"/>
    <s v="2023 08 1532 214"/>
    <n v="787.29"/>
    <x v="521"/>
    <s v="MATRICULA 7535 LLT // SUSTITUIR GRUPO ELECTROHIDRAULICO DE 12V 15 L ACEITE HIDRAULICO HM 6 ISO 9001 APORTACIÓN RECICLAJ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6408"/>
    <s v="D"/>
    <d v="2023-05-31T00:00:00"/>
    <n v="22023001469"/>
    <s v="2023 11 1631 214"/>
    <n v="109.26"/>
    <x v="521"/>
    <s v="2 BATERIAS COMPATIBLE HETRONIC Y PORTES (MATERIAL ENCARGADO SR ANGEL MECÁNICO) 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6411"/>
    <s v="D"/>
    <d v="2023-05-31T00:00:00"/>
    <n v="22023001469"/>
    <s v="2023 11 1631 214"/>
    <n v="412.61"/>
    <x v="521"/>
    <s v="M1406-MANIJA PLATAFORMA PVC/MV1521.B-GANCHO CERRADURA PLATAFORMA VO.07/PORTES MATE...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18795"/>
    <s v="D"/>
    <d v="2023-05-09T00:00:00"/>
    <n v="22023002188"/>
    <s v="2023 07 1711 610"/>
    <n v="34726.65"/>
    <x v="93"/>
    <s v="CONTRATACIÓN CONSERVACIÓN Y MEJORA INFRAESTRUCTURAS VERDES DE LAS ZONAS CENTRO Y NORTE. LOTE 4. CALIDAD. V.34/2022."/>
    <s v="300"/>
    <s v="VILLAMURIEL DE CERRATO"/>
    <s v="PALENCIA"/>
    <x v="1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0"/>
  </r>
  <r>
    <n v="220230015974"/>
    <s v="AD"/>
    <d v="2023-04-26T00:00:00"/>
    <n v="22023004058"/>
    <s v="2023 02 9332 213"/>
    <n v="476.21"/>
    <x v="398"/>
    <s v="INTERVENCIÓN SISTEMA DE SEGURIDAD APARATO ELEVADOR DEL EDIFICIO MUNICIPAL SITO EN PLAZA STA.ANA."/>
    <s v="220"/>
    <s v="VALLADOLID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3"/>
  </r>
  <r>
    <n v="220230015964"/>
    <s v="AD"/>
    <d v="2023-04-26T00:00:00"/>
    <n v="22023002401"/>
    <s v="2023 06 3321 223"/>
    <n v="500"/>
    <x v="767"/>
    <s v="CTTO AMPLIACIÓN SERVICIO REPARTO LIBROS A BIBLIOTECAS PÚBLICAS//ABRIL-DICIEMBRE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3"/>
  </r>
  <r>
    <n v="220230030680"/>
    <s v="AD"/>
    <d v="2023-06-20T00:00:00"/>
    <n v="22023004955"/>
    <s v="2023 0850 1301 22706"/>
    <n v="6191.79"/>
    <x v="472"/>
    <s v="Contrato basado servicio redacción de proyecto de obras de ascensor entre plaza Rafael Cano y calle Salud (exp. 25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31289"/>
    <s v="D"/>
    <d v="2023-06-23T00:00:00"/>
    <n v="22023000008"/>
    <s v="2023 0550 4312 22799"/>
    <n v="36298.79"/>
    <x v="939"/>
    <s v="LOTE 2 - SERVICIOS DE FORMACION Y SENSIBILIZACION EN T. DIGITAL Y ECONOMIA CIRCULAR PARA PYMES-FONDOS PRTR"/>
    <s v="300"/>
    <s v="GRANADA"/>
    <s v="GRANADA"/>
    <x v="1"/>
    <s v="PrAbier - Procedimiento Abierto"/>
    <s v="MultiC - MultiCriterio"/>
    <x v="0"/>
    <x v="1"/>
    <n v="2"/>
    <s v="2. Gastos corrientes en bienes y servicios"/>
    <s v="05"/>
    <x v="7"/>
    <s v="0 43"/>
    <n v="4312"/>
    <n v="22"/>
    <n v="22799"/>
  </r>
  <r>
    <n v="220230030683"/>
    <s v="AD"/>
    <d v="2023-06-20T00:00:00"/>
    <n v="22023004958"/>
    <s v="2023 0850 1301 22706"/>
    <n v="1153.29"/>
    <x v="472"/>
    <s v="Contrato basado para la redacción de proyecto de obras de implantación de ascensor en calle Veleta (exp. 26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30681"/>
    <s v="AD"/>
    <d v="2023-06-20T00:00:00"/>
    <n v="22023004956"/>
    <s v="2023 0850 1301 22706"/>
    <n v="1092.3499999999999"/>
    <x v="472"/>
    <s v="Contrato basado servicio redacción de proyecto de obras de ascensor entre plaza Rafael Cano y calle Salud (exp. 25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31225"/>
    <s v="AD"/>
    <d v="2023-06-22T00:00:00"/>
    <n v="22023001880"/>
    <s v="2023 06 3321 213"/>
    <n v="1488.3"/>
    <x v="67"/>
    <s v="SE-EIJI 11/2020 PS 2. MODIFICACIÓN PRORROGA CONTRATO MANTENIMIENTO BIBLIOTECAS PUBLICAS. LOTE 1. 1-7 AL 31-12-23"/>
    <s v="220"/>
    <s v="VALLADOLID"/>
    <s v="VALLADOLID"/>
    <x v="1"/>
    <s v="PrAbier - Procedimiento Abierto"/>
    <s v="MultiC - MultiCriterio"/>
    <x v="0"/>
    <x v="1"/>
    <s v="2"/>
    <s v="2. Gastos corrientes en bienes y servicios"/>
    <s v="06"/>
    <x v="2"/>
    <s v="3321"/>
    <s v="3321. Bibliotecas públicas"/>
    <s v="21"/>
    <s v="213"/>
  </r>
  <r>
    <n v="220230031269"/>
    <s v="D"/>
    <d v="2023-06-22T00:00:00"/>
    <n v="22023002298"/>
    <s v="2023 11 1361 213"/>
    <n v="605"/>
    <x v="515"/>
    <s v="CONTRATO PREST SERV MANT CONSERV MÁQUINAS, EQUIPOS, HERRAM Y MATER 7 ; LOTE 3: MANT CORREC PUERTAS SECC Y CORRED;SEISY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94"/>
    <s v="AD"/>
    <d v="2023-06-23T00:00:00"/>
    <n v="22023002097"/>
    <s v="2023 10 2412 22199"/>
    <n v="70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8"/>
    <s v="2023 10 2412 22199"/>
    <n v="104.54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5"/>
    <s v="2023 10 2412 22199"/>
    <n v="6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4"/>
    <s v="AD"/>
    <d v="2023-06-23T00:00:00"/>
    <n v="22023002096"/>
    <s v="2023 10 2412 22199"/>
    <n v="60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28346"/>
    <s v="D"/>
    <d v="2023-06-07T00:00:00"/>
    <n v="22023003832"/>
    <s v="2023 10 2412 22199"/>
    <n v="250.47"/>
    <x v="591"/>
    <s v="SUMINISTRO MATERIAL , SACA PUZOLANA VOLCANICA  PARA EL CURSO DE PAQ. Y JARDINES IV- JACINTO BENAVENTE 2023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65"/>
    <s v="D"/>
    <d v="2023-06-16T00:00:00"/>
    <n v="22023003832"/>
    <s v="2023 10 2412 22199"/>
    <n v="462.97"/>
    <x v="591"/>
    <s v="SUMINISTRO DE SACA MANTILLO ,SACO SUBSTRATO  PARA EL CURSO DE PARQUES Y JARDINES IV DEL C. DE F. PARA EL EMPLEO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108"/>
    <s v="D"/>
    <d v="2023-06-16T00:00:00"/>
    <n v="22023003932"/>
    <s v="2023 07 1711 22199"/>
    <n v="2167.62"/>
    <x v="591"/>
    <s v="103705780 - SACO SUBSTRATO BF4 70L EN ( Prop. 1    EIN ) / SASU - SACA SUBSTRATO 1,5 M3 ( Prop. 1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09"/>
    <s v="D"/>
    <d v="2023-06-30T00:00:00"/>
    <n v="22023003932"/>
    <s v="2023 07 1711 22199"/>
    <n v="2044.9"/>
    <x v="591"/>
    <s v="MARA8*13           BANDEJA RECU 8X12 ( Prop. 1    BALA )"/>
    <s v="300"/>
    <s v="SANTIAGO DEL ARROYO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27"/>
    <s v="D"/>
    <d v="2023-06-30T00:00:00"/>
    <n v="22023003932"/>
    <s v="2023 07 1711 22199"/>
    <n v="210.07"/>
    <x v="479"/>
    <s v="MATERIAL VARIO CONSTRUCCION"/>
    <s v="300"/>
    <s v="VALLADOLID"/>
    <s v="VALLADOLID"/>
    <x v="3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199"/>
  </r>
  <r>
    <n v="220230031272"/>
    <s v="D"/>
    <d v="2023-06-22T00:00:00"/>
    <n v="22023002304"/>
    <s v="2023 11 1361 213"/>
    <n v="242"/>
    <x v="148"/>
    <s v="CONTRATO PREST SERV MANT CONSERV MÁQUINAS, EQUIPOS, HERRAM Y MATER 7 ; LOTE 7: MANT CORREC EXTINT PORTÁTILES;SEISY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41"/>
    <s v="AD"/>
    <d v="2023-06-22T00:00:00"/>
    <n v="22023005000"/>
    <s v="2023 02 1511 22706"/>
    <n v="18089.5"/>
    <x v="940"/>
    <s v="EJECUCIÓN VUELO FOTOGRAMÉTRICO EN ZONA DEL TÉRMINO MUNICIPAL DE VALLADOLID."/>
    <s v="220"/>
    <s v="MADRID"/>
    <s v="MADRID"/>
    <x v="1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2"/>
    <s v="22706"/>
  </r>
  <r>
    <n v="220230031283"/>
    <s v="AD"/>
    <d v="2023-06-23T00:00:00"/>
    <n v="22023004981"/>
    <s v="2023 11 1361 623"/>
    <n v="16761.75"/>
    <x v="574"/>
    <s v="35 cascos de protección individual craneal; Servicio de Extinción de Incendios, Salvamento y Protección Civil."/>
    <s v="220"/>
    <s v="MADRID"/>
    <s v="MADRID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28624"/>
    <s v="AD"/>
    <d v="2023-06-08T00:00:00"/>
    <n v="22023004535"/>
    <s v="2023 09 3341 22799"/>
    <n v="15932.68"/>
    <x v="85"/>
    <s v="CONTRATO MENOR DE LOS SERVICIOS DE CELADURÍA EN EL CENTRO MARCELINA PONCELA HASTA EL 31 DE DICIEMBRE DE 2023"/>
    <s v="220"/>
    <s v="EL PINAR DE ANTEQUER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31192"/>
    <s v="AD"/>
    <d v="2023-06-22T00:00:00"/>
    <n v="22023005147"/>
    <s v="2023 04 9231 22705"/>
    <n v="15730"/>
    <x v="526"/>
    <s v="CONTRATO SERVICIO TRANSPORTE MATERIAL ELECTORAL - ELECCIONES GENERALES 23-7-2023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14121"/>
    <s v="ADO"/>
    <d v="2023-04-19T00:00:00"/>
    <n v="22023002626"/>
    <s v="2023 07 1623 22700"/>
    <n v="367408.01"/>
    <x v="592"/>
    <s v="TN. RECOGIDA RESIDUOS VOLUMINOSOS FEBRERO 2023 (PRECIOS/ORDENANZA REGULADORA DE LA PRESTACIÓN PATRIMONIAL DE CARÁCTER PÚ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4"/>
    <s v="1623"/>
    <s v="1623. Tratamiento de residuos"/>
    <s v="22"/>
    <s v="22700"/>
  </r>
  <r>
    <n v="220230031212"/>
    <s v="AD"/>
    <d v="2023-06-22T00:00:00"/>
    <n v="22023005083"/>
    <s v="2023 06 3232 632"/>
    <n v="178.62"/>
    <x v="166"/>
    <s v="ENSAYOS DE CALIDAD (LOTE 1) OBRA REFORMA Y MEJORAS DE ASEOS 1ª PLANTA CEIP FEDERICO GARCIA LORCA. PZ EJ: 40 D"/>
    <s v="220"/>
    <s v="MALAGA"/>
    <s v="MALAGA"/>
    <x v="1"/>
    <s v="PrAbier - Procedimiento Abierto"/>
    <s v="MultiC - MultiCriterio"/>
    <x v="1"/>
    <x v="1"/>
    <s v="6"/>
    <s v="6. Inversiones reales"/>
    <s v="06"/>
    <x v="2"/>
    <s v="3232"/>
    <s v="3232. Conservación y mantenimiento centros educación infantil y primaria"/>
    <s v="63"/>
    <s v="632"/>
  </r>
  <r>
    <n v="220230031264"/>
    <s v="D"/>
    <d v="2023-06-22T00:00:00"/>
    <n v="22022008399"/>
    <s v="2023 03 9241 633"/>
    <n v="64.180000000000007"/>
    <x v="166"/>
    <s v="CONTROL DE CALIDAD (ENSAYOS) OBRA SISTEMA CLIMATIZACIÓN TEATRO CANTERAC CC DELICIAS"/>
    <s v="300"/>
    <s v="MALAGA"/>
    <s v="MALAGA"/>
    <x v="1"/>
    <s v="PrAbier - Procedimiento Abierto"/>
    <s v="MultiC - MultiCriterio"/>
    <x v="1"/>
    <x v="1"/>
    <s v="6"/>
    <s v="6. Inversiones reales"/>
    <s v="03"/>
    <x v="10"/>
    <s v="9241"/>
    <s v="9241. Participación ciudadana"/>
    <s v="63"/>
    <s v="633"/>
  </r>
  <r>
    <n v="220230032375"/>
    <s v="D"/>
    <d v="2023-06-30T00:00:00"/>
    <n v="22023004048"/>
    <s v="2023 11 1631 214"/>
    <n v="2680.55"/>
    <x v="913"/>
    <s v="RAVO LATERAL NYLON-ACERO SILENCIOSO / RAVO LATERAL NYLON-ACERO SILENCIOSO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403"/>
    <s v="ADO"/>
    <d v="2023-06-30T00:00:00"/>
    <n v="22023004989"/>
    <s v="2023 11 1621 22706"/>
    <n v="14520"/>
    <x v="941"/>
    <s v="AD 920220009220 EJERCICIO PASADO. CONSULTORÍA TÉCNICA REDACCIÓN ORDENANZA RECOGIDA DE RESIDUOS Y SERVICIO DE LIMPIEZA."/>
    <s v="24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9587"/>
    <s v="AD"/>
    <d v="2023-06-14T00:00:00"/>
    <n v="22023004692"/>
    <s v="2023 01 9121 22601"/>
    <n v="13455.2"/>
    <x v="942"/>
    <s v="ADQUISICIÓN MEDALLAS NUEVA CORPORACIÓN LEGISLATURA 2023-2027"/>
    <s v="220"/>
    <s v="VALLADOLID"/>
    <s v="VALLADOLID"/>
    <x v="4"/>
    <s v="AdDirec - Adjudicación Directa"/>
    <s v="SinC - Sin Criterio"/>
    <x v="3"/>
    <x v="1"/>
    <s v="2"/>
    <s v="2. Gastos corrientes en bienes y servicios"/>
    <s v="01"/>
    <x v="8"/>
    <s v="9121"/>
    <s v="9121. Organos de Gobierno"/>
    <s v="22"/>
    <s v="22601"/>
  </r>
  <r>
    <n v="220230031290"/>
    <s v="D"/>
    <d v="2023-06-23T00:00:00"/>
    <n v="22023000008"/>
    <s v="2023 0550 4312 22799"/>
    <n v="10409.1"/>
    <x v="943"/>
    <s v="LOTE 1 - SERVICIOS DE FORMACION Y SENSIBILIZACION EN T. DIGITAL Y ECONOMIA CIRCULAR  PARA PYMES - FONDOS PRTR."/>
    <s v="300"/>
    <s v="GIJON"/>
    <s v="ASTURIAS"/>
    <x v="1"/>
    <s v="PrAbier - Procedimiento Abierto"/>
    <s v="MultiC - MultiCriterio"/>
    <x v="0"/>
    <x v="1"/>
    <n v="2"/>
    <s v="2. Gastos corrientes en bienes y servicios"/>
    <s v="05"/>
    <x v="7"/>
    <s v="0 43"/>
    <n v="4312"/>
    <n v="22"/>
    <n v="22799"/>
  </r>
  <r>
    <n v="220230031267"/>
    <s v="D"/>
    <d v="2023-06-22T00:00:00"/>
    <n v="22023002296"/>
    <s v="2023 11 1361 213"/>
    <n v="5445"/>
    <x v="574"/>
    <s v="CONTRATO PREST SERV MANT CONSERV MÁQUINAS, EQUIPOS, HERRAM Y MATER 7 ; LOTE 1: MANT CORREC EQUIPOS RESP AUTÓNOMA;SEISYPC"/>
    <s v="300"/>
    <s v="MADRID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26"/>
    <s v="AD"/>
    <d v="2023-06-22T00:00:00"/>
    <n v="22023001876"/>
    <s v="2023 06 3231 213"/>
    <n v="750"/>
    <x v="205"/>
    <s v="SE-EIJI 11/2020 PS 2. MODIFICACIÓN PRORROGA CTTO MANTENIMIENTO ESCUELAS INFANTILES MUNICIPALES. LOTE 2. 1-7 A 31-12-23"/>
    <s v="220"/>
    <s v="VALLADOLID"/>
    <s v="VALLADOLID"/>
    <x v="1"/>
    <s v="PrAbier - Procedimiento Abierto"/>
    <s v="MultiC - MultiCriterio"/>
    <x v="0"/>
    <x v="1"/>
    <s v="2"/>
    <s v="2. Gastos corrientes en bienes y servicios"/>
    <s v="06"/>
    <x v="2"/>
    <s v="3231"/>
    <s v="3231. Escuelas infantiles"/>
    <s v="21"/>
    <s v="213"/>
  </r>
  <r>
    <n v="220230030098"/>
    <s v="D"/>
    <d v="2023-06-16T00:00:00"/>
    <n v="22023000263"/>
    <s v="2023 02 9332 214"/>
    <n v="173.76"/>
    <x v="791"/>
    <s v="OA REVISI N VEHZCULO (MATRICULA: 8580LNR) / 1 1102601M02 - JUNTA / 1 152085758R - FILTRO ACEITE / 1 7711835978 - ACEITE"/>
    <s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0693"/>
    <s v="AD"/>
    <d v="2023-06-20T00:00:00"/>
    <n v="22023004852"/>
    <s v="2023 05 4331 214"/>
    <n v="444.52"/>
    <x v="791"/>
    <s v="REPARACIÓN TWIZY MATRICULA 2499HKJ"/>
    <s v="220"/>
    <s v="ARROYO DE LA ENCOMIENDA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1"/>
    <s v="214"/>
  </r>
  <r>
    <n v="220230026831"/>
    <s v="AD"/>
    <d v="2023-06-01T00:00:00"/>
    <n v="22023004731"/>
    <s v="2023 11 1361 623"/>
    <n v="8159.03"/>
    <x v="571"/>
    <s v="Suministro de 28 pares de botas de intervención; SEISYPC"/>
    <s v="220"/>
    <s v="CARMONA"/>
    <s v="SEVILLA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31291"/>
    <s v="AD"/>
    <d v="2023-06-23T00:00:00"/>
    <n v="22023004925"/>
    <s v="2023 11 1321 212"/>
    <n v="7525.5"/>
    <x v="944"/>
    <s v="REPARACIÓN Y ACONDICIONAMIENTO DE BALDOSAS  DE LA RAMPA DE ACCESO AL P.I.T. SANEXOS DISTRITO  II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1197"/>
    <s v="AD"/>
    <d v="2023-06-22T00:00:00"/>
    <n v="22023005158"/>
    <s v="2023 06 3232 212"/>
    <n v="7260"/>
    <x v="945"/>
    <s v="SUMINISTRO CRISTALERIA COLEGIOS PÚBLICOS DEPENDIENTES DEL SERVICIO DE EDUCACIÓN.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1286"/>
    <s v="AD"/>
    <d v="2023-06-23T00:00:00"/>
    <n v="22023005223"/>
    <s v="2023 06 2314 625"/>
    <n v="7258.79"/>
    <x v="946"/>
    <s v="INSTALACION 3 MÓDULOS DE PARKING PARA PATINETES ELECTRICOS EN LOS ESPACIOS JOVENES"/>
    <s v="220"/>
    <s v="L'HOSPITALET DE LLOBREGAT"/>
    <s v="BARCELONA"/>
    <x v="1"/>
    <s v="AdDirec - Adjudicación Directa"/>
    <s v="SinC - Sin Criterio"/>
    <x v="3"/>
    <x v="1"/>
    <s v="6"/>
    <s v="6. Inversiones reales"/>
    <s v="06"/>
    <x v="2"/>
    <s v="2314"/>
    <s v="2314. Centro de programas juveniles"/>
    <s v="62"/>
    <s v="625"/>
  </r>
  <r>
    <n v="220230026822"/>
    <s v="AD"/>
    <d v="2023-06-01T00:00:00"/>
    <n v="22023004764"/>
    <s v="2023 06 2315 22699"/>
    <n v="7253.95"/>
    <x v="300"/>
    <s v="MATERIALES DE DIFUSIÓN DESTINADOS A IGUALDAD E INFANCIA /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99"/>
  </r>
  <r>
    <n v="220230026807"/>
    <s v="AD"/>
    <d v="2023-06-01T00:00:00"/>
    <n v="22023004709"/>
    <s v="2023 04 9204 641"/>
    <n v="7246.69"/>
    <x v="107"/>
    <s v="ASIST. TÉC. ESPECIALIZADA DEL SISTEMA DE INFORMACIÓN PRESUPUESTARIA, CONTABLE Y FINANCIERA - SICALWIN - DEL AYTO DE VALL"/>
    <s v="220"/>
    <s v="ECIJA"/>
    <s v="SEVILLA"/>
    <x v="1"/>
    <s v="AdDirec - Adjudicación Directa"/>
    <s v="SinC - Sin Criterio"/>
    <x v="3"/>
    <x v="1"/>
    <s v="6"/>
    <s v="6. Inversiones reales"/>
    <s v="04"/>
    <x v="5"/>
    <s v="9204"/>
    <s v="9204. Tecnologías de la información y comunicación"/>
    <s v="64"/>
    <s v="641"/>
  </r>
  <r>
    <n v="220230028286"/>
    <s v="D"/>
    <d v="2023-06-07T00:00:00"/>
    <n v="22023001459"/>
    <s v="2023 11 1621 214"/>
    <n v="2977.86"/>
    <x v="460"/>
    <s v="MANO DE OBRA // M.O. D/M INYECTORES DE VEHÍCULO  / M.O D/M BOMBA D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11"/>
    <s v="AD"/>
    <d v="2023-06-01T00:00:00"/>
    <n v="22023004817"/>
    <s v="2023 03 9241 213"/>
    <n v="7088.46"/>
    <x v="367"/>
    <s v="SISTEMA DE ALARMAS Y VIDEOVIGILANCIA PARA CC DELICIA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31271"/>
    <s v="D"/>
    <d v="2023-06-22T00:00:00"/>
    <n v="22023002303"/>
    <s v="2023 11 1361 213"/>
    <n v="605"/>
    <x v="220"/>
    <s v="CONTRATO PREST SERV MANT CONSERV MÁQUINAS, EQUIPOS, HERRAM Y MATER 7 ; LOTE 6: MANT CORREC GIMNASIO;SEISYPC"/>
    <s v="300"/>
    <s v="MADRID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26826"/>
    <s v="AD"/>
    <d v="2023-06-01T00:00:00"/>
    <n v="22023004719"/>
    <s v="2023 06 3321 22799"/>
    <n v="5994"/>
    <x v="37"/>
    <s v="CTTO SERVICIOS PROYECTO USA EL ORDENADOR USA EL MÓVIL PARA BIBLIOTECAS PÚBLICAS//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6820"/>
    <s v="AD"/>
    <d v="2023-06-01T00:00:00"/>
    <n v="22023004761"/>
    <s v="2023 05 4331 22799"/>
    <n v="5945.38"/>
    <x v="244"/>
    <s v="PROYECTO REcircularRE&quot;&quot;. ORGANIZACIÓN DE DOS JORNADAS (PRIMAVERA Y OTOÑO) Y UN CAMPAMENTO URBANO. JUNIO-OCTU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28635"/>
    <s v="AD"/>
    <d v="2023-06-08T00:00:00"/>
    <n v="22023004881"/>
    <s v="2023 10 2312 213"/>
    <n v="5929"/>
    <x v="131"/>
    <s v="REPARACION DEL ASCENSOR DEL CVA PUENTE COLGANTE, REPARACION DE CINTAS PLANAS DE TRACCION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8621"/>
    <s v="D"/>
    <d v="2023-06-08T00:00:00"/>
    <n v="22023002697"/>
    <s v="2023 04 9204 641"/>
    <n v="82172.800000000003"/>
    <x v="107"/>
    <s v="MTO Y ASIST. TÉCNICA DEL SISTEMA DE INFORMACIÓN PRESUPUESTARIA, CONTABLE Y FINANCIERA,(81/2022)"/>
    <s v="300"/>
    <s v="ECIJA"/>
    <s v="SEVILLA"/>
    <x v="1"/>
    <s v="PrNegSP - Procedimiento Negociado Sin Publicidad"/>
    <s v="SinC - Sin Criterio"/>
    <x v="2"/>
    <x v="1"/>
    <s v="6"/>
    <s v="6. Inversiones reales"/>
    <s v="04"/>
    <x v="5"/>
    <s v="9204"/>
    <s v="9204. Tecnologías de la información y comunicación"/>
    <s v="64"/>
    <s v="641"/>
  </r>
  <r>
    <n v="220230030096"/>
    <s v="D"/>
    <d v="2023-06-16T00:00:00"/>
    <n v="22023004435"/>
    <s v="2023 02 9332 212"/>
    <n v="665.1"/>
    <x v="230"/>
    <s v="P.COMPACTO 4MM"/>
    <s v="30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28630"/>
    <s v="AD"/>
    <d v="2023-06-08T00:00:00"/>
    <n v="22023004836"/>
    <s v="2023 06 3321 22799"/>
    <n v="5747.5"/>
    <x v="371"/>
    <s v="CTTO SERVICIOS PROYECTO DE DECORACIÓN Y AMBIENTACIÓN BIBLIOTECA PARQUESOL&quot;&quot;SANTIAGO DE LOS MOZOS&quot;&quot;//2 MESE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1249"/>
    <s v="AD"/>
    <d v="2023-06-22T00:00:00"/>
    <n v="22023005038"/>
    <s v="2023 11 1361 22199"/>
    <n v="5711.2"/>
    <x v="947"/>
    <s v="16 vehículos de desguace para realizar prácticas de nuevo ingreso rescate Vial; SEISYPC."/>
    <s v="220"/>
    <s v="CIGALES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8173"/>
    <s v="AD"/>
    <d v="2023-06-07T00:00:00"/>
    <n v="22023004944"/>
    <s v="2023 01 9312 22706"/>
    <n v="5324"/>
    <x v="948"/>
    <s v="CONTRATO AUDITORIA CONVENIO CAMARA COMERCIO, AVADECO, FECOSVA PARA DESARROLLO COMERCIO MINORISTA 2020-2021"/>
    <s v="220"/>
    <s v="VALLADOLID"/>
    <s v="VALLADOLID"/>
    <x v="1"/>
    <s v="AdDirec - Adjudicación Directa"/>
    <s v="SinC - Sin Criterio"/>
    <x v="3"/>
    <x v="1"/>
    <s v="2"/>
    <s v="2. Gastos corrientes en bienes y servicios"/>
    <s v="01"/>
    <x v="8"/>
    <s v="9312"/>
    <s v="9312. Intervención general"/>
    <s v="22"/>
    <s v="22706"/>
  </r>
  <r>
    <n v="220230028632"/>
    <s v="AD"/>
    <d v="2023-06-08T00:00:00"/>
    <n v="22023004853"/>
    <s v="2023 06 3321 22001"/>
    <n v="4402"/>
    <x v="827"/>
    <s v="CTTO SUMINISTRO DIARIO EL PAIS PARA BIBLIOTECAS PÚBLICAS//AÑO 2023"/>
    <s v="22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26815"/>
    <s v="AD"/>
    <d v="2023-06-01T00:00:00"/>
    <n v="22023004747"/>
    <s v="2023 06 2315 22611"/>
    <n v="3960"/>
    <x v="949"/>
    <s v="ACTUACION FEMINÍSSIMAS EN EL CENTRO BAILARIN VICENTE ESCUDERO / JUNIO 2023"/>
    <s v="220"/>
    <s v="VIGO"/>
    <s v="VIGO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198"/>
    <s v="AD"/>
    <d v="2023-06-22T00:00:00"/>
    <n v="22023005159"/>
    <s v="2023 11 1621 213"/>
    <n v="3932.55"/>
    <x v="140"/>
    <s v="SUSTITUCIÓN BOMBA ACS PARA TENER AGUA CALIENTE SANITARIA EN EL EDIFICIO DEL SERVICIO DE LIMPIEZA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28406"/>
    <s v="D"/>
    <d v="2023-06-07T00:00:00"/>
    <n v="22023001514"/>
    <s v="2023 11 1361 22199"/>
    <n v="37.26"/>
    <x v="170"/>
    <s v="MULTIMETRO DIGITAL C-LOGIC 50002 / GARRAFA AGUA DESTILADA 5 L.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534"/>
    <s v="D"/>
    <d v="2023-06-07T00:00:00"/>
    <n v="22023004185"/>
    <s v="2023 07 1711 22104"/>
    <n v="3254.9"/>
    <x v="170"/>
    <s v="PEDIDO POR JAVIER DAMIAN / PANTALON SNOW MARINO T-M / PANTALON SNOW MARINO T-L / PANTALON SNOW MARINO T-XL / PANTALON S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2"/>
    <s v="D"/>
    <d v="2023-06-07T00:00:00"/>
    <n v="22023004185"/>
    <s v="2023 07 1711 22104"/>
    <n v="16.77"/>
    <x v="170"/>
    <s v="Nº DE VALE 701 / GUANTE DOBLE LATEX T-10 / GUANTE DOBLE LATEX T-9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4"/>
    <s v="D"/>
    <d v="2023-06-07T00:00:00"/>
    <n v="22023001549"/>
    <s v="2023 07 1711 22199"/>
    <n v="65.95"/>
    <x v="170"/>
    <s v="VALE Nº 536 / MASCARILLA 3M 4251+ FFA1P2 R D / BRIDA NYLON NEGRA 3.6X200 / LOCTITE SUPER-GLUE 3 C/PINCEL / LINTERNA ED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546"/>
    <s v="D"/>
    <d v="2023-06-07T00:00:00"/>
    <n v="22023004185"/>
    <s v="2023 07 1711 22104"/>
    <n v="1495.56"/>
    <x v="170"/>
    <s v="PEDIDO POR JAVIER DAMIAN / POLO ESTRELLA M.L. MARINO T-S / POLO ESTRELLA M.L. MARINO T-M / POLO ESTRELLA M.L. MARINO T-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548"/>
    <s v="D"/>
    <d v="2023-06-07T00:00:00"/>
    <n v="22023004185"/>
    <s v="2023 07 1711 22104"/>
    <n v="65.7"/>
    <x v="170"/>
    <s v="Nº DE VALE 525 / BOTA SPINNING YOUTH S3 SRC Nº4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283"/>
    <s v="D"/>
    <d v="2023-06-07T00:00:00"/>
    <n v="22023004200"/>
    <s v="2023 09 3341 213"/>
    <n v="841.78"/>
    <x v="358"/>
    <s v="SUMINISTRO MATERIALES PARA TRABAJOS REALIZADOS POR MATENIMIENTO EN CENTRO MARCELINA PONCELA Y GALERIAS V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290"/>
    <s v="D"/>
    <d v="2023-06-07T00:00:00"/>
    <n v="22023004200"/>
    <s v="2023 09 3341 213"/>
    <n v="544.29"/>
    <x v="358"/>
    <s v="SUMINISTRO MATERIALES PARA TRABAJOS REALIZADOS POR MATENIMIENTO EN CENTRO MARCELINA PONCELA Y GALERIAS V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63"/>
    <s v="D"/>
    <d v="2023-06-07T00:00:00"/>
    <n v="22023001344"/>
    <s v="2023 03 9241 213"/>
    <n v="262.8"/>
    <x v="358"/>
    <s v="MT CANAL LEGRAND 30008    20X12,5 / PANEL DISANO ECO 33W 4000K  60X60 UGR&lt;19 BL 3500LM /CC RONDILLA Y CIC EMPECINADO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3"/>
  </r>
  <r>
    <n v="220230028453"/>
    <s v="D"/>
    <d v="2023-06-07T00:00:00"/>
    <n v="22023000268"/>
    <s v="2023 11 1321 213"/>
    <n v="118.1"/>
    <x v="358"/>
    <s v="ACUERDO MARCO. SUMINISTRO DE MATERIAL DE ELECTRICIDAD PARA DEPENDENCIA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28502"/>
    <s v="D"/>
    <d v="2023-06-07T00:00:00"/>
    <n v="22023001467"/>
    <s v="2023 10 2312 212"/>
    <n v="534.20000000000005"/>
    <x v="358"/>
    <s v="MANT. SUMINISTRO DE MATERIAL ELECTRICO PARA EL CVA SAN JUAN 506,8, PTE. COLGANTE24,40 Y Z. SUR 62,22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8502"/>
    <s v="D"/>
    <d v="2023-06-07T00:00:00"/>
    <n v="22023001468"/>
    <s v="2023 10 2312 212"/>
    <n v="62.22"/>
    <x v="358"/>
    <s v="MANT. SUMINISTRO DE MATERIAL ELECTRICO PARA EL CVA SAN JUAN 506,8, PTE. COLGANTE24,40 Y Z. SUR 62,22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28580"/>
    <s v="D"/>
    <d v="2023-06-07T00:00:00"/>
    <n v="22023001466"/>
    <s v="2023 11 1621 22199"/>
    <n v="33.08"/>
    <x v="358"/>
    <s v="PULSADOR SE ZB4-BA6  AZUL / CAMARA C SE ZB4-BZ102    1NC / CAJA E... / ACUERDO MARCO SUMINISTROS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583"/>
    <s v="D"/>
    <d v="2023-06-07T00:00:00"/>
    <n v="22023003827"/>
    <s v="2023 10 2311 212"/>
    <n v="89.95"/>
    <x v="358"/>
    <s v="F - 5872 - 6 TUBOS LED - CEAS BARRIO ESPAÑA - CADIELSA 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29476"/>
    <s v="D"/>
    <d v="2023-06-13T00:00:00"/>
    <n v="22023004207"/>
    <s v="2023 06 3321 212"/>
    <n v="52.64"/>
    <x v="358"/>
    <s v="BASE 4TO LEGRAND 2P+T CABLE 1,5MT BL 694552 / BASE 4TO  LEGRAND 694561  C/CABLE 3,0MT / BASE UNEX 1254 19MM ADHESIVA / B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30128"/>
    <s v="D"/>
    <d v="2023-06-16T00:00:00"/>
    <n v="22023004435"/>
    <s v="2023 02 9332 212"/>
    <n v="66.19"/>
    <x v="358"/>
    <s v="TIJERA ELEC  INTERCABLE 16020-F1 ±50MM / DESTORNILLADOR HAUPA 101872 PZ/FL M6 27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56"/>
    <s v="D"/>
    <d v="2023-06-30T00:00:00"/>
    <n v="22023001467"/>
    <s v="2023 10 2312 212"/>
    <n v="45.86"/>
    <x v="358"/>
    <s v="MANT. SUMINISTRO DE LAMPARA LED PH CORELEDBUL 10-75W 840  E27 / TASA ECORAEE   (R.DECRETO 208/2005) CPM DELICIAS- DURA 1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32428"/>
    <s v="D"/>
    <d v="2023-06-30T00:00:00"/>
    <n v="22023001514"/>
    <s v="2023 11 1361 22199"/>
    <n v="171.74"/>
    <x v="358"/>
    <s v="RZ1-K 1KV FLEX ZEROH 3G1,5 UNE.21123-4 / MANGUITO AISCAN ACERO PRESION  M20  Y MT TUBO//SERVICIO DE EXTINCIO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30"/>
    <s v="D"/>
    <d v="2023-06-30T00:00:00"/>
    <n v="22023000268"/>
    <s v="2023 11 1321 213"/>
    <n v="14.48"/>
    <x v="358"/>
    <s v="ACUERDO MARCO. SUMINISTRO DE PULSADOR LEGRAND 69722  LUMI. GRIS  PLEX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31268"/>
    <s v="D"/>
    <d v="2023-06-22T00:00:00"/>
    <n v="22023002306"/>
    <s v="2023 11 1361 213"/>
    <n v="1210"/>
    <x v="323"/>
    <s v="CONTRATO PREST SERV MANT CONSERV MAQ,EQUIPOS,HERRAM Y MATERIALES 7/LOTE 2:MANT CORRECTIVO BOTELLAS AIRE COMPRIMIDO/SEIS"/>
    <s v="300"/>
    <s v="ARGANDA DEL REY"/>
    <s v="MADRID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48"/>
    <s v="AD"/>
    <d v="2023-06-22T00:00:00"/>
    <n v="22023005036"/>
    <s v="2023 11 1621 22706"/>
    <n v="3842.98"/>
    <x v="337"/>
    <s v="GESTIÓN TÉCNICA Y ADMINISTRATIVA DEL EXPEDIENTE DE AUDITORÍA DE RENOVACIÓN ISO-9001. SERVICIO DE LIMPIEZA.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8642"/>
    <s v="AD"/>
    <d v="2023-06-08T00:00:00"/>
    <n v="22023004882"/>
    <s v="2023 03 9241 213"/>
    <n v="3680.09"/>
    <x v="253"/>
    <s v="REPARACIÓN PUERTAS DE SEGURIDAD DEL CC DELICIAS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3"/>
  </r>
  <r>
    <n v="220230026817"/>
    <s v="AD"/>
    <d v="2023-06-01T00:00:00"/>
    <n v="22023004749"/>
    <s v="2023 06 2314 22613"/>
    <n v="3630"/>
    <x v="48"/>
    <s v="ORGANIZACIÓN Y GESTIÓN DEL CONCURSO MUSICAL &quot;&quot;XI EDICION: DEMO EXPRESS 2023&quot;&quot;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28641"/>
    <s v="AD"/>
    <d v="2023-06-08T00:00:00"/>
    <n v="22023004854"/>
    <s v="2023 11 1321 22699"/>
    <n v="3630"/>
    <x v="950"/>
    <s v="OBTENCION CERTIFICADO MEDICO AERONAUTICO LAPL"/>
    <s v="220"/>
    <s v="MADRID"/>
    <s v="MADR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9769"/>
    <s v="AD"/>
    <d v="2023-06-14T00:00:00"/>
    <n v="22023004850"/>
    <s v="2023 08 1651 22100"/>
    <n v="119.77"/>
    <x v="860"/>
    <s v="FACTURA 2023-04-27 ENTRONQUE CON RED DE DISTRIBUCION"/>
    <s v="220"/>
    <s v="BILBAO"/>
    <s v="BIZKAIA"/>
    <x v="3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2"/>
    <s v="22100"/>
  </r>
  <r>
    <n v="220230031270"/>
    <s v="D"/>
    <d v="2023-06-22T00:00:00"/>
    <n v="22023002301"/>
    <s v="2023 11 1361 213"/>
    <n v="1210"/>
    <x v="575"/>
    <s v="CONTRATO PREST SERV MANT CONSERV MÁQUINAS, EQUIPOS, HERRAM Y MATER 7 ; LOTE 5: MANT CORREC EQ Y HERR EXCARCEL;SEISYPC"/>
    <s v="300"/>
    <s v="MOS"/>
    <s v="PONTEVEDRA"/>
    <x v="1"/>
    <s v="PrAbier - Procedimiento Abierto"/>
    <s v="MultiC - MultiCriterio"/>
    <x v="0"/>
    <x v="1"/>
    <s v="2"/>
    <s v="2. Gastos corrientes en bienes y servicios"/>
    <s v="11"/>
    <x v="6"/>
    <s v="1361"/>
    <s v="1361. Prevención y extinción de incencios"/>
    <s v="21"/>
    <s v="213"/>
  </r>
  <r>
    <n v="220230031238"/>
    <s v="AD"/>
    <d v="2023-06-22T00:00:00"/>
    <n v="22023004984"/>
    <s v="2023 09 3341 22799"/>
    <n v="3194.4"/>
    <x v="26"/>
    <s v="CONTRATO PUENTE SERVICIO DISTRIBUCION ALMACENAJE Y CUSTODIA DE LOS REMANENTES DE LAS PUBLICACIONES DEL AYTO. 5 MESES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14343"/>
    <s v="AD"/>
    <d v="2023-04-21T00:00:00"/>
    <n v="22023003012"/>
    <s v="2023 03 9241 213"/>
    <n v="19509.96"/>
    <x v="367"/>
    <s v="SE-PC 16/2023: PRÓRROGA CONTRATO DE MANTENIMIENTO DE ALARMAS DE LOS CENTROS DE PARTICIPACIÓN CIUDADANA (1 JUN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26810"/>
    <s v="AD"/>
    <d v="2023-06-01T00:00:00"/>
    <n v="22023004811"/>
    <s v="2023 03 9241 212"/>
    <n v="3033.47"/>
    <x v="255"/>
    <s v="SUMINISTRO DE REPUESTOS PARA REPARACIONES MOBILIARIO CENTROS SPC. PEDIDO 2SSP-296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26805"/>
    <s v="AD"/>
    <d v="2023-06-01T00:00:00"/>
    <n v="22023004698"/>
    <s v="2023 11 1631 22110"/>
    <n v="3000"/>
    <x v="951"/>
    <s v="SUMINISTRO DECAPANTES PARA LA ELIMINACIÓN DE PINTADAS POR EL SERVICIO DE LIMPIEZA."/>
    <s v="220"/>
    <s v="TORREJON DE ARDOZ"/>
    <s v="MADRID"/>
    <x v="3"/>
    <s v="AdDirec - Adjudicación Directa"/>
    <s v="SinC - Sin Criterio"/>
    <x v="3"/>
    <x v="1"/>
    <s v="2"/>
    <s v="2. Gastos corrientes en bienes y servicios"/>
    <s v="11"/>
    <x v="6"/>
    <s v="1631"/>
    <s v="1631. Limpieza viaria"/>
    <s v="22"/>
    <s v="22110"/>
  </r>
  <r>
    <n v="220230031287"/>
    <s v="AD"/>
    <d v="2023-06-23T00:00:00"/>
    <n v="22023005224"/>
    <s v="2023 06 2314 623"/>
    <n v="3000"/>
    <x v="952"/>
    <s v="INSTALACION AUTOCONSUMO EN CENTRO DE JUVENIL EL CALLEJON / DURANTE 2023"/>
    <s v="220"/>
    <s v="BERLANAS"/>
    <s v="AVILA"/>
    <x v="1"/>
    <s v="AdDirec - Adjudicación Directa"/>
    <s v="SinC - Sin Criterio"/>
    <x v="3"/>
    <x v="1"/>
    <s v="6"/>
    <s v="6. Inversiones reales"/>
    <s v="06"/>
    <x v="2"/>
    <s v="2314"/>
    <s v="2314. Centro de programas juveniles"/>
    <s v="62"/>
    <s v="623"/>
  </r>
  <r>
    <n v="220230031236"/>
    <s v="AD"/>
    <d v="2023-06-22T00:00:00"/>
    <n v="22023005007"/>
    <s v="2023 06 3321 623"/>
    <n v="2800"/>
    <x v="647"/>
    <s v="CTTO AMPLIACIÓN SISTEMAS DE SEGURIDAD PARA NUEVA BIBLIOTECA PARQUESOL //1 MES//2023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321"/>
    <s v="3321. Bibliotecas públicas"/>
    <s v="62"/>
    <s v="623"/>
  </r>
  <r>
    <n v="220230028550"/>
    <s v="D"/>
    <d v="2023-06-07T00:00:00"/>
    <n v="22023004185"/>
    <s v="2023 07 1711 22104"/>
    <n v="62.85"/>
    <x v="170"/>
    <s v="VALE Nº 514 / VISOR FACY TRANSPARENTE 200X39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8199"/>
    <s v="D"/>
    <d v="2023-06-07T00:00:00"/>
    <n v="22023001608"/>
    <s v="2023 08 1532 214"/>
    <n v="4356.96"/>
    <x v="360"/>
    <s v="TA23 721 REPARACIÓN 6415-DNY KMS.134857 REV. FALTA DE POTENCIA, COMPROBAR FILTRO DE GASOIL Y PURGAR INYECTORES. PONER TU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8201"/>
    <s v="D"/>
    <d v="2023-06-07T00:00:00"/>
    <n v="22023001608"/>
    <s v="2023 08 1532 214"/>
    <n v="467.54"/>
    <x v="360"/>
    <s v="TA23 689 REPARACIÓN 4746-FZF KMS.132241 REV. BATERIAS, SUSTITUIR LAS MISMAS. / 1 050004113100 - BATTERIA NP 110 ST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4"/>
  </r>
  <r>
    <n v="220230028296"/>
    <s v="D"/>
    <d v="2023-06-07T00:00:00"/>
    <n v="22023001459"/>
    <s v="2023 11 1621 214"/>
    <n v="615.99"/>
    <x v="360"/>
    <s v="TA23 746 REPARACIÓN 5297-FZF // KMS.472667 // D-M MANGUETA 3  EJE DCH, ENC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611"/>
    <s v="D"/>
    <d v="2023-06-07T00:00:00"/>
    <n v="22023000213"/>
    <s v="2023 11 1321 214"/>
    <n v="811.15"/>
    <x v="360"/>
    <s v="ACUERDO MARCO.TA23 796 REPARACIÓN VEHÍCULO DE POLICÍA 8671-JXF KMS.137941 D-M ACCESORIOS PARA SACAR BOMB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9449"/>
    <s v="D"/>
    <d v="2023-06-13T00:00:00"/>
    <n v="22023001956"/>
    <s v="2023 07 1711 214"/>
    <n v="35.79"/>
    <x v="360"/>
    <s v="R23 212  5566731-ALBARÁN23 416 13/04/23 500025218L LITRO AD BLU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29460"/>
    <s v="D"/>
    <d v="2023-06-13T00:00:00"/>
    <n v="22023001956"/>
    <s v="2023 07 1711 214"/>
    <n v="1165.75"/>
    <x v="360"/>
    <s v="TA23 753 REPARACION 4416-KJX // KMS.123274 REV.RUIDO DELANTERO, POSICIONAR ABARCON BALLESTA IZQ. CON PLETINA Y SUJETA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363"/>
    <s v="D"/>
    <d v="2023-06-30T00:00:00"/>
    <n v="22023001459"/>
    <s v="2023 11 1621 214"/>
    <n v="3736.49"/>
    <x v="360"/>
    <s v="TA23 848 REPARACION 9049-KVH KMS.109168 D-M TAPAS DE BALANCINES Y DISTRIBUCION.../ AM SPSC 23/2020. SERVICIO DE LIMPIEZ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470"/>
    <s v="D"/>
    <d v="2023-06-30T00:00:00"/>
    <n v="22023000263"/>
    <s v="2023 02 9332 214"/>
    <n v="429.47"/>
    <x v="360"/>
    <s v="TA23 817 REPARACIÓN 3883-FMN KMS.90847  CAMBIAR ACEITE MOTOR, FILTROS DE ACEITE, GASOIL, AIRE Y POLEN. REV. NIVELES, LU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2498"/>
    <s v="D"/>
    <d v="2023-06-30T00:00:00"/>
    <n v="22023000213"/>
    <s v="2023 11 1321 214"/>
    <n v="25.88"/>
    <x v="360"/>
    <s v="ACUERDO MARCO. R23 254 5573412-ALBARAN23 501 10/05/2023 5801804152 TAPA ESP.RUEDA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529"/>
    <s v="D"/>
    <d v="2023-06-30T00:00:00"/>
    <n v="22023001956"/>
    <s v="2023 07 1711 214"/>
    <n v="48.32"/>
    <x v="360"/>
    <s v="R23 258 5571740-ALBARAN23 488 04/05/2023 500025218L LITRO AD BLU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715"/>
    <s v="AD"/>
    <d v="2023-06-20T00:00:00"/>
    <n v="22023004945"/>
    <s v="2023 02 9332 212"/>
    <n v="2511.12"/>
    <x v="953"/>
    <s v="REVISIÓN Y MANTEN.CEBOS SENTRITECH ANTITERMITAS INSTALADOS EN EL CONV.STA.CATALINA DE SIENA"/>
    <s v="220"/>
    <s v="LA CISTERNIGA"/>
    <s v="VALLADOLID"/>
    <x v="1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28561"/>
    <s v="D"/>
    <d v="2023-06-07T00:00:00"/>
    <n v="22023004185"/>
    <s v="2023 07 1711 22104"/>
    <n v="453.75"/>
    <x v="170"/>
    <s v="PEDIDO POR JAVIER DAMIAN / GORRA TORONTO MARINO SARGA / LOGO AYUNTAMIENTO DE VALLADOLID DTF PECH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9493"/>
    <s v="D"/>
    <d v="2023-06-13T00:00:00"/>
    <n v="22023002139"/>
    <s v="2023 08 1341 22699"/>
    <n v="224.43"/>
    <x v="170"/>
    <s v="LINTERNA NEBO LUXTREME RECARGABLE LARGO ALCANCE / MEDIDOR LASER MED50R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341"/>
    <s v="1341. Movilidad"/>
    <s v="22"/>
    <s v="22699"/>
  </r>
  <r>
    <n v="220230032267"/>
    <s v="D"/>
    <d v="2023-06-30T00:00:00"/>
    <n v="22023004185"/>
    <s v="2023 07 1711 22104"/>
    <n v="9665.48"/>
    <x v="170"/>
    <s v="PEDIDO POR JAVIER DAMIAN / ZAPATO LIBRA GTR400 GORE-TEX 588302 Nº36 / ZAPATO LIBRA GTR400 GORE-TEX 588302 Nº37 / ZAPAT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319"/>
    <s v="D"/>
    <d v="2023-06-30T00:00:00"/>
    <n v="22023001578"/>
    <s v="2023 11 3111 22199"/>
    <n v="441.65"/>
    <x v="170"/>
    <s v="ENTREGAR EN:CENTRO MUNICIPAL DE PROTECCIÓN ANIMALC/ PADRE BERNARDO HOYOS. 6 / MANGUERA TUBERIAS 20M 250 BAR / BOQUILLA 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28380"/>
    <s v="D"/>
    <d v="2023-06-07T00:00:00"/>
    <n v="22023004206"/>
    <s v="2023 06 3232 212"/>
    <n v="119.18"/>
    <x v="473"/>
    <s v="DISOLVENTE CLOROCAUCHO 1403 DE 5L (M) ( ID0031132 CEIP GONZALO DE CORDOBA ) / PAVIMONT AMAR. SEÑALIZACION  130 DE 4L ( I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16016"/>
    <s v="AD"/>
    <d v="2023-04-26T00:00:00"/>
    <n v="22023004122"/>
    <s v="2023 08 1651 213"/>
    <n v="405.31"/>
    <x v="367"/>
    <s v="Mantenimiento del sistema de vigilancia y alarma de las instalaciones de alumbrado en Soto de Medinilla (naves de alumb)"/>
    <s v="220"/>
    <s v="VALLADOLID"/>
    <s v="VALLADOLID"/>
    <x v="1"/>
    <s v="AdDirec - Adjudicación Directa"/>
    <s v="SinC - Sin Criterio"/>
    <x v="3"/>
    <x v="1"/>
    <s v="2"/>
    <s v="2. Gastos corrientes en bienes y servicios"/>
    <s v="08"/>
    <x v="0"/>
    <s v="1651"/>
    <s v="1651. Alumbrado público"/>
    <s v="21"/>
    <s v="213"/>
  </r>
  <r>
    <n v="220230031281"/>
    <s v="AD"/>
    <d v="2023-06-23T00:00:00"/>
    <n v="22023004964"/>
    <s v="2023 06 2315 22611"/>
    <n v="2500"/>
    <x v="954"/>
    <s v="COLABORACION EXPOSICION ANA CARCELLER MOURAZON EN EL PATIO HERRERIAN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292"/>
    <s v="AD"/>
    <d v="2023-06-23T00:00:00"/>
    <n v="22023004966"/>
    <s v="2023 06 2315 22611"/>
    <n v="2500"/>
    <x v="955"/>
    <s v="COLABORACION EXPOSICION OBRA HELENA CABELLO MORENO EN EL PATIO HERRERIANO"/>
    <s v="220"/>
    <s v="MADRID"/>
    <s v="MADR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102"/>
    <s v="D"/>
    <d v="2023-06-16T00:00:00"/>
    <n v="22023002161"/>
    <s v="2023 07 1711 213"/>
    <n v="773.8"/>
    <x v="380"/>
    <s v="JGO.ANILLOS INYECTOR / GOMA INYECTOR GRANDE / GOMA INYECTOR PEQUEÑA / CONEXION TE INYECTOR  / KM / MANO DE OBRA (FUERA D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22"/>
    <s v="D"/>
    <d v="2023-06-16T00:00:00"/>
    <n v="22023002161"/>
    <s v="2023 07 1711 213"/>
    <n v="4596.17"/>
    <x v="380"/>
    <s v="BUJIA / BOTADOR / VARILLA DE EMPUJE / ENGRANAJE / PASADOR DE CENTRAJE / FILTRO DE ACEITE / RETEN / JUNTA / JUNTA / JUNT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448"/>
    <s v="D"/>
    <d v="2023-06-30T00:00:00"/>
    <n v="22023002161"/>
    <s v="2023 07 1711 213"/>
    <n v="1845.56"/>
    <x v="380"/>
    <s v="BRAZO / RUEDINES PLATAFORMA CORTE / Kit de mantenimiento / MINI FUSIBLE 15A / TERMINAL FASTON HEMBR AZUL 6,4MM / Pasado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8382"/>
    <s v="D"/>
    <d v="2023-06-07T00:00:00"/>
    <n v="22023004206"/>
    <s v="2023 06 3232 212"/>
    <n v="62.86"/>
    <x v="473"/>
    <s v="CINTA KREP 29MMX45 (60 UDS CAJA) (ID0031132 CIP GONZALO DE CORDOBA) / PAVIMONT AMAR. SEÑALIZACION  130 DE 4L (ID003113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424"/>
    <s v="D"/>
    <d v="2023-06-07T00:00:00"/>
    <n v="22023004206"/>
    <s v="2023 06 3232 212"/>
    <n v="40.08"/>
    <x v="473"/>
    <s v="MONTO EFECTO PIZARRA NEGRO 500ML (ID31166 COLEGIO VICENTE ALEIXANDRE).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426"/>
    <s v="D"/>
    <d v="2023-06-07T00:00:00"/>
    <n v="22023004206"/>
    <s v="2023 06 3232 212"/>
    <n v="136.26"/>
    <x v="473"/>
    <s v="PAVIMONT VERDE DE 128 DE 750ML (ID36626 CEIP GONZALO DE BERCEO) / PAVIMONT BLANCO DE 4L (ID36626 CEIP GONZALO DE BERC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557"/>
    <s v="D"/>
    <d v="2023-06-07T00:00:00"/>
    <n v="22023001607"/>
    <s v="2023 08 1532 210"/>
    <n v="5193.6099999999997"/>
    <x v="473"/>
    <s v="DISOLVENTE UNIVERSAL 1405 DE 5L (M) / SHOP PRIMER 40  GRIS 4L / BARNIZ SINTETICO BRILLANTE 4L. / DANPIN PACK 2 REC. ANTI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519"/>
    <s v="D"/>
    <d v="2023-06-30T00:00:00"/>
    <n v="22023004206"/>
    <s v="2023 06 3232 212"/>
    <n v="62.82"/>
    <x v="473"/>
    <s v="CINTA KREP 24MM X45  ( CIP PIO DEL RIO HORTEGA ID0036047 ) / PAVIMONT BLANCO DE 4L ( CIP PIO DEL RIO HORTEGA ID0036047 )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0697"/>
    <s v="AD"/>
    <d v="2023-06-20T00:00:00"/>
    <n v="22023004903"/>
    <s v="2023 04 9231 22705"/>
    <n v="605"/>
    <x v="303"/>
    <s v="ANUNCIO EXPOSICION CENSO ELECTORAL 4 Y 5 JUNIO 2023 -  EL MUNDO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292"/>
    <s v="D"/>
    <d v="2023-06-07T00:00:00"/>
    <n v="22023004200"/>
    <s v="2023 09 3341 213"/>
    <n v="10.220000000000001"/>
    <x v="181"/>
    <s v="SUMINISTRO MATERIALES PARA TRABAJOS REALIZADOS POR MATENIMIENTO EN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9405"/>
    <s v="D"/>
    <d v="2023-06-13T00:00:00"/>
    <n v="22023004185"/>
    <s v="2023 07 1711 22104"/>
    <n v="714.38"/>
    <x v="181"/>
    <s v="ALBARAN: AV23/01022 F: 24/02/2023 / GUANTE PIEL FLOR VACUNO 2o RIBETE AMARILLO T-7 / GUANTE PIEL FLOR VACUNO 2o RIBETE 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29497"/>
    <s v="D"/>
    <d v="2023-06-13T00:00:00"/>
    <n v="22023003835"/>
    <s v="2023 10 2412 22199"/>
    <n v="14.42"/>
    <x v="181"/>
    <s v="SUMINISTRO DE  FLEXOMETRO FLEXIBLE 5MTS ALYCO Y DE  8MTS ALYCO,  DISCO CORTE PIEDRA PARA EL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63"/>
    <s v="D"/>
    <d v="2023-06-16T00:00:00"/>
    <n v="22023001479"/>
    <s v="2023 10 2412 22199"/>
    <n v="16.5"/>
    <x v="181"/>
    <s v="SUMINISTRO MATERIAL  RUEDA COMPRESOR 10*1PARA EL  CURSO PINTURA DECORATIVA V DEL C. E F. PARA EL EMPLEO- JACINTO BENAVEN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082"/>
    <s v="D"/>
    <d v="2023-06-16T00:00:00"/>
    <n v="22023001549"/>
    <s v="2023 07 1711 22199"/>
    <n v="1120.0999999999999"/>
    <x v="181"/>
    <s v="ALBARAN: AV23/02202 F: 21/04/2023 / CINTA DYMO LETRATAG 12*4MM / No VALE: 624 / ALBARAN: AV23/02050 F: 17/04/2023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1187"/>
    <s v="AD"/>
    <d v="2023-06-22T00:00:00"/>
    <n v="22023005227"/>
    <s v="2023 11 1621 213"/>
    <n v="2500"/>
    <x v="956"/>
    <s v="REVISIÓN Y MANTENIMIENTO DEL SISTEMA DE PROTECCIÓN DE INCENDIOS EDIFICIO DEL SERVICIO DE LIMPIEZA."/>
    <s v="220"/>
    <s v="ZARATAN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3"/>
  </r>
  <r>
    <n v="220230031232"/>
    <s v="AD"/>
    <d v="2023-06-22T00:00:00"/>
    <n v="22023004974"/>
    <s v="2023 02 1511 22799"/>
    <n v="2480.5"/>
    <x v="957"/>
    <s v="REALIZACIÓN DE 5 INFOGRAFÍAS DEL ENTORNO DE LOS PASOS FERROVIARIOS EN LA CALLE SALUD Y PASEO ARCO LADRILLO"/>
    <s v="220"/>
    <s v="VALLADOLID"/>
    <s v="VALLADOLID"/>
    <x v="3"/>
    <s v="AdDirec - Adjudicación Directa"/>
    <s v="SinC - Sin Criterio"/>
    <x v="3"/>
    <x v="1"/>
    <s v="2"/>
    <s v="2. Gastos corrientes en bienes y servicios"/>
    <s v="02"/>
    <x v="3"/>
    <s v="1511"/>
    <s v="1511. Planficación y gestión del urbanismo"/>
    <s v="22"/>
    <s v="22799"/>
  </r>
  <r>
    <n v="220230032423"/>
    <s v="ADO"/>
    <d v="2023-06-30T00:00:00"/>
    <n v="22023005001"/>
    <s v="2023 04 9204 22699"/>
    <n v="2321.29"/>
    <x v="68"/>
    <s v="SUMINISTRO DE 50 CANDADOS CON LLAVE PARA PORTÁTIL DELL LATITUDE 3510"/>
    <s v="240"/>
    <s v="MADRID"/>
    <s v="MADRID"/>
    <x v="3"/>
    <s v="AdDirec - Adjudicación Directa"/>
    <s v="SinC - Sin Criterio"/>
    <x v="3"/>
    <x v="1"/>
    <s v="2"/>
    <s v="2. Gastos corrientes en bienes y servicios"/>
    <s v="04"/>
    <x v="5"/>
    <s v="9204"/>
    <s v="9204. Tecnologías de la información y comunicación"/>
    <s v="22"/>
    <s v="22699"/>
  </r>
  <r>
    <n v="220230030684"/>
    <s v="AD"/>
    <d v="2023-06-20T00:00:00"/>
    <n v="22023004959"/>
    <s v="2023 0850 1301 22706"/>
    <n v="12251.25"/>
    <x v="101"/>
    <s v="Redacción de proyecto para mejora de la accesiblilidad en paradas de autobús urbano (exp. 33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26833"/>
    <s v="AD"/>
    <d v="2023-06-01T00:00:00"/>
    <n v="22023004759"/>
    <s v="2023 11 1621 219"/>
    <n v="2138.1"/>
    <x v="682"/>
    <s v="SUMINISTRO 300 CONTENEDORES 10L PARA RECOGIDA SELECTIVA PILAS. SERVICIO DE LIMPIEZA."/>
    <s v="220"/>
    <s v="ALDEAMAYOR DE SAN MARTÍN"/>
    <s v="VALLADOLID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9"/>
  </r>
  <r>
    <n v="220230028455"/>
    <s v="D"/>
    <d v="2023-06-07T00:00:00"/>
    <n v="22023000213"/>
    <s v="2023 11 1321 214"/>
    <n v="618.5"/>
    <x v="361"/>
    <s v="ACUEERDO MARCO. REPARACIÓN DE MOTOCICLETAS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9426"/>
    <s v="D"/>
    <d v="2023-06-13T00:00:00"/>
    <n v="22023001956"/>
    <s v="2023 07 1711 214"/>
    <n v="85"/>
    <x v="361"/>
    <s v="CASCO TIPO JET CON PANTALLA LS2 GLOSS NEGRO T-L (HR-1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080"/>
    <s v="D"/>
    <d v="2023-06-16T00:00:00"/>
    <n v="22023000213"/>
    <s v="2023 11 1321 214"/>
    <n v="312.66000000000003"/>
    <x v="361"/>
    <s v="ACUERDO MARCO. REPARACIÓN DE MOTOCICLETA DE POLICÍ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0112"/>
    <s v="D"/>
    <d v="2023-06-16T00:00:00"/>
    <n v="22023001956"/>
    <s v="2023 07 1711 214"/>
    <n v="44.75"/>
    <x v="361"/>
    <s v="CÁMARA MOTO 2.25X16 / PORTE PEDI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118"/>
    <s v="D"/>
    <d v="2023-06-16T00:00:00"/>
    <n v="22023001956"/>
    <s v="2023 07 1711 214"/>
    <n v="46.59"/>
    <x v="361"/>
    <s v="PLETINA SOPORTE MALETA / MANO DE OBRA ( REPARACIÓN ELÉCTRICA. 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361"/>
    <s v="D"/>
    <d v="2023-06-30T00:00:00"/>
    <n v="22023000213"/>
    <s v="2023 11 1321 214"/>
    <n v="665.5"/>
    <x v="361"/>
    <s v="ACUERDO MARCO. REPARACIÓN MOTOCICLETA ( 9447-HMT TRABAJO DE TAPIZADO DE ASIENTOS ) / HACER RESPALDO / HACER ASIENTO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28633"/>
    <s v="AD"/>
    <d v="2023-06-08T00:00:00"/>
    <n v="22023002263"/>
    <s v="2023 06 3232 213"/>
    <n v="2000"/>
    <x v="351"/>
    <s v="CTTO AMPLIACIÓN SERVICIOS INSTALACIÓN DE NUEVAS LÍNEAS ELÉCTRICAS PARA COLEGIOS PÚBLICOS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30082"/>
    <s v="D"/>
    <d v="2023-06-16T00:00:00"/>
    <n v="22023003932"/>
    <s v="2023 07 1711 22199"/>
    <n v="2165.62"/>
    <x v="181"/>
    <s v="ALBARAN: AV23/02202 F: 21/04/2023 / CINTA DYMO LETRATAG 12*4MM / No VALE: 624 / ALBARAN: AV23/02050 F: 17/04/2023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0165"/>
    <s v="D"/>
    <d v="2023-06-16T00:00:00"/>
    <n v="22023004206"/>
    <s v="2023 06 3232 212"/>
    <n v="140.36000000000001"/>
    <x v="181"/>
    <s v="ALBARAN: AV23/02458 F: 04/05/2023 / CARTUCHO SILICONA BLANCO OLIVE / GE0012478 / C.P. PARQUE ALAMEDA / ALBARAN: AV23/024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285"/>
    <s v="D"/>
    <d v="2023-06-30T00:00:00"/>
    <n v="22023003932"/>
    <s v="2023 07 1711 22199"/>
    <n v="573.14"/>
    <x v="181"/>
    <s v="ALBARAN: AV23/02523 F: 08/05/2023 / PROTECTOR AUDITIVO PELTOR OPTIME III H540A 3M / TENAZA COBRA 250 KNIPEX / BROCA SDS-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1"/>
    <s v="D"/>
    <d v="2023-06-30T00:00:00"/>
    <n v="22023001474"/>
    <s v="2023 11 1631 22104"/>
    <n v="114.51"/>
    <x v="181"/>
    <s v="ALBARAN: AV23/02833 F: 23/05/2023 / ZAPATO ALICE S3 SRC T-39 / RETIRA.../ ACUERDO MARCO SUMINISTROS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04"/>
  </r>
  <r>
    <n v="220230032399"/>
    <s v="D"/>
    <d v="2023-06-30T00:00:00"/>
    <n v="22023003832"/>
    <s v="2023 10 2412 22199"/>
    <n v="39.479999999999997"/>
    <x v="181"/>
    <s v="SUMINISTRO DE  CARRACA 1/4 / CARTUCHO SILICONA BLANCO OLIVE PARA EL  CURSO PARQUES Y JARDINES I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1"/>
    <s v="D"/>
    <d v="2023-06-30T00:00:00"/>
    <n v="22023001479"/>
    <s v="2023 10 2412 22199"/>
    <n v="18.149999999999999"/>
    <x v="181"/>
    <s v="SUMINISTRO DE  IMAN 12 PZAS 6 KG FUERZA 16 x 5 mm  PARA EL   CURSO PINTURA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0133"/>
    <s v="D"/>
    <d v="2023-06-16T00:00:00"/>
    <n v="22023002161"/>
    <s v="2023 07 1711 213"/>
    <n v="194.7"/>
    <x v="851"/>
    <s v="CORREA XPZ 1112 / DESPLAZAMIENTO FURGON/CAMIONETA  0,60 ¿ / KM. / MANO DE OBRA A CLIENTE (FUERA DE TALLER) - SUSTITUIR C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65"/>
    <s v="D"/>
    <d v="2023-06-30T00:00:00"/>
    <n v="22023002053"/>
    <s v="2023 07 1711 213"/>
    <n v="157.52000000000001"/>
    <x v="851"/>
    <s v="RODAMIENTO UCFL204 / CUCHILLA VERTICUTT 2 MM. / DESPLAZAMIENTO FURGÓN / CAMIONETA  0,60 E/KM / RELLENAR Y TORNEAR 2 PUN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65"/>
    <s v="D"/>
    <d v="2023-06-30T00:00:00"/>
    <n v="22023002161"/>
    <s v="2023 07 1711 213"/>
    <n v="574.92999999999995"/>
    <x v="851"/>
    <s v="RODAMIENTO UCFL204 / CUCHILLA VERTICUTT 2 MM. / DESPLAZAMIENTO FURGÓN / CAMIONETA  0,60 E/KM / RELLENAR Y TORNEAR 2 PUN"/>
    <s v="300"/>
    <s v="PALENCIA"/>
    <s v="PALENCIA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327"/>
    <s v="AD"/>
    <d v="2023-06-13T00:00:00"/>
    <n v="22023004927"/>
    <s v="2023 11 1321 22199"/>
    <n v="2000"/>
    <x v="740"/>
    <s v="ADQUISICIÓN DE PAPEL PARA LA REALIZACIÓN DE IMPRESOS DE POLICÍA MUNICIPAL POR PARTE DE LA IMPRENT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31205"/>
    <s v="AD"/>
    <d v="2023-06-22T00:00:00"/>
    <n v="22023005067"/>
    <s v="2023 11 1361 213"/>
    <n v="1940.96"/>
    <x v="886"/>
    <s v="Adquisición  montaje sist eyector autom vacío en bomba contraincendios primera interv MAGIRUS BUP 1 MATR 4894JLF;SEISYPC"/>
    <s v="220"/>
    <s v="PARACUELLOS DE JARAMA (MADRID)"/>
    <s v="MADR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8639"/>
    <s v="AD"/>
    <d v="2023-06-08T00:00:00"/>
    <n v="22023004839"/>
    <s v="2023 11 1361 213"/>
    <n v="1923.04"/>
    <x v="886"/>
    <s v="Adquisición montaje placa electrónica, caja conexiones arranque, parada grupo electrógeno en autoescala AEA 10; SEISYPC."/>
    <s v="220"/>
    <s v="PARACUELLOS DE JARAMA (MADRID)"/>
    <s v="MADR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32427"/>
    <s v="ADO"/>
    <d v="2023-06-30T00:00:00"/>
    <n v="22023005011"/>
    <s v="2023 06 3321 22001"/>
    <n v="1909"/>
    <x v="827"/>
    <s v="236290/1 - BIBLIOTECA DELICIAS. Nº PEDIDO: 236290. Nº ALBARÁN: 236290/1. PUBLICACIÓN: DIARIO EL PAÍS. FECHA: 2022-12-09."/>
    <s v="240"/>
    <s v="MADRID"/>
    <s v="MADR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001"/>
  </r>
  <r>
    <n v="220230031623"/>
    <s v="AD"/>
    <d v="2023-06-28T00:00:00"/>
    <n v="22023004904"/>
    <s v="2023 09 3341 22700"/>
    <n v="1866.26"/>
    <x v="26"/>
    <s v="LIMPIEZA DEL CENTRO GALERIAS VALLADOLID DEL 1 DE JULIO AL 31 DE DICIEMBRE D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00"/>
  </r>
  <r>
    <n v="220230030703"/>
    <s v="AD"/>
    <d v="2023-06-20T00:00:00"/>
    <n v="22023004935"/>
    <s v="2023 11 1321 214"/>
    <n v="1795.13"/>
    <x v="958"/>
    <s v="REVISIÓNDE MOTOCICLETAS DE POLICÍA MUNICIPAL (14 MOTOCICLETAS)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4"/>
  </r>
  <r>
    <n v="220230032209"/>
    <s v="AD"/>
    <d v="2023-06-29T00:00:00"/>
    <n v="22023005369"/>
    <s v="2023 11 1321 22104"/>
    <n v="1700"/>
    <x v="959"/>
    <s v="SUMINISTRO DE EQUIPAMIENTO PARA RENOVACIÓN DE UNIDAD CICLISTA DE LA POLICÍ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04"/>
  </r>
  <r>
    <n v="220230030700"/>
    <s v="AD"/>
    <d v="2023-06-20T00:00:00"/>
    <n v="22023004918"/>
    <s v="2023 10 2312 22699"/>
    <n v="1669.5"/>
    <x v="833"/>
    <s v="ACTIVIDAD DE LOS USUARIOS DE LOS  CENTROS DE VIDA ACTIVA ( ANTES CPM) EN MEDINA DE RIOSECO EL 15 DE JUNIO DE 2023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0712"/>
    <s v="AD"/>
    <d v="2023-06-20T00:00:00"/>
    <n v="22023004914"/>
    <s v="2023 06 3321 22799"/>
    <n v="1650"/>
    <x v="88"/>
    <s v="CTTO SERVICIOS TALLERES, CUENTOS Y DIVERTIMENTOS BIBLIOTECA CAMPO GRANDE//VERANO 2023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0709"/>
    <s v="AD"/>
    <d v="2023-06-20T00:00:00"/>
    <n v="22023004911"/>
    <s v="2023 06 3321 22799"/>
    <n v="1584"/>
    <x v="451"/>
    <s v="CTTO REALIZACIÓN TALLER ILUSTRACIÓN BIBLIOTECA CAMPO GRANDE//VERAN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1280"/>
    <s v="AD"/>
    <d v="2023-06-23T00:00:00"/>
    <n v="22023004952"/>
    <s v="2023 06 3261 22799"/>
    <n v="1562"/>
    <x v="88"/>
    <s v="CTTO SERVICIOS VISITAS CENTROS ESCOLARES 56ª FERIA DEL LIBRO DE VALLADOLID//10 DIAS//2023"/>
    <s v="220"/>
    <s v="SAN MIGUEL DEL PINO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799"/>
  </r>
  <r>
    <n v="220230026819"/>
    <s v="AD"/>
    <d v="2023-06-01T00:00:00"/>
    <n v="22023004755"/>
    <s v="2023 06 3321 22799"/>
    <n v="1500"/>
    <x v="960"/>
    <s v="CTTO SERVICIOS TALLER ROBÓTICA BIBLIOTECA CAMPO GRANDE/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30711"/>
    <s v="AD"/>
    <d v="2023-06-20T00:00:00"/>
    <n v="22023004913"/>
    <s v="2023 06 3321 22799"/>
    <n v="1500"/>
    <x v="501"/>
    <s v="CTTO TALLER TENDERETE HISTORIAS Y SECRETOS DEL CAMPO GRANDE//BIBLIOTECA CAMPO GRANDE//VERAN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8638"/>
    <s v="AD"/>
    <d v="2023-06-08T00:00:00"/>
    <n v="22023004575"/>
    <s v="2023 10 2312 22699"/>
    <n v="112.5"/>
    <x v="304"/>
    <s v="AD COMPLEMENTARIO PARA EL FESTIVAL 60+ACTIVOS REALIZADO EN MAYO EN LA CUPULA DEL MIULENIO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638"/>
    <s v="AD"/>
    <d v="2023-06-08T00:00:00"/>
    <n v="22023004576"/>
    <s v="2023 10 2312 22699"/>
    <n v="157.5"/>
    <x v="304"/>
    <s v="AD COMPLEMENTARIO PARA EL FESTIVAL 60+ACTIVOS REALIZADO EN MAYO EN LA CUPULA DEL MIULENIO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0696"/>
    <s v="AD"/>
    <d v="2023-06-20T00:00:00"/>
    <n v="22023004897"/>
    <s v="2023 04 9231 22705"/>
    <n v="605"/>
    <x v="304"/>
    <s v="ANUNCIO EXPOSICION CENSO ELECTORAL. 4 Y 5 JUNIO 2023 - EL NORTE DE CASTILLA"/>
    <s v="220"/>
    <s v="VALLADOLID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412"/>
    <s v="D"/>
    <d v="2023-06-07T00:00:00"/>
    <n v="22023001514"/>
    <s v="2023 11 1361 22199"/>
    <n v="14.27"/>
    <x v="829"/>
    <s v="FE3850M FE-3850.M ALTAVOZ 3. MYLAR /. SUMA DESCUENTOS LINEAS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416"/>
    <s v="D"/>
    <d v="2023-06-07T00:00:00"/>
    <n v="22023000268"/>
    <s v="2023 11 1321 213"/>
    <n v="24.08"/>
    <x v="177"/>
    <s v="ACUERDO MARCO. PDPRECHR3B4 - PILA DURACELL PRE CARGADA ULTRA  AAA 1,2V 900MAH N / 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3"/>
  </r>
  <r>
    <n v="220230032452"/>
    <s v="D"/>
    <d v="2023-06-30T00:00:00"/>
    <n v="22023001514"/>
    <s v="2023 11 1361 22199"/>
    <n v="28.1"/>
    <x v="177"/>
    <s v="PLR22 - PILA ALCALINA PANASONIC BRONCE LR22 9V BLISTER 1 UD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287"/>
    <s v="D"/>
    <d v="2023-06-30T00:00:00"/>
    <n v="22023004185"/>
    <s v="2023 07 1711 22104"/>
    <n v="638.01"/>
    <x v="381"/>
    <s v="Corresponde al albaran T23/844-03/05/2023 (VALE 729-JAVIER DAMIAN) / PANTALON STIHL  ADVANCE X-FLEX S NEGRO 883421203 /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289"/>
    <s v="D"/>
    <d v="2023-06-30T00:00:00"/>
    <n v="22023003932"/>
    <s v="2023 07 1711 22199"/>
    <n v="1165.93"/>
    <x v="381"/>
    <s v="Corresponde al albaran T23/844-03/05/2023 (VALE 729 JAVIER DAMIAN) / MANGO PALOTE BELLOTA M5609 L ICONA / ADHESIVO MO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25"/>
    <s v="D"/>
    <d v="2023-06-30T00:00:00"/>
    <n v="22023001514"/>
    <s v="2023 11 1361 22199"/>
    <n v="14.54"/>
    <x v="381"/>
    <s v="STIHL BUJÍA NGK BPMR7A 4007000 / BISAGRA SOLDAR LIBRO BL 100x34x10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42"/>
    <s v="D"/>
    <d v="2023-06-30T00:00:00"/>
    <n v="22023003932"/>
    <s v="2023 07 1711 22199"/>
    <n v="1467.33"/>
    <x v="381"/>
    <s v="HILO STIHL CORTE REDONDO Ø 2,7 MM X 208,0 M 9302227 / STIHL  BOBINA 40027133017 / STIHL  PARTE INFERIOR 40027139708 / HI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444"/>
    <s v="D"/>
    <d v="2023-06-30T00:00:00"/>
    <n v="22023003932"/>
    <s v="2023 07 1711 22199"/>
    <n v="190.26"/>
    <x v="381"/>
    <s v="CASCO STIHL DYNAMIC ERGO  0000 888 0808 / SOUDAL SWIPEX SUPER CLEANING 100 UND TODAS SUPERFICIE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460"/>
    <s v="D"/>
    <d v="2023-06-30T00:00:00"/>
    <n v="22023001514"/>
    <s v="2023 11 1361 22199"/>
    <n v="479.95"/>
    <x v="381"/>
    <s v="CERRADURA AGA REF.671 M-31 C/LLAVE-CERRAD AGA REF.135  C-40 /CERRADURA AGA REF.671 M-30 C/ LLAVE / LLAVES MECANIZ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828"/>
    <s v="AD"/>
    <d v="2023-06-01T00:00:00"/>
    <n v="22023004724"/>
    <s v="2023 11 1321 22699"/>
    <n v="1500"/>
    <x v="630"/>
    <s v="SUMINISTRO Y PREPARACIÓN DE CARTULINAS PARA TRABAJOS REALIZADOS POR LA IMPRENTA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699"/>
  </r>
  <r>
    <n v="220230029768"/>
    <s v="AD"/>
    <d v="2023-06-14T00:00:00"/>
    <n v="22023003772"/>
    <s v="2023 09 3341 22799"/>
    <n v="1497.9"/>
    <x v="211"/>
    <s v="PRESTACION SERVICIO ASISTENCIA Y COORDINACION DE SERVICIOS AUXILIARES CUPULA DEL MILENIO. AMPLIACION PROPUESTA 1 MES"/>
    <s v="220"/>
    <s v="ARROYO DE LA ENCOMIENDA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30028404"/>
    <s v="D"/>
    <d v="2023-06-07T00:00:00"/>
    <n v="22023001514"/>
    <s v="2023 11 1361 22199"/>
    <n v="714.38"/>
    <x v="217"/>
    <s v="TORNILLO TRACCIÓN ESPECIAL 4.2MM (50 UDS) , 4.8MM (50 UDS) , 5.4MM 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609"/>
    <s v="D"/>
    <d v="2023-06-07T00:00:00"/>
    <n v="22023004205"/>
    <s v="2023 06 3231 212"/>
    <n v="32.33"/>
    <x v="217"/>
    <s v="CARTUCHO SILICONA QUIADSA ALUMINIO 300ML / PORTACANDADOS IFAM 410  75X25 * / CANDADO IFAM K40 LL.IGUAL / PORTACANDADOS I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8613"/>
    <s v="D"/>
    <d v="2023-06-07T00:00:00"/>
    <n v="22023000273"/>
    <s v="2023 11 1321 22199"/>
    <n v="98.36"/>
    <x v="217"/>
    <s v="ACUERDO MARCO. SUMINISTRO DE MATERIAL DE FERRETERIA PARA DEPENDENCIA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13369"/>
    <s v="D"/>
    <d v="2023-04-04T00:00:00"/>
    <n v="22023002276"/>
    <s v="2023 08 1532 619"/>
    <n v="4125"/>
    <x v="101"/>
    <s v="Seguridad y Salud obras del contrato de conservación, reparación y reforma de las infraestructuras viarias, lote 2"/>
    <s v="300"/>
    <s v="VALLADOLID"/>
    <s v="VALLADOLID"/>
    <x v="1"/>
    <s v="PrAbier - Procedimiento Abierto"/>
    <s v="MultiC - MultiCriterio"/>
    <x v="1"/>
    <x v="1"/>
    <s v="6"/>
    <s v="6. Inversiones reales"/>
    <s v="08"/>
    <x v="0"/>
    <s v="1532"/>
    <s v="1532. Pavimentación vias públicas y otros servicios urbanísticos"/>
    <s v="61"/>
    <s v="619"/>
  </r>
  <r>
    <n v="220230029487"/>
    <s v="D"/>
    <d v="2023-06-13T00:00:00"/>
    <n v="22023004207"/>
    <s v="2023 06 3321 212"/>
    <n v="508.89"/>
    <x v="217"/>
    <s v="RECARGABLE DURACELL BLISTER 4UDS AAA 750mAh5 / OFERTA Nº 10603 / RELOJ FSK PARED CL108SIL 30Ø / RELOJ CASAR  PLATA  50Ø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31296"/>
    <s v="AD"/>
    <d v="2023-06-23T00:00:00"/>
    <n v="22023005252"/>
    <s v="2023 11 1321 22199"/>
    <n v="1452"/>
    <x v="640"/>
    <s v="ADQUISICIÓN DE BATERÍAS PARA DRONES DE LA POLICÍA MUNICIPAL."/>
    <s v="220"/>
    <s v="ILLESCAS"/>
    <s v="TOLEDO"/>
    <x v="3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199"/>
  </r>
  <r>
    <n v="220230026821"/>
    <s v="AD"/>
    <d v="2023-06-01T00:00:00"/>
    <n v="22023004762"/>
    <s v="2023 06 2315 22611"/>
    <n v="1400"/>
    <x v="446"/>
    <s v="AMPLIACIÓN TALLER RUTA FORMATIVA POR LA CIUDAD DE VALLADOLID / HASTA DICIEMBR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9597"/>
    <s v="AD"/>
    <d v="2023-06-14T00:00:00"/>
    <n v="22023004976"/>
    <s v="2023 05 4312 22199"/>
    <n v="735.68"/>
    <x v="217"/>
    <s v="SUMINISTRO DE 2 APARATOS DE AIRE ACONDICIONADO PORTATIL MERCADO DELICIA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29598"/>
    <s v="AD"/>
    <d v="2023-06-14T00:00:00"/>
    <n v="22023004977"/>
    <s v="2023 05 4312 22199"/>
    <n v="38.770000000000003"/>
    <x v="217"/>
    <s v="SUMINISTRO DE 2 RECAMBIOS  PARA DESFIBRILADORES SEMIAUTOMATICOS INSTALADOS EN MERCADOS MUNICIPALES.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28629"/>
    <s v="AD"/>
    <d v="2023-06-08T00:00:00"/>
    <n v="22023004864"/>
    <s v="2023 11 3111 203"/>
    <n v="1393.92"/>
    <x v="808"/>
    <s v="ALQUILER, TRANSPORTE Y MONTAJE-DESMONTAJE DEL ESCENARIO PARA LA MARCHA SOLIDARIA POR LA DIABETES EL DÍA 20-5-2023"/>
    <s v="220"/>
    <s v="SANTANDER"/>
    <s v="SANTANDER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0"/>
    <s v="203"/>
  </r>
  <r>
    <n v="220230026813"/>
    <s v="AD"/>
    <d v="2023-06-01T00:00:00"/>
    <n v="22023004711"/>
    <s v="2023 11 3111 22706"/>
    <n v="1345.06"/>
    <x v="439"/>
    <s v="DOS ACTUACIONES COMPLEMENTARIAS DE CONTROL POBLACIONAL INTENSIVO DE ADULTOS DE PALOMAS TORCACES."/>
    <s v="220"/>
    <s v="ASTORGA"/>
    <s v="LEON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706"/>
  </r>
  <r>
    <n v="220230030705"/>
    <s v="AD"/>
    <d v="2023-06-20T00:00:00"/>
    <n v="22023004937"/>
    <s v="2023 10 2312 22612"/>
    <n v="1312.87"/>
    <x v="292"/>
    <s v="PAPEL PARA IMPRIMIR EL LIBRO  DERECHO MUNICIPAL DE CENTROAMERICA Y REPUBLICA DOMINICANA- INICI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26827"/>
    <s v="AD"/>
    <d v="2023-06-01T00:00:00"/>
    <n v="22023004723"/>
    <s v="2023 06 3321 212"/>
    <n v="1276"/>
    <x v="469"/>
    <s v="CTTO SUMINISTRO ACCESORIOS DE BAÑO PARA LA NUEVA BIBLIOTECA PARQUESOL&quot;&quot;SANTIAGO DE LOS MOZOS&quot;&quot;//1 MES//2023"/>
    <s v="220"/>
    <s v="VALDELAFUENTE"/>
    <s v="LEON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30685"/>
    <s v="AD"/>
    <d v="2023-06-20T00:00:00"/>
    <n v="22023004960"/>
    <s v="2023 0850 1301 22706"/>
    <n v="3445.74"/>
    <x v="101"/>
    <s v="Redacción de proyecto para mejora de la accesiblilidad en paradas de autobús urbano (exp. 33/2022)"/>
    <s v="220"/>
    <s v="VALLADOLID"/>
    <s v="VALLADOLID"/>
    <x v="1"/>
    <s v="PrAbier - Procedimiento Abierto"/>
    <s v="UniC - Único Criterio"/>
    <x v="1"/>
    <x v="1"/>
    <n v="2"/>
    <s v="2. Gastos corrientes en bienes y servicios"/>
    <s v="08"/>
    <x v="0"/>
    <s v="0 13"/>
    <n v="1301"/>
    <n v="22"/>
    <n v="22706"/>
  </r>
  <r>
    <n v="220230031237"/>
    <s v="AD"/>
    <d v="2023-06-22T00:00:00"/>
    <n v="22023005015"/>
    <s v="2023 06 3231 22799"/>
    <n v="1210"/>
    <x v="26"/>
    <s v="CTTO SERVICIOS TRABAJOS REALIZADOS FUERA DEL CONTRATO DE MANTENIMIENTO DE ZONAS VERDES EN EIM//HASTA 31/12/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799"/>
  </r>
  <r>
    <n v="220220068143"/>
    <s v="AD"/>
    <d v="2023-04-21T00:00:00"/>
    <n v="22022007455"/>
    <s v="2023 10 2312 631"/>
    <n v="502.17"/>
    <x v="101"/>
    <s v="SERV.COORD.SEGURIDAD Y SALUD.OBRAS DE REPARAC.Y REFORMA INFRAEST.ZONA AJARDINADAS CPM PARQUESOL-V.6/2020 PS42"/>
    <s v="220"/>
    <s v="VALLADOLID"/>
    <s v="VALLADOLID"/>
    <x v="1"/>
    <s v="PrAbier - Procedimiento Abierto"/>
    <s v="MultiC - MultiCriterio"/>
    <x v="1"/>
    <x v="1"/>
    <s v="6"/>
    <s v="6. Inversiones reales"/>
    <s v="10"/>
    <x v="1"/>
    <s v="2312"/>
    <s v="2312. Iniciativas sociales"/>
    <s v="63"/>
    <s v="631"/>
  </r>
  <r>
    <n v="220230013611"/>
    <s v="AD"/>
    <d v="2023-04-10T00:00:00"/>
    <n v="22023002589"/>
    <s v="2023 10 2312 22799"/>
    <n v="30008"/>
    <x v="961"/>
    <s v="SERV.RESTAURACION EN CENTRO DE ESTANCIAS DIURNAS HTA.REY-(248 DIAS X 20 PLAZAS X 6,05E/C)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2"/>
    <s v="2312. Iniciativas sociales"/>
    <s v="22"/>
    <s v="22799"/>
  </r>
  <r>
    <n v="220230030700"/>
    <s v="AD"/>
    <d v="2023-06-20T00:00:00"/>
    <n v="22023004917"/>
    <s v="2023 10 2312 22699"/>
    <n v="1192.5"/>
    <x v="833"/>
    <s v="ACTIVIDAD DE LOS USUARIOS DE LOS  CENTROS DE VIDA ACTIVA ( ANTES CPM) EN MEDINA DE RIOSECO EL 15 DE JUNIO DE 2023-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281"/>
    <s v="D"/>
    <d v="2023-06-07T00:00:00"/>
    <n v="22023004200"/>
    <s v="2023 09 3341 213"/>
    <n v="1411.15"/>
    <x v="381"/>
    <s v="SUMINISTRO MATERIALES BOMBILLOS Y COPIA DE LLAVES PARA EL CENTRO GALERIAS VALLADOLID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48"/>
    <s v="D"/>
    <d v="2023-06-07T00:00:00"/>
    <n v="22023001477"/>
    <s v="2023 10 2412 212"/>
    <n v="87.1"/>
    <x v="381"/>
    <s v="MANT. SUMINISTROPARA REPARACIONES,  CIERRA.DORMA TS68 F2-4 PLATA, CARTUCHO RESINA PARA EL -JACINTO BENAVENTE- DUR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50"/>
    <s v="D"/>
    <d v="2023-06-07T00:00:00"/>
    <n v="22023001477"/>
    <s v="2023 10 2412 212"/>
    <n v="83.49"/>
    <x v="381"/>
    <s v="MANTENIMIENTO, SUMINISTRO DE CARTEL CHAPA ACERO 600 X 300 M.M TEXTO &quot;&quot;EXCEPTO VEHICULOS AUTORIZADOS&quot;&quot;- JACINTO BENAVENTE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52"/>
    <s v="D"/>
    <d v="2023-06-07T00:00:00"/>
    <n v="22023001477"/>
    <s v="2023 10 2412 212"/>
    <n v="52.2"/>
    <x v="381"/>
    <s v="MANTE. SUMINISTRO DE  ETIQUETA REDONDAS Y  RECTANGULAR BICAPA 70 X 25 M.M GRABADAS + LLAVE PARA EL JACINTO BENAVENTE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2"/>
  </r>
  <r>
    <n v="220230028365"/>
    <s v="D"/>
    <d v="2023-06-07T00:00:00"/>
    <n v="22023001343"/>
    <s v="2023 03 9241 212"/>
    <n v="124.55"/>
    <x v="381"/>
    <s v="ID: 0036429-CENTRO SEGUNDO MONTES / CIERRA.TELESCO 33AT50PL PLATA C/RETENC. / BROCA HSS RECT. COBALTO 03,50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367"/>
    <s v="D"/>
    <d v="2023-06-07T00:00:00"/>
    <n v="22023001343"/>
    <s v="2023 03 9241 212"/>
    <n v="135.69"/>
    <x v="381"/>
    <s v="ID: 0036497-CC ZONA SUR / LLAVE ALLEN BOLA  4.0 BONDHUS 15760 / ID 36496-CC ZONA SUR / LLAVERO PORTAETIQUETAS AMIG 80 AZ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372"/>
    <s v="D"/>
    <d v="2023-06-07T00:00:00"/>
    <n v="22023004205"/>
    <s v="2023 06 3231 212"/>
    <n v="30.7"/>
    <x v="381"/>
    <s v="ID: 0035817-MAFALDA Y GUILLE / CERRADURA AGA REF.135  C-40 / CERRADURA KEYA 20.13.42 + 130013 CROMO CLICK 180º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28470"/>
    <s v="D"/>
    <d v="2023-06-07T00:00:00"/>
    <n v="22023004206"/>
    <s v="2023 06 3232 212"/>
    <n v="311.14"/>
    <x v="381"/>
    <s v="SIN ID-COLEGIOS / LLAVERO PORTAETIQUETAS AMIG 80 VERDE / ID: 0035696-CP MACIAS PICAVEA / BOMBILLO MCM MEAN: 30-30 F-4313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536"/>
    <s v="D"/>
    <d v="2023-06-07T00:00:00"/>
    <n v="22023004206"/>
    <s v="2023 06 3232 212"/>
    <n v="196.71"/>
    <x v="381"/>
    <s v="COLEGIO PUBLICO ANTONIO MACHADO / HOJAS SIERRA SABLE BOSCH S1122 BF x5 / HOJAS SIERRA SABLE BOSCH S 922 BFx5 METAL RAP /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9501"/>
    <s v="D"/>
    <d v="2023-06-13T00:00:00"/>
    <n v="22023002161"/>
    <s v="2023 07 1711 213"/>
    <n v="1159.2"/>
    <x v="381"/>
    <s v="MANO DE OBRA / MANO DE OBRA / STIHL CABEZAL DE ASPIRACIÓN 3503521 / MANO DE OBRA / STIHL BOTÓN GIRATORIO 41281829500 / C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503"/>
    <s v="D"/>
    <d v="2023-06-13T00:00:00"/>
    <n v="22023002053"/>
    <s v="2023 07 1711 213"/>
    <n v="99.23"/>
    <x v="381"/>
    <s v="FILM EXTENSIBLE TRANS. 23 MICRAS 500MM  2,20 KGS / CEPILLO JAZ MANUAL VIP 1000Z INOX. / CEPILLO JAZ MANUAL VIP 1000F LAT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078"/>
    <s v="D"/>
    <d v="2023-06-16T00:00:00"/>
    <n v="22023004206"/>
    <s v="2023 06 3232 212"/>
    <n v="29.34"/>
    <x v="217"/>
    <s v="CONECTOR NUDOS TENDER 5MM (2U) SC / CUERDA EHLIS PLAS TRENZ B/V 4X200MT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0092"/>
    <s v="D"/>
    <d v="2023-06-16T00:00:00"/>
    <n v="22023004435"/>
    <s v="2023 02 9332 212"/>
    <n v="136.81"/>
    <x v="217"/>
    <s v="TIRADOR AMIG 15 ABAT. BICRO 100X27 / CIERRE CAJA VILA 988  60 / COMMENT|+ SAN BENITO. BAÑOS 1º PLANTA + / CERRADURA TES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0120"/>
    <s v="D"/>
    <d v="2023-06-16T00:00:00"/>
    <n v="22023003932"/>
    <s v="2023 07 1711 22199"/>
    <n v="438.38"/>
    <x v="217"/>
    <s v="COPIA LLAVE NORMAL / *HTA MULTIUSO SEVEN 7 EN 1 OFERTA / *MASSO PREBEN LACA 230080 / COMMENT|**Nº DE PEDIDO 732** / COM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3"/>
    <s v="D"/>
    <d v="2023-06-30T00:00:00"/>
    <n v="22023004200"/>
    <s v="2023 09 3341 213"/>
    <n v="6.78"/>
    <x v="381"/>
    <s v="SUMINISTRO MATERIAL PARA TRABAJOS REALIZADOS POR MANTENIMIENTO EN CENTRO MARCELINA PONCEL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32440"/>
    <s v="D"/>
    <d v="2023-06-30T00:00:00"/>
    <n v="22023002161"/>
    <s v="2023 07 1711 213"/>
    <n v="1022.85"/>
    <x v="381"/>
    <s v="MANO DE OBRA / STIHL CABEZAL DE ASPIRACIÓN 3503521 / STIHL FILTRO DE AIRE 41801410300 / STIHL  TORNILLO CILÍNDRICO IS-D5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26"/>
    <s v="D"/>
    <d v="2023-06-16T00:00:00"/>
    <n v="22023004435"/>
    <s v="2023 02 9332 212"/>
    <n v="59.63"/>
    <x v="217"/>
    <s v="PUNTA BAHCO 45M-7.0 ALLEN DIN 7426  / SANTA ANA / CERRADURA KEYA 200024 CROM. 180º 130224 / TORNI. DIN  9338.8 C/EXA. 1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0698"/>
    <s v="AD"/>
    <d v="2023-06-20T00:00:00"/>
    <n v="22023004906"/>
    <s v="2023 05 4312 22199"/>
    <n v="12.08"/>
    <x v="217"/>
    <s v="CINTA (MIARCO PVC TRAN 48MMX132M) ADHESIVA PARA PRECINTAR PUERTA MERCADO DELICIAS"/>
    <s v="220"/>
    <s v="VALLADOLID"/>
    <s v="VALLADOLID"/>
    <x v="3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199"/>
  </r>
  <r>
    <n v="220230032273"/>
    <s v="D"/>
    <d v="2023-06-30T00:00:00"/>
    <n v="22023003827"/>
    <s v="2023 10 2311 212"/>
    <n v="64.510000000000005"/>
    <x v="217"/>
    <s v="F - 6122 - MATERIAL VARIO REPARACIONES - PARA CEAS RONDILLA-STA CLARA - FERRETERIA ORTIZ. -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311"/>
    <s v="2311. Intervención social"/>
    <s v="21"/>
    <s v="212"/>
  </r>
  <r>
    <n v="220230032472"/>
    <s v="D"/>
    <d v="2023-06-30T00:00:00"/>
    <n v="22023004435"/>
    <s v="2023 02 9332 212"/>
    <n v="457.69"/>
    <x v="381"/>
    <s v="SIN ID-CERRAJERIA / CUERPO ANTORCHA TIG SR-17 DLEXIBLE / STIHL BIDON PARA GASOLINA 5 L TRANSPARENTES 8810202 / ALICATE U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500"/>
    <s v="D"/>
    <d v="2023-06-30T00:00:00"/>
    <n v="22023004205"/>
    <s v="2023 06 3231 212"/>
    <n v="108.2"/>
    <x v="381"/>
    <s v="ID: 0036785-EIM CASCANUECES / ANTIP. TESA SOPORTE PRINCIPAL SOPOR1978 / ID: 0036785-EI CASCANUECES / ANTIP. TESA CERRAD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2523"/>
    <s v="D"/>
    <d v="2023-06-30T00:00:00"/>
    <n v="22023004206"/>
    <s v="2023 06 3232 212"/>
    <n v="117.53"/>
    <x v="381"/>
    <s v="ID: 0036331-CEIP EL PERAL / BROCA HSS RECT. COBALTO 03,00 / BROCA HSS RECT. COBALTO 04,00 / ID: 0036714-CP GABRIEL Y GAL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0708"/>
    <s v="AD"/>
    <d v="2023-06-20T00:00:00"/>
    <n v="22023004910"/>
    <s v="2023 06 3321 212"/>
    <n v="1162.69"/>
    <x v="532"/>
    <s v="CTTO SUMINISTRO MATERIAL, ACCESORIOS Y MECANISMOS PARA MONTAJE DE ESTORES EN BIBLIOTECAS PÚBLICAS//1MES/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1"/>
    <s v="212"/>
  </r>
  <r>
    <n v="220230028605"/>
    <s v="D"/>
    <d v="2023-06-07T00:00:00"/>
    <n v="22023004052"/>
    <s v="2023 11 1621 214"/>
    <n v="36.200000000000003"/>
    <x v="362"/>
    <s v="2 40224LC60A - TUERCA RUEDA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298"/>
    <s v="D"/>
    <d v="2023-06-07T00:00:00"/>
    <n v="22023001466"/>
    <s v="2023 11 1621 22199"/>
    <n v="2187.5700000000002"/>
    <x v="445"/>
    <s v="227279 FLUIDMATIC SYN T295 / T668 208L FLUIDO TRANSMISIONES AUTOM.../ ACUERDO MARCO DE SUMINISTROS. SERVICIO DE LIMPIEZ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395"/>
    <s v="D"/>
    <d v="2023-06-07T00:00:00"/>
    <n v="22023001514"/>
    <s v="2023 11 1361 22199"/>
    <n v="63.61"/>
    <x v="445"/>
    <s v="960008 ESLABON RAPIDO 8.0N GARRA / 933-10X100 // TORNILLO C/ HEXAGONAL LATON TODO ROSCA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628"/>
    <s v="AD"/>
    <d v="2023-06-08T00:00:00"/>
    <n v="22023004833"/>
    <s v="2023 06 2315 22611"/>
    <n v="1122"/>
    <x v="962"/>
    <s v="XVI ENCUENTRO DE UNIDADES DE IGUALDAD UNIVERSIDAD VALLADOLID /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2432"/>
    <s v="D"/>
    <d v="2023-06-30T00:00:00"/>
    <n v="22023001514"/>
    <s v="2023 11 1361 22199"/>
    <n v="165.5"/>
    <x v="217"/>
    <s v="COPIA LLAVE/CORONA CELESA HSS CO 8% 35X100mm REF.-COB35X100/ USILLO CORONA CELESA 32-250 C/MUELLE REF.-B5547M//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75"/>
    <s v="D"/>
    <d v="2023-06-30T00:00:00"/>
    <n v="22023004435"/>
    <s v="2023 02 9332 212"/>
    <n v="1.62"/>
    <x v="217"/>
    <s v="TUERCA DIN 6923 M8 ZN / TORNI. DIN  933 8.8 C/EXA.  8X100MM / --ARANDELA DIN 9021 ANCHA ZINCADA M- 8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477"/>
    <s v="D"/>
    <d v="2023-06-30T00:00:00"/>
    <n v="22023004435"/>
    <s v="2023 02 9332 212"/>
    <n v="238.06"/>
    <x v="217"/>
    <s v="*ARALDIT STANDARD GRANDE CEYS / COMMENT|SAN BENITO / SOPORTE COFRE TESA 1978 / COMMENT|++ SAN BENITO ++ / CIERRAP. TE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9499"/>
    <s v="D"/>
    <d v="2023-06-13T00:00:00"/>
    <n v="22023003931"/>
    <s v="2023 07 1711 22106"/>
    <n v="1551"/>
    <x v="485"/>
    <s v="CESPED FORMULA MULTIRUSTIC (10 Kg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270"/>
    <s v="D"/>
    <d v="2023-06-30T00:00:00"/>
    <n v="22023003931"/>
    <s v="2023 07 1711 22106"/>
    <n v="304.7"/>
    <x v="485"/>
    <s v="FEROMONA CAMERARIA OHRIDIELLA (UNIDAD) / FEROMONA THAUMETOPEA PITYOCAMPA (Procesionaria) / FONDO ENGOMADO DELTA (UNIDAD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275"/>
    <s v="D"/>
    <d v="2023-06-30T00:00:00"/>
    <n v="22023003931"/>
    <s v="2023 07 1711 22106"/>
    <n v="396.02"/>
    <x v="485"/>
    <s v="VALDOR FLEX (PISTOL FLEX) (500 GRS) / SIGFITO (TASA POR ENVASE DEL SISTEMA INTEGRADO DE GESTIÓN DE FITOSANITARIOS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32505"/>
    <s v="D"/>
    <d v="2023-06-30T00:00:00"/>
    <n v="22023003931"/>
    <s v="2023 07 1711 22106"/>
    <n v="518.22"/>
    <x v="485"/>
    <s v="JABON FOSFORICO QUIMUR (5 L) / RATIBROM 2 CEBO FRESCO (1 KG) / BLINDAR (1 Kg) / RENOV SUPER 6 (5 L) / CURENOX 52 SC FLOW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6"/>
  </r>
  <r>
    <n v="220230028400"/>
    <s v="D"/>
    <d v="2023-06-07T00:00:00"/>
    <n v="22023001514"/>
    <s v="2023 11 1361 22199"/>
    <n v="15.15"/>
    <x v="438"/>
    <s v="ALB: 23-211195  / BROCHA PALETINA ESMALTAR MANGO AZUL CERDA PURA Nº 15 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393"/>
    <s v="D"/>
    <d v="2023-06-30T00:00:00"/>
    <n v="22023003832"/>
    <s v="2023 10 2412 22199"/>
    <n v="86.12"/>
    <x v="438"/>
    <s v="SUMINISTRO DE MATERIAL PARA EL CURSO DE PARQUES Y JARDINES IV- JACINTO BENAVENTE MENOS FACTURA DE ABONON A88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95"/>
    <s v="D"/>
    <d v="2023-06-30T00:00:00"/>
    <n v="22023003832"/>
    <s v="2023 10 2412 22199"/>
    <n v="90.76"/>
    <x v="438"/>
    <s v="SUMINISTRO DE  BOLSA 25 UDS ESTACA PARA TUBERIA 16 MM, BOLSA 100 PARA EL CURSO PARQUES Y JARDINES IV- JACINTO BENAV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97"/>
    <s v="D"/>
    <d v="2023-06-30T00:00:00"/>
    <n v="22023003925"/>
    <s v="2023 10 2412 213"/>
    <n v="178.5"/>
    <x v="438"/>
    <s v="REPARACION DE: MOTOSIERRA   MARCA: STHIL  MODELO:MS192T NS265046335 PARA EL CURSO DE PARQUES Y JARDINES IV- JACINTO BEN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32492"/>
    <s v="D"/>
    <d v="2023-06-30T00:00:00"/>
    <n v="22023003925"/>
    <s v="2023 10 2412 213"/>
    <n v="35.43"/>
    <x v="438"/>
    <s v="ALB: 23-209103 PED: 23-012418-1017 S/PED: JACINTO BENAVENTE / REPARACION DE:   MOTOSIERRQA MARCA: STHIL  MODELO:   MS192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1"/>
    <s v="213"/>
  </r>
  <r>
    <n v="220230032517"/>
    <s v="D"/>
    <d v="2023-06-30T00:00:00"/>
    <n v="22023004185"/>
    <s v="2023 07 1711 22104"/>
    <n v="3098.62"/>
    <x v="438"/>
    <s v="ALB: 23-216551 PED: 23-027338-1102 S/PED:  / PANTALON MULTIBOLSILLOS DATOR AZUL MARINO ORION T-S / PANTALON MULTIBOLSIL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04"/>
  </r>
  <r>
    <n v="220230032554"/>
    <s v="D"/>
    <d v="2023-06-30T00:00:00"/>
    <n v="22023001607"/>
    <s v="2023 08 1532 210"/>
    <n v="48.75"/>
    <x v="438"/>
    <s v="ALB: 23-212844 PED: 23-017640-1017 S/PED: PARQUE / REPARACION DE: GENERADOR   MARCA:AYERBE    MODELO:  5000H  NS:16326 /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29451"/>
    <s v="D"/>
    <d v="2023-06-13T00:00:00"/>
    <n v="22023003935"/>
    <s v="2023 07 1711 619"/>
    <n v="6618.15"/>
    <x v="902"/>
    <s v="UD LIQUIDAMBAR STYRACIFLUA 20/25 CONTENEDOR / UDE QUERCUS FAGINEA 20/25 CONTENEDOR / UD TITA TORMENTOSA 20/25 CEPELLON"/>
    <s v="300"/>
    <s v="PEÑAFIEL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28219"/>
    <s v="D"/>
    <d v="2023-06-07T00:00:00"/>
    <n v="22023001607"/>
    <s v="2023 08 1532 210"/>
    <n v="4832.07"/>
    <x v="557"/>
    <s v="REMATE DE CHAPA 0,6X215 LAC. ROJO (9 UNIDADES DE 3000MM) / 6 IPN 120 A 6M S 275 JR / 6 UPN 120 A 6M S 275 JR / TUBO RECT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450"/>
    <s v="D"/>
    <d v="2023-06-30T00:00:00"/>
    <n v="22023001514"/>
    <s v="2023 11 1361 22199"/>
    <n v="1074.6500000000001"/>
    <x v="557"/>
    <s v="ALBARÁN 1514 DE 11/08/2022/UPN 140 A 12 M S 275 JR (5 UDS 600mm) CHAPA LAM. CALIENTE/ANGULO/PLACAS ACERO S275JR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521"/>
    <s v="D"/>
    <d v="2023-06-30T00:00:00"/>
    <n v="22023004206"/>
    <s v="2023 06 3232 212"/>
    <n v="247.49"/>
    <x v="557"/>
    <s v="CEIP EL PERAL (  ID 0035786 ) / CHAPA PERFORADA 2000X1000X1 R 5 T 7,5 DD11 / CHAPA PERFORADA 2000X1000X1,5  R 5 T 7,5 DD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28651"/>
    <s v="AD"/>
    <d v="2023-06-08T00:00:00"/>
    <n v="22023004902"/>
    <s v="2023 09 3341 213"/>
    <n v="1109.3399999999999"/>
    <x v="117"/>
    <s v="DESATASCO EN CAMERINOS Y BAÑOS DE LA CUPULA DEL MILENIO"/>
    <s v="220"/>
    <s v="ALBACETE"/>
    <s v="ALBACETE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1"/>
    <s v="213"/>
  </r>
  <r>
    <n v="220230029428"/>
    <s v="D"/>
    <d v="2023-06-13T00:00:00"/>
    <n v="22023003932"/>
    <s v="2023 07 1711 22199"/>
    <n v="85.53"/>
    <x v="445"/>
    <s v="933-12X120-175 TORNILLO  C/ HEXAGONAL  8.8 TODO ROSCA / AT5.5x125 DESTORNILLADOR PLANO 5.5X125   FACOM / 113A.10C LLAV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77"/>
    <s v="D"/>
    <d v="2023-06-30T00:00:00"/>
    <n v="22023003932"/>
    <s v="2023 07 1711 22199"/>
    <n v="198.54"/>
    <x v="902"/>
    <s v="UD BEGONIA BABARIENSIS BIB ROSE BRONZE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79"/>
    <s v="D"/>
    <d v="2023-06-30T00:00:00"/>
    <n v="22023003932"/>
    <s v="2023 07 1711 22199"/>
    <n v="905.54"/>
    <x v="902"/>
    <s v="UD TAGETE TEXANA HARMOMY / UD TAGERE TEXANA YELOW / UD TEGATE TEXANA MIX / UD TAGETE X PATULAA SOLERA RED / UD CATHARANT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281"/>
    <s v="D"/>
    <d v="2023-06-30T00:00:00"/>
    <n v="22023003932"/>
    <s v="2023 07 1711 22199"/>
    <n v="1381.04"/>
    <x v="902"/>
    <s v="UD ANTIRRINUM MAJUS LEO ELITE MIX / UD BEGONIA SEMPERFLORENS DOUBLE ROSE / UD PELARGONIO XZONALE GRANDEUR CLASSIC PINK B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0104"/>
    <s v="D"/>
    <d v="2023-06-16T00:00:00"/>
    <n v="22023001542"/>
    <s v="2023 07 1711 203"/>
    <n v="354.53"/>
    <x v="903"/>
    <s v="PARTE 9350 DEL 8-5-2023, Nº 28. / 705009 · ENTREGA EN PLAZA DEL MILENIO --------------------- / 705008 · ALQUILER DE BRA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0"/>
    <s v="203"/>
  </r>
  <r>
    <n v="220230029454"/>
    <s v="D"/>
    <d v="2023-06-13T00:00:00"/>
    <n v="22023003932"/>
    <s v="2023 07 1711 22199"/>
    <n v="239.48"/>
    <x v="606"/>
    <s v="Nº VALE 678 ( DESTINO: HR2 ) / CUCHILLA CORTACESPED HONDA HRH 536 HXE / CORREA HIDROSTATICO A MOTOR RIDER 21 AWD / val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03"/>
    <s v="D"/>
    <d v="2023-06-30T00:00:00"/>
    <n v="22023004206"/>
    <s v="2023 06 3232 212"/>
    <n v="44.32"/>
    <x v="438"/>
    <s v="ALB: 23-214990 PED: 23-024943-1003 S/PED: FRAY LUIS DE LEON / LATIGUILLO H-H 1/2-1/2   L- 300 / LATIGUILLO H-H 1/2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5"/>
    <s v="D"/>
    <d v="2023-06-30T00:00:00"/>
    <n v="22023004206"/>
    <s v="2023 06 3232 212"/>
    <n v="64.08"/>
    <x v="438"/>
    <s v="ALB: 23-214288 PED: 23-023688-1003 S/PED: ALLUE MORE / PRESTO CABEZAL REPUESTO GRIFOS MOD 504,605,805 (1028) / MANGUETO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7"/>
    <s v="D"/>
    <d v="2023-06-30T00:00:00"/>
    <n v="22023004206"/>
    <s v="2023 06 3232 212"/>
    <n v="90.85"/>
    <x v="438"/>
    <s v="ALB: 23-214115 PED: 23-023360-1003 S/PED: C.P. ENTRE RIOS / VALVULA FLOTADOR LATON 11/4 / BOYA PLASTICO DN200 11/4&quot;&quot; - 11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09"/>
    <s v="D"/>
    <d v="2023-06-30T00:00:00"/>
    <n v="22023004206"/>
    <s v="2023 06 3232 212"/>
    <n v="73.83"/>
    <x v="438"/>
    <s v="ALB: 23-214114 PED: 23-023357-1003 S/PED: C / OBRA C.P. VICENTE ALEXANDER C/ DOCTOR MORENO / PRESTO GRIFO URINARIO TEMP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2314"/>
    <s v="D"/>
    <d v="2023-06-30T00:00:00"/>
    <n v="22023004205"/>
    <s v="2023 06 3231 212"/>
    <n v="41.67"/>
    <x v="438"/>
    <s v="ALB: 23-214305 PED: 23-023694-1003 S/PED: MAFALDA Y GUILLE / JUEGO RACORES (2UD) CONTADOR H-M (40MM)  2-1-1/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0106"/>
    <s v="D"/>
    <d v="2023-06-16T00:00:00"/>
    <n v="22023003932"/>
    <s v="2023 07 1711 22199"/>
    <n v="746.42"/>
    <x v="606"/>
    <s v="Nº VALE 685 (DESTINO: HR1) / RUEDA TRASERA CORTACESPED HONDA HRG415 C3 / CUBIERTA RUEDA TRASERA CORTACESPED HONDA HRG41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07"/>
    <s v="D"/>
    <d v="2023-06-30T00:00:00"/>
    <n v="22023003932"/>
    <s v="2023 07 1711 22199"/>
    <n v="764.43"/>
    <x v="606"/>
    <s v="nº vale 756 ( DESTINO: HR2 ) / RUEDA TRASERA CORTACESPED HONDA HRG536 / RUEDA DELANTERA CORTACESPED HONDA HRG536C7 / TE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525"/>
    <s v="D"/>
    <d v="2023-06-30T00:00:00"/>
    <n v="22023003932"/>
    <s v="2023 07 1711 22199"/>
    <n v="504.8"/>
    <x v="606"/>
    <s v="nº vale 777 ( DESTINO: PARQUESOL ) / KIT MARTILLOS DESBROZADOR RIDER C/ TORNILLOS ( 112 UD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631"/>
    <s v="AD"/>
    <d v="2023-06-08T00:00:00"/>
    <n v="22023004844"/>
    <s v="2023 06 3232 22706"/>
    <n v="2214.3000000000002"/>
    <x v="194"/>
    <s v="CTTO SERVICIOS: REVISIÓN Y OPTIMIZACION ESTRUCTURAL OBRA DE INSTALACIÓN DE PERGOLAS EN EL CEIP EL PERAL. 2 SEMANAS."/>
    <s v="220"/>
    <s v="ZARATAN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2"/>
    <s v="22706"/>
  </r>
  <r>
    <n v="220230032502"/>
    <s v="D"/>
    <d v="2023-06-30T00:00:00"/>
    <n v="22023004205"/>
    <s v="2023 06 3231 212"/>
    <n v="87.2"/>
    <x v="438"/>
    <s v="ALB: 23-215872 PED: 23-026239-1003 S/PED: MAFALDA Y GUILLE / ARQUETA POLYPRO NEGRA RECTANGULAR MEDIANA 50X37XH30 / VALV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30058"/>
    <s v="ADO"/>
    <d v="2023-06-16T00:00:00"/>
    <n v="22023004835"/>
    <s v="2023 11 1621 22706"/>
    <n v="9601.75"/>
    <x v="194"/>
    <s v="AD 920220019952 Y 920220021672 ESTUDIO MEJORAS ENERGÉTICAS TALLER MECÁNICO SEGÚN EXPT. SL01/2022. SERVICIO DE LIMPIEZA."/>
    <s v="240"/>
    <s v="ZARATAN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706"/>
  </r>
  <r>
    <n v="220230030677"/>
    <s v="AD"/>
    <d v="2023-06-20T00:00:00"/>
    <n v="22023004545"/>
    <s v="2023 0550 4312 632"/>
    <n v="1538.41"/>
    <x v="194"/>
    <s v="MODIFICADO DEL PROYECTO DE REHABILITACION GALERIAS MUNICIPALES DE ALIMENTACION RONDILLA DE SANTA TERESA"/>
    <s v="220"/>
    <s v="ZARATAN"/>
    <s v="VALLADOLID"/>
    <x v="1"/>
    <s v="PrAbier - Procedimiento Abierto"/>
    <s v="MultiC - MultiCriterio"/>
    <x v="1"/>
    <x v="1"/>
    <n v="6"/>
    <s v="6. Inversiones reales"/>
    <s v="05"/>
    <x v="7"/>
    <s v="0 43"/>
    <n v="4312"/>
    <n v="63"/>
    <n v="632"/>
  </r>
  <r>
    <n v="220230030702"/>
    <s v="AD"/>
    <d v="2023-06-20T00:00:00"/>
    <n v="22023003433"/>
    <s v="2023 06 3321 22799"/>
    <n v="1000"/>
    <x v="350"/>
    <s v="CTTO AMPLIACIÓN DISEÑO Y MAQUETACIÓN PARA PUBLICITAR ACTIVIDADES DE BIBLIOTECAS PÚBLICAS//AÑ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321"/>
    <s v="3321. Bibliotecas públicas"/>
    <s v="22"/>
    <s v="22799"/>
  </r>
  <r>
    <n v="220230026829"/>
    <s v="AD"/>
    <d v="2023-06-01T00:00:00"/>
    <n v="22023004726"/>
    <s v="2023 11 1321 213"/>
    <n v="1000"/>
    <x v="367"/>
    <s v="REPARACIÓN DE LLAVES DE ALARMA Y REPOSICIÓN DE SISTEMAS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3"/>
  </r>
  <r>
    <n v="220230031245"/>
    <s v="AD"/>
    <d v="2023-06-22T00:00:00"/>
    <n v="22023005018"/>
    <s v="2023 05 4312 22706"/>
    <n v="5286.98"/>
    <x v="194"/>
    <s v="DIRECCION FACULTATIVA DE OBRAS REPARACION Y SUBSANACION DE PATOLOGIAS Y MEJORAS MERCADO DELICIAS 2023"/>
    <s v="220"/>
    <s v="ZARATAN"/>
    <s v="VALLADOLID"/>
    <x v="1"/>
    <s v="PrAbier - Procedimiento Abierto"/>
    <s v="MultiC - MultiCriterio"/>
    <x v="1"/>
    <x v="1"/>
    <s v="2"/>
    <s v="2. Gastos corrientes en bienes y servicios"/>
    <s v="05"/>
    <x v="7"/>
    <s v="4312"/>
    <s v="4312. Mercados, abastos y lonjas"/>
    <s v="22"/>
    <s v="22706"/>
  </r>
  <r>
    <n v="220230029422"/>
    <s v="D"/>
    <d v="2023-06-13T00:00:00"/>
    <n v="22023003935"/>
    <s v="2023 07 1711 619"/>
    <n v="79.86"/>
    <x v="613"/>
    <s v="CONVOLVULUS C-3 L / COTTONEASTER C-3 L"/>
    <s v="300"/>
    <s v="VALLADOLID"/>
    <s v="VALLADOLID"/>
    <x v="3"/>
    <s v="PrAbier - Procedimiento Abierto"/>
    <s v="MultiC - MultiCriterio"/>
    <x v="1"/>
    <x v="1"/>
    <s v="6"/>
    <s v="6. Inversiones reales"/>
    <s v="07"/>
    <x v="4"/>
    <s v="1711"/>
    <s v="1711. Parques y jardines"/>
    <s v="61"/>
    <s v="619"/>
  </r>
  <r>
    <n v="220230030116"/>
    <s v="D"/>
    <d v="2023-06-16T00:00:00"/>
    <n v="22023003932"/>
    <s v="2023 07 1711 22199"/>
    <n v="484"/>
    <x v="613"/>
    <s v="CARROS / BANDEJAS DE CARR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32389"/>
    <s v="D"/>
    <d v="2023-06-30T00:00:00"/>
    <n v="22023003832"/>
    <s v="2023 10 2412 22199"/>
    <n v="86.9"/>
    <x v="613"/>
    <s v="SUMINISTRO DE SEMILLAS CESPED PARA EL PROGRAMA MIXTO PARQUES Y JARDINES IV DEL C.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1246"/>
    <s v="AD"/>
    <d v="2023-06-22T00:00:00"/>
    <n v="22023005029"/>
    <s v="2023 06 3232 22706"/>
    <n v="968"/>
    <x v="963"/>
    <s v="REDACCIÓN PLIEGO TECNICO OBRA DE SUSTITUCIÓN DE CALDERA CEIP MIGUEL DELIBES. PLAZO: 1 MES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32"/>
    <s v="3232. Conservación y mantenimiento centros educación infantil y primaria"/>
    <s v="22"/>
    <s v="22706"/>
  </r>
  <r>
    <n v="220230028636"/>
    <s v="AD"/>
    <d v="2023-06-08T00:00:00"/>
    <n v="22023004885"/>
    <s v="2023 10 2312 213"/>
    <n v="963.16"/>
    <x v="131"/>
    <s v="REPARACION ASCENSOR DEL CVA FRAY LUIS DE LEON, REPARACION DE CONTACTO FRENO, ACUMULADOR EMERGENCIA ....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2458"/>
    <s v="D"/>
    <d v="2023-06-30T00:00:00"/>
    <n v="22023000273"/>
    <s v="2023 11 1321 22199"/>
    <n v="3912.41"/>
    <x v="445"/>
    <s v="ROLLO CINTA BALIZAMIENTO 100 MM  X 250 MTS GALGA 300  IMPRESA 2 CARAS 1 TINTA POR CADA CARA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30701"/>
    <s v="AD"/>
    <d v="2023-06-20T00:00:00"/>
    <n v="22023004934"/>
    <s v="2023 06 2314 22613"/>
    <n v="900"/>
    <x v="964"/>
    <s v="ACTIVIDADES DIFUSION OBJETIVOS DESARROLLO SOSTENIBLE (ODS) ESPACIO JOVEN NORTE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2"/>
    <s v="22613"/>
  </r>
  <r>
    <n v="220230030704"/>
    <s v="AD"/>
    <d v="2023-06-20T00:00:00"/>
    <n v="22023004936"/>
    <s v="2023 10 2312 22612"/>
    <n v="878.46"/>
    <x v="630"/>
    <s v="ENCUADERNACION LIBRO DERECHO MUNICIPAL DE CENTROAMERICA Y REPUBLICA DOMINICANA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2391"/>
    <s v="D"/>
    <d v="2023-06-30T00:00:00"/>
    <n v="22023003832"/>
    <s v="2023 10 2412 22199"/>
    <n v="195.21"/>
    <x v="613"/>
    <s v="SUMINISTRO DE  PETUNIAS, SANTOLINAS,PORTULACA,TRADESCANTIA,LAURELPARA ELL CURSO DE PARQUES Y JARDINES IV- JACINTO BENAV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8257"/>
    <s v="D"/>
    <d v="2023-06-07T00:00:00"/>
    <n v="22023001514"/>
    <s v="2023 11 1361 22199"/>
    <n v="130.80000000000001"/>
    <x v="209"/>
    <s v="TUBO LED  24W/ RODA 2X 1785 LED 24W CLD S BLANCO / BOQUILLAS GK20/CONMUTADOR/CAJA DERIVACION/Serv. Extincion 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288"/>
    <s v="D"/>
    <d v="2023-06-07T00:00:00"/>
    <n v="22023004200"/>
    <s v="2023 09 3341 213"/>
    <n v="18.850000000000001"/>
    <x v="209"/>
    <s v="SUMINISTRO MATERIALES PARA TRABAJOS REALIZADOS POR MANTENIMIENTO EN GALERIAS VALLADOLID"/>
    <s v="300"/>
    <s v="BARCELONA"/>
    <s v="BARCELONA"/>
    <x v="3"/>
    <s v="PrAbier - Procedimiento Abierto"/>
    <s v="MultiC - Multi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28315"/>
    <s v="D"/>
    <d v="2023-06-07T00:00:00"/>
    <n v="22023004119"/>
    <s v="2023 04 9204 213"/>
    <n v="13.87"/>
    <x v="209"/>
    <s v="SUMINISTRO BASE ENCHUFE"/>
    <s v="300"/>
    <s v="BARCELONA"/>
    <s v="BARCELONA"/>
    <x v="3"/>
    <s v="PrAbier - Procedimiento Abierto"/>
    <s v="MultiC - MultiCriterio"/>
    <x v="1"/>
    <x v="1"/>
    <s v="2"/>
    <s v="2. Gastos corrientes en bienes y servicios"/>
    <s v="04"/>
    <x v="5"/>
    <s v="9204"/>
    <s v="9204. Tecnologías de la información y comunicación"/>
    <s v="21"/>
    <s v="213"/>
  </r>
  <r>
    <n v="220230029526"/>
    <s v="D"/>
    <d v="2023-06-13T00:00:00"/>
    <n v="22023004435"/>
    <s v="2023 02 9332 212"/>
    <n v="52.21"/>
    <x v="209"/>
    <s v="93 CANAL 1 TAPA BLANCO RAL9010 50X80 U23X / 93 TAPA FINAL BLANCO RAL9010 50X80 U24X / 93 ADAPTADOR 1 MEC. ZENIT BLANCO R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21"/>
    <s v="D"/>
    <d v="2023-06-30T00:00:00"/>
    <n v="22023001578"/>
    <s v="2023 11 3111 22199"/>
    <n v="8.82"/>
    <x v="209"/>
    <s v="INTERRUPTOR MONOPOLAR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3111"/>
    <s v="3111. Protección de la salubridad pública"/>
    <s v="22"/>
    <s v="22199"/>
  </r>
  <r>
    <n v="220230032323"/>
    <s v="D"/>
    <d v="2023-06-30T00:00:00"/>
    <n v="22023002740"/>
    <s v="2023 02 9332 213"/>
    <n v="1231.27"/>
    <x v="209"/>
    <s v="SONDAFLEX NYLON D. 3 MM L. 5 M CABEZAL GUIA Y TERMINAL FIJO / SONDAFLEX CABLE DE ACERO D. 4 MM L. 10 M / FLUKE T150 COMP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3"/>
  </r>
  <r>
    <n v="220230032323"/>
    <s v="D"/>
    <d v="2023-06-30T00:00:00"/>
    <n v="22023004435"/>
    <s v="2023 02 9332 212"/>
    <n v="34.43"/>
    <x v="209"/>
    <s v="SONDAFLEX NYLON D. 3 MM L. 5 M CABEZAL GUIA Y TERMINAL FIJO / SONDAFLEX CABLE DE ACERO D. 4 MM L. 10 M / FLUKE T150 COMP"/>
    <s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359"/>
    <s v="D"/>
    <d v="2023-06-30T00:00:00"/>
    <n v="22023001467"/>
    <s v="2023 10 2312 212"/>
    <n v="16.34"/>
    <x v="209"/>
    <s v="MANT. SUMINISTRO DE LAMP. LED SPOT PAR16 FROSTED 6W 500LM GU10 50MM  4000ºK CRI80 FP0,5 100º 15000H- CPM PTE. COLGANTE-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1"/>
    <s v="2312"/>
    <s v="2312. Iniciativas sociales"/>
    <s v="21"/>
    <s v="212"/>
  </r>
  <r>
    <n v="220230032425"/>
    <s v="D"/>
    <d v="2023-06-30T00:00:00"/>
    <n v="22023004207"/>
    <s v="2023 06 3321 212"/>
    <n v="28.06"/>
    <x v="209"/>
    <s v="22 BRIDA PARA USO EXTERIOR NEGRO 4,8X287 U61X / BASE 4 TOMAS 16A 250V POT. 3600W / CLAVIJA 10/16A 250V PATA 4 ,8MM"/>
    <s v="300"/>
    <s v="BARCELONA"/>
    <s v="BARCELONA"/>
    <x v="3"/>
    <s v="PrAbier - Procedimiento Abierto"/>
    <s v="MultiC - MultiCriterio"/>
    <x v="1"/>
    <x v="1"/>
    <s v="2"/>
    <s v="2. Gastos corrientes en bienes y servicios"/>
    <s v="06"/>
    <x v="2"/>
    <s v="3321"/>
    <s v="3321. Bibliotecas públicas"/>
    <s v="21"/>
    <s v="212"/>
  </r>
  <r>
    <n v="220230032456"/>
    <s v="D"/>
    <d v="2023-06-30T00:00:00"/>
    <n v="22023001514"/>
    <s v="2023 11 1361 22199"/>
    <n v="8.34"/>
    <x v="209"/>
    <s v="RACORES PG-13 PA GRIS P/TUBO ELECTROFLEX-13 / CONTRATUERCAS&quot;&quot;GADI&quot;&quot;PG-13 PA GRIS(RAL7001)//SERV. EXTINCION DE INCENDIOS"/>
    <s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6832"/>
    <s v="AD"/>
    <d v="2023-06-01T00:00:00"/>
    <n v="22023004752"/>
    <s v="2023 10 2312 212"/>
    <n v="871.2"/>
    <x v="674"/>
    <s v="SUMINISTRO Y COLOCACION DE BARANDILLA EN EL CVA PARQUESOL- 2023-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6798"/>
    <s v="AD"/>
    <d v="2023-06-01T00:00:00"/>
    <n v="22023004818"/>
    <s v="2023 04 9202 22607"/>
    <n v="822.8"/>
    <x v="197"/>
    <s v="ABONO PRUEBA PSICOTÉCNICA PARA LA PROVISIÓN DE 8 PLAZAS DE OFICIAL DE LA PM. (mav)"/>
    <s v="220"/>
    <s v="VALLADOLID"/>
    <s v="VALLADOLID"/>
    <x v="4"/>
    <s v="AdDirec - Adjudicación Directa"/>
    <s v="SinC - Sin Criterio"/>
    <x v="3"/>
    <x v="1"/>
    <s v="2"/>
    <s v="2. Gastos corrientes en bienes y servicios"/>
    <s v="04"/>
    <x v="5"/>
    <s v="9202"/>
    <s v="9202. Gestión de recursos humanos"/>
    <s v="22"/>
    <s v="22607"/>
  </r>
  <r>
    <n v="220230031188"/>
    <s v="AD"/>
    <d v="2023-06-22T00:00:00"/>
    <n v="22023005249"/>
    <s v="2023 11 1361 213"/>
    <n v="822.8"/>
    <x v="886"/>
    <s v="Reparación_sustitución sistema primatic y sus componentes en BUP_1, MATR 4894JLF; SEISYPC"/>
    <s v="220"/>
    <s v="PARACUELLOS DE JARAMA (MADRID)"/>
    <s v="MADR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1"/>
    <s v="213"/>
  </r>
  <r>
    <n v="220230029329"/>
    <s v="AD"/>
    <d v="2023-06-13T00:00:00"/>
    <n v="22023004938"/>
    <s v="2023 11 1321 212"/>
    <n v="820.4"/>
    <x v="944"/>
    <s v="REALIZACIÓN DE CATA EN SOLERA DEL DISTRITO 1º PARA POSTERIOR REPARACIÓN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0710"/>
    <s v="AD"/>
    <d v="2023-06-20T00:00:00"/>
    <n v="22023004025"/>
    <s v="2023 09 3341 22609"/>
    <n v="809.49"/>
    <x v="926"/>
    <s v="AMPLIACION CONTRATACION SERVICIO TRADUCCION SIMULTANEA FERIA LIBRO 2023 DIA 2 DE JUNIO EN CIRCULO DE RECREO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6818"/>
    <s v="AD"/>
    <d v="2023-06-01T00:00:00"/>
    <n v="22023004750"/>
    <s v="2023 06 2315 22611"/>
    <n v="800"/>
    <x v="503"/>
    <s v="TALLER DE DEBATE Y CREACION ARTISTICA EN EL CENTRO MUNICIPAL DE LA IGUALDA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2533"/>
    <s v="D"/>
    <d v="2023-06-30T00:00:00"/>
    <n v="22023003932"/>
    <s v="2023 07 1711 22199"/>
    <n v="776.19"/>
    <x v="445"/>
    <s v="M18ONEFHIWF34-502X LLAVE DE IMPACTO M18 FUEL ONEKEY SIN ESCOBILLAS 3/4 CON ANILLO 1627NM  DESAPRIETE 2034NM 4 MODOS CO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2"/>
    <s v="22199"/>
  </r>
  <r>
    <n v="220230028300"/>
    <s v="D"/>
    <d v="2023-06-07T00:00:00"/>
    <n v="22023001459"/>
    <s v="2023 11 1621 214"/>
    <n v="3093.61"/>
    <x v="442"/>
    <s v="7332 LWL // SERV MANTENIMIENTO EO / SERV MANTENIMIENTO PROGRAMADO EP1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19"/>
    <s v="D"/>
    <d v="2023-06-07T00:00:00"/>
    <n v="22023001459"/>
    <s v="2023 11 1621 214"/>
    <n v="3646.59"/>
    <x v="442"/>
    <s v="1231 LWY  // SER MANTENIMIENTO EO /SERVICIO MANTENIMIENTO PROGRAMA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21"/>
    <s v="D"/>
    <d v="2023-06-07T00:00:00"/>
    <n v="22023001459"/>
    <s v="2023 11 1621 214"/>
    <n v="2011.02"/>
    <x v="442"/>
    <s v="7338 LWL // SERV MANTENIMIENTO EO / SERV MANTENIMIENTO PROGRAMADO E...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5"/>
    <s v="D"/>
    <d v="2023-06-30T00:00:00"/>
    <n v="22023001459"/>
    <s v="2023 11 1621 214"/>
    <n v="3879.85"/>
    <x v="442"/>
    <s v="REVISION 7418LDY / SERVICIO DE MANTENIMIENTO EO /PROGRAMADO EP1 /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7"/>
    <s v="D"/>
    <d v="2023-06-30T00:00:00"/>
    <n v="22023001459"/>
    <s v="2023 11 1621 214"/>
    <n v="2936.78"/>
    <x v="442"/>
    <s v="REVISION 6442LPY // REVISION TIPO A 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69"/>
    <s v="D"/>
    <d v="2023-06-30T00:00:00"/>
    <n v="22023001459"/>
    <s v="2023 11 1621 214"/>
    <n v="3705.95"/>
    <x v="442"/>
    <s v="REVISION 8500LRN // SERVICIO DE MANTENIMIENTO EO // AM SPSC 23/2020. SERVICIO DE LIMPIEZ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2371"/>
    <s v="D"/>
    <d v="2023-06-30T00:00:00"/>
    <n v="22023001469"/>
    <s v="2023 11 1631 214"/>
    <n v="1831.78"/>
    <x v="442"/>
    <s v="REVISION 6528LBJ // SERVICIO DE MANTENIMIENTO  // 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373"/>
    <s v="D"/>
    <d v="2023-06-30T00:00:00"/>
    <n v="22023001469"/>
    <s v="2023 11 1631 214"/>
    <n v="822.92"/>
    <x v="442"/>
    <s v="REVISION 0984FGF // E6138BFR // 1410JNL //  AM SPSC 23/2020. LIMPIEZA VIARIA.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2464"/>
    <s v="D"/>
    <d v="2023-06-30T00:00:00"/>
    <n v="22023000263"/>
    <s v="2023 02 9332 214"/>
    <n v="435.35"/>
    <x v="442"/>
    <s v="VA37960VE // H.M.O.REV. AVERIAS DESMONTAR INYECTORES PARA COMPROBRA COMPRESION (MAL) DESMONTAR  CULATA PARA VER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30673"/>
    <s v="AD"/>
    <d v="2023-06-19T00:00:00"/>
    <n v="22023004894"/>
    <s v="2023 04 9231 22705"/>
    <n v="726"/>
    <x v="319"/>
    <s v="ANUNCIO EXPOSICION CENSO ELECTORAL. 4 Y 5 JUNIO 2023 - EL ESPAÑOL DIGITAL"/>
    <s v="220"/>
    <s v="BOECILLO"/>
    <s v="VALLADOLID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8595"/>
    <s v="D"/>
    <d v="2023-06-07T00:00:00"/>
    <n v="22023001463"/>
    <s v="2023 11 1621 22103"/>
    <n v="1428.51"/>
    <x v="466"/>
    <s v="ADBLUE A GRANEL / ACUERDO MARCO DE SUMINISTROS. SERVICIO DE LIMPIEZ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03"/>
  </r>
  <r>
    <n v="220230032438"/>
    <s v="D"/>
    <d v="2023-06-30T00:00:00"/>
    <n v="22023000270"/>
    <s v="2023 11 1321 214"/>
    <n v="105.22"/>
    <x v="466"/>
    <s v="ACUERDO MARCO. SUMINISTRO DE MATERIALES PARA TALLER DE REPARACIÓN DE VEHÍCULOS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446"/>
    <s v="D"/>
    <d v="2023-06-30T00:00:00"/>
    <n v="22023000270"/>
    <s v="2023 11 1321 214"/>
    <n v="54.45"/>
    <x v="466"/>
    <s v="ACUERDO MARCO. PELICULA LUBRICANTE 400 ML / WD-40 DOBLE ACCIÓN 500 ML. SUMINISTROS TALLER REPARACIONES POLICÍA.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50"/>
    <s v="AD"/>
    <d v="2023-06-22T00:00:00"/>
    <n v="22023005039"/>
    <s v="2023 11 1361 22104"/>
    <n v="768.35"/>
    <x v="887"/>
    <s v="Suministro de 50 cinturones para pantalón de parque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04"/>
  </r>
  <r>
    <n v="220230028645"/>
    <s v="AD"/>
    <d v="2023-06-08T00:00:00"/>
    <n v="22023004891"/>
    <s v="2023 10 2316 22616"/>
    <n v="758.7"/>
    <x v="965"/>
    <s v="SERVICIO MAQUETACION Y TRADUCCION: BULG+RUM+ARAB+UKR. TABLAS SALARIALES, CONDIC.LAB+COTIZ.SOC.  EMPL. SERVICIO DOMESTICO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616"/>
  </r>
  <r>
    <n v="220230032434"/>
    <s v="D"/>
    <d v="2023-06-30T00:00:00"/>
    <n v="22023001514"/>
    <s v="2023 11 1361 22199"/>
    <n v="256.39"/>
    <x v="445"/>
    <s v="71419 LLAVE DE GANCHO 80-90 MM ANTICHISPA  Al-Bron EGAMASTER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1282"/>
    <s v="AD"/>
    <d v="2023-06-23T00:00:00"/>
    <n v="22023004965"/>
    <s v="2023 07 1721 22799"/>
    <n v="750"/>
    <x v="966"/>
    <s v="ALOJAMIENTO DE LA WEB VALLADOLID SOLAR POR PARTE DE LA EMPRESA ALEMANA TETRAEDER SOLAR"/>
    <s v="220"/>
    <s v="DORTMUND"/>
    <s v="EXTERIOR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99"/>
  </r>
  <r>
    <n v="220230030695"/>
    <s v="AD"/>
    <d v="2023-06-20T00:00:00"/>
    <n v="22023004890"/>
    <s v="2023 07 1711 22799"/>
    <n v="745"/>
    <x v="253"/>
    <s v="Revisión extintores"/>
    <s v="220"/>
    <s v="CABANILLAS DEL CAMPO"/>
    <s v="GUADALAJARA"/>
    <x v="1"/>
    <s v="AdDirec - Adjudicación Directa"/>
    <s v="SinC - Sin Criterio"/>
    <x v="3"/>
    <x v="1"/>
    <s v="2"/>
    <s v="2. Gastos corrientes en bienes y servicios"/>
    <s v="07"/>
    <x v="4"/>
    <s v="1711"/>
    <s v="1711. Parques y jardines"/>
    <s v="22"/>
    <s v="22799"/>
  </r>
  <r>
    <n v="220230024859"/>
    <s v="AD"/>
    <d v="2023-05-24T00:00:00"/>
    <n v="22023004653"/>
    <s v="2023 05 4331 22799"/>
    <n v="726.48"/>
    <x v="95"/>
    <s v="DIRECCIÓN DE OBRA DESMONTAJE DEL JARDÍN VERTICAL DEL ANTIGUO EDIFICIO DE EL CORTE INGLÉS DE CALLE CONSTITUCIÓN"/>
    <s v="220"/>
    <s v="VALLADOLID"/>
    <s v="VALLADOLID"/>
    <x v="1"/>
    <s v="PrAbier - Procedimiento Abierto"/>
    <s v="MultiC - MultiCriterio"/>
    <x v="1"/>
    <x v="1"/>
    <s v="2"/>
    <s v="2. Gastos corrientes en bienes y servicios"/>
    <s v="05"/>
    <x v="7"/>
    <s v="4331"/>
    <s v="4331. Desarrollo empresarial"/>
    <s v="22"/>
    <s v="22799"/>
  </r>
  <r>
    <n v="220230032485"/>
    <s v="D"/>
    <d v="2023-06-30T00:00:00"/>
    <n v="22023001514"/>
    <s v="2023 11 1361 22199"/>
    <n v="196.06"/>
    <x v="445"/>
    <s v="STEEL DISCO CORTE EH 230-3,2 SG STEEL PFERD / 467B.19 LLAVE MIXTA CON TRINQUETE 19 MM  FACOM / 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454"/>
    <s v="D"/>
    <d v="2023-06-30T00:00:00"/>
    <n v="22023000273"/>
    <s v="2023 11 1321 22199"/>
    <n v="99.15"/>
    <x v="445"/>
    <s v="ACUERDO MARCO. SUMINISTRO DE MATERIAL DE FERRETERIA PARA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9484"/>
    <s v="D"/>
    <d v="2023-06-13T00:00:00"/>
    <n v="22023003137"/>
    <s v="2023 06 3321 629"/>
    <n v="77.349999999999994"/>
    <x v="934"/>
    <s v="¡¡S.O.S., ESTOY DE CAMPAMENTO!! / SANGRE NAZARENA Y OTROS RELATOS INESPERADOS"/>
    <s v="300"/>
    <s v="VALLADOLID"/>
    <s v="VALLADOLID"/>
    <x v="3"/>
    <s v="PrAbier - Procedimiento Abierto"/>
    <s v="MultiC - MultiCriterio"/>
    <x v="1"/>
    <x v="1"/>
    <s v="6"/>
    <s v="6. Inversiones reales"/>
    <s v="06"/>
    <x v="2"/>
    <s v="3321"/>
    <s v="3321. Bibliotecas públicas"/>
    <s v="62"/>
    <s v="629"/>
  </r>
  <r>
    <n v="220230030130"/>
    <s v="D"/>
    <d v="2023-06-16T00:00:00"/>
    <n v="22023004435"/>
    <s v="2023 02 9332 212"/>
    <n v="1193.08"/>
    <x v="467"/>
    <s v="TIRAFONDOS 4,5 x 80 / PERFIL PINO LAMINADO 90x45 / PERFIL PINO LAMINADO 90x35 / MAMPARAS TORREON DE GOBIERNO Y ACTAS / P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2436"/>
    <s v="D"/>
    <d v="2023-06-30T00:00:00"/>
    <n v="22023001514"/>
    <s v="2023 11 1361 22199"/>
    <n v="146.66"/>
    <x v="467"/>
    <s v="SIKAFLEX 11 FC / TIRAFONDO SPAX 4*40 XL 400U. / AGLOMERADO 3660**19 / CORTES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8248"/>
    <s v="D"/>
    <d v="2023-06-07T00:00:00"/>
    <n v="22023001514"/>
    <s v="2023 11 1361 22199"/>
    <n v="33.6"/>
    <x v="536"/>
    <s v="4 UNIDADES PLETINAS LISAS ALUMINIO 40X2X1000MM//SERVICIO DE EXTINCIÓ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32313"/>
    <s v="ADO"/>
    <d v="2023-06-30T00:00:00"/>
    <n v="22023004953"/>
    <s v="2023 11 1321 224"/>
    <n v="610.5"/>
    <x v="747"/>
    <s v="RENOVACIÓN 2023/24 CDA22117308EUR AEROLINEAS. SEGURO DE DOS DRONES HASTA 6 DE ABRIL DE 2024."/>
    <s v="240"/>
    <s v="VALLADOLID"/>
    <s v="VALLADOLID"/>
    <x v="4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4"/>
  </r>
  <r>
    <n v="220230013363"/>
    <s v="AD"/>
    <d v="2023-04-04T00:00:00"/>
    <n v="22023003510"/>
    <s v="2023 05 4312 22799"/>
    <n v="6534"/>
    <x v="967"/>
    <s v="GESTION Y COORDINACION PROYECTO &quot;&quot;CONOCE TU MERCADO&quot;&quot; PARA ALUMNOS DE EDUCACION PRIMARIA (VISITAS, TRANSPORTE, TALLER)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12"/>
    <s v="4312. Mercados, abastos y lonjas"/>
    <s v="22"/>
    <s v="22799"/>
  </r>
  <r>
    <n v="220230020780"/>
    <s v="D"/>
    <d v="2023-05-16T00:00:00"/>
    <n v="22023000007"/>
    <s v="2023 10 2412 22799"/>
    <n v="37000"/>
    <x v="968"/>
    <s v="adj.2 cursos  atención sociosanitara en inst. sociales-MARS DIGITAL-desde formaliz.hasta dic 2023"/>
    <s v="300"/>
    <s v="MADRID"/>
    <s v="MADRID"/>
    <x v="1"/>
    <s v="PrAbier - Procedimiento Abierto"/>
    <s v="MultiC - MultiCriterio"/>
    <x v="0"/>
    <x v="1"/>
    <s v="2"/>
    <s v="2. Gastos corrientes en bienes y servicios"/>
    <s v="10"/>
    <x v="1"/>
    <s v="2412"/>
    <s v="2412. Formación para el empleo"/>
    <s v="22"/>
    <s v="22799"/>
  </r>
  <r>
    <n v="220230031231"/>
    <s v="AD"/>
    <d v="2023-06-22T00:00:00"/>
    <n v="22023004971"/>
    <s v="2023 10 2312 22699"/>
    <n v="569.12"/>
    <x v="969"/>
    <s v="DISEÑO Y MAQUETACION DE LOS CARTELES DE LAS ACTIVIDADES DE PRIMAVERA DE LOS CVA EN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31196"/>
    <s v="AD"/>
    <d v="2023-06-22T00:00:00"/>
    <n v="22023005155"/>
    <s v="2023 11 1361 22199"/>
    <n v="528.05999999999995"/>
    <x v="247"/>
    <s v="Adqusición de una tercera botella de oxígeno para repuesto de los equipos de oxicorte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090"/>
    <s v="D"/>
    <d v="2023-06-16T00:00:00"/>
    <n v="22023004435"/>
    <s v="2023 02 9332 212"/>
    <n v="1246.3"/>
    <x v="970"/>
    <s v="HORAS REVISION CANTEADORA / HORAS REVISION ESCUADRADORA / DESPLAZAMIENTO / EQUIPO DE BARNIZAR MOD GR25 AIRMIX"/>
    <s v="300"/>
    <s v="MEDINA DEL CAMPO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2"/>
  </r>
  <r>
    <n v="220230026823"/>
    <s v="AD"/>
    <d v="2023-06-01T00:00:00"/>
    <n v="22023004714"/>
    <s v="2023 06 3261 22699"/>
    <n v="500"/>
    <x v="292"/>
    <s v="SUMINISTRO DE PAPEL A LA IMPRENTA MUNICIPAL PARA ELABORAR DIPTICOS Y CARTELES ENCARGADOS POR EL SERV. EDUC. AÑO 2023.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26825"/>
    <s v="AD"/>
    <d v="2023-06-01T00:00:00"/>
    <n v="22023004718"/>
    <s v="2023 06 3261 22699"/>
    <n v="500"/>
    <x v="630"/>
    <s v="ENCUADERNACION DE MATERIAL REALIZADO POR LA IMPRENTA MUNICIPAL. SERVICIO DE EDUCACIÓN. AÑO 2023.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3261"/>
    <s v="3261. Servicios complementarios de educación"/>
    <s v="22"/>
    <s v="22699"/>
  </r>
  <r>
    <n v="220230028634"/>
    <s v="AD"/>
    <d v="2023-06-08T00:00:00"/>
    <n v="22023004840"/>
    <s v="2023 10 2312 22199"/>
    <n v="490.05"/>
    <x v="971"/>
    <s v="SUMINISTRO Y INSTALACION DE LOGOTIPO PA RA EL CVA APARQUESOL- MAYO 2023"/>
    <s v="220"/>
    <s v="MOJADOS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199"/>
  </r>
  <r>
    <n v="220230031266"/>
    <s v="D"/>
    <d v="2023-06-22T00:00:00"/>
    <n v="22022008399"/>
    <s v="2023 03 9241 633"/>
    <n v="469.02"/>
    <x v="95"/>
    <s v="COORDINACIÓN DE SEGURIDAD Y SALUD EN OBRA SISTEMA CLIMATIZACIÓN TEATRO CANTERAC CC DELICIAS"/>
    <s v="300"/>
    <s v="VALLADOLID"/>
    <s v="VALLADOLID"/>
    <x v="1"/>
    <s v="AdDirec - Adjudicación Directa"/>
    <s v="SinC - Sin Criterio"/>
    <x v="3"/>
    <x v="1"/>
    <s v="6"/>
    <s v="6. Inversiones reales"/>
    <s v="03"/>
    <x v="10"/>
    <s v="9241"/>
    <s v="9241. Participación ciudadana"/>
    <s v="63"/>
    <s v="633"/>
  </r>
  <r>
    <n v="220230026812"/>
    <s v="AD"/>
    <d v="2023-06-01T00:00:00"/>
    <n v="22023004825"/>
    <s v="2023 03 9241 22609"/>
    <n v="440"/>
    <x v="208"/>
    <s v="ACTUACIÓN DE LIBERA TEATRO EL 13 DE JUNIO EN EL PRADO DE LA MAGDALENA, PROGRAMA EN JUNIO LA ESGUEVA"/>
    <s v="220"/>
    <s v="SIMANCAS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26816"/>
    <s v="AD"/>
    <d v="2023-06-01T00:00:00"/>
    <n v="22023004748"/>
    <s v="2023 06 2315 22611"/>
    <n v="435.6"/>
    <x v="972"/>
    <s v="TALLER DE RISOTERAPIA SOBRE LA IGUALDAD DE GENERO EN EL CENTRO MUNICIPAL DE LA IGUALDAD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29595"/>
    <s v="AD"/>
    <d v="2023-06-14T00:00:00"/>
    <n v="22023004905"/>
    <s v="2023 09 4321 22700"/>
    <n v="415.59"/>
    <x v="953"/>
    <s v="SERVICIO DE DESRATIZACION, DESINSECTACION Y DESINFECCION EN EL ALBERGUE DE PEREGRINOS"/>
    <s v="220"/>
    <s v="LA CISTERNIGA"/>
    <s v="VALLADOLID"/>
    <x v="1"/>
    <s v="AdDirec - Adjudicación Directa"/>
    <s v="SinC - Sin Criterio"/>
    <x v="3"/>
    <x v="1"/>
    <s v="2"/>
    <s v="2. Gastos corrientes en bienes y servicios"/>
    <s v="09"/>
    <x v="9"/>
    <s v="4321"/>
    <s v="4321. Turismo"/>
    <s v="22"/>
    <s v="22700"/>
  </r>
  <r>
    <n v="220230026274"/>
    <s v="D"/>
    <d v="2023-05-31T00:00:00"/>
    <n v="22023004052"/>
    <s v="2023 11 1621 214"/>
    <n v="1741.19"/>
    <x v="973"/>
    <s v="COMPROBACIÓN Y LIMPIEZA UNIDAD CONTROL (CENTRALITA TARJETA) /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408"/>
    <s v="D"/>
    <d v="2023-06-07T00:00:00"/>
    <n v="22023001514"/>
    <s v="2023 11 1361 22199"/>
    <n v="18.62"/>
    <x v="468"/>
    <s v="AVISADOR M.A. 12/48V 110DB/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61"/>
    <s v="1361. Prevención y extinción de incencios"/>
    <s v="22"/>
    <s v="22199"/>
  </r>
  <r>
    <n v="220230029420"/>
    <s v="D"/>
    <d v="2023-06-13T00:00:00"/>
    <n v="22023003930"/>
    <s v="2023 07 1711 214"/>
    <n v="67.94"/>
    <x v="468"/>
    <s v="IADBLUE 10L / ANTICONGELANTE ASER 30% 5L / ASER SYNTHETIC 10W40 A3/B4 5L / CANON GESTIÓN ACEITE (RD679/2006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496"/>
    <s v="D"/>
    <d v="2023-06-30T00:00:00"/>
    <n v="22023000270"/>
    <s v="2023 11 1321 214"/>
    <n v="619.12"/>
    <x v="468"/>
    <s v="ACUERDO MARCO. SUMINISTRO DE MATERIAL PARA TALLER DE REPARACIONE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31"/>
    <s v="AD"/>
    <d v="2023-06-22T00:00:00"/>
    <n v="22023004970"/>
    <s v="2023 10 2312 22699"/>
    <n v="406.5"/>
    <x v="969"/>
    <s v="DISEÑO Y MAQUETACION DE LOS CARTELES DE LAS ACTIVIDADES DE PRIMAVERA DE LOS CVA EN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0783"/>
    <s v="AD"/>
    <d v="2023-05-16T00:00:00"/>
    <n v="22023004292"/>
    <s v="2023 07 1721 22706"/>
    <n v="12100"/>
    <x v="974"/>
    <s v="VS 28/23 ANALISIS VULNERABILIDAD ZONA BAJAS EMISIONES"/>
    <s v="220"/>
    <s v="MADRID"/>
    <s v="MADRID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31203"/>
    <s v="AD"/>
    <d v="2023-06-22T00:00:00"/>
    <n v="22023005060"/>
    <s v="2023 11 1361 22199"/>
    <n v="401.12"/>
    <x v="148"/>
    <s v="Adquisición extintores de prácticas de agua y CO2, y precintos de plástico para formación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8643"/>
    <s v="AD"/>
    <d v="2023-06-08T00:00:00"/>
    <n v="22023004883"/>
    <s v="2023 03 9241 22609"/>
    <n v="400"/>
    <x v="975"/>
    <s v="ANIMACIÓN INAUGURACIÓN QUIOSCO CAÑO ARGALES"/>
    <s v="220"/>
    <s v="VALLADOLID"/>
    <s v="VALLADOLID"/>
    <x v="1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0706"/>
    <s v="AD"/>
    <d v="2023-06-20T00:00:00"/>
    <n v="22023004941"/>
    <s v="2023 06 2315 22611"/>
    <n v="377.52"/>
    <x v="100"/>
    <s v="ASISTENCIA TÉCNICA ESPECTACULO EN EL CENTRO CÍVICO BAILARÍN VICENTE ESCUDERO /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713"/>
    <s v="AD"/>
    <d v="2023-06-20T00:00:00"/>
    <n v="22023004932"/>
    <s v="2023 08 1532 22104"/>
    <n v="370"/>
    <x v="143"/>
    <s v="Complemento de vestuario y EPI'S para trabajadores, que fluctúan a lo largo del año, en el Servicio de Espacio Público.-"/>
    <s v="220"/>
    <s v="VALLADOLID"/>
    <s v="VALLADOLID"/>
    <x v="3"/>
    <s v="AdDirec - Adjudicación Directa"/>
    <s v="SinC - Sin Criterio"/>
    <x v="3"/>
    <x v="1"/>
    <s v="2"/>
    <s v="2. Gastos corrientes en bienes y servicios"/>
    <s v="08"/>
    <x v="0"/>
    <s v="1532"/>
    <s v="1532. Pavimentación vias públicas y otros servicios urbanísticos"/>
    <s v="22"/>
    <s v="22104"/>
  </r>
  <r>
    <n v="220230031247"/>
    <s v="AD"/>
    <d v="2023-06-22T00:00:00"/>
    <n v="22023005026"/>
    <s v="2023 06 3231 22602"/>
    <n v="363"/>
    <x v="507"/>
    <s v="CTTO SUMINISTRO CARTELES, ROLL UP, MUPIS Y OTROS SOPORTES PUBLICITARIOS PARA EIM//HASTA 31/12/2023"/>
    <s v="220"/>
    <s v="VALLADOLID"/>
    <s v="VALLADOLID"/>
    <x v="3"/>
    <s v="AdDirec - Adjudicación Directa"/>
    <s v="SinC - Sin Criterio"/>
    <x v="3"/>
    <x v="1"/>
    <s v="2"/>
    <s v="2. Gastos corrientes en bienes y servicios"/>
    <s v="06"/>
    <x v="2"/>
    <s v="3231"/>
    <s v="3231. Escuelas infantiles"/>
    <s v="22"/>
    <s v="22602"/>
  </r>
  <r>
    <n v="220230031244"/>
    <s v="AD"/>
    <d v="2023-06-22T00:00:00"/>
    <n v="22023002558"/>
    <s v="2023 10 2316 22799"/>
    <n v="360"/>
    <x v="524"/>
    <s v="REALIZACIÓN DE 4 TALLERES ADICIONALES A LOS 50 EN PREV.DE LA INTOLERANCIA Y DELITOS DE ODIO EN EL ÁMB.EDUCA.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6"/>
    <s v="2316. Mediación comunitaria"/>
    <s v="22"/>
    <s v="22799"/>
  </r>
  <r>
    <n v="220230030694"/>
    <s v="AD"/>
    <d v="2023-06-20T00:00:00"/>
    <n v="22023004855"/>
    <s v="2023 10 2412 223"/>
    <n v="336.11"/>
    <x v="727"/>
    <s v="TRASLADO DEMAQUINARIA Y MATERIALES DEL C. DE F. PARA EL EMPLEO, CURSO PINT. DECORATIVA V Y PARQ .Y JARD IV- MAYO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3"/>
  </r>
  <r>
    <n v="220230026814"/>
    <s v="AD"/>
    <d v="2023-06-01T00:00:00"/>
    <n v="22023004716"/>
    <s v="2023 10 2312 22699"/>
    <n v="335.41"/>
    <x v="976"/>
    <s v="LOS CVA VAN A REALIZAR UNA ACTIVIDAD EN MEDINA DE RIOSECO Y NECESITAN UNA  AMBULANCIA PARA EL DIA 15 DE JUNIO2023"/>
    <s v="220"/>
    <s v="VALDEFRESNO"/>
    <s v="LEON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585"/>
    <s v="D"/>
    <d v="2023-06-07T00:00:00"/>
    <n v="22023004052"/>
    <s v="2023 11 1621 214"/>
    <n v="6318.61"/>
    <x v="464"/>
    <s v="CUBIERTA RECAUCHUTADA (315/80R22,5 XDY3 3511-BHT) / PINCHAZO CUBIERTA (CA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124"/>
    <s v="D"/>
    <d v="2023-06-16T00:00:00"/>
    <n v="22023000263"/>
    <s v="2023 02 9332 214"/>
    <n v="24.2"/>
    <x v="464"/>
    <s v="REPARAR PINCHAZO  (EQUILIBRADO 0701-DKW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4"/>
  </r>
  <r>
    <n v="220230026797"/>
    <s v="AD"/>
    <d v="2023-06-01T00:00:00"/>
    <n v="22023004637"/>
    <s v="2023 04 9202 16204"/>
    <n v="4030.03"/>
    <x v="922"/>
    <s v="RELOJES CABALLERO CELEBRACIÓN STA. RITA 2023."/>
    <s v="220"/>
    <s v="VALLADOLID"/>
    <s v="VALLADOLID"/>
    <x v="3"/>
    <s v="AdDirec - Adjudicación Directa"/>
    <s v="SinC - Sin Criterio"/>
    <x v="3"/>
    <x v="1"/>
    <s v="1"/>
    <s v="1. Gastos de personal"/>
    <s v="04"/>
    <x v="5"/>
    <s v="9202"/>
    <s v="9202. Gestión de recursos humanos"/>
    <s v="16"/>
    <s v="16204"/>
  </r>
  <r>
    <n v="220230032462"/>
    <s v="D"/>
    <d v="2023-06-30T00:00:00"/>
    <n v="22023004436"/>
    <s v="2023 02 9332 213"/>
    <n v="300.41000000000003"/>
    <x v="977"/>
    <s v="MANTENIMIENTO COMPRESOR PUSKA PKM20 CAI1321819 5402H"/>
    <s v="300"/>
    <s v="LA CISTERNIGA"/>
    <s v="VALLADOLID"/>
    <x v="3"/>
    <s v="AdDirec - Adjudicación Directa"/>
    <s v="SinC - Sin Criterio"/>
    <x v="3"/>
    <x v="1"/>
    <s v="2"/>
    <s v="2. Gastos corrientes en bienes y servicios"/>
    <s v="02"/>
    <x v="3"/>
    <s v="9332"/>
    <s v="9332. Mantenimiento de edificios e instalaciones municipales"/>
    <s v="21"/>
    <s v="213"/>
  </r>
  <r>
    <n v="220230031234"/>
    <s v="AD"/>
    <d v="2023-06-22T00:00:00"/>
    <n v="22023005002"/>
    <s v="2023 11 3111 22199"/>
    <n v="300"/>
    <x v="978"/>
    <s v="ADQUISICIÓN PRODUCTOS DE DESINFECCION PARA EL C.M.P.A. PARA EL AÑO 2023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2"/>
    <s v="22199"/>
  </r>
  <r>
    <n v="220230030055"/>
    <s v="D"/>
    <d v="2023-06-16T00:00:00"/>
    <n v="22023002795"/>
    <s v="2023 11 1321 16200"/>
    <n v="6500"/>
    <x v="979"/>
    <s v="REALIZACIÓN DE CURSO DE PROCEDIMIENTO SANCIONADOR EN MATERIA DE TRÁFICO."/>
    <s v="300"/>
    <s v="LAS ROZAS DE MADRID"/>
    <s v="MADRID"/>
    <x v="1"/>
    <s v="AdDirec - Adjudicación Directa"/>
    <s v="SinC - Sin Criterio"/>
    <x v="3"/>
    <x v="1"/>
    <s v="1"/>
    <s v="1. Gastos de personal"/>
    <s v="11"/>
    <x v="6"/>
    <s v="1321"/>
    <s v="1321. Policía municipal"/>
    <s v="16"/>
    <s v="16200"/>
  </r>
  <r>
    <n v="220230032531"/>
    <s v="D"/>
    <d v="2023-06-30T00:00:00"/>
    <n v="22023003930"/>
    <s v="2023 07 1711 214"/>
    <n v="173.13"/>
    <x v="468"/>
    <s v="LINTERNA LED BOLSILLO RECAR.6W / CABLE DE ARRANQUE 35MMX2 / 3M / ANTICONGELANTE ASER 30% 5L / TUBO FLEXIBLE ESCAPE DE 40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699"/>
    <s v="AD"/>
    <d v="2023-06-20T00:00:00"/>
    <n v="22023004915"/>
    <s v="2023 10 2312 22699"/>
    <n v="291.67"/>
    <x v="740"/>
    <s v="IMPRESION DE PETICIONES A LA IMPRENTA MUNICIPAL LOS CVA   EN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8176"/>
    <s v="D"/>
    <d v="2023-06-07T00:00:00"/>
    <n v="22023000270"/>
    <s v="2023 11 1321 214"/>
    <n v="764.97"/>
    <x v="465"/>
    <s v="ACUERDO MARCO. SUMINISTRO DE MATERIAL PARA TALLER DE REPARACIONES DE POLICÍA MUNICIPAL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494"/>
    <s v="D"/>
    <d v="2023-06-30T00:00:00"/>
    <n v="22023000270"/>
    <s v="2023 11 1321 214"/>
    <n v="412.03"/>
    <x v="465"/>
    <s v="ACUERDO MARCO. SUMINISTRO DE MATERIAL PARA TALLER DE REPARACIÓN DE VEHÍCULOS DE POLICÍ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515"/>
    <s v="D"/>
    <d v="2023-06-30T00:00:00"/>
    <n v="22023001607"/>
    <s v="2023 08 1532 210"/>
    <n v="4336.95"/>
    <x v="564"/>
    <s v="KRAFF/14141 - LIMPIASALPICADEROS-TECHOS VINILO Y / 0/0 - ACEITE HIDRAULICO 5L / 0/0 - GRASA MOLYKOT. / PLACA/PLACA - PLA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532"/>
    <s v="1532. Pavimentación vias públicas y otros servicios urbanísticos"/>
    <s v="21"/>
    <s v="210"/>
  </r>
  <r>
    <n v="220230032556"/>
    <s v="D"/>
    <d v="2023-06-30T00:00:00"/>
    <n v="22023001599"/>
    <s v="2023 08 1651 214"/>
    <n v="177.89"/>
    <x v="564"/>
    <s v="BOSCH/1987302071 - LAMPARA DE INCANDESCENCIA / BOSCH/1987302441 - LAMPARA DE INCANDESCENCIA / 0/0 - ROTATIVO LEDD 6-12-2"/>
    <s v="300"/>
    <s v="VALLADOLID"/>
    <s v="VALLADOLID"/>
    <x v="1"/>
    <s v="PrAbier - Procedimiento Abierto"/>
    <s v="MultiC - MultiCriterio"/>
    <x v="1"/>
    <x v="1"/>
    <s v="2"/>
    <s v="2. Gastos corrientes en bienes y servicios"/>
    <s v="08"/>
    <x v="0"/>
    <s v="1651"/>
    <s v="1651. Alumbrado público"/>
    <s v="21"/>
    <s v="214"/>
  </r>
  <r>
    <n v="220230028571"/>
    <s v="D"/>
    <d v="2023-06-07T00:00:00"/>
    <n v="22023004052"/>
    <s v="2023 11 1621 214"/>
    <n v="379.94"/>
    <x v="980"/>
    <s v="ROTATIVO LED 12/24V MECHERO PIVOTE / PILOTO LATERAL FLAT-POINT / ROTATIVO LED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640"/>
    <s v="AD"/>
    <d v="2023-06-08T00:00:00"/>
    <n v="22023004838"/>
    <s v="2023 03 9241 22609"/>
    <n v="290.39999999999998"/>
    <x v="630"/>
    <s v="EDICIÓN REVISTA &quot;&quot;EL PÁRAMO&quot;&quot; (CP VILLANUBLA): PLEGADO, GRAPADO, 8 PÁG MÁS CUBIERTA. 800 UDS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9"/>
  </r>
  <r>
    <n v="220230031214"/>
    <s v="AD"/>
    <d v="2023-06-22T00:00:00"/>
    <n v="22023005077"/>
    <s v="2023 10 2312 213"/>
    <n v="284.95999999999998"/>
    <x v="253"/>
    <s v="SUMINIS. E INSTALACION DE CABLEADO Y CONEXION ENTRE LA PUERTA AUTOM.  NUEVA  Y LA CENTRAL DE INCENDIOS DEL CVA PTE.COLGA"/>
    <s v="220"/>
    <s v="CABANILLAS DEL CAMPO"/>
    <s v="GUADALAJARA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0694"/>
    <s v="AD"/>
    <d v="2023-06-20T00:00:00"/>
    <n v="22023004856"/>
    <s v="2023 10 2412 223"/>
    <n v="268.89"/>
    <x v="727"/>
    <s v="TRASLADO DEMAQUINARIA Y MATERIALES DEL C. DE F. PARA EL EMPLEO, CURSO PINT. DECORATIVA V Y PARQ .Y JARD IV- MAYO2023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3"/>
  </r>
  <r>
    <n v="220230028587"/>
    <s v="D"/>
    <d v="2023-06-07T00:00:00"/>
    <n v="22023004052"/>
    <s v="2023 11 1621 214"/>
    <n v="233.77"/>
    <x v="980"/>
    <s v="CASQUILLO BARRA ESTABILIZADORA RVI / CASQUILLO B.ESTAB. MAGMUN PREMIUM...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06"/>
    <s v="AD"/>
    <d v="2023-06-01T00:00:00"/>
    <n v="22023004701"/>
    <s v="2023 11 1621 22199"/>
    <n v="266.2"/>
    <x v="630"/>
    <s v="PLEGADO DIPTICOS CAMPAÑA RECICLAJE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99"/>
  </r>
  <r>
    <n v="220230031215"/>
    <s v="AD"/>
    <d v="2023-06-22T00:00:00"/>
    <n v="22023005059"/>
    <s v="2023 11 1361 22199"/>
    <n v="264.05"/>
    <x v="981"/>
    <s v="Suministro de 12 camisetas con dorsales para el equipo de fútbol de la Asociación Deportiva; SEISYPC.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679"/>
    <s v="AD"/>
    <d v="2023-06-20T00:00:00"/>
    <n v="22023004708"/>
    <s v="2023 06 3232 213"/>
    <n v="915.44"/>
    <x v="399"/>
    <s v="SE 58-2020 P.S.5 MODIFICACION CTTO MANTENIMIENTO ASCENSORES, LOTE 2. ASCENSORES CEE Nº 1. 1-6-2023 AL 31-12-2023"/>
    <s v="220"/>
    <s v="VALLADOLID"/>
    <s v="VALLADOLID"/>
    <x v="1"/>
    <s v="PrAbier - Procedimiento Abierto"/>
    <s v="UniC - Único Criterio"/>
    <x v="0"/>
    <x v="1"/>
    <s v="2"/>
    <s v="2. Gastos corrientes en bienes y servicios"/>
    <s v="06"/>
    <x v="2"/>
    <s v="3232"/>
    <s v="3232. Conservación y mantenimiento centros educación infantil y primaria"/>
    <s v="21"/>
    <s v="213"/>
  </r>
  <r>
    <n v="220230016027"/>
    <s v="AD"/>
    <d v="2023-04-26T00:00:00"/>
    <n v="22023004024"/>
    <s v="2023 10 2312 223"/>
    <n v="1149.5"/>
    <x v="982"/>
    <s v="TRASLADO MUEBLES DESDE EL C DE MAYORES PARQUESOL A LOS CVA - ABRIL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3"/>
  </r>
  <r>
    <n v="220230026330"/>
    <s v="D"/>
    <d v="2023-05-31T00:00:00"/>
    <n v="22023004052"/>
    <s v="2023 11 1621 214"/>
    <n v="1174.6300000000001"/>
    <x v="612"/>
    <s v="7334LWL // KIT SENS MAGNETOSTRIT FMO PLUS 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284"/>
    <s v="D"/>
    <d v="2023-05-31T00:00:00"/>
    <n v="22023004052"/>
    <s v="2023 11 1621 214"/>
    <n v="1095.57"/>
    <x v="612"/>
    <s v="4069KXH // SUMINISTRO DE MATERIAL / CTO. SOPORTE GIRATORIO ESTRIB. / BULÓN EST.../ AM EXP V18/2022. SERVICIO DE LIMPIEZA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6814"/>
    <s v="AD"/>
    <d v="2023-06-01T00:00:00"/>
    <n v="22023004715"/>
    <s v="2023 10 2312 22699"/>
    <n v="239.59"/>
    <x v="976"/>
    <s v="LOS CVA VAN A REALIZAR UNA ACTIVIDAD EN MEDINA DE RIOSECO Y NECESITAN UNA  AMBULANCIA PARA EL DIA 15 DE JUNIO2023"/>
    <s v="220"/>
    <s v="VALDEFRESNO"/>
    <s v="LEON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6804"/>
    <s v="AD"/>
    <d v="2023-06-01T00:00:00"/>
    <n v="22023004696"/>
    <s v="2023 11 1621 22700"/>
    <n v="231"/>
    <x v="38"/>
    <s v="DESATRANQUE EN EL VESTUARIO SITO EN JARDÍN BOTÁNICO,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0"/>
  </r>
  <r>
    <n v="220230030714"/>
    <s v="AD"/>
    <d v="2023-06-20T00:00:00"/>
    <n v="22023004942"/>
    <s v="2023 10 2311 22699"/>
    <n v="225"/>
    <x v="983"/>
    <s v="INSTALACIÓN Y PUESTA EN MARCHA DE VITROCERAMICA Y RETIRADA DE LA ANTERIOR. ALJ. PROV. VVDA PORTILLO PRADO 20, 1C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2"/>
    <s v="22699"/>
  </r>
  <r>
    <n v="220230031186"/>
    <s v="AD"/>
    <d v="2023-06-22T00:00:00"/>
    <n v="22023005192"/>
    <s v="2023 11 1361 22199"/>
    <n v="216.59"/>
    <x v="630"/>
    <s v="Encuadernación de las 55 &quot;&quot;Guía rápida de actuación ante MMPP 2023&quot;&quot;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0675"/>
    <s v="AD"/>
    <d v="2023-06-20T00:00:00"/>
    <n v="22023004359"/>
    <s v="2023 07 1721 22706"/>
    <n v="11434.5"/>
    <x v="984"/>
    <s v="ESTUDIO EN LA COMPETENCIA Y EN EL MERCADO DEL ESTABLECIMIENTO DE LA ZONA DE BAJAS EMISIONES"/>
    <s v="220"/>
    <s v="ALICANTE"/>
    <s v="ALICANTE"/>
    <x v="1"/>
    <s v="AdDirec - Adjudicación Directa"/>
    <s v="SinC - Sin Criterio"/>
    <x v="3"/>
    <x v="1"/>
    <s v="2"/>
    <s v="2. Gastos corrientes en bienes y servicios"/>
    <s v="07"/>
    <x v="4"/>
    <s v="1721"/>
    <s v="1721. Protección del medio ambiente"/>
    <s v="22"/>
    <s v="22706"/>
  </r>
  <r>
    <n v="220230030699"/>
    <s v="AD"/>
    <d v="2023-06-20T00:00:00"/>
    <n v="22023002347"/>
    <s v="2023 10 2312 22699"/>
    <n v="208.33"/>
    <x v="740"/>
    <s v="IMPRESION DE PETICIONES A LA IMPRENTA MUNICIPAL LOS CVA   EN 2023- INICIATIVAS SOCIALES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99"/>
  </r>
  <r>
    <n v="220230024845"/>
    <s v="AD"/>
    <d v="2023-05-24T00:00:00"/>
    <n v="22023004324"/>
    <s v="2023 05 4331 632"/>
    <n v="28670.93"/>
    <x v="59"/>
    <s v="REVISION EXTRAORDINARIA DE PRECIOS OBRA AMPLIACION AGENCIA DE INNOVACIÓN"/>
    <s v="220"/>
    <s v="PEREIRO DE AGUIAR"/>
    <s v="OURENSE"/>
    <x v="2"/>
    <s v="PrAbier - Procedimiento Abierto"/>
    <s v="UniC - Único Criterio"/>
    <x v="0"/>
    <x v="1"/>
    <s v="6"/>
    <s v="6. Inversiones reales"/>
    <s v="05"/>
    <x v="7"/>
    <s v="4331"/>
    <s v="4331. Desarrollo empresarial"/>
    <s v="63"/>
    <s v="632"/>
  </r>
  <r>
    <n v="220230031253"/>
    <s v="AD"/>
    <d v="2023-06-22T00:00:00"/>
    <n v="22023005047"/>
    <s v="2023 11 1361 22104"/>
    <n v="196.02"/>
    <x v="571"/>
    <s v="Adquisición de 10set de cordones para botas de intervención; SEISYPC."/>
    <s v="220"/>
    <s v="CARMONA"/>
    <s v="SEVILLA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04"/>
  </r>
  <r>
    <n v="220230031190"/>
    <s v="AD"/>
    <d v="2023-06-22T00:00:00"/>
    <n v="22023005122"/>
    <s v="2023 11 1621 22706"/>
    <n v="193.15"/>
    <x v="95"/>
    <s v="ESTUDIO DE SEGURIDAD Y SALUD PARA EL PROYECTO DE REHABILITACIÓN Y MEJORA ENERGÉTICA DEL TALLER DEL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706"/>
  </r>
  <r>
    <n v="220230026404"/>
    <s v="D"/>
    <d v="2023-05-31T00:00:00"/>
    <n v="22023004052"/>
    <s v="2023 11 1621 214"/>
    <n v="83.54"/>
    <x v="612"/>
    <s v="TEXT0: ( SUMINISTRO DE MATERIAL EFECTUADO POR JOSÉ ANTONIO MARTÍN BAJO PRESUP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110"/>
    <s v="D"/>
    <d v="2023-06-16T00:00:00"/>
    <n v="22023001956"/>
    <s v="2023 07 1711 214"/>
    <n v="48.16"/>
    <x v="366"/>
    <s v="MATRÍCULA 4416KJX // REPARAR RUEDA CAMIÓN / SACAR Y COLOCAR CAMIÓN / PARCH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2512"/>
    <s v="D"/>
    <d v="2023-06-30T00:00:00"/>
    <n v="22023001956"/>
    <s v="2023 07 1711 214"/>
    <n v="25.17"/>
    <x v="366"/>
    <s v="REPARAR 24X12.00-12 / VALVULA TR412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4"/>
  </r>
  <r>
    <n v="220230030707"/>
    <s v="AD"/>
    <d v="2023-06-20T00:00:00"/>
    <n v="22023004943"/>
    <s v="2023 10 2412 22199"/>
    <n v="190.78"/>
    <x v="985"/>
    <s v="MURAL DECORATIVO EN TEJIDO PARA EL CURSO DE PINTURA DECORATIVA V DEL C. DE FORMACION PARA EL EMPLEO -JACINTO BENAVENTE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07"/>
    <s v="AD"/>
    <d v="2023-06-22T00:00:00"/>
    <n v="22023005074"/>
    <s v="2023 11 1361 22199"/>
    <n v="181.5"/>
    <x v="986"/>
    <s v="Traslado y alquiler de contenedor de obra en el Rebollar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26824"/>
    <s v="AD"/>
    <d v="2023-06-01T00:00:00"/>
    <n v="22023004717"/>
    <s v="2023 06 2315 22611"/>
    <n v="180"/>
    <x v="576"/>
    <s v="RECARGA BONOBUS ORDINARIO PARTICIPANTES PLAN DE INSERCIÓN LABORAL / DURANTE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0692"/>
    <s v="AD"/>
    <d v="2023-06-20T00:00:00"/>
    <n v="22023002294"/>
    <s v="2023 09 3341 22609"/>
    <n v="180"/>
    <x v="507"/>
    <s v="REALIZACION MATERIAL DIFUSION CONCURSO LITERARIO MIGUEL DELIBES AVENTURA EN EL TREN"/>
    <s v="23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41"/>
    <s v="3341. Coordinación de políticas culturales"/>
    <s v="22"/>
    <s v="22609"/>
  </r>
  <r>
    <n v="220230028650"/>
    <s v="AD"/>
    <d v="2023-06-08T00:00:00"/>
    <n v="22023004888"/>
    <s v="2023 06 2315 22611"/>
    <n v="179"/>
    <x v="501"/>
    <s v="TALLERES EDUCATIVOS CENTRO MUNICIPAL DE LA IGUALDAD JUNIO 2023"/>
    <s v="220"/>
    <s v="VALLADOLID"/>
    <s v="VALLADOLID"/>
    <x v="1"/>
    <s v="AdDirec - Adjudicación Directa"/>
    <s v="SinC - Sin Criterio"/>
    <x v="3"/>
    <x v="1"/>
    <s v="2"/>
    <s v="2. Gastos corrientes en bienes y servicios"/>
    <s v="06"/>
    <x v="2"/>
    <s v="2315"/>
    <s v="2315. Políticas de Igualdad e infancia"/>
    <s v="22"/>
    <s v="22611"/>
  </r>
  <r>
    <n v="220230031204"/>
    <s v="AD"/>
    <d v="2023-06-22T00:00:00"/>
    <n v="22023005061"/>
    <s v="2023 11 1361 22199"/>
    <n v="177.99"/>
    <x v="507"/>
    <s v="Adquisición de dos lonas con infografías para actividades divulgativas del servicio; 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13732"/>
    <s v="AD"/>
    <d v="2023-04-11T00:00:00"/>
    <n v="22023003728"/>
    <s v="2023 06 3231 632"/>
    <n v="162.44999999999999"/>
    <x v="95"/>
    <s v="ESTUDIO+COORDINACIÓN SEGURIDAD-SALUD OBRA ADECUACIÓN ASEOS CASITAS NIÑ@S MAESTRO CLAUDIO Y PAJARILLOS-25 DIAS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31211"/>
    <s v="AD"/>
    <d v="2023-06-22T00:00:00"/>
    <n v="22023005082"/>
    <s v="2023 06 3232 632"/>
    <n v="162.41"/>
    <x v="95"/>
    <s v="EBSS Y COORDINACION SEGURIDAD Y SALUD OBRA REFORMA Y MEJORAS ASEOS 1ª PLANTA CEIP FEDERICO GARCIA LORCA.PZ EJ: 40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28323"/>
    <s v="D"/>
    <d v="2023-06-07T00:00:00"/>
    <n v="22023004052"/>
    <s v="2023 11 1621 214"/>
    <n v="177.65"/>
    <x v="612"/>
    <s v="TEXT0: ( SUMINISTRO DE MATERIAL EFECTUADO POR JOSÉ ANTONIO MARTÍN BAJO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325"/>
    <s v="D"/>
    <d v="2023-06-07T00:00:00"/>
    <n v="22023004052"/>
    <s v="2023 11 1621 214"/>
    <n v="368.4"/>
    <x v="612"/>
    <s v="TEXT0: ( SUMINISTRO DE MATERIAL EFECTUADO POR JOSÉ ANTONIO MARTÍN BAJO PRESU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597"/>
    <s v="D"/>
    <d v="2023-06-07T00:00:00"/>
    <n v="22023004052"/>
    <s v="2023 11 1621 214"/>
    <n v="1683.65"/>
    <x v="612"/>
    <s v="4459KLP // KIT ENCODER RETROFIT FMO PLUS / AM EXP V18/2022. 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28599"/>
    <s v="D"/>
    <d v="2023-06-07T00:00:00"/>
    <n v="22023004052"/>
    <s v="2023 11 1621 214"/>
    <n v="72.48"/>
    <x v="612"/>
    <s v="0432KMP // PULS. MARCHA CICLO, CABL. AMP 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1233"/>
    <s v="AD"/>
    <d v="2023-06-22T00:00:00"/>
    <n v="22023004999"/>
    <s v="2023 11 1621 214"/>
    <n v="2196.9499999999998"/>
    <x v="612"/>
    <s v="REPARACIÓN DEL EQUIPO FMO PLUS MATRÍCULA 7333LWL BLOQUEADO POR AVERÍA ELÉCTRICA. SERVICIO DE LIMPIEZA."/>
    <s v="220"/>
    <s v="TARREGA"/>
    <s v="LERIDA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4"/>
  </r>
  <r>
    <n v="220230032379"/>
    <s v="D"/>
    <d v="2023-06-30T00:00:00"/>
    <n v="22023004052"/>
    <s v="2023 11 1621 214"/>
    <n v="107.99"/>
    <x v="612"/>
    <s v="TEXT0: ( SUMINISTRO DE MATERIAL EFECTUADO POR JOSÉ ANTONIO MARTÍN 1UD. PARA E.../ AM EXP V18/2022. SERVICIO DE LIMPIEZA.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1"/>
    <s v="214"/>
  </r>
  <r>
    <n v="220230030061"/>
    <s v="D"/>
    <d v="2023-06-16T00:00:00"/>
    <n v="22023003832"/>
    <s v="2023 10 2412 22199"/>
    <n v="170.22"/>
    <x v="491"/>
    <s v="SUMINISTRO DE TUERCA REDUCTORA ,DIFUSOR 1804,TOBERA MP3000 A 360º,TOBERA MP3000 AJUST.PARA EL CURSO PARQ Y JARDINES IV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311"/>
    <s v="D"/>
    <d v="2023-06-30T00:00:00"/>
    <n v="22023004206"/>
    <s v="2023 06 3232 212"/>
    <n v="39.11"/>
    <x v="491"/>
    <s v="ROLLO MALLA ANTI-HIERBA 1 X50 M 100 GRAMOS. COLEGI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2"/>
    <s v="3232. Conservación y mantenimiento centros educación infantil y primaria"/>
    <s v="21"/>
    <s v="212"/>
  </r>
  <r>
    <n v="220230031209"/>
    <s v="AD"/>
    <d v="2023-06-22T00:00:00"/>
    <n v="22023005079"/>
    <s v="2023 06 3232 632"/>
    <n v="161.61000000000001"/>
    <x v="95"/>
    <s v="EBSS Y COORDINACIÓN SEGURIDAD Y SALUD OBRA REPARACIÓN DE GOTERAS DE TEJADOS EN VARIOS CEIPS.PL EJ: 4 SEMANAS/CENTRO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32316"/>
    <s v="D"/>
    <d v="2023-06-30T00:00:00"/>
    <n v="22023004205"/>
    <s v="2023 06 3231 212"/>
    <n v="139.6"/>
    <x v="491"/>
    <s v="PROGRAMADOR HUNTER X-CORE 24V.INT.8 EST.C/T. / ARQUETA TRONCO PIRAMIDAL (520X390X330)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2"/>
    <s v="3231"/>
    <s v="3231. Escuelas infantiles"/>
    <s v="21"/>
    <s v="212"/>
  </r>
  <r>
    <n v="220230015971"/>
    <s v="AD"/>
    <d v="2023-04-26T00:00:00"/>
    <n v="22023004023"/>
    <s v="2023 08 1651 22199"/>
    <n v="1500"/>
    <x v="400"/>
    <s v="Suministro de uso muy frecuente en gran número de trabajos tanto en taller como especialmente en vía pública.."/>
    <s v="220"/>
    <s v="VALLADOLID"/>
    <s v="VALLADOLID"/>
    <x v="3"/>
    <s v="PrAbier - Procedimiento Abierto"/>
    <s v="UniC - Único Criterio"/>
    <x v="1"/>
    <x v="1"/>
    <s v="2"/>
    <s v="2. Gastos corrientes en bienes y servicios"/>
    <s v="08"/>
    <x v="0"/>
    <s v="1651"/>
    <s v="1651. Alumbrado público"/>
    <s v="22"/>
    <s v="22199"/>
  </r>
  <r>
    <n v="220230026386"/>
    <s v="D"/>
    <d v="2023-05-31T00:00:00"/>
    <n v="22023003833"/>
    <s v="2023 10 2412 22199"/>
    <n v="369.97"/>
    <x v="400"/>
    <s v="SUMINISTRO DE MATERIAL, ESPATULA ESPECIAL INOX 10CM UDPARA EL CURSO DE  PINT DECORATIVA V- 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541"/>
    <s v="D"/>
    <d v="2023-05-31T00:00:00"/>
    <n v="22023002739"/>
    <s v="2023 02 9332 212"/>
    <n v="156.54"/>
    <x v="400"/>
    <s v="DISOLVENTE P-10 1LT                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157"/>
    <s v="D"/>
    <d v="2023-05-31T00:00:00"/>
    <n v="22023002739"/>
    <s v="2023 02 9332 212"/>
    <n v="107.9"/>
    <x v="400"/>
    <s v="DISOLVENTE UNIVERSAL SEGOPI N-25 5LT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26384"/>
    <s v="D"/>
    <d v="2023-05-31T00:00:00"/>
    <n v="22023003833"/>
    <s v="2023 10 2412 22199"/>
    <n v="55.54"/>
    <x v="400"/>
    <s v="SUMINISTRO DE MATERIAL, ROLLO FIELTRO ABSORBENTE 180GR 1X25M ROL,CURSO DE    PINT. DECORATIVA V -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1194"/>
    <s v="AD"/>
    <d v="2023-06-22T00:00:00"/>
    <n v="22023005153"/>
    <s v="2023 06 3232 632"/>
    <n v="161.58000000000001"/>
    <x v="95"/>
    <s v="EBSS Y COORDINACIÓN SEGURIDAD Y SALUD OBRA SUSTITUCIÓN PARCIAL VENTANAS CEIP P.G.BOSQUE.PLZ EJ: 44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2"/>
    <s v="3232. Conservación y mantenimiento centros educación infantil y primaria"/>
    <s v="63"/>
    <s v="632"/>
  </r>
  <r>
    <n v="220230031199"/>
    <s v="AD"/>
    <d v="2023-06-22T00:00:00"/>
    <n v="22023005050"/>
    <s v="2023 06 3231 632"/>
    <n v="161.58000000000001"/>
    <x v="95"/>
    <s v="EBSS Y COORDINACIÓN SEGURIDAD Y SALUD OBRA SUSTITUCIÓN CARPINTERÍAS EN DIVERSAS DEPENDENCIAS EIM LA COMETA. PZ EJ: 44 D"/>
    <s v="220"/>
    <s v="VALLADOLID"/>
    <s v="VALLADOLID"/>
    <x v="1"/>
    <s v="AdDirec - Adjudicación Directa"/>
    <s v="SinC - Sin Criterio"/>
    <x v="3"/>
    <x v="1"/>
    <s v="6"/>
    <s v="6. Inversiones reales"/>
    <s v="06"/>
    <x v="2"/>
    <s v="3231"/>
    <s v="3231. Escuelas infantiles"/>
    <s v="63"/>
    <s v="632"/>
  </r>
  <r>
    <n v="220230026809"/>
    <s v="AD"/>
    <d v="2023-06-01T00:00:00"/>
    <n v="22023004783"/>
    <s v="2023 03 9241 212"/>
    <n v="153.09"/>
    <x v="330"/>
    <s v="SUMINISTRO DE MATERIALES DE CARPINTERÍA PARA TRABAJOS EN CC ZONA SUR REALIZADOS POR EL SERVICIO DE MANTENIMIENTO"/>
    <s v="220"/>
    <s v="LAGUNA DE DUERO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31193"/>
    <s v="AD"/>
    <d v="2023-06-22T00:00:00"/>
    <n v="22023005152"/>
    <s v="2023 11 1621 22100"/>
    <n v="145.65"/>
    <x v="860"/>
    <s v="DERECHOS DE EXTENSIÓN PARA SUMINISTRO ELÉCTRICO CONTENEDORES SOTERRADOS PLAZA SAN ANDRÉS. SERVICIO DE LIMPIEZA."/>
    <s v="220"/>
    <s v="BILBAO"/>
    <s v="BIZKAIA"/>
    <x v="3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2"/>
    <s v="22100"/>
  </r>
  <r>
    <n v="220230028647"/>
    <s v="AD"/>
    <d v="2023-06-08T00:00:00"/>
    <n v="22023004866"/>
    <s v="2023 03 9241 22699"/>
    <n v="137.28"/>
    <x v="182"/>
    <s v="SUMINISTRO DE REFRESCOS PARA EVENTO EN CC JL MOSQUER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99"/>
  </r>
  <r>
    <n v="220230031206"/>
    <s v="AD"/>
    <d v="2023-06-22T00:00:00"/>
    <n v="22023005072"/>
    <s v="2023 11 1361 623"/>
    <n v="125"/>
    <x v="507"/>
    <s v="Suministro de 1038 pegatinas de diversos tamaños para publicidad subvención JCyL; SEISYPC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61"/>
    <s v="1361. Prevención y extinción de incencios"/>
    <s v="62"/>
    <s v="623"/>
  </r>
  <r>
    <n v="220230026390"/>
    <s v="D"/>
    <d v="2023-05-31T00:00:00"/>
    <n v="22023003833"/>
    <s v="2023 10 2412 22199"/>
    <n v="54.1"/>
    <x v="400"/>
    <s v="SUMINISTRO DE MATERIALES, FILTRO DE CARTON PLEGADO PARA EL CURSO DE  PINT. DECORATIVA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26500"/>
    <s v="D"/>
    <d v="2023-05-31T00:00:00"/>
    <n v="22023001343"/>
    <s v="2023 03 9241 212"/>
    <n v="27.62"/>
    <x v="400"/>
    <s v="PIZARRAS ACRYLIC VERDE 0.75LT/( PARTICIPACION CIUDADANA - CENTRO CIVICO ZONA ESTE)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6498"/>
    <s v="D"/>
    <d v="2023-05-31T00:00:00"/>
    <n v="22023001343"/>
    <s v="2023 03 9241 212"/>
    <n v="17.96"/>
    <x v="400"/>
    <s v="TKROM M-60 PLASTICO MATE OCEANIC 1LT // CC PARQUESOL"/>
    <s v="300"/>
    <s v="VALLADOLID"/>
    <s v="VALLADOLID"/>
    <x v="3"/>
    <s v="PrAbier - Procedimiento Abierto"/>
    <s v="UniC - Único Criterio"/>
    <x v="1"/>
    <x v="1"/>
    <s v="2"/>
    <s v="2. Gastos corrientes en bienes y servicios"/>
    <s v="03"/>
    <x v="10"/>
    <s v="9241"/>
    <s v="9241. Participación ciudadana"/>
    <s v="21"/>
    <s v="212"/>
  </r>
  <r>
    <n v="220230028626"/>
    <s v="AD"/>
    <d v="2023-06-08T00:00:00"/>
    <n v="22022005759"/>
    <s v="2023 11 1361 632"/>
    <n v="121.31"/>
    <x v="95"/>
    <s v="Coordinación Seg y Salud Reparación del Torreón del Parque Central de Bomberos; SEISYPC"/>
    <s v="230"/>
    <s v="VALLADOLID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  <r>
    <n v="220230030094"/>
    <s v="D"/>
    <d v="2023-06-16T00:00:00"/>
    <n v="22023002739"/>
    <s v="2023 02 9332 212"/>
    <n v="36.08"/>
    <x v="400"/>
    <s v="PAPEL CON CINTA 10cmx20m SEGOPI ROL                                         ( ARCHIVO MUNICIPAL - FRA ORIGEN 23F-16.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0094"/>
    <s v="D"/>
    <d v="2023-06-16T00:00:00"/>
    <n v="22023004435"/>
    <s v="2023 02 9332 212"/>
    <n v="46.81"/>
    <x v="400"/>
    <s v="PAPEL CON CINTA 10cmx20m SEGOPI ROL                                         ( ARCHIVO MUNICIPAL - FRA ORIGEN 23F-16.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3"/>
    <s v="9332"/>
    <s v="9332. Mantenimiento de edificios e instalaciones municipales"/>
    <s v="21"/>
    <s v="212"/>
  </r>
  <r>
    <n v="220230031242"/>
    <s v="AD"/>
    <d v="2023-06-22T00:00:00"/>
    <n v="22023005013"/>
    <s v="2023 01 9206 22199"/>
    <n v="215.54"/>
    <x v="400"/>
    <s v="ADQUISICIÓN DE MATERIAL PARA TRABAJOS DE PINTURA EN EL ARCHIVO MUNICIPAL POR PARTE DEL SERVICIO DE MANTENIMIENTO."/>
    <s v="220"/>
    <s v="VALLADOLID"/>
    <s v="VALLADOLID"/>
    <x v="3"/>
    <s v="PrAbier - Procedimiento Abierto"/>
    <s v="MultiC - MultiCriterio"/>
    <x v="1"/>
    <x v="1"/>
    <s v="2"/>
    <s v="2. Gastos corrientes en bienes y servicios"/>
    <s v="01"/>
    <x v="8"/>
    <s v="9206"/>
    <s v="9206. Archivo municipal"/>
    <s v="22"/>
    <s v="22199"/>
  </r>
  <r>
    <n v="220230031902"/>
    <s v="D"/>
    <d v="2023-06-28T00:00:00"/>
    <n v="22023000273"/>
    <s v="2023 11 1321 22199"/>
    <n v="61.98"/>
    <x v="400"/>
    <s v="ACUERDO MARCO. SUMINISTRO DE PINTURA PARA APARCAMIENTO PATIO DE JEFATUR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32404"/>
    <s v="D"/>
    <d v="2023-06-30T00:00:00"/>
    <n v="22023003833"/>
    <s v="2023 10 2412 22199"/>
    <n v="325.31"/>
    <x v="400"/>
    <s v="SUMINISTRO DE BROCHA VIROLA NEGRA TODO PINT.Nº12 UD PARA EL CURSO DE  PINT DECORATIVA 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6"/>
    <s v="D"/>
    <d v="2023-06-30T00:00:00"/>
    <n v="22023003833"/>
    <s v="2023 10 2412 22199"/>
    <n v="181.71"/>
    <x v="400"/>
    <s v="SUMINISTRO DE ARDEX A46 25KG  PRA EL CURSO DE  PINT. DECORATIVA 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08"/>
    <s v="D"/>
    <d v="2023-06-30T00:00:00"/>
    <n v="22023003833"/>
    <s v="2023 10 2412 22199"/>
    <n v="130.26"/>
    <x v="400"/>
    <s v="SUMINISTRO DE REVESTIMIENTO LISO ALBERO 4LT PRA EL CURSO DE   PINT. DECORATIVA 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0"/>
    <s v="D"/>
    <d v="2023-06-30T00:00:00"/>
    <n v="22023003833"/>
    <s v="2023 10 2412 22199"/>
    <n v="393.95"/>
    <x v="400"/>
    <s v="SUMINISTRO DE AGUAMARINA BASE 1LT  PRA EL CURSO DE  PINT.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2"/>
    <s v="D"/>
    <d v="2023-06-30T00:00:00"/>
    <n v="22023003833"/>
    <s v="2023 10 2412 22199"/>
    <n v="51.79"/>
    <x v="400"/>
    <s v="SUMINISTRO DE COLORANTE   PARA EL CURSO DE   PINT. DECORATIVA V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4"/>
    <s v="D"/>
    <d v="2023-06-30T00:00:00"/>
    <n v="22023003833"/>
    <s v="2023 10 2412 22199"/>
    <n v="55.59"/>
    <x v="400"/>
    <s v="SUMINISTRO DE TKROM BASE PLASTICO SATINADO EXCELENT TR 1LT PRA EL CURSO DE   PINT DECORATIVA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6"/>
    <s v="D"/>
    <d v="2023-06-30T00:00:00"/>
    <n v="22023003833"/>
    <s v="2023 10 2412 22199"/>
    <n v="120.48"/>
    <x v="400"/>
    <s v="SUMINISTRO DE TKROM ACRILICO PISTAS DEPORTIVAS GRIS 12LT PARA EL CURSO DE PINT DECORATIVA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18"/>
    <s v="D"/>
    <d v="2023-06-30T00:00:00"/>
    <n v="22023003833"/>
    <s v="2023 10 2412 22199"/>
    <n v="40.380000000000003"/>
    <x v="400"/>
    <s v="SUMINISTRO DE PINCEL UNIVERSAL PLANO Nº12 UD PARA EL CURSO DE  PINT DECORATIVA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20"/>
    <s v="D"/>
    <d v="2023-06-30T00:00:00"/>
    <n v="22023003833"/>
    <s v="2023 10 2412 22199"/>
    <n v="538.28"/>
    <x v="400"/>
    <s v="SUMINISTRO DE TKROM MATE FORTUNA 15LT   PARA EL CURSO DE  PINT. DECORATIVA V- 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1"/>
    <s v="2412"/>
    <s v="2412. Formación para el empleo"/>
    <s v="22"/>
    <s v="22199"/>
  </r>
  <r>
    <n v="220230032490"/>
    <s v="D"/>
    <d v="2023-06-30T00:00:00"/>
    <n v="22023000273"/>
    <s v="2023 11 1321 22199"/>
    <n v="50.38"/>
    <x v="400"/>
    <s v="ACUERDO MARCO. SUMINISTRO DE PINTURA APARCAMIENTO TKROM SPORT BLANCO 4LT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2"/>
    <s v="22199"/>
  </r>
  <r>
    <n v="220230024845"/>
    <s v="AD"/>
    <d v="2023-05-24T00:00:00"/>
    <n v="22023004325"/>
    <s v="2023 05 4331 622"/>
    <n v="0.04"/>
    <x v="59"/>
    <s v="REVISION EXTRAORDINARIA DE PRECIOS OBRA AMPLIACION AGENCIA DE INNOVACIÓN"/>
    <s v="220"/>
    <s v="PEREIRO DE AGUIAR"/>
    <s v="OURENSE"/>
    <x v="2"/>
    <s v="PrAbier - Procedimiento Abierto"/>
    <s v="UniC - Único Criterio"/>
    <x v="0"/>
    <x v="1"/>
    <s v="6"/>
    <s v="6. Inversiones reales"/>
    <s v="05"/>
    <x v="7"/>
    <s v="4331"/>
    <s v="4331. Desarrollo empresarial"/>
    <s v="62"/>
    <s v="622"/>
  </r>
  <r>
    <n v="220230031288"/>
    <s v="D"/>
    <d v="2023-06-23T00:00:00"/>
    <n v="22023000008"/>
    <s v="2023 0550 4312 22799"/>
    <n v="5929"/>
    <x v="98"/>
    <s v="LOTE 3 - SERVICIOS DE FORMACION Y SENSIBILIZACION EN T.DIGITAL Y ECONOMIA  CIRCULAR PARA PYMES -FONDOS PRTR"/>
    <s v="300"/>
    <s v="VALLADOLID"/>
    <s v="VALLADOLID"/>
    <x v="1"/>
    <s v="PrAbier - Procedimiento Abierto"/>
    <s v="MultiC - MultiCriterio"/>
    <x v="0"/>
    <x v="1"/>
    <n v="2"/>
    <s v="2. Gastos corrientes en bienes y servicios"/>
    <s v="05"/>
    <x v="7"/>
    <s v="0 43"/>
    <n v="4312"/>
    <n v="22"/>
    <n v="22799"/>
  </r>
  <r>
    <n v="220230028504"/>
    <s v="D"/>
    <d v="2023-06-07T00:00:00"/>
    <n v="22023001468"/>
    <s v="2023 10 2312 212"/>
    <n v="32.020000000000003"/>
    <x v="469"/>
    <s v="MANTENIMIENTO, SUMINISTRO DE MECANISMO UNIVERSAL ROCA DOBLE PRA REPARACIONES DEL CVA ZONA SUR- DURACION 1 DIA"/>
    <s v="300"/>
    <s v="VALDELAFUENTE"/>
    <s v="LEON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2"/>
  </r>
  <r>
    <n v="220230026808"/>
    <s v="AD"/>
    <d v="2023-06-01T00:00:00"/>
    <n v="22023004782"/>
    <s v="2023 03 9241 212"/>
    <n v="98.86"/>
    <x v="469"/>
    <s v="SUMINISTRO DE MATERIALES DE FONTANERÍA PARA TRABAJOS EN CC DELICIAS REALIZADOS POR EL SERVICIO DE MANTENIMIENTO"/>
    <s v="220"/>
    <s v="VALDELAFUENTE"/>
    <s v="LEON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1"/>
    <s v="212"/>
  </r>
  <r>
    <n v="220230031243"/>
    <s v="AD"/>
    <d v="2023-06-22T00:00:00"/>
    <n v="22023005014"/>
    <s v="2023 01 9206 22199"/>
    <n v="98"/>
    <x v="291"/>
    <s v="ADQUISICIÓN Y SUSTITUCIÓN DE CERRADURA PARA LA PUERTA DE ENTRADA PRINCIPAL DEL ARCHIVO MUNICIPAL, 2023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199"/>
  </r>
  <r>
    <n v="220230028601"/>
    <s v="D"/>
    <d v="2023-06-07T00:00:00"/>
    <n v="22023004048"/>
    <s v="2023 11 1631 214"/>
    <n v="298"/>
    <x v="987"/>
    <s v="FACTURACIÓN DE REPUESTOS SEGÚN PEDIDO DE VENTA Nº 2023/PV121/195 ALBARÁN 17.../ AM EXP V18/2022. LIMPIEZA VIARIA.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1284"/>
    <s v="AD"/>
    <d v="2023-06-23T00:00:00"/>
    <n v="22023005048"/>
    <s v="2023 11 1361 22199"/>
    <n v="95.9"/>
    <x v="247"/>
    <s v="Recarga de bootella de oxígeno para equipo oxicorte de Canterac;SEISYPC"/>
    <s v="220"/>
    <s v="VALLADOLID"/>
    <s v="VALLADOLID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1235"/>
    <s v="AD"/>
    <d v="2023-06-22T00:00:00"/>
    <n v="22023005004"/>
    <s v="2023 11 3111 213"/>
    <n v="86.9"/>
    <x v="233"/>
    <s v="REPARACION CAMARA FRIGORÍFICA DEL CENTRO MUNICIPAL DE PROTECCION ANIMAL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3111"/>
    <s v="3111. Protección de la salubridad pública"/>
    <s v="21"/>
    <s v="213"/>
  </r>
  <r>
    <n v="220230030059"/>
    <s v="D"/>
    <d v="2023-06-16T00:00:00"/>
    <n v="22023001477"/>
    <s v="2023 10 2412 212"/>
    <n v="18.13"/>
    <x v="469"/>
    <s v="MANTENIMIENTO, SUMINISTRO DE SIFÓN BOTELLA LATON CR 11/4 DFLEX PARA REPARACIONES DEL JACINTO BENAVENTE- DURA 1 DIA"/>
    <s v="300"/>
    <s v="VALDELAFUENTE"/>
    <s v="LEON"/>
    <x v="3"/>
    <s v="AdDirec - Adjudicación Directa"/>
    <s v="SinC - Sin Criterio"/>
    <x v="1"/>
    <x v="1"/>
    <s v="2"/>
    <s v="2. Gastos corrientes en bienes y servicios"/>
    <s v="10"/>
    <x v="1"/>
    <s v="2412"/>
    <s v="2412. Formación para el empleo"/>
    <s v="21"/>
    <s v="212"/>
  </r>
  <r>
    <n v="220230031191"/>
    <s v="AD"/>
    <d v="2023-06-22T00:00:00"/>
    <n v="22023004159"/>
    <s v="2023 10 2312 22612"/>
    <n v="84.6"/>
    <x v="796"/>
    <s v="AD COMPLEMENTARIO POR REALIZAR UNA CATA MAS DEL DÍA DEL COMERCIO JUSTO EN LOS CVA- INICIATIVAS SOCIALES."/>
    <s v="220"/>
    <s v="VALLADOLID"/>
    <s v="VALLADOLID"/>
    <x v="1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2"/>
    <s v="22612"/>
  </r>
  <r>
    <n v="220230032514"/>
    <s v="ADO"/>
    <d v="2023-06-30T00:00:00"/>
    <n v="22023005071"/>
    <s v="2023 11 1321 224"/>
    <n v="77.760000000000005"/>
    <x v="747"/>
    <s v="SUPLEMENTO 1 CDA22117308EUR AEROLINEAS/AERONAVES 05/06/2023 06/04/2024 COVERDRONE EU B.V"/>
    <s v="240"/>
    <s v="VALLADOLID"/>
    <s v="VALLADOLID"/>
    <x v="4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2"/>
    <s v="224"/>
  </r>
  <r>
    <n v="220230028625"/>
    <s v="AD"/>
    <d v="2023-06-08T00:00:00"/>
    <n v="22023004651"/>
    <s v="2023 11 1621 212"/>
    <n v="69.25"/>
    <x v="101"/>
    <s v="COORDINACIÓN EN SEGURIDAD Y SALUD PARA LA PUESTA EN MARCHA DE PLATAFORMAS EN PL SAN ANDRÉS. SERVICIO DE LIMPIEZA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621"/>
    <s v="1621. Servicio de limpieza"/>
    <s v="21"/>
    <s v="212"/>
  </r>
  <r>
    <n v="220230030691"/>
    <s v="AD"/>
    <d v="2023-06-20T00:00:00"/>
    <n v="22023004829"/>
    <s v="2023 01 9207 22001"/>
    <n v="69"/>
    <x v="988"/>
    <s v="ADJUDICA ACCESO SUSCRIPCIÓN PERIÓDICO DIGITAL EL ESPAÑOL.COM - MEDIOS DE COMUNICACIÓN (junio 2023 a junio 2024)"/>
    <s v="220"/>
    <s v="MADRID"/>
    <s v="MADRID"/>
    <x v="1"/>
    <s v="AdDirec - Adjudicación Directa"/>
    <s v="SinC - Sin Criterio"/>
    <x v="3"/>
    <x v="1"/>
    <s v="2"/>
    <s v="2. Gastos corrientes en bienes y servicios"/>
    <s v="01"/>
    <x v="8"/>
    <s v="9207"/>
    <s v="9207. Gobierno y relaciones"/>
    <s v="22"/>
    <s v="22001"/>
  </r>
  <r>
    <n v="220230026830"/>
    <s v="AD"/>
    <d v="2023-06-01T00:00:00"/>
    <n v="22023004727"/>
    <s v="2023 01 9206 22000"/>
    <n v="64.13"/>
    <x v="989"/>
    <s v="ADQUISICIÓN DE 20 PAQUETES DE BOLSAS DE CELOFÁN CIERRE AUTOADHESIVO 12X18 CM. ARCHIVO MUNICIPAL."/>
    <s v="220"/>
    <s v="VALLADOLID"/>
    <s v="VALLADOLID"/>
    <x v="3"/>
    <s v="AdDirec - Adjudicación Directa"/>
    <s v="SinC - Sin Criterio"/>
    <x v="3"/>
    <x v="1"/>
    <s v="2"/>
    <s v="2. Gastos corrientes en bienes y servicios"/>
    <s v="01"/>
    <x v="8"/>
    <s v="9206"/>
    <s v="9206. Archivo municipal"/>
    <s v="22"/>
    <s v="22000"/>
  </r>
  <r>
    <n v="220230028523"/>
    <s v="D"/>
    <d v="2023-06-07T00:00:00"/>
    <n v="22023002183"/>
    <s v="2023 06 2314 212"/>
    <n v="13.33"/>
    <x v="469"/>
    <s v="MASILLA POLIMERO TOT-MS 15 TRANSP / METRO TUBO COBRE BARRA 12 /"/>
    <s v="300"/>
    <s v="VALDELAFUENTE"/>
    <s v="LEON"/>
    <x v="1"/>
    <s v="AdDirec - Adjudicación Directa"/>
    <s v="SinC - Sin Criterio"/>
    <x v="3"/>
    <x v="1"/>
    <s v="2"/>
    <s v="2. Gastos corrientes en bienes y servicios"/>
    <s v="06"/>
    <x v="2"/>
    <s v="2314"/>
    <s v="2314. Centro de programas juveniles"/>
    <s v="21"/>
    <s v="212"/>
  </r>
  <r>
    <n v="220230030689"/>
    <s v="AD"/>
    <d v="2023-06-20T00:00:00"/>
    <n v="22023004514"/>
    <s v="2023 05 4331 22700"/>
    <n v="60.98"/>
    <x v="65"/>
    <s v="AD COMPLEMENTARIO A 920230007360. LIMPIEZA POSTERIOR A LA OBRA DEL EDIFICIO HUB INNOVACIÓN"/>
    <s v="220"/>
    <s v="LOGROÑO"/>
    <s v="LA RIOJA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00"/>
  </r>
  <r>
    <n v="220230026834"/>
    <s v="AD"/>
    <d v="2023-06-01T00:00:00"/>
    <n v="22023003074"/>
    <s v="2023 09 3301 22799"/>
    <n v="60.83"/>
    <x v="406"/>
    <s v="CONTRATO SERVICIO MANTENIMIENTO DE VALLADOLID EN CIFRAS DEL OBSERVATORIO TURISTICO DEL 01-04-23 AL 11-04-2023"/>
    <s v="220"/>
    <s v="VALLADOLID"/>
    <s v="VALLADOLID"/>
    <x v="1"/>
    <s v="AdDirec - Adjudicación Directa"/>
    <s v="SinC - Sin Criterio"/>
    <x v="3"/>
    <x v="1"/>
    <s v="2"/>
    <s v="2. Gastos corrientes en bienes y servicios"/>
    <s v="09"/>
    <x v="9"/>
    <s v="3301"/>
    <s v="3301. Dirección del área de cultura"/>
    <s v="22"/>
    <s v="22799"/>
  </r>
  <r>
    <n v="220230030075"/>
    <s v="D"/>
    <d v="2023-06-16T00:00:00"/>
    <n v="22023001412"/>
    <s v="2023 10 2311 212"/>
    <n v="8.66"/>
    <x v="469"/>
    <s v="F - 6044 - CONJUNTO TIRADOR DESCARGA - ALBARAN 26-1-23 - CEAS DELICIAS-ARGALES -  SUMINISTROS GARCICHAO - 1 DIA"/>
    <s v="300"/>
    <s v="VALDELAFUENTE"/>
    <s v="LEON"/>
    <x v="3"/>
    <s v="AdDirec - Adjudicación Directa"/>
    <s v="SinC - Sin Criterio"/>
    <x v="3"/>
    <x v="1"/>
    <s v="2"/>
    <s v="2. Gastos corrientes en bienes y servicios"/>
    <s v="10"/>
    <x v="1"/>
    <s v="2311"/>
    <s v="2311. Intervención social"/>
    <s v="21"/>
    <s v="212"/>
  </r>
  <r>
    <n v="220230031262"/>
    <s v="D"/>
    <d v="2023-06-22T00:00:00"/>
    <n v="22023002625"/>
    <s v="2023 11 1621 204"/>
    <n v="50269.45"/>
    <x v="703"/>
    <s v="ARRENDAMIENTO CAMIÓN CARGA SUPERIOR MÁS DE 13m3 LOTE 2, AÑO 2023. SERVICIO DE LIMPIEZA."/>
    <s v="300"/>
    <s v="ALGEMESI"/>
    <s v="VALENCIA"/>
    <x v="1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0"/>
    <s v="204"/>
  </r>
  <r>
    <n v="220230028589"/>
    <s v="D"/>
    <d v="2023-06-07T00:00:00"/>
    <n v="22023004048"/>
    <s v="2023 11 1631 214"/>
    <n v="987.84"/>
    <x v="519"/>
    <s v="PLETINA RECTA MONT JUNTA ESTANQUEIDAD PORTON TRASERO / GOMA VERTICA...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28591"/>
    <s v="D"/>
    <d v="2023-06-07T00:00:00"/>
    <n v="22023004056"/>
    <s v="2023 11 1621 22199"/>
    <n v="928.07"/>
    <x v="519"/>
    <s v="TRANSPALETA 1500 PB - PERFIL BAJO / AM EXP V18/2022. SERVICIO DE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21"/>
    <s v="1621. Servicio de limpieza"/>
    <s v="22"/>
    <s v="22199"/>
  </r>
  <r>
    <n v="220230028593"/>
    <s v="D"/>
    <d v="2023-06-07T00:00:00"/>
    <n v="22023004050"/>
    <s v="2023 11 1631 22110"/>
    <n v="1022.45"/>
    <x v="519"/>
    <s v="BOLSA NEGRA 90X95 G-140 BDRPLTOTAL (1000 UNID) / AM EXP V18/2022.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2"/>
    <s v="22110"/>
  </r>
  <r>
    <n v="220230028607"/>
    <s v="D"/>
    <d v="2023-06-07T00:00:00"/>
    <n v="22023001129"/>
    <s v="2023 07 1721 22104"/>
    <n v="427.37"/>
    <x v="519"/>
    <s v="PARKA SYLOW PLUMA AMRO T.XXL / CAZADORA LEXE MUJER PLUMA ANT T.M / PARKA SYLOW PLUMA REC Y CAP AMRO T.L / BORDADO LOG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21"/>
    <s v="1721. Protección del medio ambiente"/>
    <s v="22"/>
    <s v="22104"/>
  </r>
  <r>
    <n v="220230032297"/>
    <s v="D"/>
    <d v="2023-06-30T00:00:00"/>
    <n v="22023000213"/>
    <s v="2023 11 1321 214"/>
    <n v="314.89"/>
    <x v="325"/>
    <s v="ACUERDO MARC. REPARACIÓN DE VEHÍCULO 4117JKP DE POLICÍA .SUSTITUIR ACEITE FITLRO DE ACEITE,LIQUIDO LIMPIADOR FAP,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299"/>
    <s v="D"/>
    <d v="2023-06-30T00:00:00"/>
    <n v="22023000213"/>
    <s v="2023 11 1321 214"/>
    <n v="2359"/>
    <x v="325"/>
    <s v="ACUERDO MARCO. REPARACIÓN VEHÍCULO 3999JKP:SUSITUTIR EMBRAGUE CON BIMASA Y CAJA CAMBIOS,VALVULINA,DISCO Y MAZ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2301"/>
    <s v="D"/>
    <d v="2023-06-30T00:00:00"/>
    <n v="22023000213"/>
    <s v="2023 11 1321 214"/>
    <n v="302.5"/>
    <x v="325"/>
    <s v="ACUERDO MARCO. REPARACIÓN VEHÍCULO 3715KGD:LLANTA ALUMINIO TRASEAS"/>
    <s v="300"/>
    <s v="VALLADOLID"/>
    <s v="VALLADOLID"/>
    <x v="1"/>
    <s v="PrAbier - Procedimiento Abierto"/>
    <s v="MultiC - MultiCriterio"/>
    <x v="1"/>
    <x v="1"/>
    <s v="2"/>
    <s v="2. Gastos corrientes en bienes y servicios"/>
    <s v="11"/>
    <x v="6"/>
    <s v="1321"/>
    <s v="1321. Policía municipal"/>
    <s v="21"/>
    <s v="214"/>
  </r>
  <r>
    <n v="220230031252"/>
    <s v="AD"/>
    <d v="2023-06-22T00:00:00"/>
    <n v="22023005040"/>
    <s v="2023 11 1361 22199"/>
    <n v="56.2"/>
    <x v="157"/>
    <s v="Adquisición de 4 botellas de gas propano de 11 kg para formación en extinción de incendios;SEISYPC"/>
    <s v="220"/>
    <s v="MUGA DE SAYAGO"/>
    <s v="ZAMORA"/>
    <x v="3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20062123"/>
    <s v="AD"/>
    <d v="2023-06-23T00:00:00"/>
    <n v="22022005221"/>
    <s v="2023 08 1341 624"/>
    <n v="47199.99"/>
    <x v="990"/>
    <s v="Adquisición de seis vehículos eléctricos para el Área de Movilidad y Espacio Urbano. lote 2 (exp. 22/2022)"/>
    <s v="220"/>
    <s v="VALLADOLID"/>
    <s v="VALLADOLID"/>
    <x v="3"/>
    <s v="PrAbier - Procedimiento Abierto"/>
    <s v="MultiC - MultiCriterio"/>
    <x v="0"/>
    <x v="1"/>
    <s v="6"/>
    <s v="6. Inversiones reales"/>
    <s v="08"/>
    <x v="0"/>
    <s v="1341"/>
    <s v="1341. Movilidad"/>
    <s v="62"/>
    <s v="624"/>
  </r>
  <r>
    <n v="220230028644"/>
    <s v="AD"/>
    <d v="2023-06-08T00:00:00"/>
    <n v="22023004884"/>
    <s v="2023 03 9241 22602"/>
    <n v="52.24"/>
    <x v="298"/>
    <s v="IMPRESIÓN CARTELES A3 COLOR PARA CC ESGUEVA"/>
    <s v="220"/>
    <s v="VALLADOLID"/>
    <s v="VALLADOLID"/>
    <x v="3"/>
    <s v="AdDirec - Adjudicación Directa"/>
    <s v="SinC - Sin Criterio"/>
    <x v="3"/>
    <x v="1"/>
    <s v="2"/>
    <s v="2. Gastos corrientes en bienes y servicios"/>
    <s v="03"/>
    <x v="10"/>
    <s v="9241"/>
    <s v="9241. Participación ciudadana"/>
    <s v="22"/>
    <s v="22602"/>
  </r>
  <r>
    <n v="220230029407"/>
    <s v="D"/>
    <d v="2023-06-13T00:00:00"/>
    <n v="22023002053"/>
    <s v="2023 07 1711 213"/>
    <n v="79.86"/>
    <x v="382"/>
    <s v="Albarán OT/137241 de 21/04/2023 ( REPARACIÓN EN TALLER DE CORTACÉSPED HONDA IZZY REF.: PARQUESOL VALE Nº: 662 RETIRADA E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9458"/>
    <s v="D"/>
    <d v="2023-06-13T00:00:00"/>
    <n v="22023002053"/>
    <s v="2023 07 1711 213"/>
    <n v="211.75"/>
    <x v="382"/>
    <s v="REPARACIÓN EN TALLER DE BOMBA EBARA ÓPTIMA MS SEGÚN PRESUPUESTO VERBAL (HUERTA DEL REY 1 VALE Nº 670 / 26-04-2023)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00"/>
    <s v="D"/>
    <d v="2023-06-16T00:00:00"/>
    <n v="22023002161"/>
    <s v="2023 07 1711 213"/>
    <n v="39.93"/>
    <x v="382"/>
    <s v="ALBARÁN OT/137482 DE 8/05/2023 (SUSTITUCIÓN RUEDAS TRASERAS EN CORTACÉSPED HONDA IZY 41S REF: HUERTA DEL REY 1 VALE Nº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0114"/>
    <s v="D"/>
    <d v="2023-06-16T00:00:00"/>
    <n v="22023002161"/>
    <s v="2023 07 1711 213"/>
    <n v="192.63"/>
    <x v="382"/>
    <s v="ALBARÁN OT/ 137506 DE 9 y 12/05/2023 (REPARACIÓN EN TALLER DE MOTOSIERRA HUSQVARNA T540 XP REF.: MORERAS VALE Nº: 698 R"/>
    <s v="300"/>
    <s v="VALLADOLID"/>
    <s v="VALLADOLID"/>
    <x v="1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32283"/>
    <s v="D"/>
    <d v="2023-06-30T00:00:00"/>
    <n v="22023002161"/>
    <s v="2023 07 1711 213"/>
    <n v="351.92"/>
    <x v="382"/>
    <s v="Albarán OT/ 137628 de 18 y 19/05/2023 ( REPARACIÓN EN TALLER DE TRACTOR CORTACÉSPED RIDER REF.: PARQUESOL VALE Nº 764 R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4"/>
    <s v="1711"/>
    <s v="1711. Parques y jardines"/>
    <s v="21"/>
    <s v="213"/>
  </r>
  <r>
    <n v="220230028637"/>
    <s v="AD"/>
    <d v="2023-06-08T00:00:00"/>
    <n v="22023004889"/>
    <s v="2023 10 2312 213"/>
    <n v="82.28"/>
    <x v="248"/>
    <s v="REPARACION DE FANCOIL DE LAS E. DIURNAS DEL CVA ZONA ESTE- 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31208"/>
    <s v="AD"/>
    <d v="2023-06-22T00:00:00"/>
    <n v="22023005076"/>
    <s v="2023 11 1361 22199"/>
    <n v="48.4"/>
    <x v="991"/>
    <s v="Reparación sistema de sirena electrónica de vehículo BFP 18, matr 0130 DWZ; SEISYPC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61"/>
    <s v="1361. Prevención y extinción de incencios"/>
    <s v="22"/>
    <s v="22199"/>
  </r>
  <r>
    <n v="220230031189"/>
    <s v="AD"/>
    <d v="2023-06-22T00:00:00"/>
    <n v="22023005075"/>
    <s v="2023 10 2312 213"/>
    <n v="35.090000000000003"/>
    <x v="131"/>
    <s v="REPARACION ASCENSOR, SUMINISTRO E BATERIAS ENLACE GSM DEL CVA FRAY LUIS DE LEON- INICIATIVAS SOCIALES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312"/>
    <s v="2312. Iniciativas sociales"/>
    <s v="21"/>
    <s v="213"/>
  </r>
  <r>
    <n v="220230022648"/>
    <s v="AD"/>
    <d v="2023-05-22T00:00:00"/>
    <n v="22023004652"/>
    <s v="2023 05 4331 22799"/>
    <n v="32.54"/>
    <x v="95"/>
    <s v="COORDINACIÓN DE SEGURIDAD Y SALUD OBRA DESMONTAJE DEL JARDÍN VERTICAL DEL ANTIGUO EDIFICIO DE EL CORTE INGLÉS CONSTITUCI"/>
    <s v="220"/>
    <s v="VALLADOLID"/>
    <s v="VALLADOLID"/>
    <x v="1"/>
    <s v="AdDirec - Adjudicación Directa"/>
    <s v="SinC - Sin Criterio"/>
    <x v="3"/>
    <x v="1"/>
    <s v="2"/>
    <s v="2. Gastos corrientes en bienes y servicios"/>
    <s v="05"/>
    <x v="7"/>
    <s v="4331"/>
    <s v="4331. Desarrollo empresarial"/>
    <s v="22"/>
    <s v="22799"/>
  </r>
  <r>
    <n v="220230018187"/>
    <s v="AD"/>
    <d v="2023-05-08T00:00:00"/>
    <n v="22023003927"/>
    <s v="2023 02 9332 632"/>
    <n v="23967.32"/>
    <x v="701"/>
    <s v="TRAMIT.EXPTE.CERT.8 Y FINAL DE LA OBRA CELDAS SANTA CATALINA (INST.INTERVENTOR)."/>
    <s v="220"/>
    <s v="VALLADOLID"/>
    <s v="VALLADOLID"/>
    <x v="2"/>
    <s v="PrAbier - Procedimiento Abierto"/>
    <s v="MultiC - MultiCriterio"/>
    <x v="0"/>
    <x v="1"/>
    <s v="6"/>
    <s v="6. Inversiones reales"/>
    <s v="02"/>
    <x v="3"/>
    <s v="9332"/>
    <s v="9332. Mantenimiento de edificios e instalaciones municipales"/>
    <s v="63"/>
    <s v="632"/>
  </r>
  <r>
    <n v="220230029328"/>
    <s v="AD"/>
    <d v="2023-06-13T00:00:00"/>
    <n v="22023004933"/>
    <s v="2023 11 1321 212"/>
    <n v="28"/>
    <x v="95"/>
    <s v="COORDINACIÓN DE SEGURIDAD Y SALUD REPARACIÓN DE BALDOSAS RAMPA DISTRITO 2º."/>
    <s v="220"/>
    <s v="VALLADOLID"/>
    <s v="VALLADOLID"/>
    <x v="2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30674"/>
    <s v="AD"/>
    <d v="2023-06-19T00:00:00"/>
    <n v="22023004898"/>
    <s v="2023 04 9231 22705"/>
    <n v="726"/>
    <x v="332"/>
    <s v="ANUNCIO EXPOSICION CENSO ELECTORAL. 4 Y 5 JUNIO 2023 - TRIBUNA DIGITAL"/>
    <s v="220"/>
    <s v="SALAMANCA"/>
    <s v="SALAMANCA"/>
    <x v="1"/>
    <s v="AdDirec - Adjudicación Directa"/>
    <s v="SinC - Sin Criterio"/>
    <x v="3"/>
    <x v="1"/>
    <s v="2"/>
    <s v="2. Gastos corrientes en bienes y servicios"/>
    <s v="04"/>
    <x v="5"/>
    <s v="9231"/>
    <s v="9231. Información, registro y gestión del padrón"/>
    <s v="22"/>
    <s v="22705"/>
  </r>
  <r>
    <n v="220230020465"/>
    <s v="AD"/>
    <d v="2023-05-11T00:00:00"/>
    <n v="22023003009"/>
    <s v="2023 03 9241 22700"/>
    <n v="3339.6"/>
    <x v="731"/>
    <s v="SE-PC 15/2023: PRÓRROGA CONTRATO DE CONTROL DE PLAGAS DE LOS CENTROS DE PARTICIPACIÓN CIUDADANA (1 MAY-31 DIC)"/>
    <s v="220"/>
    <s v="VALLADOLID"/>
    <s v="VALLADOLID"/>
    <x v="1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30028623"/>
    <s v="AD"/>
    <d v="2023-06-08T00:00:00"/>
    <n v="22023001888"/>
    <s v="2023 10 2311 22799"/>
    <n v="32463.77"/>
    <x v="39"/>
    <s v="ACTIVIDADES Y OT.GASTOS VINCULADOS AL CONT.PROY. LUCHA CONTRA EXCL.SOC.ZONAS VULNERABLES .Z.ESTE- 9/3 A 31/12/23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1"/>
    <s v="2311"/>
    <s v="2311. Intervención social"/>
    <s v="22"/>
    <s v="22799"/>
  </r>
  <r>
    <n v="220230029593"/>
    <s v="AD"/>
    <d v="2023-06-14T00:00:00"/>
    <n v="22023003990"/>
    <s v="2023 07 1711 619"/>
    <n v="14953.94"/>
    <x v="47"/>
    <s v="COMPLEMENTARIO PARA HACER FRENTE A LA CERTIF. 8 Y FINAL &quot;&quot;MEJORA EFICIENCIA ENERGETICA FUENTE AZUL&quot;&quot; EXP. V6-20 PS. 36"/>
    <s v="220"/>
    <s v="PONTEVEDRA"/>
    <s v="PONTEVEDRA"/>
    <x v="2"/>
    <s v="PrAbier - Procedimiento Abierto"/>
    <s v="MultiC - MultiCriterio"/>
    <x v="0"/>
    <x v="1"/>
    <s v="6"/>
    <s v="6. Inversiones reales"/>
    <s v="07"/>
    <x v="4"/>
    <s v="1711"/>
    <s v="1711. Parques y jardines"/>
    <s v="61"/>
    <s v="619"/>
  </r>
  <r>
    <n v="220230030678"/>
    <s v="AD"/>
    <d v="2023-06-20T00:00:00"/>
    <n v="22023000306"/>
    <s v="2023 09 3341 22609"/>
    <n v="3146"/>
    <x v="744"/>
    <s v="MODIFICACION LOTE 6 FERIA DEL LIBRO VALLADOLID 2023 POR LA CELEBRACION DEL JAIPUR LITERATURE FESTIVAL"/>
    <s v="220"/>
    <s v="VALLADOLID"/>
    <s v="VALLADOLID"/>
    <x v="1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30031293"/>
    <s v="AD/"/>
    <d v="2023-06-23T00:00:00"/>
    <n v="22023002096"/>
    <s v="2023 10 2412 22199"/>
    <n v="-0.06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8"/>
    <s v="2023 10 2412 22199"/>
    <n v="-1.26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5"/>
    <s v="2023 10 2412 22199"/>
    <n v="-57.63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1293"/>
    <s v="AD/"/>
    <d v="2023-06-23T00:00:00"/>
    <n v="22023002097"/>
    <s v="2023 10 2412 22199"/>
    <n v="-865.59"/>
    <x v="145"/>
    <s v="AJUSTE PRESUPUESTARIO SUMINISTRO MATERIAL OFICINA PARA EL CENTRO DE FORMACION PARA EL EMPLEO- CURSOS MIXTOS DURANTE 2023"/>
    <s v="220"/>
    <s v="VALLADOLID"/>
    <s v="VALLADOLID"/>
    <x v="3"/>
    <s v="AdDirec - Adjudicación Directa"/>
    <s v="SinC - Sin Criterio"/>
    <x v="3"/>
    <x v="1"/>
    <s v="2"/>
    <s v="2. Gastos corrientes en bienes y servicios"/>
    <s v="10"/>
    <x v="1"/>
    <s v="2412"/>
    <s v="2412. Formación para el empleo"/>
    <s v="22"/>
    <s v="22199"/>
  </r>
  <r>
    <n v="220230032377"/>
    <s v="D"/>
    <d v="2023-06-30T00:00:00"/>
    <n v="22023001469"/>
    <s v="2023 11 1631 214"/>
    <n v="42.25"/>
    <x v="521"/>
    <s v="CIERRE ALEMAN GRANDE COMPLETO ( MATRICULA 5682 MDL CIERRE ALEMAN GRANDE.../ AM SPSC 23/2020. LIMPIEZA VIARIA."/>
    <s v="300"/>
    <s v="ALDEAMAYOR DE SAN MARTIN"/>
    <s v="VALLADOLID"/>
    <x v="1"/>
    <s v="PrAbier - Procedimiento Abierto"/>
    <s v="MultiC - MultiCriterio"/>
    <x v="1"/>
    <x v="1"/>
    <s v="2"/>
    <s v="2. Gastos corrientes en bienes y servicios"/>
    <s v="11"/>
    <x v="6"/>
    <s v="1631"/>
    <s v="1631. Limpieza viaria"/>
    <s v="21"/>
    <s v="214"/>
  </r>
  <r>
    <n v="220230031263"/>
    <s v="D"/>
    <d v="2023-06-22T00:00:00"/>
    <n v="22023002625"/>
    <s v="2023 11 1621 204"/>
    <n v="49274.22"/>
    <x v="992"/>
    <s v="CONTRATO ARRENDAMIENTO CAMIÓN CARGA SUPERIOR MÁS 13m3 LOTE 1, AÑO 2023. SERVICIO DE LIMPIEZA."/>
    <s v="300"/>
    <s v="RIBA-ROJA DE TURIA"/>
    <s v="VALENCIA"/>
    <x v="1"/>
    <s v="PrAbier - Procedimiento Abierto"/>
    <s v="MultiC - MultiCriterio"/>
    <x v="0"/>
    <x v="1"/>
    <s v="2"/>
    <s v="2. Gastos corrientes en bienes y servicios"/>
    <s v="11"/>
    <x v="6"/>
    <s v="1621"/>
    <s v="1621. Servicio de limpieza"/>
    <s v="20"/>
    <s v="204"/>
  </r>
  <r>
    <n v="220230030687"/>
    <s v="AD/"/>
    <d v="2023-06-20T00:00:00"/>
    <n v="22023004454"/>
    <s v="2023 11 1321 626"/>
    <n v="-2141.8000000000002"/>
    <x v="862"/>
    <s v="ANULACIÓN DE ADQUISICIÓN DE DOS ORDENADORES PORTÁTILES  PARA GALERÍA DE TIRO E INFORMÁTICA DE POLICÍA MUNICIPAL."/>
    <s v="220"/>
    <s v="VALLADOLID"/>
    <s v="VALLADOLID"/>
    <x v="3"/>
    <s v="AdDirec - Adjudicación Directa"/>
    <s v="SinC - Sin Criterio"/>
    <x v="3"/>
    <x v="1"/>
    <s v="6"/>
    <s v="6. Inversiones reales"/>
    <s v="11"/>
    <x v="6"/>
    <s v="1321"/>
    <s v="1321. Policía municipal"/>
    <s v="62"/>
    <s v="626"/>
  </r>
  <r>
    <n v="220230030686"/>
    <s v="AD/"/>
    <d v="2023-06-20T00:00:00"/>
    <n v="22023003385"/>
    <s v="2023 11 1321 212"/>
    <n v="-4019.62"/>
    <x v="186"/>
    <s v="ACONDICIONAMIENTO DEL SISTEMA ELÉCTRICO EN GARAJE DEL DISTRITO 3º."/>
    <s v="220"/>
    <s v="VALLADOLID"/>
    <s v="VALLADOLID"/>
    <x v="1"/>
    <s v="AdDirec - Adjudicación Directa"/>
    <s v="SinC - Sin Criterio"/>
    <x v="3"/>
    <x v="1"/>
    <s v="2"/>
    <s v="2. Gastos corrientes en bienes y servicios"/>
    <s v="11"/>
    <x v="6"/>
    <s v="1321"/>
    <s v="1321. Policía municipal"/>
    <s v="21"/>
    <s v="212"/>
  </r>
  <r>
    <n v="220230028627"/>
    <s v="AD"/>
    <d v="2023-06-08T00:00:00"/>
    <n v="22022005759"/>
    <s v="2023 11 1361 632"/>
    <n v="330"/>
    <x v="993"/>
    <s v="Trabajos Dirección de Obra Reparación del Torreón del Parque Central de Bomberos; SEISYPC"/>
    <s v="230"/>
    <s v="FUENSALDAÑA"/>
    <s v="VALLADOLID"/>
    <x v="2"/>
    <s v="AdDirec - Adjudicación Directa"/>
    <s v="SinC - Sin Criterio"/>
    <x v="3"/>
    <x v="1"/>
    <s v="6"/>
    <s v="6. Inversiones reales"/>
    <s v="11"/>
    <x v="6"/>
    <s v="1361"/>
    <s v="1361. Prevención y extinción de incencios"/>
    <s v="63"/>
    <s v="6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741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223">
        <item m="1" x="1837"/>
        <item m="1" x="1507"/>
        <item m="1" x="1439"/>
        <item m="1" x="1392"/>
        <item x="119"/>
        <item m="1" x="1379"/>
        <item m="1" x="2106"/>
        <item m="1" x="1382"/>
        <item m="1" x="1721"/>
        <item m="1" x="1022"/>
        <item x="4"/>
        <item m="1" x="1346"/>
        <item m="1" x="1464"/>
        <item x="265"/>
        <item x="121"/>
        <item x="640"/>
        <item x="256"/>
        <item m="1" x="1993"/>
        <item x="348"/>
        <item x="349"/>
        <item x="951"/>
        <item m="1" x="1689"/>
        <item x="252"/>
        <item m="1" x="2133"/>
        <item x="97"/>
        <item x="977"/>
        <item m="1" x="1960"/>
        <item x="123"/>
        <item m="1" x="2129"/>
        <item m="1" x="1672"/>
        <item m="1" x="2143"/>
        <item m="1" x="1231"/>
        <item x="383"/>
        <item m="1" x="1437"/>
        <item m="1" x="1206"/>
        <item m="1" x="1411"/>
        <item x="125"/>
        <item m="1" x="1089"/>
        <item x="420"/>
        <item x="677"/>
        <item x="49"/>
        <item x="418"/>
        <item m="1" x="1223"/>
        <item m="1" x="2131"/>
        <item x="497"/>
        <item x="24"/>
        <item m="1" x="1649"/>
        <item x="45"/>
        <item x="268"/>
        <item m="1" x="2132"/>
        <item x="705"/>
        <item m="1" x="1982"/>
        <item x="709"/>
        <item m="1" x="1352"/>
        <item m="1" x="1593"/>
        <item x="593"/>
        <item x="533"/>
        <item x="54"/>
        <item x="405"/>
        <item m="1" x="1780"/>
        <item m="1" x="1995"/>
        <item m="1" x="997"/>
        <item x="419"/>
        <item x="787"/>
        <item m="1" x="1106"/>
        <item x="991"/>
        <item m="1" x="1781"/>
        <item m="1" x="1315"/>
        <item m="1" x="1380"/>
        <item x="594"/>
        <item x="269"/>
        <item x="81"/>
        <item x="789"/>
        <item m="1" x="1675"/>
        <item m="1" x="1789"/>
        <item x="31"/>
        <item m="1" x="2085"/>
        <item m="1" x="1731"/>
        <item m="1" x="1159"/>
        <item m="1" x="1451"/>
        <item x="801"/>
        <item x="128"/>
        <item x="790"/>
        <item x="129"/>
        <item m="1" x="1252"/>
        <item m="1" x="1757"/>
        <item x="20"/>
        <item m="1" x="2032"/>
        <item m="1" x="1160"/>
        <item x="791"/>
        <item m="1" x="2077"/>
        <item m="1" x="1584"/>
        <item m="1" x="1568"/>
        <item m="1" x="1171"/>
        <item x="130"/>
        <item x="131"/>
        <item m="1" x="2039"/>
        <item m="1" x="1914"/>
        <item x="409"/>
        <item m="1" x="1193"/>
        <item m="1" x="1220"/>
        <item m="1" x="1026"/>
        <item x="620"/>
        <item m="1" x="1542"/>
        <item m="1" x="1479"/>
        <item m="1" x="1767"/>
        <item x="797"/>
        <item m="1" x="1111"/>
        <item x="535"/>
        <item m="1" x="1076"/>
        <item m="1" x="1888"/>
        <item m="1" x="1862"/>
        <item m="1" x="1847"/>
        <item m="1" x="2167"/>
        <item m="1" x="1473"/>
        <item m="1" x="2040"/>
        <item m="1" x="1947"/>
        <item m="1" x="1115"/>
        <item m="1" x="1881"/>
        <item m="1" x="1769"/>
        <item x="621"/>
        <item m="1" x="2033"/>
        <item m="1" x="1691"/>
        <item m="1" x="1070"/>
        <item x="595"/>
        <item m="1" x="2203"/>
        <item m="1" x="1924"/>
        <item m="1" x="1872"/>
        <item m="1" x="2116"/>
        <item m="1" x="1750"/>
        <item m="1" x="2171"/>
        <item x="799"/>
        <item x="596"/>
        <item m="1" x="1438"/>
        <item m="1" x="1256"/>
        <item m="1" x="2130"/>
        <item m="1" x="1197"/>
        <item x="802"/>
        <item m="1" x="1233"/>
        <item m="1" x="1458"/>
        <item x="32"/>
        <item x="100"/>
        <item m="1" x="1113"/>
        <item x="624"/>
        <item x="460"/>
        <item x="576"/>
        <item x="805"/>
        <item m="1" x="1925"/>
        <item m="1" x="1685"/>
        <item m="1" x="1428"/>
        <item x="136"/>
        <item x="272"/>
        <item x="273"/>
        <item m="1" x="1690"/>
        <item x="571"/>
        <item x="370"/>
        <item x="406"/>
        <item x="107"/>
        <item x="407"/>
        <item x="513"/>
        <item m="1" x="2118"/>
        <item m="1" x="1112"/>
        <item m="1" x="1255"/>
        <item m="1" x="1549"/>
        <item m="1" x="1098"/>
        <item x="421"/>
        <item x="274"/>
        <item x="422"/>
        <item m="1" x="2155"/>
        <item m="1" x="1386"/>
        <item m="1" x="1425"/>
        <item x="275"/>
        <item m="1" x="1653"/>
        <item m="1" x="1482"/>
        <item x="276"/>
        <item m="1" x="2218"/>
        <item m="1" x="1480"/>
        <item x="350"/>
        <item m="1" x="1951"/>
        <item x="56"/>
        <item x="385"/>
        <item x="471"/>
        <item x="472"/>
        <item m="1" x="1340"/>
        <item m="1" x="1035"/>
        <item x="336"/>
        <item x="823"/>
        <item m="1" x="1273"/>
        <item m="1" x="1399"/>
        <item m="1" x="1149"/>
        <item m="1" x="1955"/>
        <item m="1" x="1162"/>
        <item m="1" x="1105"/>
        <item m="1" x="2185"/>
        <item x="67"/>
        <item x="711"/>
        <item m="1" x="2000"/>
        <item x="359"/>
        <item m="1" x="1551"/>
        <item x="141"/>
        <item m="1" x="1662"/>
        <item x="282"/>
        <item m="1" x="1081"/>
        <item x="143"/>
        <item m="1" x="1607"/>
        <item m="1" x="1939"/>
        <item m="1" x="1150"/>
        <item m="1" x="2134"/>
        <item x="372"/>
        <item x="847"/>
        <item m="1" x="1580"/>
        <item x="145"/>
        <item m="1" x="1181"/>
        <item m="1" x="1353"/>
        <item m="1" x="1612"/>
        <item x="283"/>
        <item m="1" x="1079"/>
        <item x="360"/>
        <item x="284"/>
        <item m="1" x="2078"/>
        <item m="1" x="1407"/>
        <item x="948"/>
        <item m="1" x="1640"/>
        <item m="1" x="1397"/>
        <item x="46"/>
        <item x="599"/>
        <item x="42"/>
        <item m="1" x="1694"/>
        <item x="550"/>
        <item m="1" x="1306"/>
        <item m="1" x="1890"/>
        <item m="1" x="1048"/>
        <item x="913"/>
        <item m="1" x="1637"/>
        <item x="337"/>
        <item m="1" x="1883"/>
        <item m="1" x="1361"/>
        <item m="1" x="1143"/>
        <item m="1" x="1203"/>
        <item m="1" x="1449"/>
        <item m="1" x="1613"/>
        <item m="1" x="1946"/>
        <item m="1" x="2047"/>
        <item x="810"/>
        <item m="1" x="1409"/>
        <item m="1" x="1564"/>
        <item x="816"/>
        <item m="1" x="2048"/>
        <item x="19"/>
        <item m="1" x="1422"/>
        <item m="1" x="1790"/>
        <item m="1" x="1515"/>
        <item m="1" x="2137"/>
        <item x="463"/>
        <item x="338"/>
        <item m="1" x="1291"/>
        <item x="286"/>
        <item x="762"/>
        <item x="380"/>
        <item x="514"/>
        <item m="1" x="1623"/>
        <item m="1" x="2091"/>
        <item m="1" x="1434"/>
        <item m="1" x="1335"/>
        <item x="170"/>
        <item x="287"/>
        <item x="147"/>
        <item m="1" x="2115"/>
        <item m="1" x="1603"/>
        <item m="1" x="2051"/>
        <item m="1" x="1322"/>
        <item m="1" x="2052"/>
        <item x="35"/>
        <item m="1" x="1454"/>
        <item m="1" x="1813"/>
        <item m="1" x="1616"/>
        <item x="644"/>
        <item m="1" x="2217"/>
        <item m="1" x="1082"/>
        <item m="1" x="1469"/>
        <item x="109"/>
        <item x="288"/>
        <item x="627"/>
        <item m="1" x="1280"/>
        <item m="1" x="1376"/>
        <item m="1" x="1124"/>
        <item x="818"/>
        <item m="1" x="1152"/>
        <item m="1" x="2006"/>
        <item x="148"/>
        <item m="1" x="1792"/>
        <item x="850"/>
        <item m="1" x="2031"/>
        <item m="1" x="1746"/>
        <item m="1" x="1508"/>
        <item m="1" x="1010"/>
        <item m="1" x="1850"/>
        <item x="289"/>
        <item x="259"/>
        <item m="1" x="1158"/>
        <item m="1" x="1583"/>
        <item m="1" x="1356"/>
        <item m="1" x="1360"/>
        <item m="1" x="1063"/>
        <item x="150"/>
        <item m="1" x="1864"/>
        <item x="357"/>
        <item m="1" x="1589"/>
        <item m="1" x="2139"/>
        <item x="473"/>
        <item m="1" x="1119"/>
        <item m="1" x="1446"/>
        <item m="1" x="1138"/>
        <item m="1" x="1841"/>
        <item x="851"/>
        <item x="151"/>
        <item m="1" x="1934"/>
        <item x="597"/>
        <item x="665"/>
        <item x="373"/>
        <item m="1" x="1627"/>
        <item m="1" x="2180"/>
        <item m="1" x="2193"/>
        <item m="1" x="1701"/>
        <item x="152"/>
        <item x="153"/>
        <item m="1" x="2123"/>
        <item x="12"/>
        <item m="1" x="1528"/>
        <item m="1" x="1402"/>
        <item m="1" x="1716"/>
        <item m="1" x="2036"/>
        <item x="427"/>
        <item m="1" x="1703"/>
        <item x="158"/>
        <item m="1" x="1717"/>
        <item x="826"/>
        <item m="1" x="1513"/>
        <item x="0"/>
        <item x="159"/>
        <item m="1" x="1913"/>
        <item x="162"/>
        <item m="1" x="1730"/>
        <item x="937"/>
        <item x="165"/>
        <item m="1" x="1018"/>
        <item x="171"/>
        <item x="27"/>
        <item m="1" x="1969"/>
        <item m="1" x="1232"/>
        <item m="1" x="2005"/>
        <item x="827"/>
        <item x="173"/>
        <item x="553"/>
        <item m="1" x="1704"/>
        <item x="303"/>
        <item x="175"/>
        <item x="176"/>
        <item m="1" x="1486"/>
        <item m="1" x="1288"/>
        <item m="1" x="1056"/>
        <item x="117"/>
        <item x="181"/>
        <item x="182"/>
        <item m="1" x="1619"/>
        <item x="183"/>
        <item x="304"/>
        <item m="1" x="1980"/>
        <item m="1" x="1359"/>
        <item x="13"/>
        <item m="1" x="1978"/>
        <item x="186"/>
        <item x="829"/>
        <item m="1" x="1398"/>
        <item m="1" x="1244"/>
        <item m="1" x="1976"/>
        <item m="1" x="1752"/>
        <item m="1" x="2019"/>
        <item x="89"/>
        <item m="1" x="1005"/>
        <item x="96"/>
        <item x="177"/>
        <item m="1" x="1911"/>
        <item x="960"/>
        <item m="1" x="1167"/>
        <item m="1" x="1772"/>
        <item x="195"/>
        <item m="1" x="1696"/>
        <item x="30"/>
        <item x="196"/>
        <item m="1" x="1563"/>
        <item m="1" x="1496"/>
        <item x="197"/>
        <item x="33"/>
        <item x="200"/>
        <item m="1" x="1324"/>
        <item m="1" x="1887"/>
        <item x="201"/>
        <item m="1" x="1175"/>
        <item m="1" x="1414"/>
        <item x="205"/>
        <item x="53"/>
        <item m="1" x="1144"/>
        <item m="1" x="1753"/>
        <item m="1" x="1021"/>
        <item x="206"/>
        <item m="1" x="1941"/>
        <item m="1" x="2135"/>
        <item x="208"/>
        <item x="210"/>
        <item x="211"/>
        <item m="1" x="1416"/>
        <item x="381"/>
        <item m="1" x="1330"/>
        <item x="362"/>
        <item x="48"/>
        <item m="1" x="2049"/>
        <item m="1" x="1156"/>
        <item m="1" x="1467"/>
        <item m="1" x="1062"/>
        <item x="37"/>
        <item x="837"/>
        <item m="1" x="1276"/>
        <item m="1" x="2100"/>
        <item m="1" x="1396"/>
        <item m="1" x="1677"/>
        <item x="217"/>
        <item x="218"/>
        <item x="557"/>
        <item m="1" x="1492"/>
        <item m="1" x="2083"/>
        <item x="219"/>
        <item m="1" x="1134"/>
        <item x="485"/>
        <item m="1" x="1855"/>
        <item x="438"/>
        <item x="840"/>
        <item m="1" x="1942"/>
        <item m="1" x="1186"/>
        <item m="1" x="1195"/>
        <item m="1" x="1686"/>
        <item x="227"/>
        <item x="228"/>
        <item m="1" x="1648"/>
        <item m="1" x="1539"/>
        <item m="1" x="1629"/>
        <item m="1" x="1891"/>
        <item m="1" x="1512"/>
        <item m="1" x="1485"/>
        <item m="1" x="1537"/>
        <item m="1" x="1638"/>
        <item x="230"/>
        <item x="233"/>
        <item m="1" x="1369"/>
        <item x="843"/>
        <item m="1" x="1678"/>
        <item m="1" x="1066"/>
        <item m="1" x="1104"/>
        <item m="1" x="2004"/>
        <item x="844"/>
        <item x="239"/>
        <item x="16"/>
        <item x="240"/>
        <item x="241"/>
        <item x="242"/>
        <item m="1" x="1727"/>
        <item m="1" x="1040"/>
        <item m="1" x="1565"/>
        <item m="1" x="2069"/>
        <item m="1" x="1632"/>
        <item m="1" x="1968"/>
        <item x="72"/>
        <item x="247"/>
        <item m="1" x="1489"/>
        <item x="249"/>
        <item m="1" x="1202"/>
        <item m="1" x="1174"/>
        <item m="1" x="1633"/>
        <item m="1" x="1237"/>
        <item x="263"/>
        <item m="1" x="1967"/>
        <item m="1" x="1350"/>
        <item x="293"/>
        <item x="294"/>
        <item x="73"/>
        <item m="1" x="2013"/>
        <item m="1" x="1050"/>
        <item m="1" x="1092"/>
        <item x="296"/>
        <item x="297"/>
        <item m="1" x="1135"/>
        <item m="1" x="1501"/>
        <item x="298"/>
        <item m="1" x="1582"/>
        <item m="1" x="1297"/>
        <item x="903"/>
        <item m="1" x="1543"/>
        <item m="1" x="1827"/>
        <item x="302"/>
        <item x="209"/>
        <item m="1" x="1950"/>
        <item x="26"/>
        <item x="306"/>
        <item m="1" x="1699"/>
        <item m="1" x="1266"/>
        <item m="1" x="1733"/>
        <item m="1" x="1957"/>
        <item m="1" x="1820"/>
        <item x="309"/>
        <item x="310"/>
        <item m="1" x="1521"/>
        <item m="1" x="1697"/>
        <item m="1" x="1926"/>
        <item x="855"/>
        <item x="856"/>
        <item m="1" x="1756"/>
        <item m="1" x="1965"/>
        <item m="1" x="1712"/>
        <item m="1" x="1534"/>
        <item m="1" x="1707"/>
        <item m="1" x="1882"/>
        <item m="1" x="1459"/>
        <item x="442"/>
        <item m="1" x="2054"/>
        <item x="316"/>
        <item x="606"/>
        <item m="1" x="1842"/>
        <item m="1" x="1484"/>
        <item m="1" x="1760"/>
        <item m="1" x="1163"/>
        <item x="321"/>
        <item m="1" x="1858"/>
        <item x="322"/>
        <item m="1" x="1290"/>
        <item m="1" x="2127"/>
        <item m="1" x="1610"/>
        <item x="23"/>
        <item m="1" x="1602"/>
        <item m="1" x="1198"/>
        <item x="324"/>
        <item x="860"/>
        <item x="376"/>
        <item x="327"/>
        <item m="1" x="1559"/>
        <item x="330"/>
        <item m="1" x="1646"/>
        <item x="2"/>
        <item m="1" x="1591"/>
        <item x="331"/>
        <item m="1" x="1807"/>
        <item x="60"/>
        <item m="1" x="1667"/>
        <item x="646"/>
        <item m="1" x="1262"/>
        <item m="1" x="1708"/>
        <item x="334"/>
        <item m="1" x="2140"/>
        <item x="115"/>
        <item x="194"/>
        <item x="154"/>
        <item m="1" x="1581"/>
        <item x="340"/>
        <item m="1" x="2073"/>
        <item m="1" x="1176"/>
        <item x="341"/>
        <item m="1" x="1634"/>
        <item x="52"/>
        <item m="1" x="1994"/>
        <item m="1" x="1052"/>
        <item x="397"/>
        <item m="1" x="1918"/>
        <item m="1" x="1096"/>
        <item x="342"/>
        <item m="1" x="2120"/>
        <item x="344"/>
        <item x="346"/>
        <item m="1" x="1321"/>
        <item x="353"/>
        <item m="1" x="1131"/>
        <item x="351"/>
        <item m="1" x="2177"/>
        <item m="1" x="1245"/>
        <item x="864"/>
        <item m="1" x="1047"/>
        <item x="78"/>
        <item m="1" x="2041"/>
        <item x="364"/>
        <item m="1" x="1917"/>
        <item m="1" x="1570"/>
        <item m="1" x="1533"/>
        <item x="367"/>
        <item m="1" x="1304"/>
        <item m="1" x="1465"/>
        <item x="101"/>
        <item m="1" x="1029"/>
        <item x="972"/>
        <item x="88"/>
        <item m="1" x="1897"/>
        <item m="1" x="1636"/>
        <item m="1" x="2060"/>
        <item m="1" x="994"/>
        <item x="365"/>
        <item m="1" x="1348"/>
        <item m="1" x="1531"/>
        <item m="1" x="2008"/>
        <item m="1" x="1069"/>
        <item m="1" x="1544"/>
        <item x="942"/>
        <item x="389"/>
        <item m="1" x="1899"/>
        <item x="390"/>
        <item x="961"/>
        <item m="1" x="1659"/>
        <item m="1" x="1002"/>
        <item m="1" x="1107"/>
        <item m="1" x="1323"/>
        <item m="1" x="2020"/>
        <item m="1" x="1751"/>
        <item m="1" x="1294"/>
        <item m="1" x="2126"/>
        <item m="1" x="1015"/>
        <item m="1" x="2173"/>
        <item x="613"/>
        <item m="1" x="1003"/>
        <item m="1" x="1216"/>
        <item x="445"/>
        <item m="1" x="1375"/>
        <item m="1" x="2097"/>
        <item m="1" x="2151"/>
        <item m="1" x="2109"/>
        <item m="1" x="1740"/>
        <item m="1" x="1661"/>
        <item x="464"/>
        <item x="415"/>
        <item m="1" x="1137"/>
        <item m="1" x="1596"/>
        <item m="1" x="1279"/>
        <item x="931"/>
        <item m="1" x="2050"/>
        <item x="258"/>
        <item m="1" x="1188"/>
        <item m="1" x="1844"/>
        <item x="417"/>
        <item m="1" x="1775"/>
        <item x="922"/>
        <item m="1" x="1362"/>
        <item m="1" x="1000"/>
        <item x="871"/>
        <item m="1" x="1723"/>
        <item m="1" x="1145"/>
        <item m="1" x="1444"/>
        <item m="1" x="1915"/>
        <item m="1" x="1974"/>
        <item m="1" x="1784"/>
        <item m="1" x="1810"/>
        <item m="1" x="1177"/>
        <item m="1" x="1650"/>
        <item m="1" x="1457"/>
        <item x="873"/>
        <item m="1" x="1224"/>
        <item m="1" x="1080"/>
        <item m="1" x="1298"/>
        <item m="1" x="1981"/>
        <item x="429"/>
        <item x="430"/>
        <item m="1" x="2002"/>
        <item m="1" x="1573"/>
        <item m="1" x="1556"/>
        <item m="1" x="2011"/>
        <item m="1" x="1251"/>
        <item m="1" x="1608"/>
        <item m="1" x="1520"/>
        <item m="1" x="2187"/>
        <item m="1" x="1948"/>
        <item m="1" x="1354"/>
        <item x="432"/>
        <item x="433"/>
        <item m="1" x="1440"/>
        <item m="1" x="1802"/>
        <item m="1" x="1238"/>
        <item m="1" x="1720"/>
        <item x="876"/>
        <item x="439"/>
        <item x="465"/>
        <item m="1" x="1656"/>
        <item x="466"/>
        <item x="441"/>
        <item m="1" x="1906"/>
        <item m="1" x="1347"/>
        <item m="1" x="1147"/>
        <item x="443"/>
        <item x="878"/>
        <item m="1" x="1267"/>
        <item m="1" x="1779"/>
        <item m="1" x="1019"/>
        <item m="1" x="1391"/>
        <item m="1" x="1836"/>
        <item m="1" x="1030"/>
        <item x="933"/>
        <item m="1" x="1168"/>
        <item m="1" x="1590"/>
        <item m="1" x="1987"/>
        <item x="452"/>
        <item x="879"/>
        <item x="453"/>
        <item m="1" x="1415"/>
        <item m="1" x="1452"/>
        <item x="880"/>
        <item m="1" x="1281"/>
        <item m="1" x="1754"/>
        <item x="456"/>
        <item x="474"/>
        <item m="1" x="1061"/>
        <item x="881"/>
        <item m="1" x="2014"/>
        <item m="1" x="1817"/>
        <item m="1" x="1319"/>
        <item m="1" x="1071"/>
        <item m="1" x="1998"/>
        <item x="934"/>
        <item m="1" x="1660"/>
        <item m="1" x="1831"/>
        <item m="1" x="1265"/>
        <item m="1" x="1077"/>
        <item m="1" x="1905"/>
        <item x="260"/>
        <item x="486"/>
        <item x="489"/>
        <item x="492"/>
        <item x="493"/>
        <item x="494"/>
        <item m="1" x="1377"/>
        <item x="496"/>
        <item m="1" x="1381"/>
        <item x="967"/>
        <item m="1" x="2067"/>
        <item x="467"/>
        <item m="1" x="2165"/>
        <item m="1" x="1901"/>
        <item m="1" x="1032"/>
        <item m="1" x="1597"/>
        <item m="1" x="1846"/>
        <item m="1" x="2112"/>
        <item x="502"/>
        <item x="504"/>
        <item x="888"/>
        <item x="944"/>
        <item x="507"/>
        <item m="1" x="1500"/>
        <item m="1" x="1877"/>
        <item m="1" x="1073"/>
        <item m="1" x="1857"/>
        <item m="1" x="2076"/>
        <item m="1" x="1307"/>
        <item m="1" x="1518"/>
        <item m="1" x="2088"/>
        <item m="1" x="1410"/>
        <item m="1" x="1654"/>
        <item m="1" x="1286"/>
        <item x="509"/>
        <item m="1" x="1317"/>
        <item m="1" x="1577"/>
        <item x="510"/>
        <item m="1" x="2045"/>
        <item m="1" x="1502"/>
        <item m="1" x="1758"/>
        <item m="1" x="1475"/>
        <item x="462"/>
        <item m="1" x="1938"/>
        <item m="1" x="1123"/>
        <item x="598"/>
        <item m="1" x="1253"/>
        <item x="518"/>
        <item x="225"/>
        <item x="524"/>
        <item x="776"/>
        <item m="1" x="1624"/>
        <item x="537"/>
        <item m="1" x="1020"/>
        <item m="1" x="1090"/>
        <item m="1" x="1205"/>
        <item x="83"/>
        <item m="1" x="1985"/>
        <item m="1" x="1403"/>
        <item x="539"/>
        <item x="366"/>
        <item m="1" x="1044"/>
        <item m="1" x="2159"/>
        <item m="1" x="1246"/>
        <item m="1" x="1406"/>
        <item m="1" x="1058"/>
        <item m="1" x="1296"/>
        <item m="1" x="1936"/>
        <item m="1" x="1631"/>
        <item m="1" x="1705"/>
        <item x="99"/>
        <item m="1" x="1214"/>
        <item m="1" x="1443"/>
        <item x="544"/>
        <item m="1" x="2079"/>
        <item m="1" x="1260"/>
        <item m="1" x="1505"/>
        <item m="1" x="1442"/>
        <item m="1" x="2220"/>
        <item x="547"/>
        <item x="894"/>
        <item m="1" x="1771"/>
        <item x="15"/>
        <item m="1" x="1900"/>
        <item m="1" x="1326"/>
        <item m="1" x="1735"/>
        <item m="1" x="2068"/>
        <item m="1" x="1523"/>
        <item m="1" x="2136"/>
        <item m="1" x="1884"/>
        <item m="1" x="1059"/>
        <item m="1" x="1308"/>
        <item m="1" x="1230"/>
        <item m="1" x="1471"/>
        <item x="554"/>
        <item m="1" x="1904"/>
        <item x="399"/>
        <item m="1" x="1953"/>
        <item x="556"/>
        <item m="1" x="2026"/>
        <item m="1" x="1674"/>
        <item x="558"/>
        <item m="1" x="2216"/>
        <item m="1" x="1809"/>
        <item x="560"/>
        <item m="1" x="1170"/>
        <item x="563"/>
        <item m="1" x="1711"/>
        <item x="758"/>
        <item m="1" x="1283"/>
        <item x="989"/>
        <item m="1" x="1996"/>
        <item m="1" x="1605"/>
        <item m="1" x="1447"/>
        <item m="1" x="1303"/>
        <item x="896"/>
        <item m="1" x="2188"/>
        <item m="1" x="2087"/>
        <item m="1" x="1989"/>
        <item m="1" x="1922"/>
        <item x="957"/>
        <item m="1" x="1372"/>
        <item m="1" x="1075"/>
        <item x="261"/>
        <item x="566"/>
        <item m="1" x="1387"/>
        <item m="1" x="1788"/>
        <item m="1" x="2058"/>
        <item m="1" x="1183"/>
        <item x="567"/>
        <item m="1" x="1235"/>
        <item m="1" x="2124"/>
        <item m="1" x="1845"/>
        <item m="1" x="2056"/>
        <item m="1" x="1599"/>
        <item m="1" x="1038"/>
        <item m="1" x="1302"/>
        <item m="1" x="1958"/>
        <item m="1" x="2016"/>
        <item m="1" x="1796"/>
        <item m="1" x="2098"/>
        <item x="965"/>
        <item m="1" x="1395"/>
        <item x="899"/>
        <item x="573"/>
        <item m="1" x="1992"/>
        <item x="904"/>
        <item x="569"/>
        <item x="956"/>
        <item x="582"/>
        <item m="1" x="1363"/>
        <item x="583"/>
        <item m="1" x="1234"/>
        <item x="585"/>
        <item m="1" x="1986"/>
        <item x="468"/>
        <item x="516"/>
        <item x="529"/>
        <item m="1" x="1604"/>
        <item m="1" x="1371"/>
        <item m="1" x="2099"/>
        <item m="1" x="1618"/>
        <item m="1" x="2113"/>
        <item m="1" x="1526"/>
        <item m="1" x="1345"/>
        <item m="1" x="1910"/>
        <item m="1" x="1312"/>
        <item m="1" x="1510"/>
        <item m="1" x="1693"/>
        <item x="590"/>
        <item x="110"/>
        <item m="1" x="1768"/>
        <item x="94"/>
        <item x="600"/>
        <item x="601"/>
        <item x="603"/>
        <item x="604"/>
        <item m="1" x="1773"/>
        <item m="1" x="1791"/>
        <item x="517"/>
        <item x="605"/>
        <item x="607"/>
        <item x="656"/>
        <item m="1" x="1990"/>
        <item x="609"/>
        <item m="1" x="1628"/>
        <item m="1" x="2001"/>
        <item x="612"/>
        <item m="1" x="1912"/>
        <item m="1" x="1084"/>
        <item m="1" x="1615"/>
        <item m="1" x="1569"/>
        <item m="1" x="1894"/>
        <item x="617"/>
        <item m="1" x="1086"/>
        <item x="628"/>
        <item x="629"/>
        <item x="630"/>
        <item m="1" x="2102"/>
        <item m="1" x="1269"/>
        <item x="7"/>
        <item x="633"/>
        <item x="354"/>
        <item m="1" x="1572"/>
        <item m="1" x="1327"/>
        <item m="1" x="1853"/>
        <item m="1" x="1885"/>
        <item x="491"/>
        <item x="635"/>
        <item m="1" x="2022"/>
        <item m="1" x="1358"/>
        <item m="1" x="2096"/>
        <item x="91"/>
        <item m="1" x="1292"/>
        <item m="1" x="1874"/>
        <item x="82"/>
        <item m="1" x="1435"/>
        <item m="1" x="1555"/>
        <item x="374"/>
        <item x="400"/>
        <item m="1" x="2148"/>
        <item m="1" x="1606"/>
        <item m="1" x="1787"/>
        <item m="1" x="2007"/>
        <item m="1" x="1943"/>
        <item x="395"/>
        <item m="1" x="1136"/>
        <item x="17"/>
        <item m="1" x="1546"/>
        <item x="909"/>
        <item m="1" x="2074"/>
        <item x="658"/>
        <item x="85"/>
        <item x="86"/>
        <item x="65"/>
        <item m="1" x="1929"/>
        <item m="1" x="2072"/>
        <item m="1" x="1097"/>
        <item m="1" x="1984"/>
        <item m="1" x="1025"/>
        <item m="1" x="1088"/>
        <item m="1" x="1201"/>
        <item x="667"/>
        <item m="1" x="1635"/>
        <item m="1" x="1886"/>
        <item m="1" x="1491"/>
        <item x="670"/>
        <item x="104"/>
        <item m="1" x="1108"/>
        <item x="987"/>
        <item x="38"/>
        <item x="530"/>
        <item x="6"/>
        <item m="1" x="1961"/>
        <item m="1" x="1876"/>
        <item x="69"/>
        <item x="680"/>
        <item m="1" x="2163"/>
        <item m="1" x="1481"/>
        <item x="914"/>
        <item m="1" x="1536"/>
        <item m="1" x="1923"/>
        <item m="1" x="1785"/>
        <item x="255"/>
        <item x="682"/>
        <item x="915"/>
        <item m="1" x="1339"/>
        <item m="1" x="1944"/>
        <item x="683"/>
        <item m="1" x="995"/>
        <item m="1" x="1083"/>
        <item x="469"/>
        <item x="685"/>
        <item m="1" x="1240"/>
        <item x="447"/>
        <item x="519"/>
        <item m="1" x="1017"/>
        <item x="695"/>
        <item x="916"/>
        <item m="1" x="1263"/>
        <item m="1" x="1517"/>
        <item m="1" x="1341"/>
        <item m="1" x="1770"/>
        <item m="1" x="1871"/>
        <item m="1" x="1585"/>
        <item x="697"/>
        <item m="1" x="1766"/>
        <item m="1" x="1575"/>
        <item x="325"/>
        <item m="1" x="1488"/>
        <item x="700"/>
        <item x="702"/>
        <item x="886"/>
        <item x="990"/>
        <item m="1" x="1228"/>
        <item x="918"/>
        <item x="714"/>
        <item m="1" x="1561"/>
        <item x="920"/>
        <item m="1" x="1393"/>
        <item m="1" x="2150"/>
        <item m="1" x="1057"/>
        <item x="382"/>
        <item x="248"/>
        <item x="716"/>
        <item m="1" x="1275"/>
        <item m="1" x="1971"/>
        <item x="718"/>
        <item m="1" x="1530"/>
        <item m="1" x="1226"/>
        <item m="1" x="1725"/>
        <item m="1" x="1239"/>
        <item x="719"/>
        <item m="1" x="2157"/>
        <item x="921"/>
        <item m="1" x="2149"/>
        <item m="1" x="1196"/>
        <item m="1" x="1801"/>
        <item m="1" x="1931"/>
        <item x="64"/>
        <item m="1" x="1334"/>
        <item m="1" x="2196"/>
        <item m="1" x="2212"/>
        <item x="721"/>
        <item m="1" x="1212"/>
        <item m="1" x="2153"/>
        <item m="1" x="2147"/>
        <item x="924"/>
        <item x="22"/>
        <item x="724"/>
        <item x="725"/>
        <item x="726"/>
        <item x="114"/>
        <item m="1" x="1099"/>
        <item x="727"/>
        <item x="759"/>
        <item x="728"/>
        <item x="729"/>
        <item m="1" x="1726"/>
        <item x="730"/>
        <item x="332"/>
        <item m="1" x="1249"/>
        <item x="63"/>
        <item m="1" x="1859"/>
        <item m="1" x="1497"/>
        <item x="732"/>
        <item m="1" x="1218"/>
        <item m="1" x="1964"/>
        <item m="1" x="1370"/>
        <item m="1" x="1759"/>
        <item m="1" x="1012"/>
        <item x="746"/>
        <item m="1" x="1783"/>
        <item x="734"/>
        <item m="1" x="1427"/>
        <item m="1" x="1828"/>
        <item x="735"/>
        <item x="18"/>
        <item m="1" x="2025"/>
        <item m="1" x="2199"/>
        <item m="1" x="1832"/>
        <item m="1" x="1430"/>
        <item m="1" x="2015"/>
        <item m="1" x="1466"/>
        <item m="1" x="1072"/>
        <item m="1" x="1295"/>
        <item m="1" x="2110"/>
        <item m="1" x="1180"/>
        <item m="1" x="1504"/>
        <item x="983"/>
        <item x="470"/>
        <item x="739"/>
        <item x="740"/>
        <item x="741"/>
        <item x="928"/>
        <item m="1" x="1187"/>
        <item x="520"/>
        <item x="118"/>
        <item x="743"/>
        <item m="1" x="2160"/>
        <item x="744"/>
        <item m="1" x="1744"/>
        <item m="1" x="1078"/>
        <item m="1" x="1834"/>
        <item x="756"/>
        <item x="521"/>
        <item x="757"/>
        <item m="1" x="1903"/>
        <item x="747"/>
        <item m="1" x="1100"/>
        <item m="1" x="1879"/>
        <item x="764"/>
        <item m="1" x="2030"/>
        <item m="1" x="1432"/>
        <item m="1" x="1151"/>
        <item x="9"/>
        <item x="93"/>
        <item x="767"/>
        <item x="768"/>
        <item m="1" x="1806"/>
        <item x="769"/>
        <item x="270"/>
        <item x="314"/>
        <item m="1" x="1154"/>
        <item m="1" x="1932"/>
        <item m="1" x="2065"/>
        <item m="1" x="2175"/>
        <item x="838"/>
        <item x="662"/>
        <item m="1" x="2071"/>
        <item x="410"/>
        <item m="1" x="1011"/>
        <item x="586"/>
        <item m="1" x="1979"/>
        <item m="1" x="1719"/>
        <item m="1" x="1668"/>
        <item x="394"/>
        <item x="672"/>
        <item m="1" x="1647"/>
        <item m="1" x="2156"/>
        <item m="1" x="1282"/>
        <item m="1" x="2027"/>
        <item x="771"/>
        <item m="1" x="1738"/>
        <item x="87"/>
        <item m="1" x="1102"/>
        <item m="1" x="2162"/>
        <item x="821"/>
        <item m="1" x="1962"/>
        <item m="1" x="2161"/>
        <item m="1" x="1774"/>
        <item m="1" x="1782"/>
        <item m="1" x="1463"/>
        <item m="1" x="1229"/>
        <item m="1" x="1748"/>
        <item x="720"/>
        <item m="1" x="1161"/>
        <item x="643"/>
        <item m="1" x="1571"/>
        <item m="1" x="1474"/>
        <item x="320"/>
        <item m="1" x="1808"/>
        <item m="1" x="1024"/>
        <item x="481"/>
        <item x="902"/>
        <item m="1" x="1405"/>
        <item m="1" x="2034"/>
        <item m="1" x="2084"/>
        <item m="1" x="2141"/>
        <item m="1" x="2044"/>
        <item x="133"/>
        <item m="1" x="1652"/>
        <item m="1" x="2219"/>
        <item m="1" x="1935"/>
        <item x="343"/>
        <item x="369"/>
        <item m="1" x="1349"/>
        <item x="589"/>
        <item m="1" x="1200"/>
        <item m="1" x="1357"/>
        <item x="188"/>
        <item x="250"/>
        <item m="1" x="1954"/>
        <item x="95"/>
        <item m="1" x="1043"/>
        <item m="1" x="1420"/>
        <item x="522"/>
        <item x="548"/>
        <item x="279"/>
        <item m="1" x="1973"/>
        <item m="1" x="2063"/>
        <item m="1" x="1343"/>
        <item m="1" x="2017"/>
        <item m="1" x="1301"/>
        <item x="264"/>
        <item m="1" x="2201"/>
        <item x="753"/>
        <item x="639"/>
        <item x="187"/>
        <item x="384"/>
        <item m="1" x="1342"/>
        <item x="202"/>
        <item x="301"/>
        <item m="1" x="2202"/>
        <item m="1" x="2029"/>
        <item m="1" x="1709"/>
        <item m="1" x="1698"/>
        <item m="1" x="1210"/>
        <item m="1" x="1110"/>
        <item m="1" x="1865"/>
        <item m="1" x="1714"/>
        <item m="1" x="1956"/>
        <item x="841"/>
        <item m="1" x="2207"/>
        <item x="731"/>
        <item m="1" x="1209"/>
        <item m="1" x="1715"/>
        <item m="1" x="1729"/>
        <item x="111"/>
        <item x="333"/>
        <item m="1" x="1545"/>
        <item m="1" x="1764"/>
        <item m="1" x="2191"/>
        <item m="1" x="1384"/>
        <item x="377"/>
        <item m="1" x="1999"/>
        <item m="1" x="2152"/>
        <item m="1" x="2166"/>
        <item m="1" x="2055"/>
        <item m="1" x="1535"/>
        <item m="1" x="1893"/>
        <item m="1" x="1557"/>
        <item m="1" x="1085"/>
        <item x="25"/>
        <item m="1" x="1870"/>
        <item m="1" x="2018"/>
        <item x="575"/>
        <item x="440"/>
        <item x="839"/>
        <item m="1" x="1598"/>
        <item m="1" x="1706"/>
        <item m="1" x="1851"/>
        <item x="651"/>
        <item x="766"/>
        <item m="1" x="2066"/>
        <item x="907"/>
        <item m="1" x="2103"/>
        <item m="1" x="2192"/>
        <item x="105"/>
        <item m="1" x="1625"/>
        <item x="122"/>
        <item m="1" x="1928"/>
        <item x="570"/>
        <item m="1" x="1264"/>
        <item x="459"/>
        <item x="137"/>
        <item m="1" x="1039"/>
        <item x="43"/>
        <item m="1" x="1067"/>
        <item m="1" x="1916"/>
        <item m="1" x="1867"/>
        <item m="1" x="1412"/>
        <item m="1" x="1114"/>
        <item m="1" x="1525"/>
        <item x="135"/>
        <item x="534"/>
        <item x="278"/>
        <item x="978"/>
        <item x="142"/>
        <item m="1" x="1122"/>
        <item x="515"/>
        <item m="1" x="2024"/>
        <item m="1" x="1495"/>
        <item x="523"/>
        <item x="479"/>
        <item x="378"/>
        <item m="1" x="2206"/>
        <item x="804"/>
        <item m="1" x="1516"/>
        <item m="1" x="1336"/>
        <item m="1" x="1051"/>
        <item m="1" x="2053"/>
        <item x="451"/>
        <item m="1" x="1332"/>
        <item x="292"/>
        <item x="167"/>
        <item x="161"/>
        <item m="1" x="1016"/>
        <item m="1" x="1311"/>
        <item m="1" x="1007"/>
        <item m="1" x="1718"/>
        <item x="238"/>
        <item m="1" x="1320"/>
        <item m="1" x="2205"/>
        <item m="1" x="1749"/>
        <item x="212"/>
        <item m="1" x="1547"/>
        <item m="1" x="1854"/>
        <item m="1" x="1869"/>
        <item x="224"/>
        <item x="694"/>
        <item m="1" x="1074"/>
        <item m="1" x="1821"/>
        <item m="1" x="1671"/>
        <item x="938"/>
        <item x="75"/>
        <item x="993"/>
        <item m="1" x="1204"/>
        <item m="1" x="1182"/>
        <item m="1" x="1494"/>
        <item x="657"/>
        <item x="59"/>
        <item x="696"/>
        <item m="1" x="1118"/>
        <item x="21"/>
        <item x="722"/>
        <item x="47"/>
        <item m="1" x="2179"/>
        <item x="79"/>
        <item m="1" x="1908"/>
        <item x="112"/>
        <item m="1" x="1049"/>
        <item x="973"/>
        <item m="1" x="1221"/>
        <item m="1" x="1472"/>
        <item m="1" x="1666"/>
        <item m="1" x="2181"/>
        <item m="1" x="1041"/>
        <item x="98"/>
        <item m="1" x="1421"/>
        <item m="1" x="1125"/>
        <item x="477"/>
        <item x="458"/>
        <item m="1" x="1558"/>
        <item m="1" x="1863"/>
        <item m="1" x="1669"/>
        <item m="1" x="1739"/>
        <item x="932"/>
        <item x="308"/>
        <item m="1" x="1799"/>
        <item m="1" x="2209"/>
        <item x="673"/>
        <item m="1" x="1747"/>
        <item m="1" x="2169"/>
        <item m="1" x="1778"/>
        <item m="1" x="1165"/>
        <item m="1" x="2059"/>
        <item m="1" x="1142"/>
        <item m="1" x="1522"/>
        <item x="245"/>
        <item m="1" x="1642"/>
        <item x="908"/>
        <item m="1" x="1680"/>
        <item m="1" x="1184"/>
        <item x="632"/>
        <item x="103"/>
        <item m="1" x="1477"/>
        <item m="1" x="1009"/>
        <item m="1" x="1189"/>
        <item m="1" x="1031"/>
        <item x="55"/>
        <item x="927"/>
        <item x="414"/>
        <item m="1" x="1470"/>
        <item x="538"/>
        <item x="733"/>
        <item m="1" x="1644"/>
        <item m="1" x="1804"/>
        <item x="982"/>
        <item m="1" x="1550"/>
        <item x="562"/>
        <item m="1" x="2082"/>
        <item x="717"/>
        <item m="1" x="1146"/>
        <item x="398"/>
        <item m="1" x="1554"/>
        <item m="1" x="1952"/>
        <item m="1" x="1299"/>
        <item x="168"/>
        <item m="1" x="1972"/>
        <item m="1" x="1172"/>
        <item m="1" x="2128"/>
        <item x="461"/>
        <item m="1" x="1236"/>
        <item m="1" x="2107"/>
        <item m="1" x="1552"/>
        <item m="1" x="1673"/>
        <item m="1" x="1509"/>
        <item x="752"/>
        <item x="313"/>
        <item x="527"/>
        <item x="412"/>
        <item x="853"/>
        <item m="1" x="1272"/>
        <item x="660"/>
        <item m="1" x="2035"/>
        <item m="1" x="1800"/>
        <item m="1" x="2114"/>
        <item m="1" x="1217"/>
        <item x="591"/>
        <item m="1" x="1121"/>
        <item m="1" x="1199"/>
        <item x="663"/>
        <item m="1" x="1060"/>
        <item m="1" x="1741"/>
        <item m="1" x="1860"/>
        <item m="1" x="1692"/>
        <item m="1" x="1670"/>
        <item x="34"/>
        <item m="1" x="1868"/>
        <item x="501"/>
        <item m="1" x="1588"/>
        <item x="163"/>
        <item m="1" x="1364"/>
        <item m="1" x="2012"/>
        <item x="552"/>
        <item x="625"/>
        <item x="845"/>
        <item m="1" x="1310"/>
        <item m="1" x="1095"/>
        <item x="715"/>
        <item m="1" x="1001"/>
        <item x="867"/>
        <item m="1" x="1487"/>
        <item x="368"/>
        <item m="1" x="1878"/>
        <item m="1" x="2144"/>
        <item x="80"/>
        <item x="795"/>
        <item m="1" x="1849"/>
        <item x="124"/>
        <item x="280"/>
        <item x="50"/>
        <item x="74"/>
        <item m="1" x="1795"/>
        <item m="1" x="1562"/>
        <item m="1" x="1945"/>
        <item x="649"/>
        <item m="1" x="2197"/>
        <item m="1" x="1665"/>
        <item m="1" x="1812"/>
        <item m="1" x="1169"/>
        <item m="1" x="2043"/>
        <item m="1" x="1798"/>
        <item x="185"/>
        <item m="1" x="1257"/>
        <item m="1" x="1873"/>
        <item m="1" x="2170"/>
        <item m="1" x="1316"/>
        <item m="1" x="1970"/>
        <item m="1" x="1426"/>
        <item m="1" x="1655"/>
        <item m="1" x="1889"/>
        <item x="236"/>
        <item m="1" x="1053"/>
        <item m="1" x="1141"/>
        <item m="1" x="1185"/>
        <item x="10"/>
        <item m="1" x="1600"/>
        <item x="708"/>
        <item m="1" x="2215"/>
        <item m="1" x="1930"/>
        <item m="1" x="1578"/>
        <item x="92"/>
        <item m="1" x="2081"/>
        <item x="387"/>
        <item m="1" x="1190"/>
        <item m="1" x="1595"/>
        <item x="968"/>
        <item m="1" x="1835"/>
        <item x="551"/>
        <item x="820"/>
        <item m="1" x="1368"/>
        <item m="1" x="1940"/>
        <item m="1" x="2145"/>
        <item m="1" x="1907"/>
        <item m="1" x="1408"/>
        <item x="300"/>
        <item m="1" x="1909"/>
        <item x="588"/>
        <item x="654"/>
        <item m="1" x="1765"/>
        <item m="1" x="1803"/>
        <item x="315"/>
        <item x="917"/>
        <item x="512"/>
        <item m="1" x="1036"/>
        <item m="1" x="1937"/>
        <item x="742"/>
        <item x="68"/>
        <item m="1" x="1404"/>
        <item m="1" x="1933"/>
        <item m="1" x="2028"/>
        <item m="1" x="1094"/>
        <item m="1" x="1579"/>
        <item m="1" x="2038"/>
        <item m="1" x="1337"/>
        <item m="1" x="2086"/>
        <item m="1" x="1919"/>
        <item m="1" x="1285"/>
        <item m="1" x="1268"/>
        <item m="1" x="1663"/>
        <item x="929"/>
        <item x="291"/>
        <item m="1" x="1658"/>
        <item x="568"/>
        <item m="1" x="1394"/>
        <item x="251"/>
        <item m="1" x="1736"/>
        <item m="1" x="1258"/>
        <item x="423"/>
        <item m="1" x="1966"/>
        <item x="958"/>
        <item x="487"/>
        <item x="106"/>
        <item m="1" x="1895"/>
        <item m="1" x="1429"/>
        <item m="1" x="2117"/>
        <item m="1" x="2189"/>
        <item x="190"/>
        <item m="1" x="1173"/>
        <item x="676"/>
        <item x="935"/>
        <item x="868"/>
        <item x="317"/>
        <item x="763"/>
        <item m="1" x="1949"/>
        <item m="1" x="1743"/>
        <item m="1" x="1431"/>
        <item x="668"/>
        <item m="1" x="1241"/>
        <item x="393"/>
        <item x="361"/>
        <item m="1" x="1093"/>
        <item m="1" x="1289"/>
        <item m="1" x="1006"/>
        <item m="1" x="1037"/>
        <item x="222"/>
        <item m="1" x="1818"/>
        <item x="132"/>
        <item x="480"/>
        <item m="1" x="2221"/>
        <item m="1" x="2080"/>
        <item m="1" x="1213"/>
        <item m="1" x="2186"/>
        <item x="707"/>
        <item x="930"/>
        <item m="1" x="1417"/>
        <item x="849"/>
        <item m="1" x="1519"/>
        <item m="1" x="2108"/>
        <item x="203"/>
        <item x="511"/>
        <item m="1" x="2023"/>
        <item x="549"/>
        <item x="812"/>
        <item m="1" x="1455"/>
        <item m="1" x="1133"/>
        <item m="1" x="2138"/>
        <item m="1" x="2075"/>
        <item x="339"/>
        <item x="615"/>
        <item m="1" x="1927"/>
        <item x="545"/>
        <item m="1" x="1816"/>
        <item m="1" x="1242"/>
        <item m="1" x="1490"/>
        <item x="564"/>
        <item m="1" x="2111"/>
        <item x="490"/>
        <item x="608"/>
        <item m="1" x="1413"/>
        <item m="1" x="2168"/>
        <item x="675"/>
        <item m="1" x="1129"/>
        <item x="577"/>
        <item m="1" x="2046"/>
        <item m="1" x="1284"/>
        <item m="1" x="1626"/>
        <item x="626"/>
        <item m="1" x="1541"/>
        <item m="1" x="1529"/>
        <item x="988"/>
        <item x="476"/>
        <item x="592"/>
        <item m="1" x="1065"/>
        <item m="1" x="1300"/>
        <item m="1" x="1155"/>
        <item x="532"/>
        <item m="1" x="1763"/>
        <item m="1" x="1441"/>
        <item x="149"/>
        <item m="1" x="1776"/>
        <item m="1" x="1338"/>
        <item m="1" x="2176"/>
        <item m="1" x="1805"/>
        <item m="1" x="1824"/>
        <item m="1" x="1448"/>
        <item m="1" x="1794"/>
        <item m="1" x="2062"/>
        <item x="706"/>
        <item m="1" x="1755"/>
        <item m="1" x="1811"/>
        <item x="1"/>
        <item x="664"/>
        <item m="1" x="1861"/>
        <item m="1" x="1991"/>
        <item m="1" x="1128"/>
        <item m="1" x="1453"/>
        <item m="1" x="1553"/>
        <item m="1" x="1614"/>
        <item m="1" x="1724"/>
        <item m="1" x="1963"/>
        <item m="1" x="2172"/>
        <item m="1" x="1657"/>
        <item m="1" x="1688"/>
        <item x="824"/>
        <item m="1" x="1365"/>
        <item m="1" x="1983"/>
        <item m="1" x="2105"/>
        <item m="1" x="1514"/>
        <item m="1" x="2146"/>
        <item x="207"/>
        <item x="505"/>
        <item m="1" x="1178"/>
        <item x="842"/>
        <item m="1" x="1103"/>
        <item m="1" x="1683"/>
        <item m="1" x="1532"/>
        <item m="1" x="1109"/>
        <item m="1" x="998"/>
        <item m="1" x="1700"/>
        <item m="1" x="2070"/>
        <item x="319"/>
        <item m="1" x="1460"/>
        <item m="1" x="1892"/>
        <item x="231"/>
        <item x="616"/>
        <item m="1" x="1621"/>
        <item m="1" x="1830"/>
        <item m="1" x="1462"/>
        <item m="1" x="1068"/>
        <item x="872"/>
        <item m="1" x="1033"/>
        <item x="748"/>
        <item x="475"/>
        <item m="1" x="1305"/>
        <item m="1" x="1609"/>
        <item x="528"/>
        <item m="1" x="1207"/>
        <item m="1" x="1819"/>
        <item m="1" x="1013"/>
        <item x="936"/>
        <item m="1" x="1367"/>
        <item m="1" x="1793"/>
        <item m="1" x="1250"/>
        <item m="1" x="1977"/>
        <item x="655"/>
        <item m="1" x="1388"/>
        <item x="674"/>
        <item m="1" x="1825"/>
        <item x="755"/>
        <item m="1" x="1008"/>
        <item m="1" x="1524"/>
        <item x="355"/>
        <item x="180"/>
        <item m="1" x="2003"/>
        <item m="1" x="2182"/>
        <item m="1" x="2200"/>
        <item m="1" x="1383"/>
        <item m="1" x="2208"/>
        <item m="1" x="2121"/>
        <item m="1" x="1208"/>
        <item m="1" x="1548"/>
        <item m="1" x="1148"/>
        <item m="1" x="1045"/>
        <item x="192"/>
        <item x="803"/>
        <item m="1" x="1390"/>
        <item m="1" x="1503"/>
        <item m="1" x="2061"/>
        <item m="1" x="1261"/>
        <item x="852"/>
        <item m="1" x="1064"/>
        <item m="1" x="1401"/>
        <item m="1" x="2092"/>
        <item m="1" x="999"/>
        <item x="891"/>
        <item m="1" x="1617"/>
        <item m="1" x="1254"/>
        <item m="1" x="1921"/>
        <item x="391"/>
        <item m="1" x="1274"/>
        <item m="1" x="2104"/>
        <item m="1" x="1710"/>
        <item m="1" x="1215"/>
        <item m="1" x="1027"/>
        <item m="1" x="1366"/>
        <item m="1" x="1325"/>
        <item x="796"/>
        <item m="1" x="1333"/>
        <item m="1" x="2164"/>
        <item m="1" x="1248"/>
        <item m="1" x="1278"/>
        <item m="1" x="2010"/>
        <item x="641"/>
        <item m="1" x="1445"/>
        <item m="1" x="1762"/>
        <item m="1" x="1054"/>
        <item m="1" x="1023"/>
        <item m="1" x="1055"/>
        <item m="1" x="1761"/>
        <item m="1" x="1101"/>
        <item m="1" x="1355"/>
        <item m="1" x="1641"/>
        <item m="1" x="1988"/>
        <item m="1" x="1423"/>
        <item m="1" x="1389"/>
        <item m="1" x="1611"/>
        <item m="1" x="2093"/>
        <item x="817"/>
        <item m="1" x="1786"/>
        <item m="1" x="1400"/>
        <item m="1" x="1833"/>
        <item m="1" x="1687"/>
        <item m="1" x="1920"/>
        <item m="1" x="1959"/>
        <item x="402"/>
        <item x="822"/>
        <item x="184"/>
        <item x="572"/>
        <item m="1" x="1737"/>
        <item m="1" x="1433"/>
        <item m="1" x="1823"/>
        <item m="1" x="1293"/>
        <item m="1" x="1622"/>
        <item m="1" x="1797"/>
        <item m="1" x="1620"/>
        <item m="1" x="1676"/>
        <item m="1" x="1840"/>
        <item x="204"/>
        <item m="1" x="1601"/>
        <item x="848"/>
        <item m="1" x="1087"/>
        <item m="1" x="1566"/>
        <item m="1" x="2101"/>
        <item m="1" x="1476"/>
        <item m="1" x="2057"/>
        <item m="1" x="1702"/>
        <item x="243"/>
        <item x="244"/>
        <item m="1" x="1247"/>
        <item m="1" x="2119"/>
        <item m="1" x="1117"/>
        <item m="1" x="1227"/>
        <item m="1" x="2021"/>
        <item x="307"/>
        <item m="1" x="1351"/>
        <item m="1" x="1014"/>
        <item m="1" x="1681"/>
        <item x="857"/>
        <item m="1" x="1243"/>
        <item x="862"/>
        <item m="1" x="1344"/>
        <item x="969"/>
        <item m="1" x="2184"/>
        <item m="1" x="1538"/>
        <item m="1" x="2089"/>
        <item m="1" x="1540"/>
        <item m="1" x="1046"/>
        <item x="963"/>
        <item x="428"/>
        <item x="749"/>
        <item m="1" x="1461"/>
        <item m="1" x="1499"/>
        <item m="1" x="1695"/>
        <item m="1" x="1511"/>
        <item m="1" x="1140"/>
        <item m="1" x="1843"/>
        <item m="1" x="1643"/>
        <item m="1" x="1270"/>
        <item m="1" x="1225"/>
        <item m="1" x="1373"/>
        <item m="1" x="1975"/>
        <item m="1" x="1682"/>
        <item m="1" x="1722"/>
        <item m="1" x="2122"/>
        <item x="546"/>
        <item m="1" x="1192"/>
        <item m="1" x="1287"/>
        <item x="561"/>
        <item m="1" x="1309"/>
        <item m="1" x="1734"/>
        <item m="1" x="1456"/>
        <item m="1" x="1436"/>
        <item m="1" x="2190"/>
        <item m="1" x="1829"/>
        <item m="1" x="1679"/>
        <item x="897"/>
        <item m="1" x="1419"/>
        <item m="1" x="1838"/>
        <item m="1" x="1478"/>
        <item m="1" x="1713"/>
        <item m="1" x="1314"/>
        <item m="1" x="1567"/>
        <item m="1" x="1418"/>
        <item x="910"/>
        <item m="1" x="1194"/>
        <item m="1" x="1866"/>
        <item m="1" x="1815"/>
        <item m="1" x="1450"/>
        <item x="751"/>
        <item m="1" x="2142"/>
        <item m="1" x="1004"/>
        <item x="686"/>
        <item m="1" x="1153"/>
        <item x="684"/>
        <item m="1" x="1839"/>
        <item m="1" x="1313"/>
        <item m="1" x="1896"/>
        <item m="1" x="1684"/>
        <item m="1" x="1132"/>
        <item x="356"/>
        <item m="1" x="1127"/>
        <item m="1" x="1493"/>
        <item m="1" x="2009"/>
        <item m="1" x="2174"/>
        <item x="281"/>
        <item x="710"/>
        <item m="1" x="1091"/>
        <item m="1" x="1498"/>
        <item m="1" x="1219"/>
        <item x="166"/>
        <item m="1" x="1822"/>
        <item m="1" x="1732"/>
        <item m="1" x="1120"/>
        <item m="1" x="1191"/>
        <item m="1" x="2204"/>
        <item m="1" x="1848"/>
        <item m="1" x="1126"/>
        <item m="1" x="2178"/>
        <item m="1" x="1385"/>
        <item x="169"/>
        <item m="1" x="1639"/>
        <item x="179"/>
        <item x="155"/>
        <item m="1" x="1651"/>
        <item m="1" x="2125"/>
        <item m="1" x="1331"/>
        <item m="1" x="1468"/>
        <item m="1" x="1898"/>
        <item m="1" x="1378"/>
        <item m="1" x="1664"/>
        <item x="659"/>
        <item m="1" x="1856"/>
        <item m="1" x="1259"/>
        <item m="1" x="1728"/>
        <item m="1" x="1116"/>
        <item m="1" x="2158"/>
        <item m="1" x="1576"/>
        <item m="1" x="1277"/>
        <item m="1" x="1424"/>
        <item m="1" x="1318"/>
        <item m="1" x="2213"/>
        <item m="1" x="1034"/>
        <item x="637"/>
        <item x="578"/>
        <item m="1" x="1483"/>
        <item x="555"/>
        <item m="1" x="1042"/>
        <item x="44"/>
        <item m="1" x="1997"/>
        <item m="1" x="2214"/>
        <item x="508"/>
        <item m="1" x="1329"/>
        <item m="1" x="1166"/>
        <item m="1" x="2094"/>
        <item x="14"/>
        <item m="1" x="1222"/>
        <item x="39"/>
        <item m="1" x="2095"/>
        <item x="36"/>
        <item x="266"/>
        <item m="1" x="2064"/>
        <item x="41"/>
        <item m="1" x="1271"/>
        <item x="678"/>
        <item m="1" x="1630"/>
        <item m="1" x="2042"/>
        <item m="1" x="1742"/>
        <item m="1" x="1594"/>
        <item m="1" x="1814"/>
        <item m="1" x="1527"/>
        <item m="1" x="1875"/>
        <item m="1" x="1164"/>
        <item m="1" x="2195"/>
        <item x="84"/>
        <item x="140"/>
        <item m="1" x="1139"/>
        <item x="116"/>
        <item x="833"/>
        <item m="1" x="1745"/>
        <item x="213"/>
        <item m="1" x="996"/>
        <item m="1" x="2037"/>
        <item x="191"/>
        <item x="396"/>
        <item x="926"/>
        <item x="262"/>
        <item m="1" x="2090"/>
        <item x="650"/>
        <item m="1" x="1560"/>
        <item m="1" x="1592"/>
        <item m="1" x="2154"/>
        <item m="1" x="1777"/>
        <item m="1" x="1179"/>
        <item m="1" x="1880"/>
        <item x="215"/>
        <item x="723"/>
        <item x="216"/>
        <item x="503"/>
        <item m="1" x="1852"/>
        <item m="1" x="2194"/>
        <item x="253"/>
        <item x="947"/>
        <item m="1" x="1902"/>
        <item x="457"/>
        <item m="1" x="1328"/>
        <item x="858"/>
        <item x="448"/>
        <item x="156"/>
        <item m="1" x="1587"/>
        <item m="1" x="1586"/>
        <item m="1" x="2183"/>
        <item m="1" x="1374"/>
        <item m="1" x="1506"/>
        <item m="1" x="1157"/>
        <item m="1" x="2198"/>
        <item m="1" x="1826"/>
        <item x="602"/>
        <item m="1" x="1130"/>
        <item m="1" x="1645"/>
        <item x="431"/>
        <item m="1" x="1028"/>
        <item m="1" x="1574"/>
        <item m="1" x="1211"/>
        <item m="1" x="2211"/>
        <item m="1" x="2210"/>
        <item x="3"/>
        <item x="5"/>
        <item x="8"/>
        <item x="11"/>
        <item x="28"/>
        <item x="29"/>
        <item x="40"/>
        <item x="51"/>
        <item x="57"/>
        <item x="58"/>
        <item x="61"/>
        <item x="62"/>
        <item x="66"/>
        <item x="70"/>
        <item x="71"/>
        <item x="76"/>
        <item x="77"/>
        <item x="90"/>
        <item x="102"/>
        <item x="108"/>
        <item x="113"/>
        <item x="120"/>
        <item x="126"/>
        <item x="127"/>
        <item x="134"/>
        <item x="138"/>
        <item x="139"/>
        <item x="144"/>
        <item x="146"/>
        <item x="157"/>
        <item x="160"/>
        <item x="164"/>
        <item x="172"/>
        <item x="174"/>
        <item x="178"/>
        <item x="189"/>
        <item x="193"/>
        <item x="198"/>
        <item x="199"/>
        <item x="214"/>
        <item x="220"/>
        <item x="221"/>
        <item x="223"/>
        <item x="226"/>
        <item x="229"/>
        <item x="232"/>
        <item x="234"/>
        <item x="235"/>
        <item x="237"/>
        <item x="246"/>
        <item x="254"/>
        <item x="257"/>
        <item x="267"/>
        <item x="271"/>
        <item x="277"/>
        <item x="285"/>
        <item x="290"/>
        <item x="295"/>
        <item x="299"/>
        <item x="305"/>
        <item x="311"/>
        <item x="312"/>
        <item x="318"/>
        <item x="323"/>
        <item x="326"/>
        <item x="328"/>
        <item x="329"/>
        <item x="335"/>
        <item x="345"/>
        <item x="347"/>
        <item x="352"/>
        <item x="358"/>
        <item x="363"/>
        <item x="371"/>
        <item x="375"/>
        <item x="379"/>
        <item x="386"/>
        <item x="388"/>
        <item x="392"/>
        <item x="401"/>
        <item x="403"/>
        <item x="404"/>
        <item x="408"/>
        <item x="411"/>
        <item x="413"/>
        <item x="416"/>
        <item x="424"/>
        <item x="425"/>
        <item x="426"/>
        <item x="434"/>
        <item x="435"/>
        <item x="436"/>
        <item x="437"/>
        <item x="444"/>
        <item x="446"/>
        <item x="449"/>
        <item x="450"/>
        <item x="454"/>
        <item x="455"/>
        <item x="478"/>
        <item x="482"/>
        <item x="483"/>
        <item x="484"/>
        <item x="488"/>
        <item x="495"/>
        <item x="498"/>
        <item x="499"/>
        <item x="500"/>
        <item x="506"/>
        <item x="525"/>
        <item x="526"/>
        <item x="531"/>
        <item x="536"/>
        <item x="540"/>
        <item x="541"/>
        <item x="542"/>
        <item x="543"/>
        <item x="559"/>
        <item x="565"/>
        <item x="574"/>
        <item x="579"/>
        <item x="580"/>
        <item x="581"/>
        <item x="584"/>
        <item x="587"/>
        <item x="610"/>
        <item x="611"/>
        <item x="614"/>
        <item x="618"/>
        <item x="619"/>
        <item x="622"/>
        <item x="623"/>
        <item x="631"/>
        <item x="634"/>
        <item x="636"/>
        <item x="638"/>
        <item x="642"/>
        <item x="645"/>
        <item x="647"/>
        <item x="648"/>
        <item x="652"/>
        <item x="653"/>
        <item x="661"/>
        <item x="666"/>
        <item x="669"/>
        <item x="671"/>
        <item x="679"/>
        <item x="681"/>
        <item x="687"/>
        <item x="688"/>
        <item x="689"/>
        <item x="690"/>
        <item x="691"/>
        <item x="692"/>
        <item x="693"/>
        <item x="698"/>
        <item x="699"/>
        <item x="701"/>
        <item x="703"/>
        <item x="704"/>
        <item x="712"/>
        <item x="713"/>
        <item x="736"/>
        <item x="737"/>
        <item x="738"/>
        <item x="745"/>
        <item x="750"/>
        <item x="754"/>
        <item x="760"/>
        <item x="761"/>
        <item x="765"/>
        <item x="770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92"/>
        <item x="793"/>
        <item x="794"/>
        <item x="798"/>
        <item x="800"/>
        <item x="806"/>
        <item x="807"/>
        <item x="808"/>
        <item x="809"/>
        <item x="811"/>
        <item x="813"/>
        <item x="814"/>
        <item x="815"/>
        <item x="819"/>
        <item x="825"/>
        <item x="828"/>
        <item x="830"/>
        <item x="831"/>
        <item x="832"/>
        <item x="834"/>
        <item x="835"/>
        <item x="836"/>
        <item x="846"/>
        <item x="854"/>
        <item x="859"/>
        <item x="861"/>
        <item x="863"/>
        <item x="865"/>
        <item x="866"/>
        <item x="869"/>
        <item x="870"/>
        <item x="874"/>
        <item x="875"/>
        <item x="877"/>
        <item x="882"/>
        <item x="883"/>
        <item x="884"/>
        <item x="885"/>
        <item x="887"/>
        <item x="889"/>
        <item x="890"/>
        <item x="892"/>
        <item x="893"/>
        <item x="895"/>
        <item x="898"/>
        <item x="900"/>
        <item x="901"/>
        <item x="905"/>
        <item x="906"/>
        <item x="911"/>
        <item x="912"/>
        <item x="919"/>
        <item x="923"/>
        <item x="925"/>
        <item x="939"/>
        <item x="940"/>
        <item x="941"/>
        <item x="943"/>
        <item x="945"/>
        <item x="946"/>
        <item x="949"/>
        <item x="950"/>
        <item x="952"/>
        <item x="953"/>
        <item x="954"/>
        <item x="955"/>
        <item x="959"/>
        <item x="962"/>
        <item x="964"/>
        <item x="966"/>
        <item x="970"/>
        <item x="971"/>
        <item x="974"/>
        <item x="975"/>
        <item x="976"/>
        <item x="979"/>
        <item x="980"/>
        <item x="981"/>
        <item x="984"/>
        <item x="985"/>
        <item x="986"/>
        <item x="992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2">
        <item m="1" x="8"/>
        <item h="1" x="1"/>
        <item x="3"/>
        <item m="1" x="5"/>
        <item m="1" x="10"/>
        <item h="1" x="0"/>
        <item h="1" x="2"/>
        <item h="1" m="1" x="9"/>
        <item h="1"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37">
    <i>
      <x v="4"/>
    </i>
    <i>
      <x v="13"/>
    </i>
    <i>
      <x v="14"/>
    </i>
    <i>
      <x v="15"/>
    </i>
    <i>
      <x v="16"/>
    </i>
    <i>
      <x v="18"/>
    </i>
    <i>
      <x v="19"/>
    </i>
    <i>
      <x v="20"/>
    </i>
    <i>
      <x v="22"/>
    </i>
    <i>
      <x v="24"/>
    </i>
    <i>
      <x v="25"/>
    </i>
    <i>
      <x v="32"/>
    </i>
    <i>
      <x v="36"/>
    </i>
    <i>
      <x v="38"/>
    </i>
    <i>
      <x v="44"/>
    </i>
    <i>
      <x v="47"/>
    </i>
    <i>
      <x v="48"/>
    </i>
    <i>
      <x v="52"/>
    </i>
    <i>
      <x v="55"/>
    </i>
    <i>
      <x v="56"/>
    </i>
    <i>
      <x v="58"/>
    </i>
    <i>
      <x v="62"/>
    </i>
    <i>
      <x v="63"/>
    </i>
    <i>
      <x v="65"/>
    </i>
    <i>
      <x v="69"/>
    </i>
    <i>
      <x v="70"/>
    </i>
    <i>
      <x v="72"/>
    </i>
    <i>
      <x v="82"/>
    </i>
    <i>
      <x v="83"/>
    </i>
    <i>
      <x v="94"/>
    </i>
    <i>
      <x v="95"/>
    </i>
    <i>
      <x v="98"/>
    </i>
    <i>
      <x v="102"/>
    </i>
    <i>
      <x v="106"/>
    </i>
    <i>
      <x v="108"/>
    </i>
    <i>
      <x v="120"/>
    </i>
    <i>
      <x v="124"/>
    </i>
    <i>
      <x v="131"/>
    </i>
    <i>
      <x v="132"/>
    </i>
    <i>
      <x v="137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8"/>
    </i>
    <i>
      <x v="165"/>
    </i>
    <i>
      <x v="166"/>
    </i>
    <i>
      <x v="167"/>
    </i>
    <i>
      <x v="171"/>
    </i>
    <i>
      <x v="174"/>
    </i>
    <i>
      <x v="177"/>
    </i>
    <i>
      <x v="180"/>
    </i>
    <i>
      <x v="181"/>
    </i>
    <i>
      <x v="182"/>
    </i>
    <i>
      <x v="185"/>
    </i>
    <i>
      <x v="186"/>
    </i>
    <i>
      <x v="194"/>
    </i>
    <i>
      <x v="195"/>
    </i>
    <i>
      <x v="199"/>
    </i>
    <i>
      <x v="201"/>
    </i>
    <i>
      <x v="203"/>
    </i>
    <i>
      <x v="208"/>
    </i>
    <i>
      <x v="211"/>
    </i>
    <i>
      <x v="215"/>
    </i>
    <i>
      <x v="218"/>
    </i>
    <i>
      <x v="221"/>
    </i>
    <i>
      <x v="228"/>
    </i>
    <i>
      <x v="234"/>
    </i>
    <i>
      <x v="243"/>
    </i>
    <i>
      <x v="246"/>
    </i>
    <i>
      <x v="254"/>
    </i>
    <i>
      <x v="256"/>
    </i>
    <i>
      <x v="257"/>
    </i>
    <i>
      <x v="264"/>
    </i>
    <i>
      <x v="265"/>
    </i>
    <i>
      <x v="266"/>
    </i>
    <i>
      <x v="276"/>
    </i>
    <i>
      <x v="281"/>
    </i>
    <i>
      <x v="282"/>
    </i>
    <i>
      <x v="286"/>
    </i>
    <i>
      <x v="289"/>
    </i>
    <i>
      <x v="297"/>
    </i>
    <i>
      <x v="298"/>
    </i>
    <i>
      <x v="304"/>
    </i>
    <i>
      <x v="306"/>
    </i>
    <i>
      <x v="309"/>
    </i>
    <i>
      <x v="315"/>
    </i>
    <i>
      <x v="317"/>
    </i>
    <i>
      <x v="318"/>
    </i>
    <i>
      <x v="319"/>
    </i>
    <i>
      <x v="324"/>
    </i>
    <i>
      <x v="325"/>
    </i>
    <i>
      <x v="327"/>
    </i>
    <i>
      <x v="334"/>
    </i>
    <i>
      <x v="336"/>
    </i>
    <i>
      <x v="341"/>
    </i>
    <i>
      <x v="343"/>
    </i>
    <i>
      <x v="344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9"/>
    </i>
    <i>
      <x v="371"/>
    </i>
    <i>
      <x v="372"/>
    </i>
    <i>
      <x v="381"/>
    </i>
    <i>
      <x v="383"/>
    </i>
    <i>
      <x v="386"/>
    </i>
    <i>
      <x v="389"/>
    </i>
    <i>
      <x v="392"/>
    </i>
    <i>
      <x v="394"/>
    </i>
    <i>
      <x v="400"/>
    </i>
    <i>
      <x v="405"/>
    </i>
    <i>
      <x v="408"/>
    </i>
    <i>
      <x v="410"/>
    </i>
    <i>
      <x v="412"/>
    </i>
    <i>
      <x v="415"/>
    </i>
    <i>
      <x v="420"/>
    </i>
    <i>
      <x v="421"/>
    </i>
    <i>
      <x v="427"/>
    </i>
    <i>
      <x v="431"/>
    </i>
    <i>
      <x v="436"/>
    </i>
    <i>
      <x v="442"/>
    </i>
    <i>
      <x v="451"/>
    </i>
    <i>
      <x v="452"/>
    </i>
    <i>
      <x v="454"/>
    </i>
    <i>
      <x v="459"/>
    </i>
    <i>
      <x v="460"/>
    </i>
    <i>
      <x v="462"/>
    </i>
    <i>
      <x v="463"/>
    </i>
    <i>
      <x v="464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89"/>
    </i>
    <i>
      <x v="492"/>
    </i>
    <i>
      <x v="498"/>
    </i>
    <i>
      <x v="501"/>
    </i>
    <i>
      <x v="502"/>
    </i>
    <i>
      <x v="508"/>
    </i>
    <i>
      <x v="509"/>
    </i>
    <i>
      <x v="513"/>
    </i>
    <i>
      <x v="514"/>
    </i>
    <i>
      <x v="524"/>
    </i>
    <i>
      <x v="530"/>
    </i>
    <i>
      <x v="532"/>
    </i>
    <i>
      <x v="539"/>
    </i>
    <i>
      <x v="540"/>
    </i>
    <i>
      <x v="541"/>
    </i>
    <i>
      <x v="542"/>
    </i>
    <i>
      <x v="544"/>
    </i>
    <i>
      <x v="546"/>
    </i>
    <i>
      <x v="552"/>
    </i>
    <i>
      <x v="555"/>
    </i>
    <i>
      <x v="557"/>
    </i>
    <i>
      <x v="558"/>
    </i>
    <i>
      <x v="561"/>
    </i>
    <i>
      <x v="564"/>
    </i>
    <i>
      <x v="566"/>
    </i>
    <i>
      <x v="572"/>
    </i>
    <i>
      <x v="574"/>
    </i>
    <i>
      <x v="575"/>
    </i>
    <i>
      <x v="579"/>
    </i>
    <i>
      <x v="582"/>
    </i>
    <i>
      <x v="586"/>
    </i>
    <i>
      <x v="590"/>
    </i>
    <i>
      <x v="593"/>
    </i>
    <i>
      <x v="595"/>
    </i>
    <i>
      <x v="596"/>
    </i>
    <i>
      <x v="601"/>
    </i>
    <i>
      <x v="607"/>
    </i>
    <i>
      <x v="608"/>
    </i>
    <i>
      <x v="610"/>
    </i>
    <i>
      <x v="632"/>
    </i>
    <i>
      <x v="633"/>
    </i>
    <i>
      <x v="639"/>
    </i>
    <i>
      <x v="642"/>
    </i>
    <i>
      <x v="644"/>
    </i>
    <i>
      <x v="647"/>
    </i>
    <i>
      <x v="658"/>
    </i>
    <i>
      <x v="663"/>
    </i>
    <i>
      <x v="664"/>
    </i>
    <i>
      <x v="675"/>
    </i>
    <i>
      <x v="676"/>
    </i>
    <i>
      <x v="681"/>
    </i>
    <i>
      <x v="682"/>
    </i>
    <i>
      <x v="686"/>
    </i>
    <i>
      <x v="690"/>
    </i>
    <i>
      <x v="691"/>
    </i>
    <i>
      <x v="702"/>
    </i>
    <i>
      <x v="703"/>
    </i>
    <i>
      <x v="704"/>
    </i>
    <i>
      <x v="707"/>
    </i>
    <i>
      <x v="710"/>
    </i>
    <i>
      <x v="713"/>
    </i>
    <i>
      <x v="725"/>
    </i>
    <i>
      <x v="726"/>
    </i>
    <i>
      <x v="728"/>
    </i>
    <i>
      <x v="729"/>
    </i>
    <i>
      <x v="730"/>
    </i>
    <i>
      <x v="734"/>
    </i>
    <i>
      <x v="743"/>
    </i>
    <i>
      <x v="744"/>
    </i>
    <i>
      <x v="745"/>
    </i>
    <i>
      <x v="746"/>
    </i>
    <i>
      <x v="747"/>
    </i>
    <i>
      <x v="759"/>
    </i>
    <i>
      <x v="762"/>
    </i>
    <i>
      <x v="767"/>
    </i>
    <i>
      <x v="770"/>
    </i>
    <i>
      <x v="772"/>
    </i>
    <i>
      <x v="774"/>
    </i>
    <i>
      <x v="777"/>
    </i>
    <i>
      <x v="784"/>
    </i>
    <i>
      <x v="795"/>
    </i>
    <i>
      <x v="798"/>
    </i>
    <i>
      <x v="804"/>
    </i>
    <i>
      <x v="805"/>
    </i>
    <i>
      <x v="807"/>
    </i>
    <i>
      <x v="821"/>
    </i>
    <i>
      <x v="823"/>
    </i>
    <i>
      <x v="826"/>
    </i>
    <i>
      <x v="829"/>
    </i>
    <i>
      <x v="831"/>
    </i>
    <i>
      <x v="833"/>
    </i>
    <i>
      <x v="835"/>
    </i>
    <i>
      <x v="840"/>
    </i>
    <i>
      <x v="845"/>
    </i>
    <i>
      <x v="848"/>
    </i>
    <i>
      <x v="849"/>
    </i>
    <i>
      <x v="854"/>
    </i>
    <i>
      <x v="866"/>
    </i>
    <i>
      <x v="868"/>
    </i>
    <i>
      <x v="869"/>
    </i>
    <i>
      <x v="871"/>
    </i>
    <i>
      <x v="872"/>
    </i>
    <i>
      <x v="873"/>
    </i>
    <i>
      <x v="874"/>
    </i>
    <i>
      <x v="876"/>
    </i>
    <i>
      <x v="878"/>
    </i>
    <i>
      <x v="894"/>
    </i>
    <i>
      <x v="898"/>
    </i>
    <i>
      <x v="899"/>
    </i>
    <i>
      <x v="900"/>
    </i>
    <i>
      <x v="901"/>
    </i>
    <i>
      <x v="905"/>
    </i>
    <i>
      <x v="906"/>
    </i>
    <i>
      <x v="909"/>
    </i>
    <i>
      <x v="912"/>
    </i>
    <i>
      <x v="918"/>
    </i>
    <i>
      <x v="920"/>
    </i>
    <i>
      <x v="921"/>
    </i>
    <i>
      <x v="922"/>
    </i>
    <i>
      <x v="926"/>
    </i>
    <i>
      <x v="933"/>
    </i>
    <i>
      <x v="937"/>
    </i>
    <i>
      <x v="943"/>
    </i>
    <i>
      <x v="944"/>
    </i>
    <i>
      <x v="950"/>
    </i>
    <i>
      <x v="954"/>
    </i>
    <i>
      <x v="956"/>
    </i>
    <i>
      <x v="957"/>
    </i>
    <i>
      <x v="959"/>
    </i>
    <i>
      <x v="967"/>
    </i>
    <i>
      <x v="975"/>
    </i>
    <i>
      <x v="980"/>
    </i>
    <i>
      <x v="981"/>
    </i>
    <i>
      <x v="984"/>
    </i>
    <i>
      <x v="988"/>
    </i>
    <i>
      <x v="989"/>
    </i>
    <i>
      <x v="990"/>
    </i>
    <i>
      <x v="993"/>
    </i>
    <i>
      <x v="996"/>
    </i>
    <i>
      <x v="997"/>
    </i>
    <i>
      <x v="1002"/>
    </i>
    <i>
      <x v="1003"/>
    </i>
    <i>
      <x v="1010"/>
    </i>
    <i>
      <x v="1015"/>
    </i>
    <i>
      <x v="1016"/>
    </i>
    <i>
      <x v="1017"/>
    </i>
    <i>
      <x v="1020"/>
    </i>
    <i>
      <x v="1021"/>
    </i>
    <i>
      <x v="1023"/>
    </i>
    <i>
      <x v="1028"/>
    </i>
    <i>
      <x v="1032"/>
    </i>
    <i>
      <x v="1037"/>
    </i>
    <i>
      <x v="1039"/>
    </i>
    <i>
      <x v="1048"/>
    </i>
    <i>
      <x v="1052"/>
    </i>
    <i>
      <x v="1053"/>
    </i>
    <i>
      <x v="1054"/>
    </i>
    <i>
      <x v="1055"/>
    </i>
    <i>
      <x v="1056"/>
    </i>
    <i>
      <x v="1059"/>
    </i>
    <i>
      <x v="1061"/>
    </i>
    <i>
      <x v="1062"/>
    </i>
    <i>
      <x v="1064"/>
    </i>
    <i>
      <x v="1065"/>
    </i>
    <i>
      <x v="1070"/>
    </i>
    <i>
      <x v="1076"/>
    </i>
    <i>
      <x v="1078"/>
    </i>
    <i>
      <x v="1081"/>
    </i>
    <i>
      <x v="1082"/>
    </i>
    <i>
      <x v="1094"/>
    </i>
    <i>
      <x v="1095"/>
    </i>
    <i>
      <x v="1097"/>
    </i>
    <i>
      <x v="1098"/>
    </i>
    <i>
      <x v="1099"/>
    </i>
    <i>
      <x v="1103"/>
    </i>
    <i>
      <x v="1105"/>
    </i>
    <i>
      <x v="1109"/>
    </i>
    <i>
      <x v="1111"/>
    </i>
    <i>
      <x v="1113"/>
    </i>
    <i>
      <x v="1116"/>
    </i>
    <i>
      <x v="1122"/>
    </i>
    <i>
      <x v="1123"/>
    </i>
    <i>
      <x v="1125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52"/>
    </i>
    <i>
      <x v="1160"/>
    </i>
    <i>
      <x v="1162"/>
    </i>
    <i>
      <x v="1165"/>
    </i>
    <i>
      <x v="1179"/>
    </i>
    <i>
      <x v="1180"/>
    </i>
    <i>
      <x v="1182"/>
    </i>
    <i>
      <x v="1185"/>
    </i>
    <i>
      <x v="1186"/>
    </i>
    <i>
      <x v="1188"/>
    </i>
    <i>
      <x v="1191"/>
    </i>
    <i>
      <x v="1192"/>
    </i>
    <i>
      <x v="1193"/>
    </i>
    <i>
      <x v="1199"/>
    </i>
    <i>
      <x v="1201"/>
    </i>
    <i>
      <x v="1202"/>
    </i>
    <i>
      <x v="1203"/>
    </i>
    <i>
      <x v="1204"/>
    </i>
    <i>
      <x v="1206"/>
    </i>
    <i>
      <x v="1207"/>
    </i>
    <i>
      <x v="1217"/>
    </i>
    <i>
      <x v="1224"/>
    </i>
    <i>
      <x v="1242"/>
    </i>
    <i>
      <x v="1243"/>
    </i>
    <i>
      <x v="1247"/>
    </i>
    <i>
      <x v="1248"/>
    </i>
    <i>
      <x v="1250"/>
    </i>
    <i>
      <x v="1257"/>
    </i>
    <i>
      <x v="1260"/>
    </i>
    <i>
      <x v="1270"/>
    </i>
    <i>
      <x v="1271"/>
    </i>
    <i>
      <x v="1272"/>
    </i>
    <i>
      <x v="1275"/>
    </i>
    <i>
      <x v="1279"/>
    </i>
    <i>
      <x v="1280"/>
    </i>
    <i>
      <x v="1287"/>
    </i>
    <i>
      <x v="1289"/>
    </i>
    <i>
      <x v="1291"/>
    </i>
    <i>
      <x v="1304"/>
    </i>
    <i>
      <x v="1305"/>
    </i>
    <i>
      <x v="1309"/>
    </i>
    <i>
      <x v="1311"/>
    </i>
    <i>
      <x v="1315"/>
    </i>
    <i>
      <x v="1320"/>
    </i>
    <i>
      <x v="1333"/>
    </i>
    <i>
      <x v="1336"/>
    </i>
    <i>
      <x v="1337"/>
    </i>
    <i>
      <x v="1343"/>
    </i>
    <i>
      <x v="1354"/>
    </i>
    <i>
      <x v="1356"/>
    </i>
    <i>
      <x v="1359"/>
    </i>
    <i>
      <x v="1365"/>
    </i>
    <i>
      <x v="1366"/>
    </i>
    <i>
      <x v="1367"/>
    </i>
    <i>
      <x v="1369"/>
    </i>
    <i>
      <x v="1370"/>
    </i>
    <i>
      <x v="1373"/>
    </i>
    <i>
      <x v="1375"/>
    </i>
    <i>
      <x v="1377"/>
    </i>
    <i>
      <x v="1379"/>
    </i>
    <i>
      <x v="1387"/>
    </i>
    <i>
      <x v="1393"/>
    </i>
    <i>
      <x v="1394"/>
    </i>
    <i>
      <x v="1395"/>
    </i>
    <i>
      <x v="1397"/>
    </i>
    <i>
      <x v="1407"/>
    </i>
    <i>
      <x v="1415"/>
    </i>
    <i>
      <x v="1421"/>
    </i>
    <i>
      <x v="1422"/>
    </i>
    <i>
      <x v="1433"/>
    </i>
    <i>
      <x v="1436"/>
    </i>
    <i>
      <x v="1438"/>
    </i>
    <i>
      <x v="1442"/>
    </i>
    <i>
      <x v="1449"/>
    </i>
    <i>
      <x v="1458"/>
    </i>
    <i>
      <x v="1464"/>
    </i>
    <i>
      <x v="1470"/>
    </i>
    <i>
      <x v="1476"/>
    </i>
    <i>
      <x v="1482"/>
    </i>
    <i>
      <x v="1484"/>
    </i>
    <i>
      <x v="1485"/>
    </i>
    <i>
      <x v="1488"/>
    </i>
    <i>
      <x v="1490"/>
    </i>
    <i>
      <x v="1493"/>
    </i>
    <i>
      <x v="1494"/>
    </i>
    <i>
      <x v="1507"/>
    </i>
    <i>
      <x v="1508"/>
    </i>
    <i>
      <x v="1510"/>
    </i>
    <i>
      <x v="1512"/>
    </i>
    <i>
      <x v="1515"/>
    </i>
    <i>
      <x v="1517"/>
    </i>
    <i>
      <x v="1518"/>
    </i>
    <i>
      <x v="1524"/>
    </i>
    <i>
      <x v="1526"/>
    </i>
    <i>
      <x v="1529"/>
    </i>
    <i>
      <x v="1530"/>
    </i>
    <i>
      <x v="1534"/>
    </i>
    <i>
      <x v="1536"/>
    </i>
    <i>
      <x v="1542"/>
    </i>
    <i>
      <x v="1544"/>
    </i>
    <i>
      <x v="1545"/>
    </i>
    <i>
      <x v="1550"/>
    </i>
    <i>
      <x v="1556"/>
    </i>
    <i>
      <x v="1557"/>
    </i>
    <i>
      <x v="1559"/>
    </i>
    <i>
      <x v="1560"/>
    </i>
    <i>
      <x v="1565"/>
    </i>
    <i>
      <x v="1566"/>
    </i>
    <i>
      <x v="1568"/>
    </i>
    <i>
      <x v="1575"/>
    </i>
    <i>
      <x v="1578"/>
    </i>
    <i>
      <x v="1580"/>
    </i>
    <i>
      <x v="1584"/>
    </i>
    <i>
      <x v="1587"/>
    </i>
    <i>
      <x v="1588"/>
    </i>
    <i>
      <x v="1593"/>
    </i>
    <i>
      <x v="1605"/>
    </i>
    <i>
      <x v="1609"/>
    </i>
    <i>
      <x v="1621"/>
    </i>
    <i>
      <x v="1627"/>
    </i>
    <i>
      <x v="1628"/>
    </i>
    <i>
      <x v="1630"/>
    </i>
    <i>
      <x v="1638"/>
    </i>
    <i>
      <x v="1642"/>
    </i>
    <i>
      <x v="1647"/>
    </i>
    <i>
      <x v="1650"/>
    </i>
    <i>
      <x v="1662"/>
    </i>
    <i>
      <x v="1664"/>
    </i>
    <i>
      <x v="1666"/>
    </i>
    <i>
      <x v="1681"/>
    </i>
    <i>
      <x v="1682"/>
    </i>
    <i>
      <x v="1692"/>
    </i>
    <i>
      <x v="1696"/>
    </i>
    <i>
      <x v="1704"/>
    </i>
    <i>
      <x v="1710"/>
    </i>
    <i>
      <x v="1725"/>
    </i>
    <i>
      <x v="1734"/>
    </i>
    <i>
      <x v="1735"/>
    </i>
    <i>
      <x v="1745"/>
    </i>
    <i>
      <x v="1754"/>
    </i>
    <i>
      <x v="1755"/>
    </i>
    <i>
      <x v="1761"/>
    </i>
    <i>
      <x v="1765"/>
    </i>
    <i>
      <x v="1767"/>
    </i>
    <i>
      <x v="1769"/>
    </i>
    <i>
      <x v="1775"/>
    </i>
    <i>
      <x v="1792"/>
    </i>
    <i>
      <x v="1795"/>
    </i>
    <i>
      <x v="1803"/>
    </i>
    <i>
      <x v="1811"/>
    </i>
    <i>
      <x v="1816"/>
    </i>
    <i>
      <x v="1827"/>
    </i>
    <i>
      <x v="1832"/>
    </i>
    <i>
      <x v="1833"/>
    </i>
    <i>
      <x v="1847"/>
    </i>
    <i>
      <x v="1849"/>
    </i>
    <i>
      <x v="1850"/>
    </i>
    <i>
      <x v="1870"/>
    </i>
    <i>
      <x v="1871"/>
    </i>
    <i>
      <x v="1873"/>
    </i>
    <i>
      <x v="1875"/>
    </i>
    <i>
      <x v="1878"/>
    </i>
    <i>
      <x v="1887"/>
    </i>
    <i>
      <x v="1891"/>
    </i>
    <i>
      <x v="1902"/>
    </i>
    <i>
      <x v="1905"/>
    </i>
    <i>
      <x v="1907"/>
    </i>
    <i>
      <x v="1911"/>
    </i>
    <i>
      <x v="1912"/>
    </i>
    <i>
      <x v="1913"/>
    </i>
    <i>
      <x v="1915"/>
    </i>
    <i>
      <x v="1922"/>
    </i>
    <i>
      <x v="1923"/>
    </i>
    <i>
      <x v="1924"/>
    </i>
    <i>
      <x v="1925"/>
    </i>
    <i>
      <x v="1928"/>
    </i>
    <i>
      <x v="1929"/>
    </i>
    <i>
      <x v="1931"/>
    </i>
    <i>
      <x v="1933"/>
    </i>
    <i>
      <x v="1934"/>
    </i>
    <i>
      <x v="1947"/>
    </i>
    <i>
      <x v="1962"/>
    </i>
    <i>
      <x v="1969"/>
    </i>
    <i>
      <x v="1973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1"/>
    </i>
    <i>
      <x v="2012"/>
    </i>
    <i>
      <x v="2013"/>
    </i>
    <i>
      <x v="2014"/>
    </i>
    <i>
      <x v="2015"/>
    </i>
    <i>
      <x v="2017"/>
    </i>
    <i>
      <x v="2018"/>
    </i>
    <i>
      <x v="2019"/>
    </i>
    <i>
      <x v="2020"/>
    </i>
    <i>
      <x v="2021"/>
    </i>
    <i>
      <x v="2022"/>
    </i>
    <i>
      <x v="2025"/>
    </i>
    <i>
      <x v="2026"/>
    </i>
    <i>
      <x v="2028"/>
    </i>
    <i>
      <x v="2029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9"/>
    </i>
    <i>
      <x v="2070"/>
    </i>
    <i>
      <x v="2071"/>
    </i>
    <i>
      <x v="2072"/>
    </i>
    <i>
      <x v="2073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8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2"/>
    </i>
    <i>
      <x v="2123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8"/>
    </i>
    <i>
      <x v="2139"/>
    </i>
    <i>
      <x v="2140"/>
    </i>
    <i>
      <x v="2142"/>
    </i>
    <i>
      <x v="2143"/>
    </i>
    <i>
      <x v="2144"/>
    </i>
    <i>
      <x v="2145"/>
    </i>
    <i>
      <x v="2146"/>
    </i>
    <i>
      <x v="2147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8"/>
    </i>
    <i>
      <x v="2189"/>
    </i>
    <i>
      <x v="2190"/>
    </i>
    <i>
      <x v="2191"/>
    </i>
    <i>
      <x v="2192"/>
    </i>
    <i>
      <x v="2193"/>
    </i>
    <i>
      <x v="2195"/>
    </i>
    <i>
      <x v="2196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7"/>
    </i>
    <i>
      <x v="2218"/>
    </i>
    <i>
      <x v="2219"/>
    </i>
    <i>
      <x v="2220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720">
      <pivotArea grandRow="1" outline="0" collapsedLevelsAreSubtotals="1" fieldPosition="0"/>
    </format>
    <format dxfId="1719">
      <pivotArea dataOnly="0" labelOnly="1" grandRow="1" outline="0" fieldPosition="0"/>
    </format>
    <format dxfId="1718">
      <pivotArea dataOnly="0" labelOnly="1" outline="0" axis="axisValues" fieldPosition="0"/>
    </format>
    <format dxfId="1717">
      <pivotArea dataOnly="0" labelOnly="1" outline="0" axis="axisValues" fieldPosition="0"/>
    </format>
    <format dxfId="1716">
      <pivotArea dataOnly="0" labelOnly="1" outline="0" axis="axisValues" fieldPosition="0"/>
    </format>
    <format dxfId="1715">
      <pivotArea dataOnly="0" labelOnly="1" outline="0" axis="axisValues" fieldPosition="0"/>
    </format>
    <format dxfId="1714">
      <pivotArea type="all" dataOnly="0" outline="0" fieldPosition="0"/>
    </format>
    <format dxfId="1713">
      <pivotArea outline="0" collapsedLevelsAreSubtotals="1" fieldPosition="0"/>
    </format>
    <format dxfId="1712">
      <pivotArea field="6" type="button" dataOnly="0" labelOnly="1" outline="0" axis="axisRow" fieldPosition="0"/>
    </format>
    <format dxfId="1711">
      <pivotArea dataOnly="0" labelOnly="1" outline="0" axis="axisValues" fieldPosition="0"/>
    </format>
    <format dxfId="1710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709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708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707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706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705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704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703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702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701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700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699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698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697">
      <pivotArea dataOnly="0" labelOnly="1" grandRow="1" outline="0" fieldPosition="0"/>
    </format>
    <format dxfId="169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6:B41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showAll="0">
      <items count="19">
        <item x="8"/>
        <item m="1" x="12"/>
        <item m="1" x="13"/>
        <item m="1" x="14"/>
        <item m="1" x="15"/>
        <item m="1" x="16"/>
        <item m="1" x="11"/>
        <item x="9"/>
        <item m="1" x="17"/>
        <item x="7"/>
        <item x="6"/>
        <item x="3"/>
        <item x="10"/>
        <item x="5"/>
        <item x="0"/>
        <item x="1"/>
        <item x="2"/>
        <item x="4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1490">
      <pivotArea type="all" dataOnly="0" outline="0" fieldPosition="0"/>
    </format>
    <format dxfId="1489">
      <pivotArea outline="0" collapsedLevelsAreSubtotals="1" fieldPosition="0"/>
    </format>
    <format dxfId="1488">
      <pivotArea type="origin" dataOnly="0" labelOnly="1" outline="0" fieldPosition="0"/>
    </format>
    <format dxfId="1487">
      <pivotArea field="19" type="button" dataOnly="0" labelOnly="1" outline="0"/>
    </format>
    <format dxfId="1486">
      <pivotArea type="topRight" dataOnly="0" labelOnly="1" outline="0" fieldPosition="0"/>
    </format>
    <format dxfId="1485">
      <pivotArea field="14" type="button" dataOnly="0" labelOnly="1" outline="0" axis="axisRow" fieldPosition="0"/>
    </format>
    <format dxfId="1484">
      <pivotArea dataOnly="0" labelOnly="1" fieldPosition="0">
        <references count="1">
          <reference field="14" count="0"/>
        </references>
      </pivotArea>
    </format>
    <format dxfId="1483">
      <pivotArea dataOnly="0" labelOnly="1" grandRow="1" outline="0" fieldPosition="0"/>
    </format>
    <format dxfId="1482">
      <pivotArea dataOnly="0" labelOnly="1" grandCol="1" outline="0" fieldPosition="0"/>
    </format>
    <format dxfId="1481">
      <pivotArea type="all" dataOnly="0" outline="0" fieldPosition="0"/>
    </format>
    <format dxfId="1480">
      <pivotArea outline="0" collapsedLevelsAreSubtotals="1" fieldPosition="0"/>
    </format>
    <format dxfId="1479">
      <pivotArea type="origin" dataOnly="0" labelOnly="1" outline="0" fieldPosition="0"/>
    </format>
    <format dxfId="1478">
      <pivotArea field="19" type="button" dataOnly="0" labelOnly="1" outline="0"/>
    </format>
    <format dxfId="1477">
      <pivotArea type="topRight" dataOnly="0" labelOnly="1" outline="0" fieldPosition="0"/>
    </format>
    <format dxfId="1476">
      <pivotArea field="14" type="button" dataOnly="0" labelOnly="1" outline="0" axis="axisRow" fieldPosition="0"/>
    </format>
    <format dxfId="1475">
      <pivotArea dataOnly="0" labelOnly="1" fieldPosition="0">
        <references count="1">
          <reference field="14" count="0"/>
        </references>
      </pivotArea>
    </format>
    <format dxfId="1474">
      <pivotArea dataOnly="0" labelOnly="1" grandRow="1" outline="0" fieldPosition="0"/>
    </format>
    <format dxfId="1473">
      <pivotArea dataOnly="0" labelOnly="1" grandCol="1" outline="0" fieldPosition="0"/>
    </format>
    <format dxfId="1472">
      <pivotArea type="all" dataOnly="0" outline="0" fieldPosition="0"/>
    </format>
    <format dxfId="1471">
      <pivotArea outline="0" collapsedLevelsAreSubtotals="1" fieldPosition="0"/>
    </format>
    <format dxfId="1470">
      <pivotArea type="origin" dataOnly="0" labelOnly="1" outline="0" fieldPosition="0"/>
    </format>
    <format dxfId="1469">
      <pivotArea field="19" type="button" dataOnly="0" labelOnly="1" outline="0"/>
    </format>
    <format dxfId="1468">
      <pivotArea type="topRight" dataOnly="0" labelOnly="1" outline="0" fieldPosition="0"/>
    </format>
    <format dxfId="1467">
      <pivotArea field="14" type="button" dataOnly="0" labelOnly="1" outline="0" axis="axisRow" fieldPosition="0"/>
    </format>
    <format dxfId="1466">
      <pivotArea dataOnly="0" labelOnly="1" fieldPosition="0">
        <references count="1">
          <reference field="14" count="0"/>
        </references>
      </pivotArea>
    </format>
    <format dxfId="1465">
      <pivotArea dataOnly="0" labelOnly="1" grandRow="1" outline="0" fieldPosition="0"/>
    </format>
    <format dxfId="1464">
      <pivotArea dataOnly="0" labelOnly="1" grandCol="1" outline="0" fieldPosition="0"/>
    </format>
    <format dxfId="1463">
      <pivotArea type="all" dataOnly="0" outline="0" fieldPosition="0"/>
    </format>
    <format dxfId="1462">
      <pivotArea outline="0" collapsedLevelsAreSubtotals="1" fieldPosition="0"/>
    </format>
    <format dxfId="1461">
      <pivotArea type="origin" dataOnly="0" labelOnly="1" outline="0" fieldPosition="0"/>
    </format>
    <format dxfId="1460">
      <pivotArea field="19" type="button" dataOnly="0" labelOnly="1" outline="0"/>
    </format>
    <format dxfId="1459">
      <pivotArea type="topRight" dataOnly="0" labelOnly="1" outline="0" fieldPosition="0"/>
    </format>
    <format dxfId="1458">
      <pivotArea field="14" type="button" dataOnly="0" labelOnly="1" outline="0" axis="axisRow" fieldPosition="0"/>
    </format>
    <format dxfId="1457">
      <pivotArea dataOnly="0" labelOnly="1" fieldPosition="0">
        <references count="1">
          <reference field="14" count="0"/>
        </references>
      </pivotArea>
    </format>
    <format dxfId="1456">
      <pivotArea dataOnly="0" labelOnly="1" grandRow="1" outline="0" fieldPosition="0"/>
    </format>
    <format dxfId="1455">
      <pivotArea dataOnly="0" labelOnly="1" grandCol="1" outline="0" fieldPosition="0"/>
    </format>
    <format dxfId="1454">
      <pivotArea outline="0" collapsedLevelsAreSubtotals="1" fieldPosition="0"/>
    </format>
    <format dxfId="1453">
      <pivotArea dataOnly="0" labelOnly="1" fieldPosition="0">
        <references count="1">
          <reference field="14" count="0"/>
        </references>
      </pivotArea>
    </format>
    <format dxfId="1452">
      <pivotArea dataOnly="0" labelOnly="1" grandRow="1" outline="0" fieldPosition="0"/>
    </format>
    <format dxfId="1451">
      <pivotArea dataOnly="0" labelOnly="1" grandCol="1" outline="0" fieldPosition="0"/>
    </format>
    <format dxfId="1450">
      <pivotArea field="14" type="button" dataOnly="0" labelOnly="1" outline="0" axis="axisRow" fieldPosition="0"/>
    </format>
    <format dxfId="1449">
      <pivotArea dataOnly="0" labelOnly="1" grandCol="1" outline="0" fieldPosition="0"/>
    </format>
    <format dxfId="1448">
      <pivotArea type="all" dataOnly="0" outline="0" fieldPosition="0"/>
    </format>
    <format dxfId="1447">
      <pivotArea outline="0" collapsedLevelsAreSubtotals="1" fieldPosition="0"/>
    </format>
    <format dxfId="1446">
      <pivotArea type="origin" dataOnly="0" labelOnly="1" outline="0" fieldPosition="0"/>
    </format>
    <format dxfId="1445">
      <pivotArea field="19" type="button" dataOnly="0" labelOnly="1" outline="0"/>
    </format>
    <format dxfId="1444">
      <pivotArea type="topRight" dataOnly="0" labelOnly="1" outline="0" fieldPosition="0"/>
    </format>
    <format dxfId="1443">
      <pivotArea field="14" type="button" dataOnly="0" labelOnly="1" outline="0" axis="axisRow" fieldPosition="0"/>
    </format>
    <format dxfId="1442">
      <pivotArea dataOnly="0" labelOnly="1" fieldPosition="0">
        <references count="1">
          <reference field="14" count="0"/>
        </references>
      </pivotArea>
    </format>
    <format dxfId="1441">
      <pivotArea dataOnly="0" labelOnly="1" grandRow="1" outline="0" fieldPosition="0"/>
    </format>
    <format dxfId="1440">
      <pivotArea dataOnly="0" labelOnly="1" grandCol="1" outline="0" fieldPosition="0"/>
    </format>
    <format dxfId="143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22B375-4619-4E5B-8EE1-9CB756A4EEB8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48">
      <pivotArea type="all" dataOnly="0" outline="0" fieldPosition="0"/>
    </format>
    <format dxfId="1547">
      <pivotArea outline="0" collapsedLevelsAreSubtotals="1" fieldPosition="0"/>
    </format>
    <format dxfId="1546">
      <pivotArea type="origin" dataOnly="0" labelOnly="1" outline="0" fieldPosition="0"/>
    </format>
    <format dxfId="1545">
      <pivotArea field="19" type="button" dataOnly="0" labelOnly="1" outline="0" axis="axisCol" fieldPosition="0"/>
    </format>
    <format dxfId="1544">
      <pivotArea type="topRight" dataOnly="0" labelOnly="1" outline="0" fieldPosition="0"/>
    </format>
    <format dxfId="1543">
      <pivotArea field="14" type="button" dataOnly="0" labelOnly="1" outline="0" axis="axisRow" fieldPosition="0"/>
    </format>
    <format dxfId="1542">
      <pivotArea dataOnly="0" labelOnly="1" fieldPosition="0">
        <references count="1">
          <reference field="14" count="0"/>
        </references>
      </pivotArea>
    </format>
    <format dxfId="1541">
      <pivotArea dataOnly="0" labelOnly="1" grandRow="1" outline="0" fieldPosition="0"/>
    </format>
    <format dxfId="1540">
      <pivotArea dataOnly="0" labelOnly="1" fieldPosition="0">
        <references count="1">
          <reference field="19" count="0"/>
        </references>
      </pivotArea>
    </format>
    <format dxfId="1539">
      <pivotArea dataOnly="0" labelOnly="1" grandCol="1" outline="0" fieldPosition="0"/>
    </format>
    <format dxfId="1538">
      <pivotArea type="all" dataOnly="0" outline="0" fieldPosition="0"/>
    </format>
    <format dxfId="1537">
      <pivotArea outline="0" collapsedLevelsAreSubtotals="1" fieldPosition="0"/>
    </format>
    <format dxfId="1536">
      <pivotArea type="origin" dataOnly="0" labelOnly="1" outline="0" fieldPosition="0"/>
    </format>
    <format dxfId="1535">
      <pivotArea field="19" type="button" dataOnly="0" labelOnly="1" outline="0" axis="axisCol" fieldPosition="0"/>
    </format>
    <format dxfId="1534">
      <pivotArea type="topRight" dataOnly="0" labelOnly="1" outline="0" fieldPosition="0"/>
    </format>
    <format dxfId="1533">
      <pivotArea field="14" type="button" dataOnly="0" labelOnly="1" outline="0" axis="axisRow" fieldPosition="0"/>
    </format>
    <format dxfId="1532">
      <pivotArea dataOnly="0" labelOnly="1" fieldPosition="0">
        <references count="1">
          <reference field="14" count="0"/>
        </references>
      </pivotArea>
    </format>
    <format dxfId="1531">
      <pivotArea dataOnly="0" labelOnly="1" grandRow="1" outline="0" fieldPosition="0"/>
    </format>
    <format dxfId="1530">
      <pivotArea dataOnly="0" labelOnly="1" fieldPosition="0">
        <references count="1">
          <reference field="19" count="0"/>
        </references>
      </pivotArea>
    </format>
    <format dxfId="1529">
      <pivotArea dataOnly="0" labelOnly="1" grandCol="1" outline="0" fieldPosition="0"/>
    </format>
    <format dxfId="1528">
      <pivotArea type="all" dataOnly="0" outline="0" fieldPosition="0"/>
    </format>
    <format dxfId="1527">
      <pivotArea outline="0" collapsedLevelsAreSubtotals="1" fieldPosition="0"/>
    </format>
    <format dxfId="1526">
      <pivotArea type="origin" dataOnly="0" labelOnly="1" outline="0" fieldPosition="0"/>
    </format>
    <format dxfId="1525">
      <pivotArea field="19" type="button" dataOnly="0" labelOnly="1" outline="0" axis="axisCol" fieldPosition="0"/>
    </format>
    <format dxfId="1524">
      <pivotArea type="topRight" dataOnly="0" labelOnly="1" outline="0" fieldPosition="0"/>
    </format>
    <format dxfId="1523">
      <pivotArea field="14" type="button" dataOnly="0" labelOnly="1" outline="0" axis="axisRow" fieldPosition="0"/>
    </format>
    <format dxfId="1522">
      <pivotArea dataOnly="0" labelOnly="1" fieldPosition="0">
        <references count="1">
          <reference field="14" count="0"/>
        </references>
      </pivotArea>
    </format>
    <format dxfId="1521">
      <pivotArea dataOnly="0" labelOnly="1" grandRow="1" outline="0" fieldPosition="0"/>
    </format>
    <format dxfId="1520">
      <pivotArea dataOnly="0" labelOnly="1" fieldPosition="0">
        <references count="1">
          <reference field="19" count="0"/>
        </references>
      </pivotArea>
    </format>
    <format dxfId="1519">
      <pivotArea dataOnly="0" labelOnly="1" grandCol="1" outline="0" fieldPosition="0"/>
    </format>
    <format dxfId="1518">
      <pivotArea type="all" dataOnly="0" outline="0" fieldPosition="0"/>
    </format>
    <format dxfId="1517">
      <pivotArea outline="0" collapsedLevelsAreSubtotals="1" fieldPosition="0"/>
    </format>
    <format dxfId="1516">
      <pivotArea type="origin" dataOnly="0" labelOnly="1" outline="0" fieldPosition="0"/>
    </format>
    <format dxfId="1515">
      <pivotArea field="19" type="button" dataOnly="0" labelOnly="1" outline="0" axis="axisCol" fieldPosition="0"/>
    </format>
    <format dxfId="1514">
      <pivotArea type="topRight" dataOnly="0" labelOnly="1" outline="0" fieldPosition="0"/>
    </format>
    <format dxfId="1513">
      <pivotArea field="14" type="button" dataOnly="0" labelOnly="1" outline="0" axis="axisRow" fieldPosition="0"/>
    </format>
    <format dxfId="1512">
      <pivotArea dataOnly="0" labelOnly="1" fieldPosition="0">
        <references count="1">
          <reference field="14" count="0"/>
        </references>
      </pivotArea>
    </format>
    <format dxfId="1511">
      <pivotArea dataOnly="0" labelOnly="1" grandRow="1" outline="0" fieldPosition="0"/>
    </format>
    <format dxfId="1510">
      <pivotArea dataOnly="0" labelOnly="1" fieldPosition="0">
        <references count="1">
          <reference field="19" count="0"/>
        </references>
      </pivotArea>
    </format>
    <format dxfId="1509">
      <pivotArea dataOnly="0" labelOnly="1" grandCol="1" outline="0" fieldPosition="0"/>
    </format>
    <format dxfId="1508">
      <pivotArea outline="0" collapsedLevelsAreSubtotals="1" fieldPosition="0"/>
    </format>
    <format dxfId="1507">
      <pivotArea dataOnly="0" labelOnly="1" fieldPosition="0">
        <references count="1">
          <reference field="14" count="0"/>
        </references>
      </pivotArea>
    </format>
    <format dxfId="1506">
      <pivotArea dataOnly="0" labelOnly="1" grandRow="1" outline="0" fieldPosition="0"/>
    </format>
    <format dxfId="1505">
      <pivotArea dataOnly="0" labelOnly="1" fieldPosition="0">
        <references count="1">
          <reference field="19" count="0"/>
        </references>
      </pivotArea>
    </format>
    <format dxfId="1504">
      <pivotArea dataOnly="0" labelOnly="1" grandCol="1" outline="0" fieldPosition="0"/>
    </format>
    <format dxfId="1503">
      <pivotArea field="14" type="button" dataOnly="0" labelOnly="1" outline="0" axis="axisRow" fieldPosition="0"/>
    </format>
    <format dxfId="1502">
      <pivotArea dataOnly="0" labelOnly="1" fieldPosition="0">
        <references count="1">
          <reference field="19" count="0"/>
        </references>
      </pivotArea>
    </format>
    <format dxfId="1501">
      <pivotArea dataOnly="0" labelOnly="1" grandCol="1" outline="0" fieldPosition="0"/>
    </format>
    <format dxfId="1500">
      <pivotArea type="all" dataOnly="0" outline="0" fieldPosition="0"/>
    </format>
    <format dxfId="1499">
      <pivotArea outline="0" collapsedLevelsAreSubtotals="1" fieldPosition="0"/>
    </format>
    <format dxfId="1498">
      <pivotArea type="origin" dataOnly="0" labelOnly="1" outline="0" fieldPosition="0"/>
    </format>
    <format dxfId="1497">
      <pivotArea field="19" type="button" dataOnly="0" labelOnly="1" outline="0" axis="axisCol" fieldPosition="0"/>
    </format>
    <format dxfId="1496">
      <pivotArea type="topRight" dataOnly="0" labelOnly="1" outline="0" fieldPosition="0"/>
    </format>
    <format dxfId="1495">
      <pivotArea field="14" type="button" dataOnly="0" labelOnly="1" outline="0" axis="axisRow" fieldPosition="0"/>
    </format>
    <format dxfId="149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493">
      <pivotArea dataOnly="0" labelOnly="1" grandRow="1" outline="0" fieldPosition="0"/>
    </format>
    <format dxfId="1492">
      <pivotArea dataOnly="0" labelOnly="1" fieldPosition="0">
        <references count="1">
          <reference field="19" count="0"/>
        </references>
      </pivotArea>
    </format>
    <format dxfId="149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01239-0A1F-47D0-AE5D-F0530B8E6044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06">
      <pivotArea type="all" dataOnly="0" outline="0" fieldPosition="0"/>
    </format>
    <format dxfId="1605">
      <pivotArea outline="0" collapsedLevelsAreSubtotals="1" fieldPosition="0"/>
    </format>
    <format dxfId="1604">
      <pivotArea type="origin" dataOnly="0" labelOnly="1" outline="0" fieldPosition="0"/>
    </format>
    <format dxfId="1603">
      <pivotArea field="19" type="button" dataOnly="0" labelOnly="1" outline="0" axis="axisCol" fieldPosition="0"/>
    </format>
    <format dxfId="1602">
      <pivotArea type="topRight" dataOnly="0" labelOnly="1" outline="0" fieldPosition="0"/>
    </format>
    <format dxfId="1601">
      <pivotArea field="14" type="button" dataOnly="0" labelOnly="1" outline="0" axis="axisRow" fieldPosition="0"/>
    </format>
    <format dxfId="1600">
      <pivotArea dataOnly="0" labelOnly="1" fieldPosition="0">
        <references count="1">
          <reference field="14" count="0"/>
        </references>
      </pivotArea>
    </format>
    <format dxfId="1599">
      <pivotArea dataOnly="0" labelOnly="1" grandRow="1" outline="0" fieldPosition="0"/>
    </format>
    <format dxfId="1598">
      <pivotArea dataOnly="0" labelOnly="1" fieldPosition="0">
        <references count="1">
          <reference field="19" count="0"/>
        </references>
      </pivotArea>
    </format>
    <format dxfId="1597">
      <pivotArea dataOnly="0" labelOnly="1" grandCol="1" outline="0" fieldPosition="0"/>
    </format>
    <format dxfId="1596">
      <pivotArea type="all" dataOnly="0" outline="0" fieldPosition="0"/>
    </format>
    <format dxfId="1595">
      <pivotArea outline="0" collapsedLevelsAreSubtotals="1" fieldPosition="0"/>
    </format>
    <format dxfId="1594">
      <pivotArea type="origin" dataOnly="0" labelOnly="1" outline="0" fieldPosition="0"/>
    </format>
    <format dxfId="1593">
      <pivotArea field="19" type="button" dataOnly="0" labelOnly="1" outline="0" axis="axisCol" fieldPosition="0"/>
    </format>
    <format dxfId="1592">
      <pivotArea type="topRight" dataOnly="0" labelOnly="1" outline="0" fieldPosition="0"/>
    </format>
    <format dxfId="1591">
      <pivotArea field="14" type="button" dataOnly="0" labelOnly="1" outline="0" axis="axisRow" fieldPosition="0"/>
    </format>
    <format dxfId="1590">
      <pivotArea dataOnly="0" labelOnly="1" fieldPosition="0">
        <references count="1">
          <reference field="14" count="0"/>
        </references>
      </pivotArea>
    </format>
    <format dxfId="1589">
      <pivotArea dataOnly="0" labelOnly="1" grandRow="1" outline="0" fieldPosition="0"/>
    </format>
    <format dxfId="1588">
      <pivotArea dataOnly="0" labelOnly="1" fieldPosition="0">
        <references count="1">
          <reference field="19" count="0"/>
        </references>
      </pivotArea>
    </format>
    <format dxfId="1587">
      <pivotArea dataOnly="0" labelOnly="1" grandCol="1" outline="0" fieldPosition="0"/>
    </format>
    <format dxfId="1586">
      <pivotArea type="all" dataOnly="0" outline="0" fieldPosition="0"/>
    </format>
    <format dxfId="1585">
      <pivotArea outline="0" collapsedLevelsAreSubtotals="1" fieldPosition="0"/>
    </format>
    <format dxfId="1584">
      <pivotArea type="origin" dataOnly="0" labelOnly="1" outline="0" fieldPosition="0"/>
    </format>
    <format dxfId="1583">
      <pivotArea field="19" type="button" dataOnly="0" labelOnly="1" outline="0" axis="axisCol" fieldPosition="0"/>
    </format>
    <format dxfId="1582">
      <pivotArea type="topRight" dataOnly="0" labelOnly="1" outline="0" fieldPosition="0"/>
    </format>
    <format dxfId="1581">
      <pivotArea field="14" type="button" dataOnly="0" labelOnly="1" outline="0" axis="axisRow" fieldPosition="0"/>
    </format>
    <format dxfId="1580">
      <pivotArea dataOnly="0" labelOnly="1" fieldPosition="0">
        <references count="1">
          <reference field="14" count="0"/>
        </references>
      </pivotArea>
    </format>
    <format dxfId="1579">
      <pivotArea dataOnly="0" labelOnly="1" grandRow="1" outline="0" fieldPosition="0"/>
    </format>
    <format dxfId="1578">
      <pivotArea dataOnly="0" labelOnly="1" fieldPosition="0">
        <references count="1">
          <reference field="19" count="0"/>
        </references>
      </pivotArea>
    </format>
    <format dxfId="1577">
      <pivotArea dataOnly="0" labelOnly="1" grandCol="1" outline="0" fieldPosition="0"/>
    </format>
    <format dxfId="1576">
      <pivotArea type="all" dataOnly="0" outline="0" fieldPosition="0"/>
    </format>
    <format dxfId="1575">
      <pivotArea outline="0" collapsedLevelsAreSubtotals="1" fieldPosition="0"/>
    </format>
    <format dxfId="1574">
      <pivotArea type="origin" dataOnly="0" labelOnly="1" outline="0" fieldPosition="0"/>
    </format>
    <format dxfId="1573">
      <pivotArea field="19" type="button" dataOnly="0" labelOnly="1" outline="0" axis="axisCol" fieldPosition="0"/>
    </format>
    <format dxfId="1572">
      <pivotArea type="topRight" dataOnly="0" labelOnly="1" outline="0" fieldPosition="0"/>
    </format>
    <format dxfId="1571">
      <pivotArea field="14" type="button" dataOnly="0" labelOnly="1" outline="0" axis="axisRow" fieldPosition="0"/>
    </format>
    <format dxfId="1570">
      <pivotArea dataOnly="0" labelOnly="1" fieldPosition="0">
        <references count="1">
          <reference field="14" count="0"/>
        </references>
      </pivotArea>
    </format>
    <format dxfId="1569">
      <pivotArea dataOnly="0" labelOnly="1" grandRow="1" outline="0" fieldPosition="0"/>
    </format>
    <format dxfId="1568">
      <pivotArea dataOnly="0" labelOnly="1" fieldPosition="0">
        <references count="1">
          <reference field="19" count="0"/>
        </references>
      </pivotArea>
    </format>
    <format dxfId="1567">
      <pivotArea dataOnly="0" labelOnly="1" grandCol="1" outline="0" fieldPosition="0"/>
    </format>
    <format dxfId="1566">
      <pivotArea outline="0" collapsedLevelsAreSubtotals="1" fieldPosition="0"/>
    </format>
    <format dxfId="1565">
      <pivotArea dataOnly="0" labelOnly="1" fieldPosition="0">
        <references count="1">
          <reference field="14" count="0"/>
        </references>
      </pivotArea>
    </format>
    <format dxfId="1564">
      <pivotArea dataOnly="0" labelOnly="1" grandRow="1" outline="0" fieldPosition="0"/>
    </format>
    <format dxfId="1563">
      <pivotArea dataOnly="0" labelOnly="1" fieldPosition="0">
        <references count="1">
          <reference field="19" count="0"/>
        </references>
      </pivotArea>
    </format>
    <format dxfId="1562">
      <pivotArea dataOnly="0" labelOnly="1" grandCol="1" outline="0" fieldPosition="0"/>
    </format>
    <format dxfId="1561">
      <pivotArea field="14" type="button" dataOnly="0" labelOnly="1" outline="0" axis="axisRow" fieldPosition="0"/>
    </format>
    <format dxfId="1560">
      <pivotArea dataOnly="0" labelOnly="1" fieldPosition="0">
        <references count="1">
          <reference field="19" count="0"/>
        </references>
      </pivotArea>
    </format>
    <format dxfId="1559">
      <pivotArea dataOnly="0" labelOnly="1" grandCol="1" outline="0" fieldPosition="0"/>
    </format>
    <format dxfId="1558">
      <pivotArea type="all" dataOnly="0" outline="0" fieldPosition="0"/>
    </format>
    <format dxfId="1557">
      <pivotArea outline="0" collapsedLevelsAreSubtotals="1" fieldPosition="0"/>
    </format>
    <format dxfId="1556">
      <pivotArea type="origin" dataOnly="0" labelOnly="1" outline="0" fieldPosition="0"/>
    </format>
    <format dxfId="1555">
      <pivotArea field="19" type="button" dataOnly="0" labelOnly="1" outline="0" axis="axisCol" fieldPosition="0"/>
    </format>
    <format dxfId="1554">
      <pivotArea type="topRight" dataOnly="0" labelOnly="1" outline="0" fieldPosition="0"/>
    </format>
    <format dxfId="1553">
      <pivotArea field="14" type="button" dataOnly="0" labelOnly="1" outline="0" axis="axisRow" fieldPosition="0"/>
    </format>
    <format dxfId="1552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551">
      <pivotArea dataOnly="0" labelOnly="1" grandRow="1" outline="0" fieldPosition="0"/>
    </format>
    <format dxfId="1550">
      <pivotArea dataOnly="0" labelOnly="1" fieldPosition="0">
        <references count="1">
          <reference field="19" count="0"/>
        </references>
      </pivotArea>
    </format>
    <format dxfId="154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1"/>
        <item x="3"/>
        <item x="0"/>
        <item x="2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h="1"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64">
      <pivotArea type="all" dataOnly="0" outline="0" fieldPosition="0"/>
    </format>
    <format dxfId="1663">
      <pivotArea outline="0" collapsedLevelsAreSubtotals="1" fieldPosition="0"/>
    </format>
    <format dxfId="1662">
      <pivotArea type="origin" dataOnly="0" labelOnly="1" outline="0" fieldPosition="0"/>
    </format>
    <format dxfId="1661">
      <pivotArea field="19" type="button" dataOnly="0" labelOnly="1" outline="0" axis="axisCol" fieldPosition="0"/>
    </format>
    <format dxfId="1660">
      <pivotArea type="topRight" dataOnly="0" labelOnly="1" outline="0" fieldPosition="0"/>
    </format>
    <format dxfId="1659">
      <pivotArea field="14" type="button" dataOnly="0" labelOnly="1" outline="0" axis="axisRow" fieldPosition="0"/>
    </format>
    <format dxfId="1658">
      <pivotArea dataOnly="0" labelOnly="1" fieldPosition="0">
        <references count="1">
          <reference field="14" count="0"/>
        </references>
      </pivotArea>
    </format>
    <format dxfId="1657">
      <pivotArea dataOnly="0" labelOnly="1" grandRow="1" outline="0" fieldPosition="0"/>
    </format>
    <format dxfId="1656">
      <pivotArea dataOnly="0" labelOnly="1" fieldPosition="0">
        <references count="1">
          <reference field="19" count="0"/>
        </references>
      </pivotArea>
    </format>
    <format dxfId="1655">
      <pivotArea dataOnly="0" labelOnly="1" grandCol="1" outline="0" fieldPosition="0"/>
    </format>
    <format dxfId="1654">
      <pivotArea type="all" dataOnly="0" outline="0" fieldPosition="0"/>
    </format>
    <format dxfId="1653">
      <pivotArea outline="0" collapsedLevelsAreSubtotals="1" fieldPosition="0"/>
    </format>
    <format dxfId="1652">
      <pivotArea type="origin" dataOnly="0" labelOnly="1" outline="0" fieldPosition="0"/>
    </format>
    <format dxfId="1651">
      <pivotArea field="19" type="button" dataOnly="0" labelOnly="1" outline="0" axis="axisCol" fieldPosition="0"/>
    </format>
    <format dxfId="1650">
      <pivotArea type="topRight" dataOnly="0" labelOnly="1" outline="0" fieldPosition="0"/>
    </format>
    <format dxfId="1649">
      <pivotArea field="14" type="button" dataOnly="0" labelOnly="1" outline="0" axis="axisRow" fieldPosition="0"/>
    </format>
    <format dxfId="1648">
      <pivotArea dataOnly="0" labelOnly="1" fieldPosition="0">
        <references count="1">
          <reference field="14" count="0"/>
        </references>
      </pivotArea>
    </format>
    <format dxfId="1647">
      <pivotArea dataOnly="0" labelOnly="1" grandRow="1" outline="0" fieldPosition="0"/>
    </format>
    <format dxfId="1646">
      <pivotArea dataOnly="0" labelOnly="1" fieldPosition="0">
        <references count="1">
          <reference field="19" count="0"/>
        </references>
      </pivotArea>
    </format>
    <format dxfId="1645">
      <pivotArea dataOnly="0" labelOnly="1" grandCol="1" outline="0" fieldPosition="0"/>
    </format>
    <format dxfId="1644">
      <pivotArea type="all" dataOnly="0" outline="0" fieldPosition="0"/>
    </format>
    <format dxfId="1643">
      <pivotArea outline="0" collapsedLevelsAreSubtotals="1" fieldPosition="0"/>
    </format>
    <format dxfId="1642">
      <pivotArea type="origin" dataOnly="0" labelOnly="1" outline="0" fieldPosition="0"/>
    </format>
    <format dxfId="1641">
      <pivotArea field="19" type="button" dataOnly="0" labelOnly="1" outline="0" axis="axisCol" fieldPosition="0"/>
    </format>
    <format dxfId="1640">
      <pivotArea type="topRight" dataOnly="0" labelOnly="1" outline="0" fieldPosition="0"/>
    </format>
    <format dxfId="1639">
      <pivotArea field="14" type="button" dataOnly="0" labelOnly="1" outline="0" axis="axisRow" fieldPosition="0"/>
    </format>
    <format dxfId="1638">
      <pivotArea dataOnly="0" labelOnly="1" fieldPosition="0">
        <references count="1">
          <reference field="14" count="0"/>
        </references>
      </pivotArea>
    </format>
    <format dxfId="1637">
      <pivotArea dataOnly="0" labelOnly="1" grandRow="1" outline="0" fieldPosition="0"/>
    </format>
    <format dxfId="1636">
      <pivotArea dataOnly="0" labelOnly="1" fieldPosition="0">
        <references count="1">
          <reference field="19" count="0"/>
        </references>
      </pivotArea>
    </format>
    <format dxfId="1635">
      <pivotArea dataOnly="0" labelOnly="1" grandCol="1" outline="0" fieldPosition="0"/>
    </format>
    <format dxfId="1634">
      <pivotArea type="all" dataOnly="0" outline="0" fieldPosition="0"/>
    </format>
    <format dxfId="1633">
      <pivotArea outline="0" collapsedLevelsAreSubtotals="1" fieldPosition="0"/>
    </format>
    <format dxfId="1632">
      <pivotArea type="origin" dataOnly="0" labelOnly="1" outline="0" fieldPosition="0"/>
    </format>
    <format dxfId="1631">
      <pivotArea field="19" type="button" dataOnly="0" labelOnly="1" outline="0" axis="axisCol" fieldPosition="0"/>
    </format>
    <format dxfId="1630">
      <pivotArea type="topRight" dataOnly="0" labelOnly="1" outline="0" fieldPosition="0"/>
    </format>
    <format dxfId="1629">
      <pivotArea field="14" type="button" dataOnly="0" labelOnly="1" outline="0" axis="axisRow" fieldPosition="0"/>
    </format>
    <format dxfId="1628">
      <pivotArea dataOnly="0" labelOnly="1" fieldPosition="0">
        <references count="1">
          <reference field="14" count="0"/>
        </references>
      </pivotArea>
    </format>
    <format dxfId="1627">
      <pivotArea dataOnly="0" labelOnly="1" grandRow="1" outline="0" fieldPosition="0"/>
    </format>
    <format dxfId="1626">
      <pivotArea dataOnly="0" labelOnly="1" fieldPosition="0">
        <references count="1">
          <reference field="19" count="0"/>
        </references>
      </pivotArea>
    </format>
    <format dxfId="1625">
      <pivotArea dataOnly="0" labelOnly="1" grandCol="1" outline="0" fieldPosition="0"/>
    </format>
    <format dxfId="1624">
      <pivotArea outline="0" collapsedLevelsAreSubtotals="1" fieldPosition="0"/>
    </format>
    <format dxfId="1623">
      <pivotArea dataOnly="0" labelOnly="1" fieldPosition="0">
        <references count="1">
          <reference field="14" count="0"/>
        </references>
      </pivotArea>
    </format>
    <format dxfId="1622">
      <pivotArea dataOnly="0" labelOnly="1" grandRow="1" outline="0" fieldPosition="0"/>
    </format>
    <format dxfId="1621">
      <pivotArea dataOnly="0" labelOnly="1" fieldPosition="0">
        <references count="1">
          <reference field="19" count="0"/>
        </references>
      </pivotArea>
    </format>
    <format dxfId="1620">
      <pivotArea dataOnly="0" labelOnly="1" grandCol="1" outline="0" fieldPosition="0"/>
    </format>
    <format dxfId="1619">
      <pivotArea field="14" type="button" dataOnly="0" labelOnly="1" outline="0" axis="axisRow" fieldPosition="0"/>
    </format>
    <format dxfId="1618">
      <pivotArea dataOnly="0" labelOnly="1" fieldPosition="0">
        <references count="1">
          <reference field="19" count="0"/>
        </references>
      </pivotArea>
    </format>
    <format dxfId="1617">
      <pivotArea dataOnly="0" labelOnly="1" grandCol="1" outline="0" fieldPosition="0"/>
    </format>
    <format dxfId="1616">
      <pivotArea type="all" dataOnly="0" outline="0" fieldPosition="0"/>
    </format>
    <format dxfId="1615">
      <pivotArea outline="0" collapsedLevelsAreSubtotals="1" fieldPosition="0"/>
    </format>
    <format dxfId="1614">
      <pivotArea type="origin" dataOnly="0" labelOnly="1" outline="0" fieldPosition="0"/>
    </format>
    <format dxfId="1613">
      <pivotArea field="19" type="button" dataOnly="0" labelOnly="1" outline="0" axis="axisCol" fieldPosition="0"/>
    </format>
    <format dxfId="1612">
      <pivotArea type="topRight" dataOnly="0" labelOnly="1" outline="0" fieldPosition="0"/>
    </format>
    <format dxfId="1611">
      <pivotArea field="14" type="button" dataOnly="0" labelOnly="1" outline="0" axis="axisRow" fieldPosition="0"/>
    </format>
    <format dxfId="1610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609">
      <pivotArea dataOnly="0" labelOnly="1" grandRow="1" outline="0" fieldPosition="0"/>
    </format>
    <format dxfId="1608">
      <pivotArea dataOnly="0" labelOnly="1" fieldPosition="0">
        <references count="1">
          <reference field="19" count="0"/>
        </references>
      </pivotArea>
    </format>
    <format dxfId="160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743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223">
        <item x="95"/>
        <item m="1" x="1837"/>
        <item m="1" x="1507"/>
        <item m="1" x="1333"/>
        <item m="1" x="2197"/>
        <item m="1" x="2192"/>
        <item x="939"/>
        <item m="1" x="1684"/>
        <item x="105"/>
        <item x="449"/>
        <item m="1" x="1439"/>
        <item m="1" x="1392"/>
        <item x="335"/>
        <item m="1" x="1625"/>
        <item m="1" x="1222"/>
        <item x="119"/>
        <item x="120"/>
        <item m="1" x="1889"/>
        <item m="1" x="1379"/>
        <item m="1" x="2106"/>
        <item m="1" x="1382"/>
        <item x="591"/>
        <item m="1" x="2164"/>
        <item m="1" x="1721"/>
        <item m="1" x="2095"/>
        <item m="1" x="1022"/>
        <item x="4"/>
        <item m="1" x="1346"/>
        <item m="1" x="1527"/>
        <item x="777"/>
        <item m="1" x="1464"/>
        <item x="778"/>
        <item x="265"/>
        <item x="121"/>
        <item x="640"/>
        <item x="122"/>
        <item x="256"/>
        <item x="773"/>
        <item m="1" x="1132"/>
        <item x="355"/>
        <item m="1" x="1928"/>
        <item m="1" x="1800"/>
        <item m="1" x="1248"/>
        <item m="1" x="1300"/>
        <item m="1" x="1993"/>
        <item x="348"/>
        <item m="1" x="2010"/>
        <item x="349"/>
        <item x="821"/>
        <item x="779"/>
        <item x="570"/>
        <item x="111"/>
        <item m="1" x="2061"/>
        <item m="1" x="1264"/>
        <item x="951"/>
        <item m="1" x="2044"/>
        <item m="1" x="1689"/>
        <item x="252"/>
        <item x="780"/>
        <item x="113"/>
        <item m="1" x="2133"/>
        <item x="97"/>
        <item x="781"/>
        <item x="977"/>
        <item m="1" x="1384"/>
        <item m="1" x="1960"/>
        <item x="704"/>
        <item x="854"/>
        <item x="782"/>
        <item x="123"/>
        <item x="641"/>
        <item m="1" x="2129"/>
        <item x="124"/>
        <item m="1" x="2144"/>
        <item m="1" x="1672"/>
        <item m="1" x="2143"/>
        <item x="403"/>
        <item m="1" x="1231"/>
        <item x="383"/>
        <item m="1" x="1437"/>
        <item m="1" x="1206"/>
        <item x="267"/>
        <item x="964"/>
        <item m="1" x="1411"/>
        <item x="783"/>
        <item x="125"/>
        <item x="356"/>
        <item x="707"/>
        <item m="1" x="1089"/>
        <item x="271"/>
        <item x="420"/>
        <item m="1" x="1110"/>
        <item x="266"/>
        <item x="677"/>
        <item x="49"/>
        <item x="577"/>
        <item m="1" x="1155"/>
        <item x="418"/>
        <item x="532"/>
        <item m="1" x="1223"/>
        <item m="1" x="2131"/>
        <item x="497"/>
        <item x="24"/>
        <item m="1" x="1649"/>
        <item x="45"/>
        <item x="126"/>
        <item m="1" x="2064"/>
        <item x="369"/>
        <item x="268"/>
        <item m="1" x="2132"/>
        <item x="62"/>
        <item x="705"/>
        <item m="1" x="1127"/>
        <item m="1" x="1982"/>
        <item m="1" x="1949"/>
        <item m="1" x="1719"/>
        <item x="709"/>
        <item m="1" x="1352"/>
        <item x="459"/>
        <item m="1" x="1593"/>
        <item x="593"/>
        <item x="533"/>
        <item x="54"/>
        <item x="976"/>
        <item x="706"/>
        <item m="1" x="1743"/>
        <item x="405"/>
        <item m="1" x="1780"/>
        <item x="954"/>
        <item m="1" x="1404"/>
        <item x="137"/>
        <item m="1" x="1995"/>
        <item m="1" x="2161"/>
        <item m="1" x="1023"/>
        <item m="1" x="997"/>
        <item x="419"/>
        <item x="786"/>
        <item x="787"/>
        <item m="1" x="1106"/>
        <item x="991"/>
        <item m="1" x="1781"/>
        <item m="1" x="1315"/>
        <item m="1" x="1795"/>
        <item m="1" x="1380"/>
        <item x="594"/>
        <item m="1" x="1493"/>
        <item x="788"/>
        <item x="822"/>
        <item x="269"/>
        <item x="81"/>
        <item x="371"/>
        <item x="789"/>
        <item m="1" x="1039"/>
        <item m="1" x="1675"/>
        <item m="1" x="1789"/>
        <item x="31"/>
        <item m="1" x="2085"/>
        <item m="1" x="1731"/>
        <item m="1" x="2009"/>
        <item m="1" x="2174"/>
        <item m="1" x="1159"/>
        <item m="1" x="1451"/>
        <item x="801"/>
        <item x="43"/>
        <item x="128"/>
        <item m="1" x="2104"/>
        <item x="790"/>
        <item x="129"/>
        <item m="1" x="1252"/>
        <item m="1" x="1067"/>
        <item m="1" x="1940"/>
        <item m="1" x="1757"/>
        <item x="678"/>
        <item x="792"/>
        <item m="1" x="1271"/>
        <item m="1" x="1630"/>
        <item x="20"/>
        <item m="1" x="2032"/>
        <item x="102"/>
        <item m="1" x="1160"/>
        <item m="1" x="1824"/>
        <item x="708"/>
        <item x="791"/>
        <item m="1" x="2077"/>
        <item m="1" x="1584"/>
        <item m="1" x="1215"/>
        <item m="1" x="1916"/>
        <item x="404"/>
        <item m="1" x="1568"/>
        <item m="1" x="2162"/>
        <item m="1" x="2042"/>
        <item m="1" x="1171"/>
        <item x="130"/>
        <item m="1" x="1867"/>
        <item x="131"/>
        <item m="1" x="1742"/>
        <item x="133"/>
        <item m="1" x="1093"/>
        <item x="498"/>
        <item m="1" x="1366"/>
        <item m="1" x="1011"/>
        <item m="1" x="2039"/>
        <item m="1" x="1914"/>
        <item x="975"/>
        <item x="281"/>
        <item x="710"/>
        <item x="619"/>
        <item x="794"/>
        <item x="134"/>
        <item x="450"/>
        <item m="1" x="1091"/>
        <item x="499"/>
        <item x="795"/>
        <item x="408"/>
        <item x="409"/>
        <item m="1" x="1193"/>
        <item m="1" x="1325"/>
        <item m="1" x="1220"/>
        <item m="1" x="1026"/>
        <item m="1" x="1412"/>
        <item x="620"/>
        <item m="1" x="1542"/>
        <item m="1" x="1479"/>
        <item x="796"/>
        <item m="1" x="1767"/>
        <item x="797"/>
        <item m="1" x="1111"/>
        <item x="642"/>
        <item x="535"/>
        <item m="1" x="1076"/>
        <item m="1" x="1114"/>
        <item m="1" x="1888"/>
        <item m="1" x="1862"/>
        <item m="1" x="1847"/>
        <item m="1" x="2167"/>
        <item m="1" x="1473"/>
        <item m="1" x="2040"/>
        <item m="1" x="1947"/>
        <item m="1" x="1115"/>
        <item m="1" x="2105"/>
        <item x="410"/>
        <item m="1" x="1881"/>
        <item m="1" x="1769"/>
        <item x="621"/>
        <item m="1" x="2033"/>
        <item x="254"/>
        <item m="1" x="1691"/>
        <item m="1" x="1278"/>
        <item m="1" x="1070"/>
        <item x="622"/>
        <item m="1" x="1991"/>
        <item m="1" x="1594"/>
        <item x="595"/>
        <item m="1" x="2203"/>
        <item m="1" x="1924"/>
        <item m="1" x="1872"/>
        <item m="1" x="2116"/>
        <item x="798"/>
        <item m="1" x="1750"/>
        <item m="1" x="1445"/>
        <item m="1" x="2171"/>
        <item m="1" x="1776"/>
        <item m="1" x="1525"/>
        <item x="799"/>
        <item m="1" x="1338"/>
        <item x="800"/>
        <item m="1" x="2215"/>
        <item m="1" x="1814"/>
        <item m="1" x="1579"/>
        <item m="1" x="1762"/>
        <item x="596"/>
        <item m="1" x="1438"/>
        <item m="1" x="1054"/>
        <item m="1" x="1256"/>
        <item x="623"/>
        <item m="1" x="2023"/>
        <item m="1" x="2130"/>
        <item m="1" x="1197"/>
        <item x="802"/>
        <item x="135"/>
        <item x="347"/>
        <item m="1" x="1233"/>
        <item m="1" x="1458"/>
        <item x="32"/>
        <item x="803"/>
        <item m="1" x="1055"/>
        <item x="270"/>
        <item x="100"/>
        <item m="1" x="1113"/>
        <item x="624"/>
        <item x="460"/>
        <item x="576"/>
        <item x="805"/>
        <item m="1" x="1925"/>
        <item x="806"/>
        <item m="1" x="1685"/>
        <item m="1" x="1428"/>
        <item x="76"/>
        <item x="687"/>
        <item x="618"/>
        <item x="807"/>
        <item m="1" x="2176"/>
        <item x="136"/>
        <item x="272"/>
        <item m="1" x="1761"/>
        <item x="273"/>
        <item m="1" x="1690"/>
        <item x="571"/>
        <item x="370"/>
        <item x="406"/>
        <item x="107"/>
        <item x="407"/>
        <item x="808"/>
        <item m="1" x="1875"/>
        <item m="1" x="1805"/>
        <item x="513"/>
        <item x="138"/>
        <item m="1" x="2118"/>
        <item m="1" x="1112"/>
        <item x="257"/>
        <item m="1" x="1255"/>
        <item m="1" x="1549"/>
        <item m="1" x="1098"/>
        <item x="421"/>
        <item x="274"/>
        <item m="1" x="1121"/>
        <item x="422"/>
        <item m="1" x="2155"/>
        <item m="1" x="1878"/>
        <item m="1" x="1386"/>
        <item m="1" x="1425"/>
        <item m="1" x="2221"/>
        <item x="275"/>
        <item m="1" x="1653"/>
        <item m="1" x="1482"/>
        <item x="461"/>
        <item x="276"/>
        <item m="1" x="2218"/>
        <item x="139"/>
        <item m="1" x="1480"/>
        <item m="1" x="1129"/>
        <item x="534"/>
        <item x="350"/>
        <item m="1" x="1951"/>
        <item x="277"/>
        <item x="56"/>
        <item m="1" x="1219"/>
        <item m="1" x="1355"/>
        <item x="384"/>
        <item x="278"/>
        <item x="385"/>
        <item x="471"/>
        <item m="1" x="2003"/>
        <item x="472"/>
        <item m="1" x="1529"/>
        <item x="691"/>
        <item m="1" x="1101"/>
        <item m="1" x="1340"/>
        <item m="1" x="1035"/>
        <item x="336"/>
        <item x="823"/>
        <item x="978"/>
        <item m="1" x="1273"/>
        <item x="811"/>
        <item m="1" x="1399"/>
        <item x="132"/>
        <item x="663"/>
        <item m="1" x="1149"/>
        <item m="1" x="1955"/>
        <item x="279"/>
        <item x="358"/>
        <item m="1" x="1162"/>
        <item m="1" x="1105"/>
        <item x="84"/>
        <item m="1" x="2185"/>
        <item x="280"/>
        <item x="67"/>
        <item x="711"/>
        <item m="1" x="1822"/>
        <item x="140"/>
        <item x="812"/>
        <item m="1" x="2000"/>
        <item x="359"/>
        <item m="1" x="1551"/>
        <item x="141"/>
        <item m="1" x="1164"/>
        <item m="1" x="1662"/>
        <item x="515"/>
        <item x="282"/>
        <item x="142"/>
        <item m="1" x="1081"/>
        <item m="1" x="1641"/>
        <item m="1" x="2145"/>
        <item x="761"/>
        <item x="143"/>
        <item m="1" x="1988"/>
        <item m="1" x="1607"/>
        <item m="1" x="1732"/>
        <item m="1" x="1939"/>
        <item m="1" x="1150"/>
        <item m="1" x="1794"/>
        <item m="1" x="2062"/>
        <item m="1" x="2134"/>
        <item m="1" x="1423"/>
        <item m="1" x="1389"/>
        <item x="144"/>
        <item x="372"/>
        <item x="847"/>
        <item m="1" x="1580"/>
        <item x="145"/>
        <item m="1" x="2017"/>
        <item m="1" x="1181"/>
        <item m="1" x="1122"/>
        <item m="1" x="1611"/>
        <item x="813"/>
        <item x="625"/>
        <item m="1" x="1353"/>
        <item m="1" x="1612"/>
        <item x="283"/>
        <item x="146"/>
        <item m="1" x="1079"/>
        <item x="360"/>
        <item x="523"/>
        <item m="1" x="1755"/>
        <item x="284"/>
        <item x="814"/>
        <item x="285"/>
        <item m="1" x="2078"/>
        <item m="1" x="1407"/>
        <item x="948"/>
        <item m="1" x="1640"/>
        <item m="1" x="1060"/>
        <item m="1" x="1397"/>
        <item m="1" x="1895"/>
        <item x="166"/>
        <item m="1" x="1851"/>
        <item x="46"/>
        <item x="599"/>
        <item x="42"/>
        <item m="1" x="1694"/>
        <item x="550"/>
        <item m="1" x="1306"/>
        <item m="1" x="1426"/>
        <item x="643"/>
        <item m="1" x="1811"/>
        <item m="1" x="1890"/>
        <item m="1" x="1048"/>
        <item x="913"/>
        <item m="1" x="1637"/>
        <item x="479"/>
        <item m="1" x="1709"/>
        <item x="411"/>
        <item x="337"/>
        <item m="1" x="2093"/>
        <item m="1" x="1154"/>
        <item m="1" x="1883"/>
        <item m="1" x="1361"/>
        <item m="1" x="1143"/>
        <item x="809"/>
        <item x="815"/>
        <item x="626"/>
        <item m="1" x="1203"/>
        <item x="686"/>
        <item m="1" x="1449"/>
        <item m="1" x="1390"/>
        <item m="1" x="1613"/>
        <item m="1" x="2182"/>
        <item x="959"/>
        <item m="1" x="1946"/>
        <item m="1" x="2024"/>
        <item m="1" x="2047"/>
        <item x="810"/>
        <item m="1" x="1409"/>
        <item m="1" x="1564"/>
        <item x="816"/>
        <item m="1" x="2048"/>
        <item m="1" x="1495"/>
        <item x="1"/>
        <item x="19"/>
        <item m="1" x="1422"/>
        <item m="1" x="1364"/>
        <item m="1" x="1790"/>
        <item m="1" x="1515"/>
        <item m="1" x="1658"/>
        <item m="1" x="2137"/>
        <item x="463"/>
        <item m="1" x="1441"/>
        <item x="338"/>
        <item m="1" x="1291"/>
        <item x="664"/>
        <item x="286"/>
        <item x="762"/>
        <item x="817"/>
        <item m="1" x="1786"/>
        <item x="380"/>
        <item x="514"/>
        <item m="1" x="1623"/>
        <item m="1" x="1893"/>
        <item m="1" x="2091"/>
        <item m="1" x="1434"/>
        <item m="1" x="1335"/>
        <item x="170"/>
        <item x="287"/>
        <item x="147"/>
        <item m="1" x="2115"/>
        <item m="1" x="1519"/>
        <item m="1" x="1603"/>
        <item m="1" x="2051"/>
        <item m="1" x="1322"/>
        <item x="116"/>
        <item m="1" x="2052"/>
        <item m="1" x="1036"/>
        <item m="1" x="1400"/>
        <item x="35"/>
        <item m="1" x="1454"/>
        <item m="1" x="1813"/>
        <item x="87"/>
        <item m="1" x="1861"/>
        <item x="77"/>
        <item m="1" x="1833"/>
        <item m="1" x="1616"/>
        <item x="378"/>
        <item x="644"/>
        <item m="1" x="2217"/>
        <item m="1" x="1082"/>
        <item m="1" x="2206"/>
        <item m="1" x="2046"/>
        <item m="1" x="1687"/>
        <item m="1" x="1920"/>
        <item m="1" x="1959"/>
        <item m="1" x="1469"/>
        <item x="109"/>
        <item x="288"/>
        <item x="627"/>
        <item m="1" x="1257"/>
        <item x="804"/>
        <item m="1" x="1280"/>
        <item m="1" x="2053"/>
        <item m="1" x="1376"/>
        <item m="1" x="1124"/>
        <item x="818"/>
        <item m="1" x="1933"/>
        <item x="819"/>
        <item x="3"/>
        <item m="1" x="1332"/>
        <item m="1" x="1152"/>
        <item m="1" x="2006"/>
        <item x="148"/>
        <item m="1" x="1792"/>
        <item x="850"/>
        <item x="339"/>
        <item m="1" x="2031"/>
        <item m="1" x="1516"/>
        <item x="500"/>
        <item m="1" x="1553"/>
        <item m="1" x="1746"/>
        <item m="1" x="1336"/>
        <item m="1" x="1508"/>
        <item m="1" x="1010"/>
        <item m="1" x="1763"/>
        <item m="1" x="1798"/>
        <item m="1" x="1614"/>
        <item x="379"/>
        <item m="1" x="1850"/>
        <item x="289"/>
        <item x="905"/>
        <item m="1" x="1455"/>
        <item x="361"/>
        <item m="1" x="1016"/>
        <item x="712"/>
        <item m="1" x="998"/>
        <item x="259"/>
        <item m="1" x="1158"/>
        <item m="1" x="1583"/>
        <item x="149"/>
        <item m="1" x="1487"/>
        <item m="1" x="1356"/>
        <item m="1" x="1360"/>
        <item x="106"/>
        <item m="1" x="1963"/>
        <item m="1" x="1670"/>
        <item m="1" x="2172"/>
        <item m="1" x="1191"/>
        <item x="290"/>
        <item m="1" x="2204"/>
        <item m="1" x="1051"/>
        <item m="1" x="1063"/>
        <item x="645"/>
        <item x="150"/>
        <item m="1" x="2195"/>
        <item m="1" x="1864"/>
        <item x="357"/>
        <item m="1" x="1848"/>
        <item x="291"/>
        <item m="1" x="1589"/>
        <item m="1" x="2139"/>
        <item x="473"/>
        <item m="1" x="1119"/>
        <item m="1" x="1446"/>
        <item m="1" x="1138"/>
        <item m="1" x="1841"/>
        <item x="851"/>
        <item m="1" x="1921"/>
        <item x="151"/>
        <item m="1" x="1007"/>
        <item x="953"/>
        <item m="1" x="1133"/>
        <item m="1" x="1934"/>
        <item x="597"/>
        <item x="665"/>
        <item x="451"/>
        <item x="373"/>
        <item m="1" x="1627"/>
        <item m="1" x="1657"/>
        <item x="572"/>
        <item x="943"/>
        <item m="1" x="2180"/>
        <item m="1" x="1126"/>
        <item m="1" x="2178"/>
        <item m="1" x="1737"/>
        <item m="1" x="2193"/>
        <item m="1" x="1701"/>
        <item x="152"/>
        <item x="153"/>
        <item x="930"/>
        <item m="1" x="1236"/>
        <item m="1" x="2123"/>
        <item x="679"/>
        <item x="12"/>
        <item m="1" x="1528"/>
        <item m="1" x="1408"/>
        <item m="1" x="1774"/>
        <item m="1" x="1402"/>
        <item m="1" x="1688"/>
        <item m="1" x="1716"/>
        <item x="292"/>
        <item m="1" x="2036"/>
        <item x="427"/>
        <item m="1" x="1429"/>
        <item x="824"/>
        <item m="1" x="1254"/>
        <item x="157"/>
        <item m="1" x="1703"/>
        <item m="1" x="1385"/>
        <item x="158"/>
        <item m="1" x="1717"/>
        <item x="825"/>
        <item x="826"/>
        <item m="1" x="1513"/>
        <item x="70"/>
        <item m="1" x="1413"/>
        <item x="0"/>
        <item m="1" x="1433"/>
        <item x="574"/>
        <item x="159"/>
        <item m="1" x="2201"/>
        <item x="160"/>
        <item x="161"/>
        <item m="1" x="1913"/>
        <item x="162"/>
        <item x="164"/>
        <item m="1" x="1730"/>
        <item x="937"/>
        <item x="165"/>
        <item x="167"/>
        <item x="168"/>
        <item m="1" x="1365"/>
        <item x="169"/>
        <item m="1" x="1665"/>
        <item m="1" x="1018"/>
        <item x="171"/>
        <item m="1" x="1024"/>
        <item m="1" x="1823"/>
        <item x="27"/>
        <item m="1" x="1969"/>
        <item m="1" x="1639"/>
        <item m="1" x="1232"/>
        <item x="172"/>
        <item m="1" x="2005"/>
        <item m="1" x="1311"/>
        <item x="827"/>
        <item x="173"/>
        <item m="1" x="1983"/>
        <item x="174"/>
        <item x="553"/>
        <item m="1" x="1293"/>
        <item m="1" x="1704"/>
        <item x="303"/>
        <item x="175"/>
        <item m="1" x="1622"/>
        <item x="176"/>
        <item m="1" x="1486"/>
        <item m="1" x="1930"/>
        <item m="1" x="1718"/>
        <item m="1" x="1288"/>
        <item x="178"/>
        <item m="1" x="1056"/>
        <item x="179"/>
        <item x="117"/>
        <item x="181"/>
        <item x="182"/>
        <item x="481"/>
        <item m="1" x="1453"/>
        <item x="988"/>
        <item m="1" x="1619"/>
        <item x="183"/>
        <item x="304"/>
        <item x="828"/>
        <item x="184"/>
        <item m="1" x="1980"/>
        <item m="1" x="1359"/>
        <item x="13"/>
        <item m="1" x="1978"/>
        <item x="185"/>
        <item m="1" x="1514"/>
        <item x="186"/>
        <item x="829"/>
        <item x="187"/>
        <item x="830"/>
        <item x="127"/>
        <item x="188"/>
        <item x="831"/>
        <item x="832"/>
        <item m="1" x="1896"/>
        <item m="1" x="1398"/>
        <item m="1" x="1244"/>
        <item m="1" x="1976"/>
        <item m="1" x="1752"/>
        <item x="50"/>
        <item m="1" x="2019"/>
        <item x="89"/>
        <item x="189"/>
        <item x="190"/>
        <item x="833"/>
        <item m="1" x="1005"/>
        <item x="191"/>
        <item x="96"/>
        <item m="1" x="1008"/>
        <item x="177"/>
        <item m="1" x="1818"/>
        <item m="1" x="1911"/>
        <item m="1" x="1797"/>
        <item x="960"/>
        <item m="1" x="2200"/>
        <item m="1" x="1167"/>
        <item m="1" x="1282"/>
        <item x="192"/>
        <item m="1" x="2219"/>
        <item x="193"/>
        <item m="1" x="1772"/>
        <item x="195"/>
        <item m="1" x="1696"/>
        <item x="30"/>
        <item m="1" x="1620"/>
        <item x="180"/>
        <item x="196"/>
        <item m="1" x="2029"/>
        <item m="1" x="1563"/>
        <item m="1" x="1496"/>
        <item x="197"/>
        <item m="1" x="2146"/>
        <item m="1" x="2189"/>
        <item m="1" x="1301"/>
        <item m="1" x="1320"/>
        <item x="198"/>
        <item x="155"/>
        <item m="1" x="1745"/>
        <item m="1" x="1651"/>
        <item m="1" x="1945"/>
        <item x="33"/>
        <item m="1" x="2175"/>
        <item m="1" x="1840"/>
        <item m="1" x="2125"/>
        <item x="200"/>
        <item m="1" x="1324"/>
        <item m="1" x="2156"/>
        <item m="1" x="1887"/>
        <item x="201"/>
        <item m="1" x="2205"/>
        <item m="1" x="1331"/>
        <item m="1" x="1175"/>
        <item x="202"/>
        <item m="1" x="1414"/>
        <item x="203"/>
        <item m="1" x="1714"/>
        <item x="204"/>
        <item x="834"/>
        <item x="205"/>
        <item m="1" x="1970"/>
        <item x="53"/>
        <item m="1" x="1144"/>
        <item m="1" x="1753"/>
        <item x="868"/>
        <item m="1" x="1749"/>
        <item m="1" x="1021"/>
        <item x="206"/>
        <item m="1" x="1941"/>
        <item m="1" x="1601"/>
        <item m="1" x="1503"/>
        <item x="207"/>
        <item m="1" x="2135"/>
        <item x="885"/>
        <item x="981"/>
        <item x="848"/>
        <item x="208"/>
        <item x="210"/>
        <item x="211"/>
        <item m="1" x="1087"/>
        <item m="1" x="1468"/>
        <item m="1" x="1217"/>
        <item m="1" x="1416"/>
        <item x="381"/>
        <item m="1" x="1330"/>
        <item m="1" x="2101"/>
        <item x="958"/>
        <item x="362"/>
        <item x="163"/>
        <item m="1" x="1053"/>
        <item x="835"/>
        <item x="48"/>
        <item x="212"/>
        <item x="836"/>
        <item m="1" x="1547"/>
        <item x="505"/>
        <item m="1" x="1854"/>
        <item x="74"/>
        <item m="1" x="2049"/>
        <item m="1" x="1156"/>
        <item x="213"/>
        <item m="1" x="1467"/>
        <item m="1" x="1062"/>
        <item m="1" x="1476"/>
        <item x="37"/>
        <item m="1" x="1401"/>
        <item x="837"/>
        <item m="1" x="1276"/>
        <item m="1" x="2100"/>
        <item m="1" x="1396"/>
        <item x="214"/>
        <item m="1" x="1178"/>
        <item m="1" x="1677"/>
        <item x="215"/>
        <item x="838"/>
        <item x="839"/>
        <item x="216"/>
        <item m="1" x="1869"/>
        <item x="217"/>
        <item x="218"/>
        <item x="557"/>
        <item m="1" x="1492"/>
        <item m="1" x="1710"/>
        <item m="1" x="2083"/>
        <item x="785"/>
        <item m="1" x="2186"/>
        <item x="950"/>
        <item x="219"/>
        <item m="1" x="1134"/>
        <item x="222"/>
        <item m="1" x="2103"/>
        <item x="220"/>
        <item x="485"/>
        <item x="221"/>
        <item m="1" x="1855"/>
        <item x="224"/>
        <item m="1" x="1702"/>
        <item x="438"/>
        <item x="840"/>
        <item m="1" x="1942"/>
        <item m="1" x="1431"/>
        <item x="841"/>
        <item m="1" x="1186"/>
        <item x="694"/>
        <item m="1" x="1195"/>
        <item x="226"/>
        <item x="58"/>
        <item m="1" x="1686"/>
        <item x="227"/>
        <item m="1" x="1835"/>
        <item x="228"/>
        <item m="1" x="1648"/>
        <item m="1" x="1539"/>
        <item m="1" x="1898"/>
        <item m="1" x="1629"/>
        <item m="1" x="996"/>
        <item m="1" x="1891"/>
        <item x="842"/>
        <item m="1" x="1512"/>
        <item m="1" x="1812"/>
        <item m="1" x="1485"/>
        <item x="229"/>
        <item m="1" x="1537"/>
        <item m="1" x="1638"/>
        <item m="1" x="2168"/>
        <item m="1" x="1074"/>
        <item x="230"/>
        <item x="223"/>
        <item x="902"/>
        <item x="232"/>
        <item m="1" x="1103"/>
        <item x="884"/>
        <item x="233"/>
        <item m="1" x="1369"/>
        <item m="1" x="2183"/>
        <item x="234"/>
        <item m="1" x="1374"/>
        <item x="235"/>
        <item x="843"/>
        <item m="1" x="1394"/>
        <item m="1" x="1378"/>
        <item x="236"/>
        <item m="1" x="1678"/>
        <item m="1" x="1066"/>
        <item x="237"/>
        <item m="1" x="1104"/>
        <item m="1" x="2004"/>
        <item x="844"/>
        <item m="1" x="1821"/>
        <item x="238"/>
        <item m="1" x="1671"/>
        <item x="239"/>
        <item m="1" x="1683"/>
        <item x="16"/>
        <item x="240"/>
        <item x="241"/>
        <item x="242"/>
        <item m="1" x="1727"/>
        <item x="412"/>
        <item m="1" x="1040"/>
        <item m="1" x="1565"/>
        <item m="1" x="1532"/>
        <item m="1" x="1383"/>
        <item x="243"/>
        <item x="244"/>
        <item m="1" x="2069"/>
        <item m="1" x="2202"/>
        <item m="1" x="1632"/>
        <item x="245"/>
        <item m="1" x="1247"/>
        <item m="1" x="1968"/>
        <item m="1" x="1343"/>
        <item x="246"/>
        <item m="1" x="1221"/>
        <item x="72"/>
        <item x="247"/>
        <item m="1" x="1489"/>
        <item m="1" x="1109"/>
        <item x="774"/>
        <item x="249"/>
        <item x="250"/>
        <item m="1" x="1202"/>
        <item m="1" x="1174"/>
        <item m="1" x="1633"/>
        <item m="1" x="1237"/>
        <item x="251"/>
        <item m="1" x="2081"/>
        <item m="1" x="1130"/>
        <item x="263"/>
        <item m="1" x="1908"/>
        <item m="1" x="1967"/>
        <item m="1" x="1117"/>
        <item x="883"/>
        <item m="1" x="1700"/>
        <item x="264"/>
        <item m="1" x="1350"/>
        <item x="293"/>
        <item x="294"/>
        <item x="73"/>
        <item m="1" x="2013"/>
        <item x="295"/>
        <item m="1" x="1050"/>
        <item m="1" x="1870"/>
        <item m="1" x="1747"/>
        <item m="1" x="1092"/>
        <item x="845"/>
        <item x="296"/>
        <item x="297"/>
        <item m="1" x="1135"/>
        <item m="1" x="1501"/>
        <item x="298"/>
        <item x="299"/>
        <item m="1" x="1582"/>
        <item x="300"/>
        <item x="852"/>
        <item m="1" x="1153"/>
        <item m="1" x="1337"/>
        <item m="1" x="1227"/>
        <item m="1" x="1297"/>
        <item x="301"/>
        <item x="903"/>
        <item m="1" x="2012"/>
        <item x="846"/>
        <item m="1" x="1543"/>
        <item m="1" x="1663"/>
        <item m="1" x="1827"/>
        <item x="302"/>
        <item x="209"/>
        <item m="1" x="1950"/>
        <item m="1" x="1621"/>
        <item m="1" x="2021"/>
        <item x="305"/>
        <item x="26"/>
        <item x="306"/>
        <item x="307"/>
        <item x="853"/>
        <item m="1" x="1699"/>
        <item m="1" x="1266"/>
        <item m="1" x="1172"/>
        <item m="1" x="1733"/>
        <item x="308"/>
        <item m="1" x="1957"/>
        <item m="1" x="1820"/>
        <item x="309"/>
        <item x="310"/>
        <item m="1" x="1470"/>
        <item x="34"/>
        <item m="1" x="1357"/>
        <item m="1" x="1521"/>
        <item x="311"/>
        <item m="1" x="2070"/>
        <item m="1" x="1697"/>
        <item m="1" x="1926"/>
        <item m="1" x="1351"/>
        <item x="696"/>
        <item x="855"/>
        <item x="856"/>
        <item x="312"/>
        <item x="313"/>
        <item m="1" x="1756"/>
        <item m="1" x="1965"/>
        <item x="955"/>
        <item m="1" x="1712"/>
        <item x="314"/>
        <item m="1" x="1534"/>
        <item m="1" x="1707"/>
        <item m="1" x="1973"/>
        <item m="1" x="1882"/>
        <item m="1" x="1310"/>
        <item x="315"/>
        <item x="947"/>
        <item x="199"/>
        <item m="1" x="1459"/>
        <item x="985"/>
        <item x="442"/>
        <item m="1" x="2054"/>
        <item x="316"/>
        <item x="606"/>
        <item m="1" x="2107"/>
        <item m="1" x="1842"/>
        <item x="317"/>
        <item m="1" x="1558"/>
        <item m="1" x="1484"/>
        <item m="1" x="1014"/>
        <item m="1" x="1681"/>
        <item x="318"/>
        <item m="1" x="1778"/>
        <item x="41"/>
        <item x="57"/>
        <item m="1" x="1760"/>
        <item x="857"/>
        <item m="1" x="1163"/>
        <item m="1" x="1664"/>
        <item x="321"/>
        <item m="1" x="1952"/>
        <item m="1" x="1858"/>
        <item x="322"/>
        <item m="1" x="1290"/>
        <item m="1" x="1655"/>
        <item m="1" x="2127"/>
        <item m="1" x="1610"/>
        <item x="23"/>
        <item m="1" x="1602"/>
        <item x="323"/>
        <item x="867"/>
        <item x="61"/>
        <item x="858"/>
        <item x="859"/>
        <item m="1" x="2208"/>
        <item m="1" x="1198"/>
        <item x="324"/>
        <item x="860"/>
        <item x="861"/>
        <item x="376"/>
        <item x="326"/>
        <item x="327"/>
        <item m="1" x="1559"/>
        <item x="328"/>
        <item m="1" x="2121"/>
        <item x="329"/>
        <item x="330"/>
        <item m="1" x="2092"/>
        <item m="1" x="1646"/>
        <item m="1" x="1856"/>
        <item x="2"/>
        <item m="1" x="1591"/>
        <item x="331"/>
        <item m="1" x="1999"/>
        <item m="1" x="2034"/>
        <item m="1" x="1807"/>
        <item x="60"/>
        <item x="333"/>
        <item m="1" x="1667"/>
        <item m="1" x="1535"/>
        <item m="1" x="1094"/>
        <item m="1" x="1490"/>
        <item x="646"/>
        <item m="1" x="1262"/>
        <item m="1" x="1708"/>
        <item x="334"/>
        <item m="1" x="2140"/>
        <item x="115"/>
        <item x="194"/>
        <item x="575"/>
        <item x="154"/>
        <item m="1" x="1581"/>
        <item x="340"/>
        <item x="75"/>
        <item m="1" x="2073"/>
        <item m="1" x="1592"/>
        <item m="1" x="1176"/>
        <item m="1" x="1460"/>
        <item x="341"/>
        <item m="1" x="1825"/>
        <item m="1" x="2194"/>
        <item m="1" x="1919"/>
        <item m="1" x="1049"/>
        <item m="1" x="2028"/>
        <item x="112"/>
        <item m="1" x="1634"/>
        <item x="231"/>
        <item x="52"/>
        <item m="1" x="1738"/>
        <item m="1" x="1994"/>
        <item m="1" x="1052"/>
        <item x="397"/>
        <item x="156"/>
        <item m="1" x="1028"/>
        <item m="1" x="1190"/>
        <item m="1" x="1918"/>
        <item x="690"/>
        <item m="1" x="1096"/>
        <item x="402"/>
        <item m="1" x="1041"/>
        <item m="1" x="1368"/>
        <item m="1" x="1764"/>
        <item m="1" x="1141"/>
        <item x="342"/>
        <item m="1" x="2120"/>
        <item x="343"/>
        <item x="659"/>
        <item x="344"/>
        <item m="1" x="1902"/>
        <item x="862"/>
        <item x="345"/>
        <item x="346"/>
        <item m="1" x="1321"/>
        <item x="353"/>
        <item m="1" x="1131"/>
        <item m="1" x="1185"/>
        <item x="351"/>
        <item x="863"/>
        <item x="363"/>
        <item m="1" x="2177"/>
        <item m="1" x="1245"/>
        <item x="864"/>
        <item m="1" x="1782"/>
        <item m="1" x="1047"/>
        <item m="1" x="1299"/>
        <item x="78"/>
        <item m="1" x="2041"/>
        <item x="364"/>
        <item m="1" x="1917"/>
        <item m="1" x="1570"/>
        <item m="1" x="1533"/>
        <item x="367"/>
        <item m="1" x="1304"/>
        <item m="1" x="1204"/>
        <item m="1" x="1465"/>
        <item x="101"/>
        <item m="1" x="1029"/>
        <item x="972"/>
        <item x="88"/>
        <item m="1" x="1897"/>
        <item m="1" x="1037"/>
        <item m="1" x="1636"/>
        <item m="1" x="2060"/>
        <item m="1" x="1344"/>
        <item m="1" x="994"/>
        <item x="365"/>
        <item m="1" x="1348"/>
        <item m="1" x="1531"/>
        <item m="1" x="2008"/>
        <item x="387"/>
        <item x="388"/>
        <item m="1" x="1006"/>
        <item m="1" x="1241"/>
        <item m="1" x="1069"/>
        <item x="10"/>
        <item x="865"/>
        <item m="1" x="1544"/>
        <item x="942"/>
        <item x="389"/>
        <item m="1" x="1899"/>
        <item x="390"/>
        <item x="961"/>
        <item m="1" x="1659"/>
        <item m="1" x="1002"/>
        <item m="1" x="1107"/>
        <item m="1" x="1323"/>
        <item m="1" x="1645"/>
        <item m="1" x="2020"/>
        <item m="1" x="1208"/>
        <item m="1" x="1751"/>
        <item x="969"/>
        <item x="391"/>
        <item m="1" x="1294"/>
        <item m="1" x="1548"/>
        <item m="1" x="2126"/>
        <item m="1" x="1506"/>
        <item m="1" x="1015"/>
        <item m="1" x="1477"/>
        <item m="1" x="2055"/>
        <item m="1" x="2173"/>
        <item x="392"/>
        <item x="613"/>
        <item m="1" x="1003"/>
        <item m="1" x="1259"/>
        <item x="866"/>
        <item x="393"/>
        <item m="1" x="1522"/>
        <item m="1" x="1216"/>
        <item x="394"/>
        <item x="445"/>
        <item m="1" x="1375"/>
        <item m="1" x="2075"/>
        <item x="253"/>
        <item m="1" x="2097"/>
        <item m="1" x="2211"/>
        <item m="1" x="2151"/>
        <item x="413"/>
        <item m="1" x="2109"/>
        <item m="1" x="1642"/>
        <item x="869"/>
        <item m="1" x="1740"/>
        <item m="1" x="2184"/>
        <item m="1" x="1728"/>
        <item m="1" x="1647"/>
        <item m="1" x="1661"/>
        <item m="1" x="1600"/>
        <item x="414"/>
        <item x="464"/>
        <item m="1" x="1116"/>
        <item m="1" x="1538"/>
        <item x="415"/>
        <item x="692"/>
        <item m="1" x="1137"/>
        <item m="1" x="2089"/>
        <item m="1" x="1596"/>
        <item m="1" x="1540"/>
        <item m="1" x="2158"/>
        <item m="1" x="1279"/>
        <item m="1" x="1046"/>
        <item x="931"/>
        <item m="1" x="2050"/>
        <item x="258"/>
        <item m="1" x="1462"/>
        <item m="1" x="2181"/>
        <item m="1" x="1188"/>
        <item m="1" x="1844"/>
        <item m="1" x="1587"/>
        <item x="870"/>
        <item x="417"/>
        <item m="1" x="2141"/>
        <item m="1" x="1775"/>
        <item x="922"/>
        <item m="1" x="1362"/>
        <item m="1" x="1068"/>
        <item m="1" x="1000"/>
        <item x="871"/>
        <item m="1" x="1723"/>
        <item m="1" x="1145"/>
        <item x="872"/>
        <item m="1" x="1444"/>
        <item m="1" x="1915"/>
        <item m="1" x="1974"/>
        <item m="1" x="1736"/>
        <item m="1" x="1784"/>
        <item x="423"/>
        <item m="1" x="1810"/>
        <item x="424"/>
        <item m="1" x="1669"/>
        <item m="1" x="1177"/>
        <item x="963"/>
        <item m="1" x="1033"/>
        <item m="1" x="1578"/>
        <item x="425"/>
        <item m="1" x="2209"/>
        <item m="1" x="1650"/>
        <item m="1" x="2084"/>
        <item m="1" x="1457"/>
        <item x="426"/>
        <item x="873"/>
        <item m="1" x="1224"/>
        <item x="5"/>
        <item m="1" x="1157"/>
        <item x="377"/>
        <item m="1" x="1080"/>
        <item m="1" x="1680"/>
        <item x="748"/>
        <item m="1" x="1298"/>
        <item x="21"/>
        <item x="428"/>
        <item m="1" x="1676"/>
        <item m="1" x="1981"/>
        <item x="429"/>
        <item x="938"/>
        <item x="430"/>
        <item m="1" x="2002"/>
        <item m="1" x="1880"/>
        <item m="1" x="1573"/>
        <item x="979"/>
        <item x="874"/>
        <item m="1" x="1556"/>
        <item m="1" x="2011"/>
        <item m="1" x="2080"/>
        <item x="875"/>
        <item m="1" x="1251"/>
        <item x="749"/>
        <item x="431"/>
        <item m="1" x="1608"/>
        <item m="1" x="1520"/>
        <item m="1" x="2187"/>
        <item m="1" x="1948"/>
        <item m="1" x="1803"/>
        <item m="1" x="1354"/>
        <item m="1" x="1461"/>
        <item x="432"/>
        <item x="433"/>
        <item m="1" x="1440"/>
        <item m="1" x="1729"/>
        <item x="434"/>
        <item m="1" x="2059"/>
        <item x="319"/>
        <item m="1" x="1802"/>
        <item m="1" x="1318"/>
        <item m="1" x="1962"/>
        <item m="1" x="1238"/>
        <item x="849"/>
        <item x="932"/>
        <item m="1" x="1720"/>
        <item x="772"/>
        <item m="1" x="1739"/>
        <item x="435"/>
        <item x="876"/>
        <item x="401"/>
        <item x="92"/>
        <item x="877"/>
        <item x="436"/>
        <item x="437"/>
        <item x="439"/>
        <item x="465"/>
        <item m="1" x="1656"/>
        <item m="1" x="2154"/>
        <item x="440"/>
        <item x="466"/>
        <item x="441"/>
        <item m="1" x="1906"/>
        <item m="1" x="1499"/>
        <item m="1" x="1347"/>
        <item m="1" x="1261"/>
        <item m="1" x="1907"/>
        <item m="1" x="1147"/>
        <item x="443"/>
        <item m="1" x="1566"/>
        <item x="878"/>
        <item m="1" x="1695"/>
        <item m="1" x="1267"/>
        <item m="1" x="1816"/>
        <item m="1" x="1779"/>
        <item m="1" x="1019"/>
        <item x="444"/>
        <item m="1" x="1391"/>
        <item m="1" x="1972"/>
        <item m="1" x="1836"/>
        <item m="1" x="1030"/>
        <item x="933"/>
        <item m="1" x="1168"/>
        <item x="446"/>
        <item m="1" x="1590"/>
        <item x="448"/>
        <item m="1" x="1987"/>
        <item x="452"/>
        <item x="879"/>
        <item x="453"/>
        <item x="454"/>
        <item x="455"/>
        <item x="29"/>
        <item m="1" x="1415"/>
        <item m="1" x="1452"/>
        <item x="945"/>
        <item x="880"/>
        <item m="1" x="1281"/>
        <item m="1" x="1754"/>
        <item x="456"/>
        <item x="457"/>
        <item m="1" x="1125"/>
        <item m="1" x="1511"/>
        <item x="458"/>
        <item x="474"/>
        <item x="475"/>
        <item m="1" x="1199"/>
        <item m="1" x="1061"/>
        <item x="476"/>
        <item x="477"/>
        <item x="881"/>
        <item m="1" x="2014"/>
        <item m="1" x="1817"/>
        <item m="1" x="1319"/>
        <item m="1" x="1071"/>
        <item x="478"/>
        <item m="1" x="1998"/>
        <item m="1" x="1474"/>
        <item m="1" x="1284"/>
        <item m="1" x="2169"/>
        <item x="934"/>
        <item m="1" x="1660"/>
        <item m="1" x="1042"/>
        <item x="480"/>
        <item m="1" x="1140"/>
        <item m="1" x="1831"/>
        <item m="1" x="1148"/>
        <item m="1" x="1265"/>
        <item x="482"/>
        <item m="1" x="1077"/>
        <item m="1" x="1692"/>
        <item m="1" x="1905"/>
        <item m="1" x="1644"/>
        <item x="483"/>
        <item m="1" x="2210"/>
        <item x="484"/>
        <item m="1" x="1843"/>
        <item x="260"/>
        <item x="486"/>
        <item m="1" x="2094"/>
        <item x="487"/>
        <item x="488"/>
        <item x="882"/>
        <item x="489"/>
        <item x="492"/>
        <item x="935"/>
        <item m="1" x="1420"/>
        <item x="493"/>
        <item m="1" x="1643"/>
        <item m="1" x="1626"/>
        <item x="494"/>
        <item m="1" x="1142"/>
        <item m="1" x="1377"/>
        <item m="1" x="1852"/>
        <item x="495"/>
        <item x="496"/>
        <item x="887"/>
        <item m="1" x="1381"/>
        <item x="501"/>
        <item x="967"/>
        <item m="1" x="2067"/>
        <item m="1" x="1868"/>
        <item x="467"/>
        <item m="1" x="2165"/>
        <item m="1" x="1901"/>
        <item x="952"/>
        <item m="1" x="2214"/>
        <item m="1" x="1032"/>
        <item m="1" x="1597"/>
        <item m="1" x="1846"/>
        <item x="968"/>
        <item m="1" x="2112"/>
        <item x="502"/>
        <item x="503"/>
        <item m="1" x="2027"/>
        <item m="1" x="1574"/>
        <item x="504"/>
        <item x="506"/>
        <item x="888"/>
        <item x="944"/>
        <item m="1" x="2138"/>
        <item m="1" x="1270"/>
        <item x="507"/>
        <item m="1" x="1500"/>
        <item m="1" x="1666"/>
        <item m="1" x="1877"/>
        <item m="1" x="1073"/>
        <item m="1" x="1857"/>
        <item m="1" x="1085"/>
        <item m="1" x="1225"/>
        <item m="1" x="2076"/>
        <item m="1" x="1373"/>
        <item x="970"/>
        <item m="1" x="1307"/>
        <item m="1" x="1518"/>
        <item x="889"/>
        <item m="1" x="1316"/>
        <item m="1" x="2088"/>
        <item m="1" x="1552"/>
        <item m="1" x="1342"/>
        <item x="508"/>
        <item m="1" x="1410"/>
        <item m="1" x="1654"/>
        <item x="890"/>
        <item m="1" x="1211"/>
        <item m="1" x="1286"/>
        <item x="509"/>
        <item m="1" x="1317"/>
        <item m="1" x="1577"/>
        <item x="510"/>
        <item m="1" x="2207"/>
        <item x="891"/>
        <item m="1" x="1799"/>
        <item m="1" x="2045"/>
        <item m="1" x="1502"/>
        <item m="1" x="1758"/>
        <item x="511"/>
        <item m="1" x="1475"/>
        <item m="1" x="1839"/>
        <item m="1" x="1305"/>
        <item x="892"/>
        <item x="462"/>
        <item m="1" x="1405"/>
        <item m="1" x="1938"/>
        <item m="1" x="1123"/>
        <item x="598"/>
        <item m="1" x="1253"/>
        <item m="1" x="1128"/>
        <item m="1" x="1975"/>
        <item x="518"/>
        <item x="522"/>
        <item x="225"/>
        <item m="1" x="1724"/>
        <item x="524"/>
        <item x="525"/>
        <item m="1" x="1609"/>
        <item m="1" x="1554"/>
        <item m="1" x="1179"/>
        <item x="526"/>
        <item x="527"/>
        <item m="1" x="1576"/>
        <item x="528"/>
        <item x="776"/>
        <item m="1" x="1624"/>
        <item x="536"/>
        <item m="1" x="1927"/>
        <item m="1" x="1966"/>
        <item m="1" x="999"/>
        <item x="537"/>
        <item m="1" x="1682"/>
        <item m="1" x="1020"/>
        <item m="1" x="1090"/>
        <item m="1" x="1207"/>
        <item m="1" x="1956"/>
        <item x="893"/>
        <item x="538"/>
        <item m="1" x="1031"/>
        <item m="1" x="1205"/>
        <item x="83"/>
        <item m="1" x="1985"/>
        <item m="1" x="1403"/>
        <item m="1" x="1169"/>
        <item x="539"/>
        <item x="366"/>
        <item m="1" x="1044"/>
        <item m="1" x="1722"/>
        <item x="540"/>
        <item m="1" x="2159"/>
        <item m="1" x="1246"/>
        <item m="1" x="1406"/>
        <item x="541"/>
        <item m="1" x="1586"/>
        <item m="1" x="1058"/>
        <item m="1" x="1296"/>
        <item m="1" x="1935"/>
        <item x="974"/>
        <item m="1" x="1936"/>
        <item x="542"/>
        <item m="1" x="1631"/>
        <item m="1" x="1705"/>
        <item m="1" x="1819"/>
        <item x="543"/>
        <item x="99"/>
        <item m="1" x="2122"/>
        <item m="1" x="1161"/>
        <item m="1" x="1214"/>
        <item m="1" x="1443"/>
        <item x="544"/>
        <item x="545"/>
        <item m="1" x="2079"/>
        <item x="490"/>
        <item m="1" x="1260"/>
        <item m="1" x="1009"/>
        <item x="546"/>
        <item m="1" x="1505"/>
        <item m="1" x="1065"/>
        <item m="1" x="1442"/>
        <item m="1" x="2220"/>
        <item x="547"/>
        <item x="894"/>
        <item x="548"/>
        <item m="1" x="1771"/>
        <item x="15"/>
        <item m="1" x="1900"/>
        <item x="901"/>
        <item m="1" x="1424"/>
        <item m="1" x="1326"/>
        <item m="1" x="1735"/>
        <item m="1" x="2068"/>
        <item m="1" x="1523"/>
        <item m="1" x="1192"/>
        <item m="1" x="2136"/>
        <item m="1" x="1884"/>
        <item m="1" x="1059"/>
        <item m="1" x="1308"/>
        <item m="1" x="1242"/>
        <item x="549"/>
        <item m="1" x="1230"/>
        <item x="551"/>
        <item m="1" x="1471"/>
        <item x="552"/>
        <item m="1" x="1550"/>
        <item m="1" x="1287"/>
        <item x="554"/>
        <item m="1" x="1904"/>
        <item x="399"/>
        <item x="555"/>
        <item m="1" x="1953"/>
        <item x="556"/>
        <item m="1" x="2026"/>
        <item m="1" x="1674"/>
        <item m="1" x="1448"/>
        <item x="558"/>
        <item m="1" x="2216"/>
        <item x="895"/>
        <item m="1" x="1809"/>
        <item m="1" x="1013"/>
        <item x="559"/>
        <item x="560"/>
        <item x="561"/>
        <item m="1" x="1309"/>
        <item m="1" x="1170"/>
        <item x="562"/>
        <item x="563"/>
        <item x="962"/>
        <item m="1" x="1711"/>
        <item x="758"/>
        <item m="1" x="1283"/>
        <item m="1" x="1741"/>
        <item m="1" x="1954"/>
        <item m="1" x="1588"/>
        <item x="989"/>
        <item m="1" x="1102"/>
        <item x="936"/>
        <item m="1" x="1996"/>
        <item m="1" x="1605"/>
        <item m="1" x="1777"/>
        <item m="1" x="1447"/>
        <item m="1" x="1243"/>
        <item m="1" x="1303"/>
        <item x="896"/>
        <item m="1" x="2213"/>
        <item m="1" x="2188"/>
        <item m="1" x="1826"/>
        <item m="1" x="2087"/>
        <item x="973"/>
        <item m="1" x="1865"/>
        <item m="1" x="1734"/>
        <item m="1" x="1989"/>
        <item m="1" x="1922"/>
        <item x="775"/>
        <item x="957"/>
        <item x="982"/>
        <item m="1" x="1892"/>
        <item x="565"/>
        <item m="1" x="1372"/>
        <item m="1" x="1456"/>
        <item m="1" x="1313"/>
        <item m="1" x="1436"/>
        <item m="1" x="1075"/>
        <item m="1" x="2190"/>
        <item m="1" x="1829"/>
        <item x="261"/>
        <item x="566"/>
        <item m="1" x="1387"/>
        <item m="1" x="1788"/>
        <item m="1" x="2058"/>
        <item m="1" x="1673"/>
        <item m="1" x="1183"/>
        <item x="567"/>
        <item m="1" x="1679"/>
        <item m="1" x="1235"/>
        <item x="568"/>
        <item m="1" x="1328"/>
        <item m="1" x="1545"/>
        <item m="1" x="2124"/>
        <item m="1" x="1845"/>
        <item m="1" x="2056"/>
        <item m="1" x="1599"/>
        <item m="1" x="1038"/>
        <item m="1" x="1302"/>
        <item m="1" x="1958"/>
        <item m="1" x="1367"/>
        <item m="1" x="1793"/>
        <item x="897"/>
        <item x="984"/>
        <item m="1" x="1419"/>
        <item m="1" x="2191"/>
        <item m="1" x="1838"/>
        <item m="1" x="2016"/>
        <item x="898"/>
        <item m="1" x="1796"/>
        <item m="1" x="2098"/>
        <item x="386"/>
        <item x="965"/>
        <item m="1" x="1395"/>
        <item m="1" x="1478"/>
        <item x="899"/>
        <item x="573"/>
        <item x="578"/>
        <item x="579"/>
        <item m="1" x="1250"/>
        <item x="580"/>
        <item m="1" x="2018"/>
        <item x="900"/>
        <item m="1" x="1992"/>
        <item x="820"/>
        <item x="904"/>
        <item x="569"/>
        <item x="956"/>
        <item x="581"/>
        <item x="906"/>
        <item x="59"/>
        <item m="1" x="2114"/>
        <item m="1" x="1182"/>
        <item x="582"/>
        <item x="108"/>
        <item m="1" x="1363"/>
        <item x="583"/>
        <item m="1" x="1234"/>
        <item m="1" x="2057"/>
        <item x="584"/>
        <item m="1" x="2108"/>
        <item x="941"/>
        <item x="585"/>
        <item m="1" x="1986"/>
        <item m="1" x="1472"/>
        <item m="1" x="1349"/>
        <item x="586"/>
        <item x="468"/>
        <item x="516"/>
        <item x="529"/>
        <item m="1" x="1604"/>
        <item m="1" x="1541"/>
        <item x="587"/>
        <item m="1" x="1371"/>
        <item x="699"/>
        <item m="1" x="1863"/>
        <item m="1" x="2099"/>
        <item m="1" x="1713"/>
        <item m="1" x="1618"/>
        <item x="588"/>
        <item x="589"/>
        <item m="1" x="2113"/>
        <item m="1" x="1526"/>
        <item m="1" x="1289"/>
        <item m="1" x="1345"/>
        <item x="564"/>
        <item m="1" x="1910"/>
        <item x="980"/>
        <item x="689"/>
        <item m="1" x="1312"/>
        <item m="1" x="1510"/>
        <item m="1" x="1693"/>
        <item x="590"/>
        <item x="986"/>
        <item x="110"/>
        <item m="1" x="1768"/>
        <item m="1" x="1598"/>
        <item m="1" x="1595"/>
        <item x="94"/>
        <item x="600"/>
        <item m="1" x="1258"/>
        <item x="601"/>
        <item m="1" x="1027"/>
        <item x="602"/>
        <item x="603"/>
        <item x="604"/>
        <item m="1" x="1773"/>
        <item m="1" x="2038"/>
        <item m="1" x="1791"/>
        <item x="517"/>
        <item m="1" x="2198"/>
        <item x="605"/>
        <item x="607"/>
        <item x="608"/>
        <item x="656"/>
        <item m="1" x="1990"/>
        <item x="609"/>
        <item m="1" x="1189"/>
        <item x="610"/>
        <item m="1" x="1628"/>
        <item m="1" x="2001"/>
        <item x="611"/>
        <item m="1" x="1698"/>
        <item x="612"/>
        <item m="1" x="1912"/>
        <item x="614"/>
        <item m="1" x="1084"/>
        <item m="1" x="1615"/>
        <item m="1" x="1043"/>
        <item x="971"/>
        <item m="1" x="1569"/>
        <item x="615"/>
        <item x="616"/>
        <item m="1" x="1894"/>
        <item m="1" x="2082"/>
        <item x="617"/>
        <item m="1" x="1977"/>
        <item m="1" x="1086"/>
        <item x="628"/>
        <item m="1" x="1034"/>
        <item x="629"/>
        <item x="630"/>
        <item m="1" x="2128"/>
        <item x="631"/>
        <item m="1" x="2102"/>
        <item m="1" x="1269"/>
        <item m="1" x="2043"/>
        <item x="7"/>
        <item x="632"/>
        <item x="633"/>
        <item x="354"/>
        <item m="1" x="1572"/>
        <item m="1" x="1463"/>
        <item x="634"/>
        <item m="1" x="1327"/>
        <item x="44"/>
        <item m="1" x="1853"/>
        <item x="416"/>
        <item m="1" x="1885"/>
        <item m="1" x="1560"/>
        <item x="491"/>
        <item m="1" x="2111"/>
        <item m="1" x="2035"/>
        <item x="635"/>
        <item x="636"/>
        <item m="1" x="2022"/>
        <item m="1" x="1358"/>
        <item x="637"/>
        <item m="1" x="1173"/>
        <item x="907"/>
        <item m="1" x="1652"/>
        <item m="1" x="2096"/>
        <item x="638"/>
        <item m="1" x="1483"/>
        <item x="91"/>
        <item x="11"/>
        <item x="639"/>
        <item m="1" x="1292"/>
        <item m="1" x="1874"/>
        <item x="82"/>
        <item m="1" x="1435"/>
        <item m="1" x="1272"/>
        <item m="1" x="1555"/>
        <item x="51"/>
        <item x="374"/>
        <item x="647"/>
        <item x="648"/>
        <item x="400"/>
        <item m="1" x="2148"/>
        <item x="650"/>
        <item m="1" x="1909"/>
        <item m="1" x="1606"/>
        <item m="1" x="1787"/>
        <item x="651"/>
        <item m="1" x="1748"/>
        <item m="1" x="2007"/>
        <item x="652"/>
        <item m="1" x="1849"/>
        <item x="653"/>
        <item m="1" x="1943"/>
        <item x="908"/>
        <item x="654"/>
        <item x="655"/>
        <item x="36"/>
        <item x="946"/>
        <item x="395"/>
        <item m="1" x="1136"/>
        <item x="17"/>
        <item m="1" x="1546"/>
        <item x="657"/>
        <item x="909"/>
        <item m="1" x="2074"/>
        <item x="320"/>
        <item x="658"/>
        <item x="85"/>
        <item x="86"/>
        <item m="1" x="1715"/>
        <item m="1" x="1388"/>
        <item x="65"/>
        <item x="940"/>
        <item m="1" x="1937"/>
        <item x="661"/>
        <item m="1" x="1929"/>
        <item m="1" x="2072"/>
        <item m="1" x="1314"/>
        <item m="1" x="1097"/>
        <item m="1" x="1830"/>
        <item m="1" x="1984"/>
        <item x="662"/>
        <item x="666"/>
        <item m="1" x="1025"/>
        <item m="1" x="1765"/>
        <item m="1" x="1567"/>
        <item m="1" x="1088"/>
        <item x="80"/>
        <item m="1" x="1201"/>
        <item x="667"/>
        <item x="668"/>
        <item x="669"/>
        <item m="1" x="1635"/>
        <item m="1" x="1706"/>
        <item m="1" x="1886"/>
        <item m="1" x="1491"/>
        <item x="670"/>
        <item x="671"/>
        <item x="104"/>
        <item m="1" x="1417"/>
        <item m="1" x="1418"/>
        <item m="1" x="1108"/>
        <item x="987"/>
        <item x="672"/>
        <item x="910"/>
        <item x="673"/>
        <item x="911"/>
        <item x="38"/>
        <item x="674"/>
        <item x="912"/>
        <item m="1" x="1194"/>
        <item x="530"/>
        <item x="6"/>
        <item m="1" x="1961"/>
        <item x="675"/>
        <item m="1" x="1165"/>
        <item m="1" x="1876"/>
        <item m="1" x="1866"/>
        <item x="676"/>
        <item m="1" x="1095"/>
        <item x="69"/>
        <item x="680"/>
        <item m="1" x="1509"/>
        <item m="1" x="1617"/>
        <item m="1" x="1815"/>
        <item m="1" x="2163"/>
        <item x="681"/>
        <item m="1" x="1200"/>
        <item m="1" x="1481"/>
        <item x="914"/>
        <item x="512"/>
        <item m="1" x="1277"/>
        <item x="103"/>
        <item m="1" x="1668"/>
        <item m="1" x="1536"/>
        <item m="1" x="1923"/>
        <item m="1" x="1184"/>
        <item m="1" x="1785"/>
        <item x="255"/>
        <item x="682"/>
        <item x="915"/>
        <item m="1" x="1213"/>
        <item m="1" x="1339"/>
        <item x="949"/>
        <item x="98"/>
        <item m="1" x="1146"/>
        <item x="66"/>
        <item m="1" x="1944"/>
        <item x="683"/>
        <item m="1" x="995"/>
        <item m="1" x="1083"/>
        <item x="469"/>
        <item x="685"/>
        <item m="1" x="2090"/>
        <item m="1" x="1240"/>
        <item x="447"/>
        <item x="519"/>
        <item m="1" x="1017"/>
        <item x="695"/>
        <item x="916"/>
        <item x="375"/>
        <item m="1" x="1263"/>
        <item m="1" x="1045"/>
        <item m="1" x="1517"/>
        <item m="1" x="1341"/>
        <item m="1" x="1770"/>
        <item m="1" x="1871"/>
        <item m="1" x="1585"/>
        <item x="697"/>
        <item x="917"/>
        <item m="1" x="1766"/>
        <item m="1" x="1329"/>
        <item x="698"/>
        <item m="1" x="1575"/>
        <item x="325"/>
        <item m="1" x="1488"/>
        <item x="660"/>
        <item x="700"/>
        <item m="1" x="1001"/>
        <item x="702"/>
        <item m="1" x="2152"/>
        <item m="1" x="2066"/>
        <item x="703"/>
        <item x="886"/>
        <item x="990"/>
        <item m="1" x="1228"/>
        <item x="918"/>
        <item x="262"/>
        <item x="713"/>
        <item x="714"/>
        <item m="1" x="1561"/>
        <item m="1" x="1804"/>
        <item x="919"/>
        <item x="920"/>
        <item m="1" x="1393"/>
        <item m="1" x="2150"/>
        <item x="715"/>
        <item m="1" x="1057"/>
        <item x="382"/>
        <item x="248"/>
        <item x="716"/>
        <item m="1" x="1275"/>
        <item x="717"/>
        <item m="1" x="2119"/>
        <item x="701"/>
        <item m="1" x="1808"/>
        <item m="1" x="1971"/>
        <item x="90"/>
        <item m="1" x="1557"/>
        <item x="718"/>
        <item m="1" x="1530"/>
        <item x="40"/>
        <item m="1" x="1226"/>
        <item m="1" x="1725"/>
        <item m="1" x="1498"/>
        <item m="1" x="1239"/>
        <item x="719"/>
        <item m="1" x="1229"/>
        <item m="1" x="2157"/>
        <item x="921"/>
        <item m="1" x="2149"/>
        <item x="720"/>
        <item x="68"/>
        <item m="1" x="1196"/>
        <item m="1" x="1801"/>
        <item m="1" x="1860"/>
        <item m="1" x="1931"/>
        <item x="966"/>
        <item x="64"/>
        <item m="1" x="1979"/>
        <item m="1" x="1334"/>
        <item m="1" x="2196"/>
        <item x="760"/>
        <item m="1" x="2086"/>
        <item m="1" x="1571"/>
        <item m="1" x="2212"/>
        <item x="721"/>
        <item m="1" x="2065"/>
        <item m="1" x="1212"/>
        <item x="722"/>
        <item m="1" x="2153"/>
        <item m="1" x="2147"/>
        <item m="1" x="1268"/>
        <item m="1" x="2170"/>
        <item m="1" x="1562"/>
        <item x="923"/>
        <item x="723"/>
        <item m="1" x="1274"/>
        <item m="1" x="1118"/>
        <item m="1" x="1166"/>
        <item x="924"/>
        <item x="925"/>
        <item x="22"/>
        <item m="1" x="1210"/>
        <item m="1" x="1421"/>
        <item x="724"/>
        <item x="926"/>
        <item x="725"/>
        <item x="28"/>
        <item x="726"/>
        <item x="114"/>
        <item m="1" x="1099"/>
        <item x="727"/>
        <item x="759"/>
        <item x="728"/>
        <item x="729"/>
        <item m="1" x="1726"/>
        <item x="693"/>
        <item x="730"/>
        <item x="332"/>
        <item m="1" x="1249"/>
        <item x="731"/>
        <item x="63"/>
        <item m="1" x="1859"/>
        <item m="1" x="1497"/>
        <item m="1" x="1120"/>
        <item x="732"/>
        <item x="396"/>
        <item m="1" x="1218"/>
        <item m="1" x="1964"/>
        <item m="1" x="1370"/>
        <item x="55"/>
        <item m="1" x="1759"/>
        <item m="1" x="1012"/>
        <item m="1" x="2117"/>
        <item x="746"/>
        <item m="1" x="1783"/>
        <item x="733"/>
        <item x="734"/>
        <item m="1" x="1427"/>
        <item x="368"/>
        <item m="1" x="1828"/>
        <item x="735"/>
        <item x="927"/>
        <item m="1" x="2037"/>
        <item x="18"/>
        <item m="1" x="1209"/>
        <item m="1" x="2025"/>
        <item x="736"/>
        <item m="1" x="2199"/>
        <item x="352"/>
        <item m="1" x="1832"/>
        <item x="592"/>
        <item x="14"/>
        <item x="684"/>
        <item x="39"/>
        <item m="1" x="1430"/>
        <item m="1" x="2015"/>
        <item x="71"/>
        <item x="79"/>
        <item x="47"/>
        <item x="688"/>
        <item m="1" x="1466"/>
        <item m="1" x="1072"/>
        <item m="1" x="1295"/>
        <item x="737"/>
        <item m="1" x="2110"/>
        <item m="1" x="1180"/>
        <item m="1" x="1504"/>
        <item m="1" x="2071"/>
        <item x="983"/>
        <item x="738"/>
        <item x="470"/>
        <item x="739"/>
        <item x="740"/>
        <item x="741"/>
        <item x="928"/>
        <item m="1" x="2179"/>
        <item x="742"/>
        <item m="1" x="1187"/>
        <item x="520"/>
        <item x="118"/>
        <item m="1" x="1064"/>
        <item m="1" x="1450"/>
        <item m="1" x="1873"/>
        <item x="743"/>
        <item m="1" x="2160"/>
        <item x="744"/>
        <item m="1" x="1744"/>
        <item x="745"/>
        <item m="1" x="1078"/>
        <item x="750"/>
        <item m="1" x="2063"/>
        <item x="751"/>
        <item x="752"/>
        <item m="1" x="2142"/>
        <item m="1" x="1834"/>
        <item m="1" x="1997"/>
        <item x="753"/>
        <item x="8"/>
        <item m="1" x="1004"/>
        <item x="754"/>
        <item x="784"/>
        <item x="755"/>
        <item m="1" x="2166"/>
        <item x="793"/>
        <item x="756"/>
        <item m="1" x="1524"/>
        <item x="25"/>
        <item x="521"/>
        <item m="1" x="1285"/>
        <item x="757"/>
        <item x="649"/>
        <item x="929"/>
        <item m="1" x="1903"/>
        <item x="992"/>
        <item m="1" x="1932"/>
        <item x="531"/>
        <item x="747"/>
        <item m="1" x="1494"/>
        <item m="1" x="1100"/>
        <item x="763"/>
        <item m="1" x="1879"/>
        <item x="764"/>
        <item m="1" x="2030"/>
        <item m="1" x="1432"/>
        <item x="765"/>
        <item m="1" x="1151"/>
        <item x="993"/>
        <item m="1" x="1139"/>
        <item x="766"/>
        <item x="398"/>
        <item x="9"/>
        <item x="93"/>
        <item x="767"/>
        <item x="768"/>
        <item m="1" x="1806"/>
        <item x="769"/>
        <item x="770"/>
        <item x="771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x="5"/>
        <item x="2"/>
        <item x="4"/>
        <item x="1"/>
        <item x="0"/>
        <item x="3"/>
        <item m="1" x="7"/>
        <item m="1" x="10"/>
        <item m="1" x="8"/>
        <item x="6"/>
        <item t="default"/>
      </items>
    </pivotField>
    <pivotField showAll="0"/>
    <pivotField showAll="0"/>
    <pivotField axis="axisPage" multipleItemSelectionAllowed="1" showAll="0">
      <items count="12">
        <item h="1" x="1"/>
        <item x="3"/>
        <item h="1" x="0"/>
        <item h="1" x="2"/>
        <item h="1" m="1" x="9"/>
        <item h="1" m="1" x="5"/>
        <item h="1" m="1" x="8"/>
        <item h="1" m="1" x="10"/>
        <item h="1" m="1" x="7"/>
        <item h="1" m="1" x="4"/>
        <item h="1" m="1" x="6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8"/>
        <item x="3"/>
        <item m="1" x="12"/>
        <item x="10"/>
        <item m="1" x="13"/>
        <item m="1" x="14"/>
        <item x="5"/>
        <item x="7"/>
        <item m="1" x="15"/>
        <item x="2"/>
        <item m="1" x="16"/>
        <item x="4"/>
        <item x="0"/>
        <item m="1" x="11"/>
        <item x="9"/>
        <item m="1" x="17"/>
        <item x="1"/>
        <item x="6"/>
        <item t="default"/>
      </items>
    </pivotField>
    <pivotField showAll="0"/>
    <pivotField showAll="0"/>
    <pivotField showAll="0"/>
    <pivotField showAll="0"/>
  </pivotFields>
  <rowFields count="1">
    <field x="6"/>
  </rowFields>
  <rowItems count="737">
    <i>
      <x/>
    </i>
    <i>
      <x v="9"/>
    </i>
    <i>
      <x v="12"/>
    </i>
    <i>
      <x v="15"/>
    </i>
    <i>
      <x v="29"/>
    </i>
    <i>
      <x v="31"/>
    </i>
    <i>
      <x v="32"/>
    </i>
    <i>
      <x v="33"/>
    </i>
    <i>
      <x v="34"/>
    </i>
    <i>
      <x v="36"/>
    </i>
    <i>
      <x v="45"/>
    </i>
    <i>
      <x v="47"/>
    </i>
    <i>
      <x v="48"/>
    </i>
    <i>
      <x v="49"/>
    </i>
    <i>
      <x v="50"/>
    </i>
    <i>
      <x v="54"/>
    </i>
    <i>
      <x v="57"/>
    </i>
    <i>
      <x v="58"/>
    </i>
    <i>
      <x v="59"/>
    </i>
    <i>
      <x v="61"/>
    </i>
    <i>
      <x v="62"/>
    </i>
    <i>
      <x v="63"/>
    </i>
    <i>
      <x v="66"/>
    </i>
    <i>
      <x v="67"/>
    </i>
    <i>
      <x v="68"/>
    </i>
    <i>
      <x v="70"/>
    </i>
    <i>
      <x v="76"/>
    </i>
    <i>
      <x v="78"/>
    </i>
    <i>
      <x v="81"/>
    </i>
    <i>
      <x v="82"/>
    </i>
    <i>
      <x v="84"/>
    </i>
    <i>
      <x v="85"/>
    </i>
    <i>
      <x v="86"/>
    </i>
    <i>
      <x v="87"/>
    </i>
    <i>
      <x v="89"/>
    </i>
    <i>
      <x v="90"/>
    </i>
    <i>
      <x v="92"/>
    </i>
    <i>
      <x v="95"/>
    </i>
    <i>
      <x v="98"/>
    </i>
    <i>
      <x v="101"/>
    </i>
    <i>
      <x v="104"/>
    </i>
    <i>
      <x v="107"/>
    </i>
    <i>
      <x v="108"/>
    </i>
    <i>
      <x v="116"/>
    </i>
    <i>
      <x v="120"/>
    </i>
    <i>
      <x v="121"/>
    </i>
    <i>
      <x v="123"/>
    </i>
    <i>
      <x v="124"/>
    </i>
    <i>
      <x v="126"/>
    </i>
    <i>
      <x v="128"/>
    </i>
    <i>
      <x v="130"/>
    </i>
    <i>
      <x v="135"/>
    </i>
    <i>
      <x v="136"/>
    </i>
    <i>
      <x v="137"/>
    </i>
    <i>
      <x v="139"/>
    </i>
    <i>
      <x v="144"/>
    </i>
    <i>
      <x v="146"/>
    </i>
    <i>
      <x v="148"/>
    </i>
    <i>
      <x v="150"/>
    </i>
    <i>
      <x v="151"/>
    </i>
    <i>
      <x v="166"/>
    </i>
    <i>
      <x v="167"/>
    </i>
    <i>
      <x v="172"/>
    </i>
    <i>
      <x v="173"/>
    </i>
    <i>
      <x v="181"/>
    </i>
    <i>
      <x v="187"/>
    </i>
    <i>
      <x v="192"/>
    </i>
    <i>
      <x v="194"/>
    </i>
    <i>
      <x v="198"/>
    </i>
    <i>
      <x v="203"/>
    </i>
    <i>
      <x v="204"/>
    </i>
    <i>
      <x v="205"/>
    </i>
    <i>
      <x v="206"/>
    </i>
    <i>
      <x v="207"/>
    </i>
    <i>
      <x v="209"/>
    </i>
    <i>
      <x v="211"/>
    </i>
    <i>
      <x v="212"/>
    </i>
    <i>
      <x v="213"/>
    </i>
    <i>
      <x v="214"/>
    </i>
    <i>
      <x v="220"/>
    </i>
    <i>
      <x v="223"/>
    </i>
    <i>
      <x v="225"/>
    </i>
    <i>
      <x v="227"/>
    </i>
    <i>
      <x v="228"/>
    </i>
    <i>
      <x v="240"/>
    </i>
    <i>
      <x v="243"/>
    </i>
    <i>
      <x v="245"/>
    </i>
    <i>
      <x v="249"/>
    </i>
    <i>
      <x v="252"/>
    </i>
    <i>
      <x v="257"/>
    </i>
    <i>
      <x v="263"/>
    </i>
    <i>
      <x v="265"/>
    </i>
    <i>
      <x v="270"/>
    </i>
    <i>
      <x v="274"/>
    </i>
    <i>
      <x v="278"/>
    </i>
    <i>
      <x v="280"/>
    </i>
    <i>
      <x v="284"/>
    </i>
    <i>
      <x v="287"/>
    </i>
    <i>
      <x v="289"/>
    </i>
    <i>
      <x v="291"/>
    </i>
    <i>
      <x v="292"/>
    </i>
    <i>
      <x v="294"/>
    </i>
    <i>
      <x v="299"/>
    </i>
    <i>
      <x v="300"/>
    </i>
    <i>
      <x v="302"/>
    </i>
    <i>
      <x v="303"/>
    </i>
    <i>
      <x v="305"/>
    </i>
    <i>
      <x v="307"/>
    </i>
    <i>
      <x v="308"/>
    </i>
    <i>
      <x v="309"/>
    </i>
    <i>
      <x v="310"/>
    </i>
    <i>
      <x v="311"/>
    </i>
    <i>
      <x v="312"/>
    </i>
    <i>
      <x v="316"/>
    </i>
    <i>
      <x v="319"/>
    </i>
    <i>
      <x v="323"/>
    </i>
    <i>
      <x v="324"/>
    </i>
    <i>
      <x v="326"/>
    </i>
    <i>
      <x v="332"/>
    </i>
    <i>
      <x v="335"/>
    </i>
    <i>
      <x v="336"/>
    </i>
    <i>
      <x v="338"/>
    </i>
    <i>
      <x v="341"/>
    </i>
    <i>
      <x v="342"/>
    </i>
    <i>
      <x v="344"/>
    </i>
    <i>
      <x v="348"/>
    </i>
    <i>
      <x v="349"/>
    </i>
    <i>
      <x v="350"/>
    </i>
    <i>
      <x v="351"/>
    </i>
    <i>
      <x v="353"/>
    </i>
    <i>
      <x v="359"/>
    </i>
    <i>
      <x v="360"/>
    </i>
    <i>
      <x v="361"/>
    </i>
    <i>
      <x v="363"/>
    </i>
    <i>
      <x v="365"/>
    </i>
    <i>
      <x v="366"/>
    </i>
    <i>
      <x v="369"/>
    </i>
    <i>
      <x v="375"/>
    </i>
    <i>
      <x v="376"/>
    </i>
    <i>
      <x v="377"/>
    </i>
    <i>
      <x v="379"/>
    </i>
    <i>
      <x v="380"/>
    </i>
    <i>
      <x v="384"/>
    </i>
    <i>
      <x v="387"/>
    </i>
    <i>
      <x v="388"/>
    </i>
    <i>
      <x v="393"/>
    </i>
    <i>
      <x v="394"/>
    </i>
    <i>
      <x v="405"/>
    </i>
    <i>
      <x v="406"/>
    </i>
    <i>
      <x v="409"/>
    </i>
    <i>
      <x v="414"/>
    </i>
    <i>
      <x v="415"/>
    </i>
    <i>
      <x v="418"/>
    </i>
    <i>
      <x v="419"/>
    </i>
    <i>
      <x v="424"/>
    </i>
    <i>
      <x v="425"/>
    </i>
    <i>
      <x v="426"/>
    </i>
    <i>
      <x v="429"/>
    </i>
    <i>
      <x v="440"/>
    </i>
    <i>
      <x v="443"/>
    </i>
    <i>
      <x v="449"/>
    </i>
    <i>
      <x v="451"/>
    </i>
    <i>
      <x v="452"/>
    </i>
    <i>
      <x v="459"/>
    </i>
    <i>
      <x v="460"/>
    </i>
    <i>
      <x v="467"/>
    </i>
    <i>
      <x v="471"/>
    </i>
    <i>
      <x v="474"/>
    </i>
    <i>
      <x v="487"/>
    </i>
    <i>
      <x v="489"/>
    </i>
    <i>
      <x v="490"/>
    </i>
    <i>
      <x v="491"/>
    </i>
    <i>
      <x v="492"/>
    </i>
    <i>
      <x v="501"/>
    </i>
    <i>
      <x v="502"/>
    </i>
    <i>
      <x v="503"/>
    </i>
    <i>
      <x v="518"/>
    </i>
    <i>
      <x v="521"/>
    </i>
    <i>
      <x v="522"/>
    </i>
    <i>
      <x v="532"/>
    </i>
    <i>
      <x v="533"/>
    </i>
    <i>
      <x v="540"/>
    </i>
    <i>
      <x v="542"/>
    </i>
    <i>
      <x v="547"/>
    </i>
    <i>
      <x v="550"/>
    </i>
    <i>
      <x v="553"/>
    </i>
    <i>
      <x v="562"/>
    </i>
    <i>
      <x v="564"/>
    </i>
    <i>
      <x v="569"/>
    </i>
    <i>
      <x v="571"/>
    </i>
    <i>
      <x v="583"/>
    </i>
    <i>
      <x v="587"/>
    </i>
    <i>
      <x v="588"/>
    </i>
    <i>
      <x v="591"/>
    </i>
    <i>
      <x v="593"/>
    </i>
    <i>
      <x v="596"/>
    </i>
    <i>
      <x v="603"/>
    </i>
    <i>
      <x v="605"/>
    </i>
    <i>
      <x v="608"/>
    </i>
    <i>
      <x v="609"/>
    </i>
    <i>
      <x v="610"/>
    </i>
    <i>
      <x v="611"/>
    </i>
    <i>
      <x v="614"/>
    </i>
    <i>
      <x v="622"/>
    </i>
    <i>
      <x v="623"/>
    </i>
    <i>
      <x v="627"/>
    </i>
    <i>
      <x v="628"/>
    </i>
    <i>
      <x v="635"/>
    </i>
    <i>
      <x v="639"/>
    </i>
    <i>
      <x v="641"/>
    </i>
    <i>
      <x v="644"/>
    </i>
    <i>
      <x v="646"/>
    </i>
    <i>
      <x v="647"/>
    </i>
    <i>
      <x v="653"/>
    </i>
    <i>
      <x v="656"/>
    </i>
    <i>
      <x v="657"/>
    </i>
    <i>
      <x v="659"/>
    </i>
    <i>
      <x v="660"/>
    </i>
    <i>
      <x v="662"/>
    </i>
    <i>
      <x v="663"/>
    </i>
    <i>
      <x v="667"/>
    </i>
    <i>
      <x v="670"/>
    </i>
    <i>
      <x v="677"/>
    </i>
    <i>
      <x v="680"/>
    </i>
    <i>
      <x v="681"/>
    </i>
    <i>
      <x v="683"/>
    </i>
    <i>
      <x v="687"/>
    </i>
    <i>
      <x v="688"/>
    </i>
    <i>
      <x v="690"/>
    </i>
    <i>
      <x v="695"/>
    </i>
    <i>
      <x v="697"/>
    </i>
    <i>
      <x v="698"/>
    </i>
    <i>
      <x v="699"/>
    </i>
    <i>
      <x v="700"/>
    </i>
    <i>
      <x v="703"/>
    </i>
    <i>
      <x v="705"/>
    </i>
    <i>
      <x v="706"/>
    </i>
    <i>
      <x v="707"/>
    </i>
    <i>
      <x v="708"/>
    </i>
    <i>
      <x v="711"/>
    </i>
    <i>
      <x v="713"/>
    </i>
    <i>
      <x v="715"/>
    </i>
    <i>
      <x v="716"/>
    </i>
    <i>
      <x v="717"/>
    </i>
    <i>
      <x v="718"/>
    </i>
    <i>
      <x v="720"/>
    </i>
    <i>
      <x v="721"/>
    </i>
    <i>
      <x v="722"/>
    </i>
    <i>
      <x v="731"/>
    </i>
    <i>
      <x v="732"/>
    </i>
    <i>
      <x v="733"/>
    </i>
    <i>
      <x v="738"/>
    </i>
    <i>
      <x v="742"/>
    </i>
    <i>
      <x v="746"/>
    </i>
    <i>
      <x v="748"/>
    </i>
    <i>
      <x v="750"/>
    </i>
    <i>
      <x v="755"/>
    </i>
    <i>
      <x v="759"/>
    </i>
    <i>
      <x v="764"/>
    </i>
    <i>
      <x v="765"/>
    </i>
    <i>
      <x v="773"/>
    </i>
    <i>
      <x v="781"/>
    </i>
    <i>
      <x v="783"/>
    </i>
    <i>
      <x v="785"/>
    </i>
    <i>
      <x v="786"/>
    </i>
    <i>
      <x v="787"/>
    </i>
    <i>
      <x v="795"/>
    </i>
    <i>
      <x v="799"/>
    </i>
    <i>
      <x v="801"/>
    </i>
    <i>
      <x v="802"/>
    </i>
    <i>
      <x v="804"/>
    </i>
    <i>
      <x v="806"/>
    </i>
    <i>
      <x v="811"/>
    </i>
    <i>
      <x v="814"/>
    </i>
    <i>
      <x v="818"/>
    </i>
    <i>
      <x v="819"/>
    </i>
    <i>
      <x v="821"/>
    </i>
    <i>
      <x v="823"/>
    </i>
    <i>
      <x v="825"/>
    </i>
    <i>
      <x v="828"/>
    </i>
    <i>
      <x v="832"/>
    </i>
    <i>
      <x v="834"/>
    </i>
    <i>
      <x v="838"/>
    </i>
    <i>
      <x v="841"/>
    </i>
    <i>
      <x v="842"/>
    </i>
    <i>
      <x v="843"/>
    </i>
    <i>
      <x v="844"/>
    </i>
    <i>
      <x v="847"/>
    </i>
    <i>
      <x v="854"/>
    </i>
    <i>
      <x v="855"/>
    </i>
    <i>
      <x v="857"/>
    </i>
    <i>
      <x v="859"/>
    </i>
    <i>
      <x v="861"/>
    </i>
    <i>
      <x v="863"/>
    </i>
    <i>
      <x v="866"/>
    </i>
    <i>
      <x v="869"/>
    </i>
    <i>
      <x v="871"/>
    </i>
    <i>
      <x v="873"/>
    </i>
    <i>
      <x v="874"/>
    </i>
    <i>
      <x v="878"/>
    </i>
    <i>
      <x v="885"/>
    </i>
    <i>
      <x v="889"/>
    </i>
    <i>
      <x v="894"/>
    </i>
    <i>
      <x v="895"/>
    </i>
    <i>
      <x v="897"/>
    </i>
    <i>
      <x v="899"/>
    </i>
    <i>
      <x v="900"/>
    </i>
    <i>
      <x v="903"/>
    </i>
    <i>
      <x v="905"/>
    </i>
    <i>
      <x v="906"/>
    </i>
    <i>
      <x v="909"/>
    </i>
    <i>
      <x v="912"/>
    </i>
    <i>
      <x v="915"/>
    </i>
    <i>
      <x v="919"/>
    </i>
    <i>
      <x v="922"/>
    </i>
    <i>
      <x v="923"/>
    </i>
    <i>
      <x v="924"/>
    </i>
    <i>
      <x v="931"/>
    </i>
    <i>
      <x v="932"/>
    </i>
    <i>
      <x v="936"/>
    </i>
    <i>
      <x v="940"/>
    </i>
    <i>
      <x v="942"/>
    </i>
    <i>
      <x v="943"/>
    </i>
    <i>
      <x v="947"/>
    </i>
    <i>
      <x v="948"/>
    </i>
    <i>
      <x v="953"/>
    </i>
    <i>
      <x v="956"/>
    </i>
    <i>
      <x v="962"/>
    </i>
    <i>
      <x v="964"/>
    </i>
    <i>
      <x v="965"/>
    </i>
    <i>
      <x v="973"/>
    </i>
    <i>
      <x v="974"/>
    </i>
    <i>
      <x v="975"/>
    </i>
    <i>
      <x v="978"/>
    </i>
    <i>
      <x v="979"/>
    </i>
    <i>
      <x v="981"/>
    </i>
    <i>
      <x v="987"/>
    </i>
    <i>
      <x v="990"/>
    </i>
    <i>
      <x v="994"/>
    </i>
    <i>
      <x v="999"/>
    </i>
    <i>
      <x v="1000"/>
    </i>
    <i>
      <x v="1001"/>
    </i>
    <i>
      <x v="1002"/>
    </i>
    <i>
      <x v="1003"/>
    </i>
    <i>
      <x v="1008"/>
    </i>
    <i>
      <x v="1011"/>
    </i>
    <i>
      <x v="1012"/>
    </i>
    <i>
      <x v="1017"/>
    </i>
    <i>
      <x v="1023"/>
    </i>
    <i>
      <x v="1024"/>
    </i>
    <i>
      <x v="1025"/>
    </i>
    <i>
      <x v="1026"/>
    </i>
    <i>
      <x v="1029"/>
    </i>
    <i>
      <x v="1031"/>
    </i>
    <i>
      <x v="1037"/>
    </i>
    <i>
      <x v="1038"/>
    </i>
    <i>
      <x v="1041"/>
    </i>
    <i>
      <x v="1044"/>
    </i>
    <i>
      <x v="1048"/>
    </i>
    <i>
      <x v="1053"/>
    </i>
    <i>
      <x v="1058"/>
    </i>
    <i>
      <x v="1061"/>
    </i>
    <i>
      <x v="1064"/>
    </i>
    <i>
      <x v="1074"/>
    </i>
    <i>
      <x v="1075"/>
    </i>
    <i>
      <x v="1078"/>
    </i>
    <i>
      <x v="1079"/>
    </i>
    <i>
      <x v="1080"/>
    </i>
    <i>
      <x v="1081"/>
    </i>
    <i>
      <x v="1082"/>
    </i>
    <i>
      <x v="1083"/>
    </i>
    <i>
      <x v="1085"/>
    </i>
    <i>
      <x v="1087"/>
    </i>
    <i>
      <x v="1088"/>
    </i>
    <i>
      <x v="1092"/>
    </i>
    <i>
      <x v="1099"/>
    </i>
    <i>
      <x v="1104"/>
    </i>
    <i>
      <x v="1107"/>
    </i>
    <i>
      <x v="1109"/>
    </i>
    <i>
      <x v="1110"/>
    </i>
    <i>
      <x v="1114"/>
    </i>
    <i>
      <x v="1120"/>
    </i>
    <i>
      <x v="1129"/>
    </i>
    <i>
      <x v="1145"/>
    </i>
    <i>
      <x v="1147"/>
    </i>
    <i>
      <x v="1149"/>
    </i>
    <i>
      <x v="1151"/>
    </i>
    <i>
      <x v="1152"/>
    </i>
    <i>
      <x v="1153"/>
    </i>
    <i>
      <x v="1158"/>
    </i>
    <i>
      <x v="1159"/>
    </i>
    <i>
      <x v="1160"/>
    </i>
    <i>
      <x v="1163"/>
    </i>
    <i>
      <x v="1169"/>
    </i>
    <i>
      <x v="1173"/>
    </i>
    <i>
      <x v="1177"/>
    </i>
    <i>
      <x v="1179"/>
    </i>
    <i>
      <x v="1180"/>
    </i>
    <i>
      <x v="1187"/>
    </i>
    <i>
      <x v="1191"/>
    </i>
    <i>
      <x v="1197"/>
    </i>
    <i>
      <x v="1199"/>
    </i>
    <i>
      <x v="1200"/>
    </i>
    <i>
      <x v="1202"/>
    </i>
    <i>
      <x v="1212"/>
    </i>
    <i>
      <x v="1213"/>
    </i>
    <i>
      <x v="1222"/>
    </i>
    <i>
      <x v="1226"/>
    </i>
    <i>
      <x v="1227"/>
    </i>
    <i>
      <x v="1230"/>
    </i>
    <i>
      <x v="1234"/>
    </i>
    <i>
      <x v="1238"/>
    </i>
    <i>
      <x v="1241"/>
    </i>
    <i>
      <x v="1248"/>
    </i>
    <i>
      <x v="1249"/>
    </i>
    <i>
      <x v="1252"/>
    </i>
    <i>
      <x v="1263"/>
    </i>
    <i>
      <x v="1269"/>
    </i>
    <i>
      <x v="1270"/>
    </i>
    <i>
      <x v="1273"/>
    </i>
    <i>
      <x v="1277"/>
    </i>
    <i>
      <x v="1280"/>
    </i>
    <i>
      <x v="1286"/>
    </i>
    <i>
      <x v="1288"/>
    </i>
    <i>
      <x v="1291"/>
    </i>
    <i>
      <x v="1294"/>
    </i>
    <i>
      <x v="1299"/>
    </i>
    <i>
      <x v="1300"/>
    </i>
    <i>
      <x v="1313"/>
    </i>
    <i>
      <x v="1314"/>
    </i>
    <i>
      <x v="1315"/>
    </i>
    <i>
      <x v="1319"/>
    </i>
    <i>
      <x v="1320"/>
    </i>
    <i>
      <x v="1324"/>
    </i>
    <i>
      <x v="1327"/>
    </i>
    <i>
      <x v="1335"/>
    </i>
    <i>
      <x v="1336"/>
    </i>
    <i>
      <x v="1339"/>
    </i>
    <i>
      <x v="1341"/>
    </i>
    <i>
      <x v="1351"/>
    </i>
    <i>
      <x v="1352"/>
    </i>
    <i>
      <x v="1353"/>
    </i>
    <i>
      <x v="1355"/>
    </i>
    <i>
      <x v="1356"/>
    </i>
    <i>
      <x v="1357"/>
    </i>
    <i>
      <x v="1358"/>
    </i>
    <i>
      <x v="1362"/>
    </i>
    <i>
      <x v="1364"/>
    </i>
    <i>
      <x v="1371"/>
    </i>
    <i>
      <x v="1373"/>
    </i>
    <i>
      <x v="1379"/>
    </i>
    <i>
      <x v="1386"/>
    </i>
    <i>
      <x v="1388"/>
    </i>
    <i>
      <x v="1390"/>
    </i>
    <i>
      <x v="1391"/>
    </i>
    <i>
      <x v="1392"/>
    </i>
    <i>
      <x v="1393"/>
    </i>
    <i>
      <x v="1394"/>
    </i>
    <i>
      <x v="1398"/>
    </i>
    <i>
      <x v="1399"/>
    </i>
    <i>
      <x v="1402"/>
    </i>
    <i>
      <x v="1403"/>
    </i>
    <i>
      <x v="1406"/>
    </i>
    <i>
      <x v="1408"/>
    </i>
    <i>
      <x v="1411"/>
    </i>
    <i>
      <x v="1412"/>
    </i>
    <i>
      <x v="1413"/>
    </i>
    <i>
      <x v="1418"/>
    </i>
    <i>
      <x v="1426"/>
    </i>
    <i>
      <x v="1431"/>
    </i>
    <i>
      <x v="1436"/>
    </i>
    <i>
      <x v="1438"/>
    </i>
    <i>
      <x v="1440"/>
    </i>
    <i>
      <x v="1441"/>
    </i>
    <i>
      <x v="1443"/>
    </i>
    <i>
      <x v="1444"/>
    </i>
    <i>
      <x v="1445"/>
    </i>
    <i>
      <x v="1447"/>
    </i>
    <i>
      <x v="1450"/>
    </i>
    <i>
      <x v="1453"/>
    </i>
    <i>
      <x v="1457"/>
    </i>
    <i>
      <x v="1459"/>
    </i>
    <i>
      <x v="1461"/>
    </i>
    <i>
      <x v="1462"/>
    </i>
    <i>
      <x v="1468"/>
    </i>
    <i>
      <x v="1475"/>
    </i>
    <i>
      <x v="1476"/>
    </i>
    <i>
      <x v="1479"/>
    </i>
    <i>
      <x v="1480"/>
    </i>
    <i>
      <x v="1481"/>
    </i>
    <i>
      <x v="1482"/>
    </i>
    <i>
      <x v="1485"/>
    </i>
    <i>
      <x v="1495"/>
    </i>
    <i>
      <x v="1498"/>
    </i>
    <i>
      <x v="1503"/>
    </i>
    <i>
      <x v="1506"/>
    </i>
    <i>
      <x v="1509"/>
    </i>
    <i>
      <x v="1512"/>
    </i>
    <i>
      <x v="1514"/>
    </i>
    <i>
      <x v="1519"/>
    </i>
    <i>
      <x v="1523"/>
    </i>
    <i>
      <x v="1524"/>
    </i>
    <i>
      <x v="1528"/>
    </i>
    <i>
      <x v="1532"/>
    </i>
    <i>
      <x v="1533"/>
    </i>
    <i>
      <x v="1536"/>
    </i>
    <i>
      <x v="1537"/>
    </i>
    <i>
      <x v="1541"/>
    </i>
    <i>
      <x v="1542"/>
    </i>
    <i>
      <x v="1547"/>
    </i>
    <i>
      <x v="1551"/>
    </i>
    <i>
      <x v="1557"/>
    </i>
    <i>
      <x v="1558"/>
    </i>
    <i>
      <x v="1565"/>
    </i>
    <i>
      <x v="1569"/>
    </i>
    <i>
      <x v="1573"/>
    </i>
    <i>
      <x v="1578"/>
    </i>
    <i>
      <x v="1584"/>
    </i>
    <i>
      <x v="1585"/>
    </i>
    <i>
      <x v="1590"/>
    </i>
    <i>
      <x v="1591"/>
    </i>
    <i>
      <x v="1596"/>
    </i>
    <i>
      <x v="1601"/>
    </i>
    <i>
      <x v="1602"/>
    </i>
    <i>
      <x v="1603"/>
    </i>
    <i>
      <x v="1605"/>
    </i>
    <i>
      <x v="1619"/>
    </i>
    <i>
      <x v="1628"/>
    </i>
    <i>
      <x v="1629"/>
    </i>
    <i>
      <x v="1631"/>
    </i>
    <i>
      <x v="1635"/>
    </i>
    <i>
      <x v="1637"/>
    </i>
    <i>
      <x v="1640"/>
    </i>
    <i>
      <x v="1641"/>
    </i>
    <i>
      <x v="1642"/>
    </i>
    <i>
      <x v="1645"/>
    </i>
    <i>
      <x v="1646"/>
    </i>
    <i>
      <x v="1647"/>
    </i>
    <i>
      <x v="1649"/>
    </i>
    <i>
      <x v="1654"/>
    </i>
    <i>
      <x v="1663"/>
    </i>
    <i>
      <x v="1673"/>
    </i>
    <i>
      <x v="1674"/>
    </i>
    <i>
      <x v="1675"/>
    </i>
    <i>
      <x v="1677"/>
    </i>
    <i>
      <x v="1685"/>
    </i>
    <i>
      <x v="1686"/>
    </i>
    <i>
      <x v="1692"/>
    </i>
    <i>
      <x v="1695"/>
    </i>
    <i>
      <x v="1707"/>
    </i>
    <i>
      <x v="1708"/>
    </i>
    <i>
      <x v="1713"/>
    </i>
    <i>
      <x v="1716"/>
    </i>
    <i>
      <x v="1717"/>
    </i>
    <i>
      <x v="1720"/>
    </i>
    <i>
      <x v="1721"/>
    </i>
    <i>
      <x v="1722"/>
    </i>
    <i>
      <x v="1723"/>
    </i>
    <i>
      <x v="1727"/>
    </i>
    <i>
      <x v="1729"/>
    </i>
    <i>
      <x v="1730"/>
    </i>
    <i>
      <x v="1731"/>
    </i>
    <i>
      <x v="1732"/>
    </i>
    <i>
      <x v="1733"/>
    </i>
    <i>
      <x v="1734"/>
    </i>
    <i>
      <x v="1738"/>
    </i>
    <i>
      <x v="1741"/>
    </i>
    <i>
      <x v="1744"/>
    </i>
    <i>
      <x v="1746"/>
    </i>
    <i>
      <x v="1747"/>
    </i>
    <i>
      <x v="1751"/>
    </i>
    <i>
      <x v="1757"/>
    </i>
    <i>
      <x v="1764"/>
    </i>
    <i>
      <x v="1765"/>
    </i>
    <i>
      <x v="1777"/>
    </i>
    <i>
      <x v="1778"/>
    </i>
    <i>
      <x v="1784"/>
    </i>
    <i>
      <x v="1786"/>
    </i>
    <i>
      <x v="1789"/>
    </i>
    <i>
      <x v="1790"/>
    </i>
    <i>
      <x v="1796"/>
    </i>
    <i>
      <x v="1797"/>
    </i>
    <i>
      <x v="1798"/>
    </i>
    <i>
      <x v="1801"/>
    </i>
    <i>
      <x v="1803"/>
    </i>
    <i>
      <x v="1806"/>
    </i>
    <i>
      <x v="1808"/>
    </i>
    <i>
      <x v="1810"/>
    </i>
    <i>
      <x v="1814"/>
    </i>
    <i>
      <x v="1816"/>
    </i>
    <i>
      <x v="1817"/>
    </i>
    <i>
      <x v="1820"/>
    </i>
    <i>
      <x v="1823"/>
    </i>
    <i>
      <x v="1825"/>
    </i>
    <i>
      <x v="1826"/>
    </i>
    <i>
      <x v="1828"/>
    </i>
    <i>
      <x v="1833"/>
    </i>
    <i>
      <x v="1834"/>
    </i>
    <i>
      <x v="1838"/>
    </i>
    <i>
      <x v="1840"/>
    </i>
    <i>
      <x v="1842"/>
    </i>
    <i>
      <x v="1848"/>
    </i>
    <i>
      <x v="1849"/>
    </i>
    <i>
      <x v="1852"/>
    </i>
    <i>
      <x v="1854"/>
    </i>
    <i>
      <x v="1857"/>
    </i>
    <i>
      <x v="1859"/>
    </i>
    <i>
      <x v="1861"/>
    </i>
    <i>
      <x v="1869"/>
    </i>
    <i>
      <x v="1870"/>
    </i>
    <i>
      <x v="1871"/>
    </i>
    <i>
      <x v="1872"/>
    </i>
    <i>
      <x v="1874"/>
    </i>
    <i>
      <x v="1878"/>
    </i>
    <i>
      <x v="1881"/>
    </i>
    <i>
      <x v="1883"/>
    </i>
    <i>
      <x v="1885"/>
    </i>
    <i>
      <x v="1886"/>
    </i>
    <i>
      <x v="1887"/>
    </i>
    <i>
      <x v="1889"/>
    </i>
    <i>
      <x v="1890"/>
    </i>
    <i>
      <x v="1894"/>
    </i>
    <i>
      <x v="1895"/>
    </i>
    <i>
      <x v="1897"/>
    </i>
    <i>
      <x v="1898"/>
    </i>
    <i>
      <x v="1899"/>
    </i>
    <i>
      <x v="1903"/>
    </i>
    <i>
      <x v="1904"/>
    </i>
    <i>
      <x v="1906"/>
    </i>
    <i>
      <x v="1913"/>
    </i>
    <i>
      <x v="1914"/>
    </i>
    <i>
      <x v="1921"/>
    </i>
    <i>
      <x v="1922"/>
    </i>
    <i>
      <x v="1923"/>
    </i>
    <i>
      <x v="1929"/>
    </i>
    <i>
      <x v="1935"/>
    </i>
    <i>
      <x v="1936"/>
    </i>
    <i>
      <x v="1938"/>
    </i>
    <i>
      <x v="1939"/>
    </i>
    <i>
      <x v="1940"/>
    </i>
    <i>
      <x v="1941"/>
    </i>
    <i>
      <x v="1946"/>
    </i>
    <i>
      <x v="1950"/>
    </i>
    <i>
      <x v="1952"/>
    </i>
    <i>
      <x v="1953"/>
    </i>
    <i>
      <x v="1958"/>
    </i>
    <i>
      <x v="1961"/>
    </i>
    <i>
      <x v="1962"/>
    </i>
    <i>
      <x v="1970"/>
    </i>
    <i>
      <x v="1971"/>
    </i>
    <i>
      <x v="1972"/>
    </i>
    <i>
      <x v="1975"/>
    </i>
    <i>
      <x v="1976"/>
    </i>
    <i>
      <x v="1980"/>
    </i>
    <i>
      <x v="1983"/>
    </i>
    <i>
      <x v="1984"/>
    </i>
    <i>
      <x v="1990"/>
    </i>
    <i>
      <x v="1991"/>
    </i>
    <i>
      <x v="2000"/>
    </i>
    <i>
      <x v="2004"/>
    </i>
    <i>
      <x v="2009"/>
    </i>
    <i>
      <x v="2011"/>
    </i>
    <i>
      <x v="2014"/>
    </i>
    <i>
      <x v="2015"/>
    </i>
    <i>
      <x v="2018"/>
    </i>
    <i>
      <x v="2019"/>
    </i>
    <i>
      <x v="2020"/>
    </i>
    <i>
      <x v="2021"/>
    </i>
    <i>
      <x v="2024"/>
    </i>
    <i>
      <x v="2025"/>
    </i>
    <i>
      <x v="2031"/>
    </i>
    <i>
      <x v="2034"/>
    </i>
    <i>
      <x v="2041"/>
    </i>
    <i>
      <x v="2048"/>
    </i>
    <i>
      <x v="2051"/>
    </i>
    <i>
      <x v="2053"/>
    </i>
    <i>
      <x v="2054"/>
    </i>
    <i>
      <x v="2059"/>
    </i>
    <i>
      <x v="2068"/>
    </i>
    <i>
      <x v="2071"/>
    </i>
    <i>
      <x v="2077"/>
    </i>
    <i>
      <x v="2078"/>
    </i>
    <i>
      <x v="2082"/>
    </i>
    <i>
      <x v="2083"/>
    </i>
    <i>
      <x v="2084"/>
    </i>
    <i>
      <x v="2087"/>
    </i>
    <i>
      <x v="2088"/>
    </i>
    <i>
      <x v="2089"/>
    </i>
    <i>
      <x v="2091"/>
    </i>
    <i>
      <x v="2094"/>
    </i>
    <i>
      <x v="2096"/>
    </i>
    <i>
      <x v="2097"/>
    </i>
    <i>
      <x v="2100"/>
    </i>
    <i>
      <x v="2101"/>
    </i>
    <i>
      <x v="2108"/>
    </i>
    <i>
      <x v="2109"/>
    </i>
    <i>
      <x v="2113"/>
    </i>
    <i>
      <x v="2117"/>
    </i>
    <i>
      <x v="2119"/>
    </i>
    <i>
      <x v="2120"/>
    </i>
    <i>
      <x v="2124"/>
    </i>
    <i>
      <x v="2125"/>
    </i>
    <i>
      <x v="2127"/>
    </i>
    <i>
      <x v="2130"/>
    </i>
    <i>
      <x v="2147"/>
    </i>
    <i>
      <x v="2152"/>
    </i>
    <i>
      <x v="2153"/>
    </i>
    <i>
      <x v="2154"/>
    </i>
    <i>
      <x v="2156"/>
    </i>
    <i>
      <x v="2157"/>
    </i>
    <i>
      <x v="2158"/>
    </i>
    <i>
      <x v="2160"/>
    </i>
    <i>
      <x v="2167"/>
    </i>
    <i>
      <x v="2169"/>
    </i>
    <i>
      <x v="2171"/>
    </i>
    <i>
      <x v="2173"/>
    </i>
    <i>
      <x v="2175"/>
    </i>
    <i>
      <x v="2176"/>
    </i>
    <i>
      <x v="2180"/>
    </i>
    <i>
      <x v="2183"/>
    </i>
    <i>
      <x v="2185"/>
    </i>
    <i>
      <x v="2188"/>
    </i>
    <i>
      <x v="2193"/>
    </i>
    <i>
      <x v="2194"/>
    </i>
    <i>
      <x v="2195"/>
    </i>
    <i>
      <x v="2199"/>
    </i>
    <i>
      <x v="2200"/>
    </i>
    <i>
      <x v="2203"/>
    </i>
    <i>
      <x v="2205"/>
    </i>
    <i>
      <x v="2208"/>
    </i>
    <i>
      <x v="2210"/>
    </i>
    <i>
      <x v="2212"/>
    </i>
    <i>
      <x v="2213"/>
    </i>
    <i>
      <x v="2216"/>
    </i>
    <i>
      <x v="2217"/>
    </i>
    <i>
      <x v="221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16">
    <format dxfId="1438">
      <pivotArea type="all" dataOnly="0" outline="0" fieldPosition="0"/>
    </format>
    <format dxfId="1437">
      <pivotArea outline="0" collapsedLevelsAreSubtotals="1" fieldPosition="0"/>
    </format>
    <format dxfId="1436">
      <pivotArea type="origin" dataOnly="0" labelOnly="1" outline="0" fieldPosition="0"/>
    </format>
    <format dxfId="1435">
      <pivotArea field="19" type="button" dataOnly="0" labelOnly="1" outline="0" axis="axisCol" fieldPosition="0"/>
    </format>
    <format dxfId="1434">
      <pivotArea type="topRight" dataOnly="0" labelOnly="1" outline="0" fieldPosition="0"/>
    </format>
    <format dxfId="1433">
      <pivotArea field="6" type="button" dataOnly="0" labelOnly="1" outline="0" axis="axisRow" fieldPosition="0"/>
    </format>
    <format dxfId="1432">
      <pivotArea dataOnly="0" labelOnly="1" fieldPosition="0">
        <references count="1">
          <reference field="6" count="50">
            <x v="10"/>
            <x v="15"/>
            <x v="23"/>
            <x v="32"/>
            <x v="44"/>
            <x v="45"/>
            <x v="47"/>
            <x v="56"/>
            <x v="57"/>
            <x v="61"/>
            <x v="78"/>
            <x v="80"/>
            <x v="85"/>
            <x v="90"/>
            <x v="101"/>
            <x v="102"/>
            <x v="103"/>
            <x v="108"/>
            <x v="117"/>
            <x v="119"/>
            <x v="120"/>
            <x v="121"/>
            <x v="126"/>
            <x v="135"/>
            <x v="139"/>
            <x v="144"/>
            <x v="148"/>
            <x v="168"/>
            <x v="191"/>
            <x v="192"/>
            <x v="194"/>
            <x v="201"/>
            <x v="202"/>
            <x v="221"/>
            <x v="224"/>
            <x v="226"/>
            <x v="228"/>
            <x v="231"/>
            <x v="236"/>
            <x v="237"/>
            <x v="238"/>
            <x v="241"/>
            <x v="256"/>
            <x v="260"/>
            <x v="281"/>
            <x v="282"/>
            <x v="287"/>
            <x v="288"/>
            <x v="289"/>
            <x v="291"/>
          </reference>
        </references>
      </pivotArea>
    </format>
    <format dxfId="1431">
      <pivotArea dataOnly="0" labelOnly="1" fieldPosition="0">
        <references count="1">
          <reference field="6" count="50">
            <x v="292"/>
            <x v="303"/>
            <x v="305"/>
            <x v="323"/>
            <x v="332"/>
            <x v="334"/>
            <x v="336"/>
            <x v="339"/>
            <x v="342"/>
            <x v="343"/>
            <x v="350"/>
            <x v="351"/>
            <x v="359"/>
            <x v="371"/>
            <x v="372"/>
            <x v="374"/>
            <x v="376"/>
            <x v="383"/>
            <x v="384"/>
            <x v="396"/>
            <x v="399"/>
            <x v="406"/>
            <x v="411"/>
            <x v="416"/>
            <x v="418"/>
            <x v="420"/>
            <x v="424"/>
            <x v="427"/>
            <x v="428"/>
            <x v="437"/>
            <x v="448"/>
            <x v="452"/>
            <x v="465"/>
            <x v="471"/>
            <x v="474"/>
            <x v="478"/>
            <x v="484"/>
            <x v="487"/>
            <x v="490"/>
            <x v="491"/>
            <x v="496"/>
            <x v="500"/>
            <x v="501"/>
            <x v="503"/>
            <x v="531"/>
            <x v="532"/>
            <x v="533"/>
            <x v="536"/>
            <x v="540"/>
            <x v="547"/>
          </reference>
        </references>
      </pivotArea>
    </format>
    <format dxfId="1430">
      <pivotArea dataOnly="0" labelOnly="1" fieldPosition="0">
        <references count="1">
          <reference field="6" count="50">
            <x v="571"/>
            <x v="572"/>
            <x v="573"/>
            <x v="576"/>
            <x v="586"/>
            <x v="594"/>
            <x v="596"/>
            <x v="600"/>
            <x v="603"/>
            <x v="608"/>
            <x v="611"/>
            <x v="622"/>
            <x v="623"/>
            <x v="626"/>
            <x v="628"/>
            <x v="634"/>
            <x v="637"/>
            <x v="645"/>
            <x v="647"/>
            <x v="654"/>
            <x v="661"/>
            <x v="663"/>
            <x v="670"/>
            <x v="674"/>
            <x v="676"/>
            <x v="678"/>
            <x v="680"/>
            <x v="684"/>
            <x v="686"/>
            <x v="688"/>
            <x v="690"/>
            <x v="699"/>
            <x v="700"/>
            <x v="705"/>
            <x v="706"/>
            <x v="709"/>
            <x v="711"/>
            <x v="716"/>
            <x v="740"/>
            <x v="742"/>
            <x v="744"/>
            <x v="749"/>
            <x v="751"/>
            <x v="755"/>
            <x v="757"/>
            <x v="758"/>
            <x v="759"/>
            <x v="774"/>
            <x v="782"/>
            <x v="787"/>
          </reference>
        </references>
      </pivotArea>
    </format>
    <format dxfId="1429">
      <pivotArea dataOnly="0" labelOnly="1" fieldPosition="0">
        <references count="1">
          <reference field="6" count="50">
            <x v="790"/>
            <x v="795"/>
            <x v="796"/>
            <x v="804"/>
            <x v="806"/>
            <x v="811"/>
            <x v="827"/>
            <x v="830"/>
            <x v="836"/>
            <x v="837"/>
            <x v="846"/>
            <x v="848"/>
            <x v="855"/>
            <x v="856"/>
            <x v="866"/>
            <x v="870"/>
            <x v="875"/>
            <x v="876"/>
            <x v="894"/>
            <x v="901"/>
            <x v="911"/>
            <x v="913"/>
            <x v="922"/>
            <x v="923"/>
            <x v="924"/>
            <x v="925"/>
            <x v="928"/>
            <x v="933"/>
            <x v="942"/>
            <x v="943"/>
            <x v="944"/>
            <x v="947"/>
            <x v="951"/>
            <x v="958"/>
            <x v="965"/>
            <x v="972"/>
            <x v="974"/>
            <x v="980"/>
            <x v="988"/>
            <x v="991"/>
            <x v="993"/>
            <x v="994"/>
            <x v="995"/>
            <x v="1000"/>
            <x v="1011"/>
            <x v="1012"/>
            <x v="1019"/>
            <x v="1020"/>
            <x v="1023"/>
            <x v="1027"/>
          </reference>
        </references>
      </pivotArea>
    </format>
    <format dxfId="1428">
      <pivotArea dataOnly="0" labelOnly="1" fieldPosition="0">
        <references count="1">
          <reference field="6" count="50">
            <x v="1028"/>
            <x v="1040"/>
            <x v="1044"/>
            <x v="1057"/>
            <x v="1064"/>
            <x v="1077"/>
            <x v="1081"/>
            <x v="1088"/>
            <x v="1105"/>
            <x v="1110"/>
            <x v="1114"/>
            <x v="1118"/>
            <x v="1120"/>
            <x v="1145"/>
            <x v="1146"/>
            <x v="1158"/>
            <x v="1169"/>
            <x v="1173"/>
            <x v="1180"/>
            <x v="1189"/>
            <x v="1200"/>
            <x v="1201"/>
            <x v="1202"/>
            <x v="1204"/>
            <x v="1206"/>
            <x v="1209"/>
            <x v="1214"/>
            <x v="1242"/>
            <x v="1246"/>
            <x v="1252"/>
            <x v="1262"/>
            <x v="1263"/>
            <x v="1274"/>
            <x v="1279"/>
            <x v="1285"/>
            <x v="1287"/>
            <x v="1290"/>
            <x v="1308"/>
            <x v="1325"/>
            <x v="1328"/>
            <x v="1330"/>
            <x v="1364"/>
            <x v="1370"/>
            <x v="1375"/>
            <x v="1390"/>
            <x v="1391"/>
            <x v="1402"/>
            <x v="1415"/>
            <x v="1428"/>
            <x v="1432"/>
          </reference>
        </references>
      </pivotArea>
    </format>
    <format dxfId="1427">
      <pivotArea dataOnly="0" labelOnly="1" fieldPosition="0">
        <references count="1">
          <reference field="6" count="50">
            <x v="1434"/>
            <x v="1440"/>
            <x v="1450"/>
            <x v="1453"/>
            <x v="1455"/>
            <x v="1462"/>
            <x v="1465"/>
            <x v="1471"/>
            <x v="1485"/>
            <x v="1497"/>
            <x v="1508"/>
            <x v="1512"/>
            <x v="1524"/>
            <x v="1536"/>
            <x v="1551"/>
            <x v="1565"/>
            <x v="1566"/>
            <x v="1567"/>
            <x v="1590"/>
            <x v="1600"/>
            <x v="1602"/>
            <x v="1604"/>
            <x v="1615"/>
            <x v="1628"/>
            <x v="1633"/>
            <x v="1638"/>
            <x v="1641"/>
            <x v="1646"/>
            <x v="1650"/>
            <x v="1654"/>
            <x v="1662"/>
            <x v="1671"/>
            <x v="1674"/>
            <x v="1682"/>
            <x v="1692"/>
            <x v="1698"/>
            <x v="1700"/>
            <x v="1701"/>
            <x v="1712"/>
            <x v="1718"/>
            <x v="1721"/>
            <x v="1730"/>
            <x v="1738"/>
            <x v="1742"/>
            <x v="1761"/>
            <x v="1766"/>
            <x v="1775"/>
            <x v="1786"/>
            <x v="1790"/>
            <x v="1793"/>
          </reference>
        </references>
      </pivotArea>
    </format>
    <format dxfId="1426">
      <pivotArea dataOnly="0" labelOnly="1" fieldPosition="0">
        <references count="1">
          <reference field="6" count="50">
            <x v="1797"/>
            <x v="1808"/>
            <x v="1815"/>
            <x v="1820"/>
            <x v="1822"/>
            <x v="1823"/>
            <x v="1825"/>
            <x v="1826"/>
            <x v="1834"/>
            <x v="1856"/>
            <x v="1865"/>
            <x v="1869"/>
            <x v="1872"/>
            <x v="1873"/>
            <x v="1877"/>
            <x v="1890"/>
            <x v="1891"/>
            <x v="1895"/>
            <x v="1896"/>
            <x v="1900"/>
            <x v="1908"/>
            <x v="1921"/>
            <x v="1926"/>
            <x v="1930"/>
            <x v="1933"/>
            <x v="1934"/>
            <x v="1939"/>
            <x v="1945"/>
            <x v="1952"/>
            <x v="1967"/>
            <x v="1983"/>
            <x v="1987"/>
            <x v="1988"/>
            <x v="1989"/>
            <x v="1990"/>
            <x v="1995"/>
            <x v="1997"/>
            <x v="1998"/>
            <x v="2009"/>
            <x v="2029"/>
            <x v="2030"/>
            <x v="2031"/>
            <x v="2042"/>
            <x v="2048"/>
            <x v="2050"/>
            <x v="2052"/>
            <x v="2063"/>
            <x v="2070"/>
            <x v="2072"/>
            <x v="2073"/>
          </reference>
        </references>
      </pivotArea>
    </format>
    <format dxfId="1425">
      <pivotArea dataOnly="0" labelOnly="1" fieldPosition="0">
        <references count="1">
          <reference field="6" count="23">
            <x v="2087"/>
            <x v="2091"/>
            <x v="2097"/>
            <x v="2100"/>
            <x v="2101"/>
            <x v="2108"/>
            <x v="2121"/>
            <x v="2124"/>
            <x v="2152"/>
            <x v="2156"/>
            <x v="2158"/>
            <x v="2162"/>
            <x v="2163"/>
            <x v="2170"/>
            <x v="2172"/>
            <x v="2196"/>
            <x v="2202"/>
            <x v="2206"/>
            <x v="2209"/>
            <x v="2214"/>
            <x v="2216"/>
            <x v="2217"/>
            <x v="2218"/>
          </reference>
        </references>
      </pivotArea>
    </format>
    <format dxfId="1424">
      <pivotArea dataOnly="0" labelOnly="1" grandRow="1" outline="0" fieldPosition="0"/>
    </format>
    <format dxfId="1423">
      <pivotArea dataOnly="0" labelOnly="1" fieldPosition="0">
        <references count="1">
          <reference field="19" count="0"/>
        </references>
      </pivotArea>
    </format>
    <format dxfId="1422">
      <pivotArea dataOnly="0" labelOnly="1" grandCol="1" outline="0" fieldPosition="0"/>
    </format>
    <format dxfId="1421">
      <pivotArea type="all" dataOnly="0" outline="0" fieldPosition="0"/>
    </format>
    <format dxfId="1420">
      <pivotArea outline="0" collapsedLevelsAreSubtotals="1" fieldPosition="0"/>
    </format>
    <format dxfId="1419">
      <pivotArea type="origin" dataOnly="0" labelOnly="1" outline="0" fieldPosition="0"/>
    </format>
    <format dxfId="1418">
      <pivotArea field="19" type="button" dataOnly="0" labelOnly="1" outline="0" axis="axisCol" fieldPosition="0"/>
    </format>
    <format dxfId="1417">
      <pivotArea type="topRight" dataOnly="0" labelOnly="1" outline="0" fieldPosition="0"/>
    </format>
    <format dxfId="1416">
      <pivotArea field="6" type="button" dataOnly="0" labelOnly="1" outline="0" axis="axisRow" fieldPosition="0"/>
    </format>
    <format dxfId="1415">
      <pivotArea dataOnly="0" labelOnly="1" fieldPosition="0">
        <references count="1">
          <reference field="6" count="50">
            <x v="10"/>
            <x v="15"/>
            <x v="23"/>
            <x v="32"/>
            <x v="44"/>
            <x v="45"/>
            <x v="47"/>
            <x v="56"/>
            <x v="57"/>
            <x v="61"/>
            <x v="78"/>
            <x v="80"/>
            <x v="85"/>
            <x v="90"/>
            <x v="101"/>
            <x v="102"/>
            <x v="103"/>
            <x v="108"/>
            <x v="117"/>
            <x v="119"/>
            <x v="120"/>
            <x v="121"/>
            <x v="126"/>
            <x v="135"/>
            <x v="139"/>
            <x v="144"/>
            <x v="148"/>
            <x v="168"/>
            <x v="191"/>
            <x v="192"/>
            <x v="194"/>
            <x v="201"/>
            <x v="202"/>
            <x v="221"/>
            <x v="224"/>
            <x v="226"/>
            <x v="228"/>
            <x v="231"/>
            <x v="236"/>
            <x v="237"/>
            <x v="238"/>
            <x v="241"/>
            <x v="256"/>
            <x v="260"/>
            <x v="281"/>
            <x v="282"/>
            <x v="287"/>
            <x v="288"/>
            <x v="289"/>
            <x v="291"/>
          </reference>
        </references>
      </pivotArea>
    </format>
    <format dxfId="1414">
      <pivotArea dataOnly="0" labelOnly="1" fieldPosition="0">
        <references count="1">
          <reference field="6" count="50">
            <x v="292"/>
            <x v="303"/>
            <x v="305"/>
            <x v="323"/>
            <x v="332"/>
            <x v="334"/>
            <x v="336"/>
            <x v="339"/>
            <x v="342"/>
            <x v="343"/>
            <x v="350"/>
            <x v="351"/>
            <x v="359"/>
            <x v="371"/>
            <x v="372"/>
            <x v="374"/>
            <x v="376"/>
            <x v="383"/>
            <x v="384"/>
            <x v="396"/>
            <x v="399"/>
            <x v="406"/>
            <x v="411"/>
            <x v="416"/>
            <x v="418"/>
            <x v="420"/>
            <x v="424"/>
            <x v="427"/>
            <x v="428"/>
            <x v="437"/>
            <x v="448"/>
            <x v="452"/>
            <x v="465"/>
            <x v="471"/>
            <x v="474"/>
            <x v="478"/>
            <x v="484"/>
            <x v="487"/>
            <x v="490"/>
            <x v="491"/>
            <x v="496"/>
            <x v="500"/>
            <x v="501"/>
            <x v="503"/>
            <x v="531"/>
            <x v="532"/>
            <x v="533"/>
            <x v="536"/>
            <x v="540"/>
            <x v="547"/>
          </reference>
        </references>
      </pivotArea>
    </format>
    <format dxfId="1413">
      <pivotArea dataOnly="0" labelOnly="1" fieldPosition="0">
        <references count="1">
          <reference field="6" count="50">
            <x v="571"/>
            <x v="572"/>
            <x v="573"/>
            <x v="576"/>
            <x v="586"/>
            <x v="594"/>
            <x v="596"/>
            <x v="600"/>
            <x v="603"/>
            <x v="608"/>
            <x v="611"/>
            <x v="622"/>
            <x v="623"/>
            <x v="626"/>
            <x v="628"/>
            <x v="634"/>
            <x v="637"/>
            <x v="645"/>
            <x v="647"/>
            <x v="654"/>
            <x v="661"/>
            <x v="663"/>
            <x v="670"/>
            <x v="674"/>
            <x v="676"/>
            <x v="678"/>
            <x v="680"/>
            <x v="684"/>
            <x v="686"/>
            <x v="688"/>
            <x v="690"/>
            <x v="699"/>
            <x v="700"/>
            <x v="705"/>
            <x v="706"/>
            <x v="709"/>
            <x v="711"/>
            <x v="716"/>
            <x v="740"/>
            <x v="742"/>
            <x v="744"/>
            <x v="749"/>
            <x v="751"/>
            <x v="755"/>
            <x v="757"/>
            <x v="758"/>
            <x v="759"/>
            <x v="774"/>
            <x v="782"/>
            <x v="787"/>
          </reference>
        </references>
      </pivotArea>
    </format>
    <format dxfId="1412">
      <pivotArea dataOnly="0" labelOnly="1" fieldPosition="0">
        <references count="1">
          <reference field="6" count="50">
            <x v="790"/>
            <x v="795"/>
            <x v="796"/>
            <x v="804"/>
            <x v="806"/>
            <x v="811"/>
            <x v="827"/>
            <x v="830"/>
            <x v="836"/>
            <x v="837"/>
            <x v="846"/>
            <x v="848"/>
            <x v="855"/>
            <x v="856"/>
            <x v="866"/>
            <x v="870"/>
            <x v="875"/>
            <x v="876"/>
            <x v="894"/>
            <x v="901"/>
            <x v="911"/>
            <x v="913"/>
            <x v="922"/>
            <x v="923"/>
            <x v="924"/>
            <x v="925"/>
            <x v="928"/>
            <x v="933"/>
            <x v="942"/>
            <x v="943"/>
            <x v="944"/>
            <x v="947"/>
            <x v="951"/>
            <x v="958"/>
            <x v="965"/>
            <x v="972"/>
            <x v="974"/>
            <x v="980"/>
            <x v="988"/>
            <x v="991"/>
            <x v="993"/>
            <x v="994"/>
            <x v="995"/>
            <x v="1000"/>
            <x v="1011"/>
            <x v="1012"/>
            <x v="1019"/>
            <x v="1020"/>
            <x v="1023"/>
            <x v="1027"/>
          </reference>
        </references>
      </pivotArea>
    </format>
    <format dxfId="1411">
      <pivotArea dataOnly="0" labelOnly="1" fieldPosition="0">
        <references count="1">
          <reference field="6" count="50">
            <x v="1028"/>
            <x v="1040"/>
            <x v="1044"/>
            <x v="1057"/>
            <x v="1064"/>
            <x v="1077"/>
            <x v="1081"/>
            <x v="1088"/>
            <x v="1105"/>
            <x v="1110"/>
            <x v="1114"/>
            <x v="1118"/>
            <x v="1120"/>
            <x v="1145"/>
            <x v="1146"/>
            <x v="1158"/>
            <x v="1169"/>
            <x v="1173"/>
            <x v="1180"/>
            <x v="1189"/>
            <x v="1200"/>
            <x v="1201"/>
            <x v="1202"/>
            <x v="1204"/>
            <x v="1206"/>
            <x v="1209"/>
            <x v="1214"/>
            <x v="1242"/>
            <x v="1246"/>
            <x v="1252"/>
            <x v="1262"/>
            <x v="1263"/>
            <x v="1274"/>
            <x v="1279"/>
            <x v="1285"/>
            <x v="1287"/>
            <x v="1290"/>
            <x v="1308"/>
            <x v="1325"/>
            <x v="1328"/>
            <x v="1330"/>
            <x v="1364"/>
            <x v="1370"/>
            <x v="1375"/>
            <x v="1390"/>
            <x v="1391"/>
            <x v="1402"/>
            <x v="1415"/>
            <x v="1428"/>
            <x v="1432"/>
          </reference>
        </references>
      </pivotArea>
    </format>
    <format dxfId="1410">
      <pivotArea dataOnly="0" labelOnly="1" fieldPosition="0">
        <references count="1">
          <reference field="6" count="50">
            <x v="1434"/>
            <x v="1440"/>
            <x v="1450"/>
            <x v="1453"/>
            <x v="1455"/>
            <x v="1462"/>
            <x v="1465"/>
            <x v="1471"/>
            <x v="1485"/>
            <x v="1497"/>
            <x v="1508"/>
            <x v="1512"/>
            <x v="1524"/>
            <x v="1536"/>
            <x v="1551"/>
            <x v="1565"/>
            <x v="1566"/>
            <x v="1567"/>
            <x v="1590"/>
            <x v="1600"/>
            <x v="1602"/>
            <x v="1604"/>
            <x v="1615"/>
            <x v="1628"/>
            <x v="1633"/>
            <x v="1638"/>
            <x v="1641"/>
            <x v="1646"/>
            <x v="1650"/>
            <x v="1654"/>
            <x v="1662"/>
            <x v="1671"/>
            <x v="1674"/>
            <x v="1682"/>
            <x v="1692"/>
            <x v="1698"/>
            <x v="1700"/>
            <x v="1701"/>
            <x v="1712"/>
            <x v="1718"/>
            <x v="1721"/>
            <x v="1730"/>
            <x v="1738"/>
            <x v="1742"/>
            <x v="1761"/>
            <x v="1766"/>
            <x v="1775"/>
            <x v="1786"/>
            <x v="1790"/>
            <x v="1793"/>
          </reference>
        </references>
      </pivotArea>
    </format>
    <format dxfId="1409">
      <pivotArea dataOnly="0" labelOnly="1" fieldPosition="0">
        <references count="1">
          <reference field="6" count="50">
            <x v="1797"/>
            <x v="1808"/>
            <x v="1815"/>
            <x v="1820"/>
            <x v="1822"/>
            <x v="1823"/>
            <x v="1825"/>
            <x v="1826"/>
            <x v="1834"/>
            <x v="1856"/>
            <x v="1865"/>
            <x v="1869"/>
            <x v="1872"/>
            <x v="1873"/>
            <x v="1877"/>
            <x v="1890"/>
            <x v="1891"/>
            <x v="1895"/>
            <x v="1896"/>
            <x v="1900"/>
            <x v="1908"/>
            <x v="1921"/>
            <x v="1926"/>
            <x v="1930"/>
            <x v="1933"/>
            <x v="1934"/>
            <x v="1939"/>
            <x v="1945"/>
            <x v="1952"/>
            <x v="1967"/>
            <x v="1983"/>
            <x v="1987"/>
            <x v="1988"/>
            <x v="1989"/>
            <x v="1990"/>
            <x v="1995"/>
            <x v="1997"/>
            <x v="1998"/>
            <x v="2009"/>
            <x v="2029"/>
            <x v="2030"/>
            <x v="2031"/>
            <x v="2042"/>
            <x v="2048"/>
            <x v="2050"/>
            <x v="2052"/>
            <x v="2063"/>
            <x v="2070"/>
            <x v="2072"/>
            <x v="2073"/>
          </reference>
        </references>
      </pivotArea>
    </format>
    <format dxfId="1408">
      <pivotArea dataOnly="0" labelOnly="1" fieldPosition="0">
        <references count="1">
          <reference field="6" count="23">
            <x v="2087"/>
            <x v="2091"/>
            <x v="2097"/>
            <x v="2100"/>
            <x v="2101"/>
            <x v="2108"/>
            <x v="2121"/>
            <x v="2124"/>
            <x v="2152"/>
            <x v="2156"/>
            <x v="2158"/>
            <x v="2162"/>
            <x v="2163"/>
            <x v="2170"/>
            <x v="2172"/>
            <x v="2196"/>
            <x v="2202"/>
            <x v="2206"/>
            <x v="2209"/>
            <x v="2214"/>
            <x v="2216"/>
            <x v="2217"/>
            <x v="2218"/>
          </reference>
        </references>
      </pivotArea>
    </format>
    <format dxfId="1407">
      <pivotArea dataOnly="0" labelOnly="1" grandRow="1" outline="0" fieldPosition="0"/>
    </format>
    <format dxfId="1406">
      <pivotArea dataOnly="0" labelOnly="1" fieldPosition="0">
        <references count="1">
          <reference field="19" count="0"/>
        </references>
      </pivotArea>
    </format>
    <format dxfId="1405">
      <pivotArea dataOnly="0" labelOnly="1" grandCol="1" outline="0" fieldPosition="0"/>
    </format>
    <format dxfId="1404">
      <pivotArea type="all" dataOnly="0" outline="0" fieldPosition="0"/>
    </format>
    <format dxfId="1403">
      <pivotArea outline="0" collapsedLevelsAreSubtotals="1" fieldPosition="0"/>
    </format>
    <format dxfId="1402">
      <pivotArea type="origin" dataOnly="0" labelOnly="1" outline="0" fieldPosition="0"/>
    </format>
    <format dxfId="1401">
      <pivotArea field="19" type="button" dataOnly="0" labelOnly="1" outline="0" axis="axisCol" fieldPosition="0"/>
    </format>
    <format dxfId="1400">
      <pivotArea type="topRight" dataOnly="0" labelOnly="1" outline="0" fieldPosition="0"/>
    </format>
    <format dxfId="1399">
      <pivotArea field="6" type="button" dataOnly="0" labelOnly="1" outline="0" axis="axisRow" fieldPosition="0"/>
    </format>
    <format dxfId="1398">
      <pivotArea dataOnly="0" labelOnly="1" fieldPosition="0">
        <references count="1">
          <reference field="6" count="50">
            <x v="10"/>
            <x v="15"/>
            <x v="23"/>
            <x v="32"/>
            <x v="44"/>
            <x v="45"/>
            <x v="47"/>
            <x v="56"/>
            <x v="57"/>
            <x v="61"/>
            <x v="78"/>
            <x v="80"/>
            <x v="85"/>
            <x v="90"/>
            <x v="101"/>
            <x v="102"/>
            <x v="103"/>
            <x v="108"/>
            <x v="117"/>
            <x v="119"/>
            <x v="120"/>
            <x v="121"/>
            <x v="126"/>
            <x v="135"/>
            <x v="139"/>
            <x v="144"/>
            <x v="148"/>
            <x v="168"/>
            <x v="191"/>
            <x v="192"/>
            <x v="194"/>
            <x v="201"/>
            <x v="202"/>
            <x v="221"/>
            <x v="224"/>
            <x v="226"/>
            <x v="228"/>
            <x v="231"/>
            <x v="236"/>
            <x v="237"/>
            <x v="238"/>
            <x v="241"/>
            <x v="256"/>
            <x v="260"/>
            <x v="281"/>
            <x v="282"/>
            <x v="287"/>
            <x v="288"/>
            <x v="289"/>
            <x v="291"/>
          </reference>
        </references>
      </pivotArea>
    </format>
    <format dxfId="1397">
      <pivotArea dataOnly="0" labelOnly="1" fieldPosition="0">
        <references count="1">
          <reference field="6" count="50">
            <x v="292"/>
            <x v="303"/>
            <x v="305"/>
            <x v="323"/>
            <x v="332"/>
            <x v="334"/>
            <x v="336"/>
            <x v="339"/>
            <x v="342"/>
            <x v="343"/>
            <x v="350"/>
            <x v="351"/>
            <x v="359"/>
            <x v="371"/>
            <x v="372"/>
            <x v="374"/>
            <x v="376"/>
            <x v="383"/>
            <x v="384"/>
            <x v="396"/>
            <x v="399"/>
            <x v="406"/>
            <x v="411"/>
            <x v="416"/>
            <x v="418"/>
            <x v="420"/>
            <x v="424"/>
            <x v="427"/>
            <x v="428"/>
            <x v="437"/>
            <x v="448"/>
            <x v="452"/>
            <x v="465"/>
            <x v="471"/>
            <x v="474"/>
            <x v="478"/>
            <x v="484"/>
            <x v="487"/>
            <x v="490"/>
            <x v="491"/>
            <x v="496"/>
            <x v="500"/>
            <x v="501"/>
            <x v="503"/>
            <x v="531"/>
            <x v="532"/>
            <x v="533"/>
            <x v="536"/>
            <x v="540"/>
            <x v="547"/>
          </reference>
        </references>
      </pivotArea>
    </format>
    <format dxfId="1396">
      <pivotArea dataOnly="0" labelOnly="1" fieldPosition="0">
        <references count="1">
          <reference field="6" count="50">
            <x v="571"/>
            <x v="572"/>
            <x v="573"/>
            <x v="576"/>
            <x v="586"/>
            <x v="594"/>
            <x v="596"/>
            <x v="600"/>
            <x v="603"/>
            <x v="608"/>
            <x v="611"/>
            <x v="622"/>
            <x v="623"/>
            <x v="626"/>
            <x v="628"/>
            <x v="634"/>
            <x v="637"/>
            <x v="645"/>
            <x v="647"/>
            <x v="654"/>
            <x v="661"/>
            <x v="663"/>
            <x v="670"/>
            <x v="674"/>
            <x v="676"/>
            <x v="678"/>
            <x v="680"/>
            <x v="684"/>
            <x v="686"/>
            <x v="688"/>
            <x v="690"/>
            <x v="699"/>
            <x v="700"/>
            <x v="705"/>
            <x v="706"/>
            <x v="709"/>
            <x v="711"/>
            <x v="716"/>
            <x v="740"/>
            <x v="742"/>
            <x v="744"/>
            <x v="749"/>
            <x v="751"/>
            <x v="755"/>
            <x v="757"/>
            <x v="758"/>
            <x v="759"/>
            <x v="774"/>
            <x v="782"/>
            <x v="787"/>
          </reference>
        </references>
      </pivotArea>
    </format>
    <format dxfId="1395">
      <pivotArea dataOnly="0" labelOnly="1" fieldPosition="0">
        <references count="1">
          <reference field="6" count="50">
            <x v="790"/>
            <x v="795"/>
            <x v="796"/>
            <x v="804"/>
            <x v="806"/>
            <x v="811"/>
            <x v="827"/>
            <x v="830"/>
            <x v="836"/>
            <x v="837"/>
            <x v="846"/>
            <x v="848"/>
            <x v="855"/>
            <x v="856"/>
            <x v="866"/>
            <x v="870"/>
            <x v="875"/>
            <x v="876"/>
            <x v="894"/>
            <x v="901"/>
            <x v="911"/>
            <x v="913"/>
            <x v="922"/>
            <x v="923"/>
            <x v="924"/>
            <x v="925"/>
            <x v="928"/>
            <x v="933"/>
            <x v="942"/>
            <x v="943"/>
            <x v="944"/>
            <x v="947"/>
            <x v="951"/>
            <x v="958"/>
            <x v="965"/>
            <x v="972"/>
            <x v="974"/>
            <x v="980"/>
            <x v="988"/>
            <x v="991"/>
            <x v="993"/>
            <x v="994"/>
            <x v="995"/>
            <x v="1000"/>
            <x v="1011"/>
            <x v="1012"/>
            <x v="1019"/>
            <x v="1020"/>
            <x v="1023"/>
            <x v="1027"/>
          </reference>
        </references>
      </pivotArea>
    </format>
    <format dxfId="1394">
      <pivotArea dataOnly="0" labelOnly="1" fieldPosition="0">
        <references count="1">
          <reference field="6" count="50">
            <x v="1028"/>
            <x v="1040"/>
            <x v="1044"/>
            <x v="1057"/>
            <x v="1064"/>
            <x v="1077"/>
            <x v="1081"/>
            <x v="1088"/>
            <x v="1105"/>
            <x v="1110"/>
            <x v="1114"/>
            <x v="1118"/>
            <x v="1120"/>
            <x v="1145"/>
            <x v="1146"/>
            <x v="1158"/>
            <x v="1169"/>
            <x v="1173"/>
            <x v="1180"/>
            <x v="1189"/>
            <x v="1200"/>
            <x v="1201"/>
            <x v="1202"/>
            <x v="1204"/>
            <x v="1206"/>
            <x v="1209"/>
            <x v="1214"/>
            <x v="1242"/>
            <x v="1246"/>
            <x v="1252"/>
            <x v="1262"/>
            <x v="1263"/>
            <x v="1274"/>
            <x v="1279"/>
            <x v="1285"/>
            <x v="1287"/>
            <x v="1290"/>
            <x v="1308"/>
            <x v="1325"/>
            <x v="1328"/>
            <x v="1330"/>
            <x v="1364"/>
            <x v="1370"/>
            <x v="1375"/>
            <x v="1390"/>
            <x v="1391"/>
            <x v="1402"/>
            <x v="1415"/>
            <x v="1428"/>
            <x v="1432"/>
          </reference>
        </references>
      </pivotArea>
    </format>
    <format dxfId="1393">
      <pivotArea dataOnly="0" labelOnly="1" fieldPosition="0">
        <references count="1">
          <reference field="6" count="50">
            <x v="1434"/>
            <x v="1440"/>
            <x v="1450"/>
            <x v="1453"/>
            <x v="1455"/>
            <x v="1462"/>
            <x v="1465"/>
            <x v="1471"/>
            <x v="1485"/>
            <x v="1497"/>
            <x v="1508"/>
            <x v="1512"/>
            <x v="1524"/>
            <x v="1536"/>
            <x v="1551"/>
            <x v="1565"/>
            <x v="1566"/>
            <x v="1567"/>
            <x v="1590"/>
            <x v="1600"/>
            <x v="1602"/>
            <x v="1604"/>
            <x v="1615"/>
            <x v="1628"/>
            <x v="1633"/>
            <x v="1638"/>
            <x v="1641"/>
            <x v="1646"/>
            <x v="1650"/>
            <x v="1654"/>
            <x v="1662"/>
            <x v="1671"/>
            <x v="1674"/>
            <x v="1682"/>
            <x v="1692"/>
            <x v="1698"/>
            <x v="1700"/>
            <x v="1701"/>
            <x v="1712"/>
            <x v="1718"/>
            <x v="1721"/>
            <x v="1730"/>
            <x v="1738"/>
            <x v="1742"/>
            <x v="1761"/>
            <x v="1766"/>
            <x v="1775"/>
            <x v="1786"/>
            <x v="1790"/>
            <x v="1793"/>
          </reference>
        </references>
      </pivotArea>
    </format>
    <format dxfId="1392">
      <pivotArea dataOnly="0" labelOnly="1" fieldPosition="0">
        <references count="1">
          <reference field="6" count="50">
            <x v="1797"/>
            <x v="1808"/>
            <x v="1815"/>
            <x v="1820"/>
            <x v="1822"/>
            <x v="1823"/>
            <x v="1825"/>
            <x v="1826"/>
            <x v="1834"/>
            <x v="1856"/>
            <x v="1865"/>
            <x v="1869"/>
            <x v="1872"/>
            <x v="1873"/>
            <x v="1877"/>
            <x v="1890"/>
            <x v="1891"/>
            <x v="1895"/>
            <x v="1896"/>
            <x v="1900"/>
            <x v="1908"/>
            <x v="1921"/>
            <x v="1926"/>
            <x v="1930"/>
            <x v="1933"/>
            <x v="1934"/>
            <x v="1939"/>
            <x v="1945"/>
            <x v="1952"/>
            <x v="1967"/>
            <x v="1983"/>
            <x v="1987"/>
            <x v="1988"/>
            <x v="1989"/>
            <x v="1990"/>
            <x v="1995"/>
            <x v="1997"/>
            <x v="1998"/>
            <x v="2009"/>
            <x v="2029"/>
            <x v="2030"/>
            <x v="2031"/>
            <x v="2042"/>
            <x v="2048"/>
            <x v="2050"/>
            <x v="2052"/>
            <x v="2063"/>
            <x v="2070"/>
            <x v="2072"/>
            <x v="2073"/>
          </reference>
        </references>
      </pivotArea>
    </format>
    <format dxfId="1391">
      <pivotArea dataOnly="0" labelOnly="1" fieldPosition="0">
        <references count="1">
          <reference field="6" count="23">
            <x v="2087"/>
            <x v="2091"/>
            <x v="2097"/>
            <x v="2100"/>
            <x v="2101"/>
            <x v="2108"/>
            <x v="2121"/>
            <x v="2124"/>
            <x v="2152"/>
            <x v="2156"/>
            <x v="2158"/>
            <x v="2162"/>
            <x v="2163"/>
            <x v="2170"/>
            <x v="2172"/>
            <x v="2196"/>
            <x v="2202"/>
            <x v="2206"/>
            <x v="2209"/>
            <x v="2214"/>
            <x v="2216"/>
            <x v="2217"/>
            <x v="2218"/>
          </reference>
        </references>
      </pivotArea>
    </format>
    <format dxfId="1390">
      <pivotArea dataOnly="0" labelOnly="1" grandRow="1" outline="0" fieldPosition="0"/>
    </format>
    <format dxfId="1389">
      <pivotArea dataOnly="0" labelOnly="1" fieldPosition="0">
        <references count="1">
          <reference field="19" count="0"/>
        </references>
      </pivotArea>
    </format>
    <format dxfId="1388">
      <pivotArea dataOnly="0" labelOnly="1" grandCol="1" outline="0" fieldPosition="0"/>
    </format>
    <format dxfId="1387">
      <pivotArea type="all" dataOnly="0" outline="0" fieldPosition="0"/>
    </format>
    <format dxfId="1386">
      <pivotArea outline="0" collapsedLevelsAreSubtotals="1" fieldPosition="0"/>
    </format>
    <format dxfId="1385">
      <pivotArea type="origin" dataOnly="0" labelOnly="1" outline="0" fieldPosition="0"/>
    </format>
    <format dxfId="1384">
      <pivotArea field="19" type="button" dataOnly="0" labelOnly="1" outline="0" axis="axisCol" fieldPosition="0"/>
    </format>
    <format dxfId="1383">
      <pivotArea type="topRight" dataOnly="0" labelOnly="1" outline="0" fieldPosition="0"/>
    </format>
    <format dxfId="1382">
      <pivotArea field="6" type="button" dataOnly="0" labelOnly="1" outline="0" axis="axisRow" fieldPosition="0"/>
    </format>
    <format dxfId="1381">
      <pivotArea dataOnly="0" labelOnly="1" fieldPosition="0">
        <references count="1">
          <reference field="6" count="50">
            <x v="10"/>
            <x v="15"/>
            <x v="23"/>
            <x v="32"/>
            <x v="44"/>
            <x v="45"/>
            <x v="47"/>
            <x v="56"/>
            <x v="57"/>
            <x v="61"/>
            <x v="78"/>
            <x v="80"/>
            <x v="85"/>
            <x v="90"/>
            <x v="101"/>
            <x v="102"/>
            <x v="103"/>
            <x v="108"/>
            <x v="117"/>
            <x v="119"/>
            <x v="120"/>
            <x v="121"/>
            <x v="126"/>
            <x v="135"/>
            <x v="139"/>
            <x v="144"/>
            <x v="148"/>
            <x v="168"/>
            <x v="191"/>
            <x v="192"/>
            <x v="194"/>
            <x v="201"/>
            <x v="202"/>
            <x v="221"/>
            <x v="224"/>
            <x v="226"/>
            <x v="228"/>
            <x v="231"/>
            <x v="236"/>
            <x v="237"/>
            <x v="238"/>
            <x v="241"/>
            <x v="256"/>
            <x v="260"/>
            <x v="281"/>
            <x v="282"/>
            <x v="287"/>
            <x v="288"/>
            <x v="289"/>
            <x v="291"/>
          </reference>
        </references>
      </pivotArea>
    </format>
    <format dxfId="1380">
      <pivotArea dataOnly="0" labelOnly="1" fieldPosition="0">
        <references count="1">
          <reference field="6" count="50">
            <x v="292"/>
            <x v="303"/>
            <x v="305"/>
            <x v="323"/>
            <x v="332"/>
            <x v="334"/>
            <x v="336"/>
            <x v="339"/>
            <x v="342"/>
            <x v="343"/>
            <x v="350"/>
            <x v="351"/>
            <x v="359"/>
            <x v="371"/>
            <x v="372"/>
            <x v="374"/>
            <x v="376"/>
            <x v="383"/>
            <x v="384"/>
            <x v="396"/>
            <x v="399"/>
            <x v="406"/>
            <x v="411"/>
            <x v="416"/>
            <x v="418"/>
            <x v="420"/>
            <x v="424"/>
            <x v="427"/>
            <x v="428"/>
            <x v="437"/>
            <x v="448"/>
            <x v="452"/>
            <x v="465"/>
            <x v="471"/>
            <x v="474"/>
            <x v="478"/>
            <x v="484"/>
            <x v="487"/>
            <x v="490"/>
            <x v="491"/>
            <x v="496"/>
            <x v="500"/>
            <x v="501"/>
            <x v="503"/>
            <x v="531"/>
            <x v="532"/>
            <x v="533"/>
            <x v="536"/>
            <x v="540"/>
            <x v="547"/>
          </reference>
        </references>
      </pivotArea>
    </format>
    <format dxfId="1379">
      <pivotArea dataOnly="0" labelOnly="1" fieldPosition="0">
        <references count="1">
          <reference field="6" count="50">
            <x v="571"/>
            <x v="572"/>
            <x v="573"/>
            <x v="576"/>
            <x v="586"/>
            <x v="594"/>
            <x v="596"/>
            <x v="600"/>
            <x v="603"/>
            <x v="608"/>
            <x v="611"/>
            <x v="622"/>
            <x v="623"/>
            <x v="626"/>
            <x v="628"/>
            <x v="634"/>
            <x v="637"/>
            <x v="645"/>
            <x v="647"/>
            <x v="654"/>
            <x v="661"/>
            <x v="663"/>
            <x v="670"/>
            <x v="674"/>
            <x v="676"/>
            <x v="678"/>
            <x v="680"/>
            <x v="684"/>
            <x v="686"/>
            <x v="688"/>
            <x v="690"/>
            <x v="699"/>
            <x v="700"/>
            <x v="705"/>
            <x v="706"/>
            <x v="709"/>
            <x v="711"/>
            <x v="716"/>
            <x v="740"/>
            <x v="742"/>
            <x v="744"/>
            <x v="749"/>
            <x v="751"/>
            <x v="755"/>
            <x v="757"/>
            <x v="758"/>
            <x v="759"/>
            <x v="774"/>
            <x v="782"/>
            <x v="787"/>
          </reference>
        </references>
      </pivotArea>
    </format>
    <format dxfId="1378">
      <pivotArea dataOnly="0" labelOnly="1" fieldPosition="0">
        <references count="1">
          <reference field="6" count="50">
            <x v="790"/>
            <x v="795"/>
            <x v="796"/>
            <x v="804"/>
            <x v="806"/>
            <x v="811"/>
            <x v="827"/>
            <x v="830"/>
            <x v="836"/>
            <x v="837"/>
            <x v="846"/>
            <x v="848"/>
            <x v="855"/>
            <x v="856"/>
            <x v="866"/>
            <x v="870"/>
            <x v="875"/>
            <x v="876"/>
            <x v="894"/>
            <x v="901"/>
            <x v="911"/>
            <x v="913"/>
            <x v="922"/>
            <x v="923"/>
            <x v="924"/>
            <x v="925"/>
            <x v="928"/>
            <x v="933"/>
            <x v="942"/>
            <x v="943"/>
            <x v="944"/>
            <x v="947"/>
            <x v="951"/>
            <x v="958"/>
            <x v="965"/>
            <x v="972"/>
            <x v="974"/>
            <x v="980"/>
            <x v="988"/>
            <x v="991"/>
            <x v="993"/>
            <x v="994"/>
            <x v="995"/>
            <x v="1000"/>
            <x v="1011"/>
            <x v="1012"/>
            <x v="1019"/>
            <x v="1020"/>
            <x v="1023"/>
            <x v="1027"/>
          </reference>
        </references>
      </pivotArea>
    </format>
    <format dxfId="1377">
      <pivotArea dataOnly="0" labelOnly="1" fieldPosition="0">
        <references count="1">
          <reference field="6" count="50">
            <x v="1028"/>
            <x v="1040"/>
            <x v="1044"/>
            <x v="1057"/>
            <x v="1064"/>
            <x v="1077"/>
            <x v="1081"/>
            <x v="1088"/>
            <x v="1105"/>
            <x v="1110"/>
            <x v="1114"/>
            <x v="1118"/>
            <x v="1120"/>
            <x v="1145"/>
            <x v="1146"/>
            <x v="1158"/>
            <x v="1169"/>
            <x v="1173"/>
            <x v="1180"/>
            <x v="1189"/>
            <x v="1200"/>
            <x v="1201"/>
            <x v="1202"/>
            <x v="1204"/>
            <x v="1206"/>
            <x v="1209"/>
            <x v="1214"/>
            <x v="1242"/>
            <x v="1246"/>
            <x v="1252"/>
            <x v="1262"/>
            <x v="1263"/>
            <x v="1274"/>
            <x v="1279"/>
            <x v="1285"/>
            <x v="1287"/>
            <x v="1290"/>
            <x v="1308"/>
            <x v="1325"/>
            <x v="1328"/>
            <x v="1330"/>
            <x v="1364"/>
            <x v="1370"/>
            <x v="1375"/>
            <x v="1390"/>
            <x v="1391"/>
            <x v="1402"/>
            <x v="1415"/>
            <x v="1428"/>
            <x v="1432"/>
          </reference>
        </references>
      </pivotArea>
    </format>
    <format dxfId="1376">
      <pivotArea dataOnly="0" labelOnly="1" fieldPosition="0">
        <references count="1">
          <reference field="6" count="50">
            <x v="1434"/>
            <x v="1440"/>
            <x v="1450"/>
            <x v="1453"/>
            <x v="1455"/>
            <x v="1462"/>
            <x v="1465"/>
            <x v="1471"/>
            <x v="1485"/>
            <x v="1497"/>
            <x v="1508"/>
            <x v="1512"/>
            <x v="1524"/>
            <x v="1536"/>
            <x v="1551"/>
            <x v="1565"/>
            <x v="1566"/>
            <x v="1567"/>
            <x v="1590"/>
            <x v="1600"/>
            <x v="1602"/>
            <x v="1604"/>
            <x v="1615"/>
            <x v="1628"/>
            <x v="1633"/>
            <x v="1638"/>
            <x v="1641"/>
            <x v="1646"/>
            <x v="1650"/>
            <x v="1654"/>
            <x v="1662"/>
            <x v="1671"/>
            <x v="1674"/>
            <x v="1682"/>
            <x v="1692"/>
            <x v="1698"/>
            <x v="1700"/>
            <x v="1701"/>
            <x v="1712"/>
            <x v="1718"/>
            <x v="1721"/>
            <x v="1730"/>
            <x v="1738"/>
            <x v="1742"/>
            <x v="1761"/>
            <x v="1766"/>
            <x v="1775"/>
            <x v="1786"/>
            <x v="1790"/>
            <x v="1793"/>
          </reference>
        </references>
      </pivotArea>
    </format>
    <format dxfId="1375">
      <pivotArea dataOnly="0" labelOnly="1" fieldPosition="0">
        <references count="1">
          <reference field="6" count="50">
            <x v="1797"/>
            <x v="1808"/>
            <x v="1815"/>
            <x v="1820"/>
            <x v="1822"/>
            <x v="1823"/>
            <x v="1825"/>
            <x v="1826"/>
            <x v="1834"/>
            <x v="1856"/>
            <x v="1865"/>
            <x v="1869"/>
            <x v="1872"/>
            <x v="1873"/>
            <x v="1877"/>
            <x v="1890"/>
            <x v="1891"/>
            <x v="1895"/>
            <x v="1896"/>
            <x v="1900"/>
            <x v="1908"/>
            <x v="1921"/>
            <x v="1926"/>
            <x v="1930"/>
            <x v="1933"/>
            <x v="1934"/>
            <x v="1939"/>
            <x v="1945"/>
            <x v="1952"/>
            <x v="1967"/>
            <x v="1983"/>
            <x v="1987"/>
            <x v="1988"/>
            <x v="1989"/>
            <x v="1990"/>
            <x v="1995"/>
            <x v="1997"/>
            <x v="1998"/>
            <x v="2009"/>
            <x v="2029"/>
            <x v="2030"/>
            <x v="2031"/>
            <x v="2042"/>
            <x v="2048"/>
            <x v="2050"/>
            <x v="2052"/>
            <x v="2063"/>
            <x v="2070"/>
            <x v="2072"/>
            <x v="2073"/>
          </reference>
        </references>
      </pivotArea>
    </format>
    <format dxfId="1374">
      <pivotArea dataOnly="0" labelOnly="1" fieldPosition="0">
        <references count="1">
          <reference field="6" count="23">
            <x v="2087"/>
            <x v="2091"/>
            <x v="2097"/>
            <x v="2100"/>
            <x v="2101"/>
            <x v="2108"/>
            <x v="2121"/>
            <x v="2124"/>
            <x v="2152"/>
            <x v="2156"/>
            <x v="2158"/>
            <x v="2162"/>
            <x v="2163"/>
            <x v="2170"/>
            <x v="2172"/>
            <x v="2196"/>
            <x v="2202"/>
            <x v="2206"/>
            <x v="2209"/>
            <x v="2214"/>
            <x v="2216"/>
            <x v="2217"/>
            <x v="2218"/>
          </reference>
        </references>
      </pivotArea>
    </format>
    <format dxfId="1373">
      <pivotArea dataOnly="0" labelOnly="1" grandRow="1" outline="0" fieldPosition="0"/>
    </format>
    <format dxfId="1372">
      <pivotArea dataOnly="0" labelOnly="1" fieldPosition="0">
        <references count="1">
          <reference field="19" count="0"/>
        </references>
      </pivotArea>
    </format>
    <format dxfId="1371">
      <pivotArea dataOnly="0" labelOnly="1" grandCol="1" outline="0" fieldPosition="0"/>
    </format>
    <format dxfId="1370">
      <pivotArea field="6" type="button" dataOnly="0" labelOnly="1" outline="0" axis="axisRow" fieldPosition="0"/>
    </format>
    <format dxfId="1369">
      <pivotArea dataOnly="0" labelOnly="1" fieldPosition="0">
        <references count="1">
          <reference field="19" count="0"/>
        </references>
      </pivotArea>
    </format>
    <format dxfId="1368">
      <pivotArea dataOnly="0" labelOnly="1" grandCol="1" outline="0" fieldPosition="0"/>
    </format>
    <format dxfId="1367">
      <pivotArea outline="0" collapsedLevelsAreSubtotals="1" fieldPosition="0"/>
    </format>
    <format dxfId="1366">
      <pivotArea field="6" type="button" dataOnly="0" labelOnly="1" outline="0" axis="axisRow" fieldPosition="0"/>
    </format>
    <format dxfId="1365">
      <pivotArea dataOnly="0" labelOnly="1" fieldPosition="0">
        <references count="1">
          <reference field="6" count="50">
            <x v="10"/>
            <x v="15"/>
            <x v="23"/>
            <x v="32"/>
            <x v="44"/>
            <x v="45"/>
            <x v="47"/>
            <x v="56"/>
            <x v="57"/>
            <x v="61"/>
            <x v="78"/>
            <x v="80"/>
            <x v="85"/>
            <x v="90"/>
            <x v="101"/>
            <x v="102"/>
            <x v="103"/>
            <x v="108"/>
            <x v="117"/>
            <x v="119"/>
            <x v="120"/>
            <x v="121"/>
            <x v="126"/>
            <x v="135"/>
            <x v="139"/>
            <x v="144"/>
            <x v="148"/>
            <x v="168"/>
            <x v="191"/>
            <x v="192"/>
            <x v="194"/>
            <x v="201"/>
            <x v="202"/>
            <x v="221"/>
            <x v="224"/>
            <x v="226"/>
            <x v="228"/>
            <x v="231"/>
            <x v="236"/>
            <x v="237"/>
            <x v="238"/>
            <x v="241"/>
            <x v="256"/>
            <x v="260"/>
            <x v="281"/>
            <x v="282"/>
            <x v="287"/>
            <x v="288"/>
            <x v="289"/>
            <x v="291"/>
          </reference>
        </references>
      </pivotArea>
    </format>
    <format dxfId="1364">
      <pivotArea dataOnly="0" labelOnly="1" fieldPosition="0">
        <references count="1">
          <reference field="6" count="50">
            <x v="292"/>
            <x v="303"/>
            <x v="305"/>
            <x v="323"/>
            <x v="332"/>
            <x v="334"/>
            <x v="336"/>
            <x v="339"/>
            <x v="342"/>
            <x v="343"/>
            <x v="350"/>
            <x v="351"/>
            <x v="359"/>
            <x v="371"/>
            <x v="372"/>
            <x v="374"/>
            <x v="376"/>
            <x v="383"/>
            <x v="384"/>
            <x v="396"/>
            <x v="399"/>
            <x v="406"/>
            <x v="411"/>
            <x v="416"/>
            <x v="418"/>
            <x v="420"/>
            <x v="424"/>
            <x v="427"/>
            <x v="428"/>
            <x v="437"/>
            <x v="448"/>
            <x v="452"/>
            <x v="465"/>
            <x v="471"/>
            <x v="474"/>
            <x v="478"/>
            <x v="484"/>
            <x v="487"/>
            <x v="490"/>
            <x v="491"/>
            <x v="496"/>
            <x v="500"/>
            <x v="501"/>
            <x v="503"/>
            <x v="531"/>
            <x v="532"/>
            <x v="533"/>
            <x v="536"/>
            <x v="540"/>
            <x v="547"/>
          </reference>
        </references>
      </pivotArea>
    </format>
    <format dxfId="1363">
      <pivotArea dataOnly="0" labelOnly="1" fieldPosition="0">
        <references count="1">
          <reference field="6" count="50">
            <x v="571"/>
            <x v="572"/>
            <x v="573"/>
            <x v="576"/>
            <x v="586"/>
            <x v="594"/>
            <x v="596"/>
            <x v="600"/>
            <x v="603"/>
            <x v="608"/>
            <x v="611"/>
            <x v="622"/>
            <x v="623"/>
            <x v="626"/>
            <x v="628"/>
            <x v="634"/>
            <x v="637"/>
            <x v="645"/>
            <x v="647"/>
            <x v="654"/>
            <x v="661"/>
            <x v="663"/>
            <x v="670"/>
            <x v="674"/>
            <x v="676"/>
            <x v="678"/>
            <x v="680"/>
            <x v="684"/>
            <x v="686"/>
            <x v="688"/>
            <x v="690"/>
            <x v="699"/>
            <x v="700"/>
            <x v="705"/>
            <x v="706"/>
            <x v="709"/>
            <x v="711"/>
            <x v="716"/>
            <x v="740"/>
            <x v="742"/>
            <x v="744"/>
            <x v="749"/>
            <x v="751"/>
            <x v="755"/>
            <x v="757"/>
            <x v="758"/>
            <x v="759"/>
            <x v="774"/>
            <x v="782"/>
            <x v="787"/>
          </reference>
        </references>
      </pivotArea>
    </format>
    <format dxfId="1362">
      <pivotArea dataOnly="0" labelOnly="1" fieldPosition="0">
        <references count="1">
          <reference field="6" count="50">
            <x v="790"/>
            <x v="795"/>
            <x v="796"/>
            <x v="804"/>
            <x v="806"/>
            <x v="811"/>
            <x v="827"/>
            <x v="830"/>
            <x v="836"/>
            <x v="837"/>
            <x v="846"/>
            <x v="848"/>
            <x v="855"/>
            <x v="856"/>
            <x v="866"/>
            <x v="870"/>
            <x v="875"/>
            <x v="876"/>
            <x v="894"/>
            <x v="901"/>
            <x v="911"/>
            <x v="913"/>
            <x v="922"/>
            <x v="923"/>
            <x v="924"/>
            <x v="925"/>
            <x v="928"/>
            <x v="933"/>
            <x v="942"/>
            <x v="943"/>
            <x v="944"/>
            <x v="947"/>
            <x v="951"/>
            <x v="958"/>
            <x v="965"/>
            <x v="972"/>
            <x v="974"/>
            <x v="980"/>
            <x v="988"/>
            <x v="991"/>
            <x v="993"/>
            <x v="994"/>
            <x v="995"/>
            <x v="1000"/>
            <x v="1011"/>
            <x v="1012"/>
            <x v="1019"/>
            <x v="1020"/>
            <x v="1023"/>
            <x v="1027"/>
          </reference>
        </references>
      </pivotArea>
    </format>
    <format dxfId="1361">
      <pivotArea dataOnly="0" labelOnly="1" fieldPosition="0">
        <references count="1">
          <reference field="6" count="50">
            <x v="1028"/>
            <x v="1040"/>
            <x v="1044"/>
            <x v="1057"/>
            <x v="1064"/>
            <x v="1077"/>
            <x v="1081"/>
            <x v="1088"/>
            <x v="1105"/>
            <x v="1110"/>
            <x v="1114"/>
            <x v="1118"/>
            <x v="1120"/>
            <x v="1145"/>
            <x v="1146"/>
            <x v="1158"/>
            <x v="1169"/>
            <x v="1173"/>
            <x v="1180"/>
            <x v="1189"/>
            <x v="1200"/>
            <x v="1201"/>
            <x v="1202"/>
            <x v="1204"/>
            <x v="1206"/>
            <x v="1209"/>
            <x v="1214"/>
            <x v="1242"/>
            <x v="1246"/>
            <x v="1252"/>
            <x v="1262"/>
            <x v="1263"/>
            <x v="1274"/>
            <x v="1279"/>
            <x v="1285"/>
            <x v="1287"/>
            <x v="1290"/>
            <x v="1308"/>
            <x v="1325"/>
            <x v="1328"/>
            <x v="1330"/>
            <x v="1364"/>
            <x v="1370"/>
            <x v="1375"/>
            <x v="1390"/>
            <x v="1391"/>
            <x v="1402"/>
            <x v="1415"/>
            <x v="1428"/>
            <x v="1432"/>
          </reference>
        </references>
      </pivotArea>
    </format>
    <format dxfId="1360">
      <pivotArea dataOnly="0" labelOnly="1" fieldPosition="0">
        <references count="1">
          <reference field="6" count="50">
            <x v="1434"/>
            <x v="1440"/>
            <x v="1450"/>
            <x v="1453"/>
            <x v="1455"/>
            <x v="1462"/>
            <x v="1465"/>
            <x v="1471"/>
            <x v="1485"/>
            <x v="1497"/>
            <x v="1508"/>
            <x v="1512"/>
            <x v="1524"/>
            <x v="1536"/>
            <x v="1551"/>
            <x v="1565"/>
            <x v="1566"/>
            <x v="1567"/>
            <x v="1590"/>
            <x v="1600"/>
            <x v="1602"/>
            <x v="1604"/>
            <x v="1615"/>
            <x v="1628"/>
            <x v="1633"/>
            <x v="1638"/>
            <x v="1641"/>
            <x v="1646"/>
            <x v="1650"/>
            <x v="1654"/>
            <x v="1662"/>
            <x v="1671"/>
            <x v="1674"/>
            <x v="1682"/>
            <x v="1692"/>
            <x v="1698"/>
            <x v="1700"/>
            <x v="1701"/>
            <x v="1712"/>
            <x v="1718"/>
            <x v="1721"/>
            <x v="1730"/>
            <x v="1738"/>
            <x v="1742"/>
            <x v="1761"/>
            <x v="1766"/>
            <x v="1775"/>
            <x v="1786"/>
            <x v="1790"/>
            <x v="1793"/>
          </reference>
        </references>
      </pivotArea>
    </format>
    <format dxfId="1359">
      <pivotArea dataOnly="0" labelOnly="1" fieldPosition="0">
        <references count="1">
          <reference field="6" count="50">
            <x v="1797"/>
            <x v="1808"/>
            <x v="1815"/>
            <x v="1820"/>
            <x v="1822"/>
            <x v="1823"/>
            <x v="1825"/>
            <x v="1826"/>
            <x v="1834"/>
            <x v="1856"/>
            <x v="1865"/>
            <x v="1869"/>
            <x v="1872"/>
            <x v="1873"/>
            <x v="1877"/>
            <x v="1890"/>
            <x v="1891"/>
            <x v="1895"/>
            <x v="1896"/>
            <x v="1900"/>
            <x v="1908"/>
            <x v="1921"/>
            <x v="1926"/>
            <x v="1930"/>
            <x v="1933"/>
            <x v="1934"/>
            <x v="1939"/>
            <x v="1945"/>
            <x v="1952"/>
            <x v="1967"/>
            <x v="1983"/>
            <x v="1987"/>
            <x v="1988"/>
            <x v="1989"/>
            <x v="1990"/>
            <x v="1995"/>
            <x v="1997"/>
            <x v="1998"/>
            <x v="2009"/>
            <x v="2029"/>
            <x v="2030"/>
            <x v="2031"/>
            <x v="2042"/>
            <x v="2048"/>
            <x v="2050"/>
            <x v="2052"/>
            <x v="2063"/>
            <x v="2070"/>
            <x v="2072"/>
            <x v="2073"/>
          </reference>
        </references>
      </pivotArea>
    </format>
    <format dxfId="1358">
      <pivotArea dataOnly="0" labelOnly="1" fieldPosition="0">
        <references count="1">
          <reference field="6" count="23">
            <x v="2087"/>
            <x v="2091"/>
            <x v="2097"/>
            <x v="2100"/>
            <x v="2101"/>
            <x v="2108"/>
            <x v="2121"/>
            <x v="2124"/>
            <x v="2152"/>
            <x v="2156"/>
            <x v="2158"/>
            <x v="2162"/>
            <x v="2163"/>
            <x v="2170"/>
            <x v="2172"/>
            <x v="2196"/>
            <x v="2202"/>
            <x v="2206"/>
            <x v="2209"/>
            <x v="2214"/>
            <x v="2216"/>
            <x v="2217"/>
            <x v="2218"/>
          </reference>
        </references>
      </pivotArea>
    </format>
    <format dxfId="1357">
      <pivotArea dataOnly="0" labelOnly="1" grandRow="1" outline="0" fieldPosition="0"/>
    </format>
    <format dxfId="1356">
      <pivotArea dataOnly="0" labelOnly="1" fieldPosition="0">
        <references count="1">
          <reference field="19" count="0"/>
        </references>
      </pivotArea>
    </format>
    <format dxfId="1355">
      <pivotArea dataOnly="0" labelOnly="1" grandCol="1" outline="0" fieldPosition="0"/>
    </format>
    <format dxfId="1354">
      <pivotArea collapsedLevelsAreSubtotals="1" fieldPosition="0">
        <references count="1">
          <reference field="6" count="406">
            <x v="32"/>
            <x v="45"/>
            <x v="54"/>
            <x v="57"/>
            <x v="61"/>
            <x v="74"/>
            <x v="78"/>
            <x v="80"/>
            <x v="83"/>
            <x v="85"/>
            <x v="94"/>
            <x v="102"/>
            <x v="108"/>
            <x v="111"/>
            <x v="117"/>
            <x v="120"/>
            <x v="126"/>
            <x v="127"/>
            <x v="137"/>
            <x v="138"/>
            <x v="140"/>
            <x v="148"/>
            <x v="151"/>
            <x v="156"/>
            <x v="167"/>
            <x v="171"/>
            <x v="182"/>
            <x v="183"/>
            <x v="188"/>
            <x v="194"/>
            <x v="214"/>
            <x v="225"/>
            <x v="226"/>
            <x v="232"/>
            <x v="233"/>
            <x v="234"/>
            <x v="236"/>
            <x v="243"/>
            <x v="252"/>
            <x v="255"/>
            <x v="263"/>
            <x v="270"/>
            <x v="271"/>
            <x v="277"/>
            <x v="289"/>
            <x v="291"/>
            <x v="295"/>
            <x v="303"/>
            <x v="305"/>
            <x v="308"/>
            <x v="311"/>
            <x v="317"/>
            <x v="321"/>
            <x v="324"/>
            <x v="326"/>
            <x v="327"/>
            <x v="330"/>
            <x v="332"/>
            <x v="334"/>
            <x v="337"/>
            <x v="339"/>
            <x v="350"/>
            <x v="353"/>
            <x v="357"/>
            <x v="359"/>
            <x v="364"/>
            <x v="372"/>
            <x v="376"/>
            <x v="381"/>
            <x v="383"/>
            <x v="386"/>
            <x v="398"/>
            <x v="408"/>
            <x v="409"/>
            <x v="418"/>
            <x v="421"/>
            <x v="428"/>
            <x v="432"/>
            <x v="440"/>
            <x v="447"/>
            <x v="448"/>
            <x v="455"/>
            <x v="461"/>
            <x v="468"/>
            <x v="471"/>
            <x v="473"/>
            <x v="478"/>
            <x v="481"/>
            <x v="482"/>
            <x v="484"/>
            <x v="503"/>
            <x v="507"/>
            <x v="532"/>
            <x v="533"/>
            <x v="536"/>
            <x v="539"/>
            <x v="540"/>
            <x v="547"/>
            <x v="549"/>
            <x v="577"/>
            <x v="586"/>
            <x v="591"/>
            <x v="596"/>
            <x v="601"/>
            <x v="607"/>
            <x v="608"/>
            <x v="611"/>
            <x v="612"/>
            <x v="616"/>
            <x v="621"/>
            <x v="622"/>
            <x v="623"/>
            <x v="628"/>
            <x v="629"/>
            <x v="634"/>
            <x v="637"/>
            <x v="644"/>
            <x v="647"/>
            <x v="654"/>
            <x v="681"/>
            <x v="684"/>
            <x v="691"/>
            <x v="699"/>
            <x v="700"/>
            <x v="705"/>
            <x v="706"/>
            <x v="709"/>
            <x v="715"/>
            <x v="727"/>
            <x v="734"/>
            <x v="738"/>
            <x v="758"/>
            <x v="776"/>
            <x v="794"/>
            <x v="796"/>
            <x v="800"/>
            <x v="804"/>
            <x v="805"/>
            <x v="811"/>
            <x v="834"/>
            <x v="835"/>
            <x v="836"/>
            <x v="837"/>
            <x v="840"/>
            <x v="846"/>
            <x v="862"/>
            <x v="865"/>
            <x v="867"/>
            <x v="872"/>
            <x v="875"/>
            <x v="878"/>
            <x v="880"/>
            <x v="882"/>
            <x v="886"/>
            <x v="888"/>
            <x v="901"/>
            <x v="919"/>
            <x v="921"/>
            <x v="922"/>
            <x v="923"/>
            <x v="924"/>
            <x v="927"/>
            <x v="928"/>
            <x v="942"/>
            <x v="943"/>
            <x v="947"/>
            <x v="963"/>
            <x v="964"/>
            <x v="969"/>
            <x v="974"/>
            <x v="975"/>
            <x v="976"/>
            <x v="978"/>
            <x v="980"/>
            <x v="988"/>
            <x v="991"/>
            <x v="993"/>
            <x v="1000"/>
            <x v="1001"/>
            <x v="1004"/>
            <x v="1007"/>
            <x v="1009"/>
            <x v="1010"/>
            <x v="1020"/>
            <x v="1024"/>
            <x v="1028"/>
            <x v="1035"/>
            <x v="1043"/>
            <x v="1050"/>
            <x v="1057"/>
            <x v="1061"/>
            <x v="1069"/>
            <x v="1081"/>
            <x v="1083"/>
            <x v="1088"/>
            <x v="1090"/>
            <x v="1104"/>
            <x v="1105"/>
            <x v="1106"/>
            <x v="1107"/>
            <x v="1109"/>
            <x v="1113"/>
            <x v="1127"/>
            <x v="1137"/>
            <x v="1139"/>
            <x v="1145"/>
            <x v="1158"/>
            <x v="1162"/>
            <x v="1168"/>
            <x v="1172"/>
            <x v="1173"/>
            <x v="1174"/>
            <x v="1177"/>
            <x v="1178"/>
            <x v="1179"/>
            <x v="1180"/>
            <x v="1186"/>
            <x v="1187"/>
            <x v="1188"/>
            <x v="1199"/>
            <x v="1200"/>
            <x v="1201"/>
            <x v="1202"/>
            <x v="1204"/>
            <x v="1205"/>
            <x v="1214"/>
            <x v="1216"/>
            <x v="1221"/>
            <x v="1231"/>
            <x v="1232"/>
            <x v="1256"/>
            <x v="1263"/>
            <x v="1277"/>
            <x v="1278"/>
            <x v="1279"/>
            <x v="1282"/>
            <x v="1290"/>
            <x v="1296"/>
            <x v="1300"/>
            <x v="1305"/>
            <x v="1313"/>
            <x v="1318"/>
            <x v="1321"/>
            <x v="1322"/>
            <x v="1325"/>
            <x v="1329"/>
            <x v="1331"/>
            <x v="1333"/>
            <x v="1342"/>
            <x v="1345"/>
            <x v="1364"/>
            <x v="1367"/>
            <x v="1373"/>
            <x v="1378"/>
            <x v="1380"/>
            <x v="1387"/>
            <x v="1390"/>
            <x v="1392"/>
            <x v="1402"/>
            <x v="1413"/>
            <x v="1419"/>
            <x v="1423"/>
            <x v="1446"/>
            <x v="1453"/>
            <x v="1460"/>
            <x v="1462"/>
            <x v="1466"/>
            <x v="1467"/>
            <x v="1475"/>
            <x v="1481"/>
            <x v="1485"/>
            <x v="1488"/>
            <x v="1489"/>
            <x v="1490"/>
            <x v="1505"/>
            <x v="1512"/>
            <x v="1516"/>
            <x v="1518"/>
            <x v="1520"/>
            <x v="1524"/>
            <x v="1529"/>
            <x v="1546"/>
            <x v="1551"/>
            <x v="1554"/>
            <x v="1562"/>
            <x v="1570"/>
            <x v="1579"/>
            <x v="1581"/>
            <x v="1588"/>
            <x v="1590"/>
            <x v="1602"/>
            <x v="1604"/>
            <x v="1615"/>
            <x v="1617"/>
            <x v="1620"/>
            <x v="1628"/>
            <x v="1630"/>
            <x v="1632"/>
            <x v="1635"/>
            <x v="1644"/>
            <x v="1646"/>
            <x v="1648"/>
            <x v="1663"/>
            <x v="1674"/>
            <x v="1685"/>
            <x v="1686"/>
            <x v="1694"/>
            <x v="1700"/>
            <x v="1701"/>
            <x v="1717"/>
            <x v="1720"/>
            <x v="1721"/>
            <x v="1730"/>
            <x v="1732"/>
            <x v="1738"/>
            <x v="1741"/>
            <x v="1755"/>
            <x v="1761"/>
            <x v="1763"/>
            <x v="1769"/>
            <x v="1774"/>
            <x v="1775"/>
            <x v="1784"/>
            <x v="1786"/>
            <x v="1799"/>
            <x v="1804"/>
            <x v="1808"/>
            <x v="1820"/>
            <x v="1822"/>
            <x v="1825"/>
            <x v="1826"/>
            <x v="1829"/>
            <x v="1830"/>
            <x v="1839"/>
            <x v="1843"/>
            <x v="1856"/>
            <x v="1863"/>
            <x v="1869"/>
            <x v="1872"/>
            <x v="1877"/>
            <x v="1890"/>
            <x v="1891"/>
            <x v="1893"/>
            <x v="1896"/>
            <x v="1898"/>
            <x v="1907"/>
            <x v="1910"/>
            <x v="1915"/>
            <x v="1918"/>
            <x v="1924"/>
            <x v="1930"/>
            <x v="1933"/>
            <x v="1934"/>
            <x v="1939"/>
            <x v="1952"/>
            <x v="1957"/>
            <x v="1961"/>
            <x v="1969"/>
            <x v="1970"/>
            <x v="1971"/>
            <x v="1974"/>
            <x v="1982"/>
            <x v="1984"/>
            <x v="1997"/>
            <x v="1998"/>
            <x v="1999"/>
            <x v="2000"/>
            <x v="2005"/>
            <x v="2011"/>
            <x v="2017"/>
            <x v="2018"/>
            <x v="2029"/>
            <x v="2031"/>
            <x v="2032"/>
            <x v="2033"/>
            <x v="2041"/>
            <x v="2044"/>
            <x v="2047"/>
            <x v="2055"/>
            <x v="2067"/>
            <x v="2068"/>
            <x v="2084"/>
            <x v="2087"/>
            <x v="2095"/>
            <x v="2096"/>
            <x v="2097"/>
            <x v="2101"/>
            <x v="2102"/>
            <x v="2108"/>
            <x v="2110"/>
            <x v="2114"/>
            <x v="2117"/>
            <x v="2120"/>
            <x v="2123"/>
            <x v="2124"/>
            <x v="2154"/>
            <x v="2156"/>
            <x v="2168"/>
            <x v="2170"/>
            <x v="2178"/>
            <x v="2191"/>
            <x v="2193"/>
            <x v="2205"/>
            <x v="2209"/>
            <x v="2214"/>
            <x v="2216"/>
          </reference>
        </references>
      </pivotArea>
    </format>
    <format dxfId="1353">
      <pivotArea dataOnly="0" labelOnly="1" fieldPosition="0">
        <references count="1">
          <reference field="6" count="50">
            <x v="32"/>
            <x v="45"/>
            <x v="57"/>
            <x v="61"/>
            <x v="78"/>
            <x v="80"/>
            <x v="85"/>
            <x v="94"/>
            <x v="102"/>
            <x v="108"/>
            <x v="117"/>
            <x v="120"/>
            <x v="126"/>
            <x v="148"/>
            <x v="182"/>
            <x v="194"/>
            <x v="226"/>
            <x v="236"/>
            <x v="289"/>
            <x v="291"/>
            <x v="303"/>
            <x v="305"/>
            <x v="332"/>
            <x v="334"/>
            <x v="339"/>
            <x v="350"/>
            <x v="359"/>
            <x v="372"/>
            <x v="376"/>
            <x v="383"/>
            <x v="386"/>
            <x v="409"/>
            <x v="418"/>
            <x v="421"/>
            <x v="428"/>
            <x v="448"/>
            <x v="471"/>
            <x v="478"/>
            <x v="484"/>
            <x v="503"/>
            <x v="532"/>
            <x v="533"/>
            <x v="536"/>
            <x v="540"/>
            <x v="547"/>
            <x v="586"/>
            <x v="596"/>
            <x v="608"/>
            <x v="611"/>
            <x v="622"/>
          </reference>
        </references>
      </pivotArea>
    </format>
    <format dxfId="1352">
      <pivotArea dataOnly="0" labelOnly="1" fieldPosition="0">
        <references count="1">
          <reference field="6" count="50">
            <x v="623"/>
            <x v="628"/>
            <x v="634"/>
            <x v="637"/>
            <x v="647"/>
            <x v="654"/>
            <x v="684"/>
            <x v="699"/>
            <x v="700"/>
            <x v="705"/>
            <x v="706"/>
            <x v="709"/>
            <x v="738"/>
            <x v="758"/>
            <x v="796"/>
            <x v="804"/>
            <x v="811"/>
            <x v="836"/>
            <x v="837"/>
            <x v="846"/>
            <x v="865"/>
            <x v="867"/>
            <x v="875"/>
            <x v="901"/>
            <x v="919"/>
            <x v="922"/>
            <x v="923"/>
            <x v="924"/>
            <x v="928"/>
            <x v="942"/>
            <x v="943"/>
            <x v="947"/>
            <x v="974"/>
            <x v="980"/>
            <x v="988"/>
            <x v="991"/>
            <x v="993"/>
            <x v="1000"/>
            <x v="1020"/>
            <x v="1028"/>
            <x v="1057"/>
            <x v="1061"/>
            <x v="1069"/>
            <x v="1081"/>
            <x v="1088"/>
            <x v="1105"/>
            <x v="1109"/>
            <x v="1145"/>
            <x v="1158"/>
            <x v="1173"/>
          </reference>
        </references>
      </pivotArea>
    </format>
    <format dxfId="1351">
      <pivotArea dataOnly="0" labelOnly="1" fieldPosition="0">
        <references count="1">
          <reference field="6" count="50">
            <x v="1179"/>
            <x v="1180"/>
            <x v="1187"/>
            <x v="1200"/>
            <x v="1201"/>
            <x v="1202"/>
            <x v="1204"/>
            <x v="1214"/>
            <x v="1231"/>
            <x v="1256"/>
            <x v="1263"/>
            <x v="1279"/>
            <x v="1290"/>
            <x v="1318"/>
            <x v="1325"/>
            <x v="1364"/>
            <x v="1390"/>
            <x v="1402"/>
            <x v="1446"/>
            <x v="1453"/>
            <x v="1462"/>
            <x v="1485"/>
            <x v="1512"/>
            <x v="1524"/>
            <x v="1529"/>
            <x v="1551"/>
            <x v="1590"/>
            <x v="1602"/>
            <x v="1604"/>
            <x v="1615"/>
            <x v="1620"/>
            <x v="1628"/>
            <x v="1646"/>
            <x v="1648"/>
            <x v="1674"/>
            <x v="1700"/>
            <x v="1701"/>
            <x v="1721"/>
            <x v="1730"/>
            <x v="1732"/>
            <x v="1738"/>
            <x v="1761"/>
            <x v="1775"/>
            <x v="1786"/>
            <x v="1808"/>
            <x v="1820"/>
            <x v="1822"/>
            <x v="1825"/>
            <x v="1826"/>
            <x v="1856"/>
          </reference>
        </references>
      </pivotArea>
    </format>
    <format dxfId="1350">
      <pivotArea dataOnly="0" labelOnly="1" fieldPosition="0">
        <references count="1">
          <reference field="6" count="50">
            <x v="243"/>
            <x v="326"/>
            <x v="364"/>
            <x v="616"/>
            <x v="691"/>
            <x v="840"/>
            <x v="880"/>
            <x v="927"/>
            <x v="978"/>
            <x v="1083"/>
            <x v="1137"/>
            <x v="1186"/>
            <x v="1321"/>
            <x v="1490"/>
            <x v="1686"/>
            <x v="1717"/>
            <x v="1863"/>
            <x v="1869"/>
            <x v="1872"/>
            <x v="1877"/>
            <x v="1890"/>
            <x v="1891"/>
            <x v="1893"/>
            <x v="1896"/>
            <x v="1915"/>
            <x v="1930"/>
            <x v="1933"/>
            <x v="1934"/>
            <x v="1939"/>
            <x v="1952"/>
            <x v="1970"/>
            <x v="1997"/>
            <x v="1998"/>
            <x v="2029"/>
            <x v="2031"/>
            <x v="2032"/>
            <x v="2087"/>
            <x v="2097"/>
            <x v="2101"/>
            <x v="2108"/>
            <x v="2110"/>
            <x v="2114"/>
            <x v="2117"/>
            <x v="2124"/>
            <x v="2156"/>
            <x v="2170"/>
            <x v="2191"/>
            <x v="2209"/>
            <x v="2214"/>
            <x v="2216"/>
          </reference>
        </references>
      </pivotArea>
    </format>
    <format dxfId="1349">
      <pivotArea dataOnly="0" labelOnly="1" fieldPosition="0">
        <references count="1">
          <reference field="6" count="50">
            <x v="111"/>
            <x v="127"/>
            <x v="138"/>
            <x v="140"/>
            <x v="214"/>
            <x v="263"/>
            <x v="271"/>
            <x v="277"/>
            <x v="311"/>
            <x v="353"/>
            <x v="357"/>
            <x v="381"/>
            <x v="473"/>
            <x v="549"/>
            <x v="629"/>
            <x v="727"/>
            <x v="734"/>
            <x v="794"/>
            <x v="835"/>
            <x v="882"/>
            <x v="921"/>
            <x v="1162"/>
            <x v="1174"/>
            <x v="1178"/>
            <x v="1205"/>
            <x v="1232"/>
            <x v="1277"/>
            <x v="1282"/>
            <x v="1380"/>
            <x v="1466"/>
            <x v="1467"/>
            <x v="1488"/>
            <x v="1516"/>
            <x v="1588"/>
            <x v="1632"/>
            <x v="1635"/>
            <x v="1685"/>
            <x v="1694"/>
            <x v="1741"/>
            <x v="1769"/>
            <x v="1774"/>
            <x v="1784"/>
            <x v="1910"/>
            <x v="1918"/>
            <x v="1974"/>
            <x v="2005"/>
            <x v="2055"/>
            <x v="2068"/>
            <x v="2154"/>
            <x v="2205"/>
          </reference>
        </references>
      </pivotArea>
    </format>
    <format dxfId="1348">
      <pivotArea dataOnly="0" labelOnly="1" fieldPosition="0">
        <references count="1">
          <reference field="6" count="50">
            <x v="151"/>
            <x v="156"/>
            <x v="167"/>
            <x v="171"/>
            <x v="183"/>
            <x v="234"/>
            <x v="270"/>
            <x v="324"/>
            <x v="337"/>
            <x v="440"/>
            <x v="455"/>
            <x v="468"/>
            <x v="482"/>
            <x v="539"/>
            <x v="621"/>
            <x v="644"/>
            <x v="681"/>
            <x v="715"/>
            <x v="776"/>
            <x v="800"/>
            <x v="834"/>
            <x v="862"/>
            <x v="872"/>
            <x v="878"/>
            <x v="886"/>
            <x v="964"/>
            <x v="975"/>
            <x v="1010"/>
            <x v="1113"/>
            <x v="1168"/>
            <x v="1199"/>
            <x v="1313"/>
            <x v="1329"/>
            <x v="1367"/>
            <x v="1373"/>
            <x v="1460"/>
            <x v="1489"/>
            <x v="1505"/>
            <x v="1630"/>
            <x v="1763"/>
            <x v="1799"/>
            <x v="1830"/>
            <x v="1957"/>
            <x v="1971"/>
            <x v="2000"/>
            <x v="2017"/>
            <x v="2033"/>
            <x v="2047"/>
            <x v="2096"/>
            <x v="2168"/>
          </reference>
        </references>
      </pivotArea>
    </format>
    <format dxfId="1347">
      <pivotArea dataOnly="0" labelOnly="1" fieldPosition="0">
        <references count="1">
          <reference field="6" count="50">
            <x v="54"/>
            <x v="74"/>
            <x v="83"/>
            <x v="137"/>
            <x v="225"/>
            <x v="232"/>
            <x v="295"/>
            <x v="308"/>
            <x v="408"/>
            <x v="432"/>
            <x v="447"/>
            <x v="461"/>
            <x v="507"/>
            <x v="577"/>
            <x v="601"/>
            <x v="612"/>
            <x v="805"/>
            <x v="1004"/>
            <x v="1009"/>
            <x v="1024"/>
            <x v="1090"/>
            <x v="1106"/>
            <x v="1127"/>
            <x v="1177"/>
            <x v="1188"/>
            <x v="1216"/>
            <x v="1221"/>
            <x v="1278"/>
            <x v="1296"/>
            <x v="1322"/>
            <x v="1331"/>
            <x v="1378"/>
            <x v="1387"/>
            <x v="1392"/>
            <x v="1419"/>
            <x v="1475"/>
            <x v="1562"/>
            <x v="1579"/>
            <x v="1581"/>
            <x v="1644"/>
            <x v="1843"/>
            <x v="1924"/>
            <x v="1961"/>
            <x v="1982"/>
            <x v="1984"/>
            <x v="2011"/>
            <x v="2018"/>
            <x v="2044"/>
            <x v="2178"/>
            <x v="2193"/>
          </reference>
        </references>
      </pivotArea>
    </format>
    <format dxfId="1346">
      <pivotArea dataOnly="0" labelOnly="1" fieldPosition="0">
        <references count="1">
          <reference field="6" count="50">
            <x v="188"/>
            <x v="233"/>
            <x v="252"/>
            <x v="255"/>
            <x v="321"/>
            <x v="327"/>
            <x v="330"/>
            <x v="398"/>
            <x v="481"/>
            <x v="591"/>
            <x v="607"/>
            <x v="888"/>
            <x v="963"/>
            <x v="969"/>
            <x v="976"/>
            <x v="1001"/>
            <x v="1007"/>
            <x v="1035"/>
            <x v="1043"/>
            <x v="1050"/>
            <x v="1104"/>
            <x v="1107"/>
            <x v="1139"/>
            <x v="1172"/>
            <x v="1300"/>
            <x v="1333"/>
            <x v="1342"/>
            <x v="1345"/>
            <x v="1413"/>
            <x v="1423"/>
            <x v="1481"/>
            <x v="1518"/>
            <x v="1520"/>
            <x v="1546"/>
            <x v="1554"/>
            <x v="1570"/>
            <x v="1617"/>
            <x v="1663"/>
            <x v="1755"/>
            <x v="1804"/>
            <x v="1839"/>
            <x v="1898"/>
            <x v="1907"/>
            <x v="1969"/>
            <x v="2067"/>
            <x v="2084"/>
            <x v="2095"/>
            <x v="2102"/>
            <x v="2120"/>
            <x v="2123"/>
          </reference>
        </references>
      </pivotArea>
    </format>
    <format dxfId="1345">
      <pivotArea dataOnly="0" labelOnly="1" fieldPosition="0">
        <references count="1">
          <reference field="6" count="6">
            <x v="317"/>
            <x v="1305"/>
            <x v="1720"/>
            <x v="1829"/>
            <x v="1999"/>
            <x v="2041"/>
          </reference>
        </references>
      </pivotArea>
    </format>
    <format dxfId="1344">
      <pivotArea collapsedLevelsAreSubtotals="1" fieldPosition="0">
        <references count="1">
          <reference field="6" count="1">
            <x v="32"/>
          </reference>
        </references>
      </pivotArea>
    </format>
    <format dxfId="1343">
      <pivotArea dataOnly="0" labelOnly="1" fieldPosition="0">
        <references count="1">
          <reference field="6" count="1">
            <x v="32"/>
          </reference>
        </references>
      </pivotArea>
    </format>
    <format dxfId="1342">
      <pivotArea collapsedLevelsAreSubtotals="1" fieldPosition="0">
        <references count="1">
          <reference field="6" count="1">
            <x v="32"/>
          </reference>
        </references>
      </pivotArea>
    </format>
    <format dxfId="1341">
      <pivotArea collapsedLevelsAreSubtotals="1" fieldPosition="0">
        <references count="1">
          <reference field="6" count="1">
            <x v="45"/>
          </reference>
        </references>
      </pivotArea>
    </format>
    <format dxfId="1340">
      <pivotArea collapsedLevelsAreSubtotals="1" fieldPosition="0">
        <references count="1">
          <reference field="6" count="1">
            <x v="54"/>
          </reference>
        </references>
      </pivotArea>
    </format>
    <format dxfId="1339">
      <pivotArea collapsedLevelsAreSubtotals="1" fieldPosition="0">
        <references count="1">
          <reference field="6" count="1">
            <x v="57"/>
          </reference>
        </references>
      </pivotArea>
    </format>
    <format dxfId="1338">
      <pivotArea collapsedLevelsAreSubtotals="1" fieldPosition="0">
        <references count="1">
          <reference field="6" count="1">
            <x v="61"/>
          </reference>
        </references>
      </pivotArea>
    </format>
    <format dxfId="1337">
      <pivotArea collapsedLevelsAreSubtotals="1" fieldPosition="0">
        <references count="1">
          <reference field="6" count="1">
            <x v="74"/>
          </reference>
        </references>
      </pivotArea>
    </format>
    <format dxfId="1336">
      <pivotArea collapsedLevelsAreSubtotals="1" fieldPosition="0">
        <references count="1">
          <reference field="6" count="1">
            <x v="78"/>
          </reference>
        </references>
      </pivotArea>
    </format>
    <format dxfId="1335">
      <pivotArea collapsedLevelsAreSubtotals="1" fieldPosition="0">
        <references count="1">
          <reference field="6" count="1">
            <x v="80"/>
          </reference>
        </references>
      </pivotArea>
    </format>
    <format dxfId="1334">
      <pivotArea collapsedLevelsAreSubtotals="1" fieldPosition="0">
        <references count="1">
          <reference field="6" count="1">
            <x v="83"/>
          </reference>
        </references>
      </pivotArea>
    </format>
    <format dxfId="1333">
      <pivotArea collapsedLevelsAreSubtotals="1" fieldPosition="0">
        <references count="1">
          <reference field="6" count="1">
            <x v="85"/>
          </reference>
        </references>
      </pivotArea>
    </format>
    <format dxfId="1332">
      <pivotArea collapsedLevelsAreSubtotals="1" fieldPosition="0">
        <references count="1">
          <reference field="6" count="1">
            <x v="94"/>
          </reference>
        </references>
      </pivotArea>
    </format>
    <format dxfId="1331">
      <pivotArea collapsedLevelsAreSubtotals="1" fieldPosition="0">
        <references count="1">
          <reference field="6" count="1">
            <x v="102"/>
          </reference>
        </references>
      </pivotArea>
    </format>
    <format dxfId="1330">
      <pivotArea collapsedLevelsAreSubtotals="1" fieldPosition="0">
        <references count="1">
          <reference field="6" count="1">
            <x v="108"/>
          </reference>
        </references>
      </pivotArea>
    </format>
    <format dxfId="1329">
      <pivotArea collapsedLevelsAreSubtotals="1" fieldPosition="0">
        <references count="1">
          <reference field="6" count="1">
            <x v="111"/>
          </reference>
        </references>
      </pivotArea>
    </format>
    <format dxfId="1328">
      <pivotArea collapsedLevelsAreSubtotals="1" fieldPosition="0">
        <references count="1">
          <reference field="6" count="1">
            <x v="117"/>
          </reference>
        </references>
      </pivotArea>
    </format>
    <format dxfId="1327">
      <pivotArea collapsedLevelsAreSubtotals="1" fieldPosition="0">
        <references count="1">
          <reference field="6" count="1">
            <x v="120"/>
          </reference>
        </references>
      </pivotArea>
    </format>
    <format dxfId="1326">
      <pivotArea collapsedLevelsAreSubtotals="1" fieldPosition="0">
        <references count="1">
          <reference field="6" count="1">
            <x v="126"/>
          </reference>
        </references>
      </pivotArea>
    </format>
    <format dxfId="1325">
      <pivotArea collapsedLevelsAreSubtotals="1" fieldPosition="0">
        <references count="1">
          <reference field="6" count="1">
            <x v="127"/>
          </reference>
        </references>
      </pivotArea>
    </format>
    <format dxfId="1324">
      <pivotArea collapsedLevelsAreSubtotals="1" fieldPosition="0">
        <references count="1">
          <reference field="6" count="1">
            <x v="137"/>
          </reference>
        </references>
      </pivotArea>
    </format>
    <format dxfId="1323">
      <pivotArea collapsedLevelsAreSubtotals="1" fieldPosition="0">
        <references count="1">
          <reference field="6" count="1">
            <x v="138"/>
          </reference>
        </references>
      </pivotArea>
    </format>
    <format dxfId="1322">
      <pivotArea collapsedLevelsAreSubtotals="1" fieldPosition="0">
        <references count="1">
          <reference field="6" count="1">
            <x v="140"/>
          </reference>
        </references>
      </pivotArea>
    </format>
    <format dxfId="1321">
      <pivotArea collapsedLevelsAreSubtotals="1" fieldPosition="0">
        <references count="1">
          <reference field="6" count="1">
            <x v="148"/>
          </reference>
        </references>
      </pivotArea>
    </format>
    <format dxfId="1320">
      <pivotArea collapsedLevelsAreSubtotals="1" fieldPosition="0">
        <references count="1">
          <reference field="6" count="1">
            <x v="151"/>
          </reference>
        </references>
      </pivotArea>
    </format>
    <format dxfId="1319">
      <pivotArea collapsedLevelsAreSubtotals="1" fieldPosition="0">
        <references count="1">
          <reference field="6" count="1">
            <x v="156"/>
          </reference>
        </references>
      </pivotArea>
    </format>
    <format dxfId="1318">
      <pivotArea collapsedLevelsAreSubtotals="1" fieldPosition="0">
        <references count="1">
          <reference field="6" count="1">
            <x v="167"/>
          </reference>
        </references>
      </pivotArea>
    </format>
    <format dxfId="1317">
      <pivotArea collapsedLevelsAreSubtotals="1" fieldPosition="0">
        <references count="1">
          <reference field="6" count="1">
            <x v="171"/>
          </reference>
        </references>
      </pivotArea>
    </format>
    <format dxfId="1316">
      <pivotArea collapsedLevelsAreSubtotals="1" fieldPosition="0">
        <references count="1">
          <reference field="6" count="1">
            <x v="182"/>
          </reference>
        </references>
      </pivotArea>
    </format>
    <format dxfId="1315">
      <pivotArea collapsedLevelsAreSubtotals="1" fieldPosition="0">
        <references count="1">
          <reference field="6" count="1">
            <x v="183"/>
          </reference>
        </references>
      </pivotArea>
    </format>
    <format dxfId="1314">
      <pivotArea collapsedLevelsAreSubtotals="1" fieldPosition="0">
        <references count="1">
          <reference field="6" count="1">
            <x v="188"/>
          </reference>
        </references>
      </pivotArea>
    </format>
    <format dxfId="1313">
      <pivotArea collapsedLevelsAreSubtotals="1" fieldPosition="0">
        <references count="1">
          <reference field="6" count="1">
            <x v="194"/>
          </reference>
        </references>
      </pivotArea>
    </format>
    <format dxfId="1312">
      <pivotArea collapsedLevelsAreSubtotals="1" fieldPosition="0">
        <references count="1">
          <reference field="6" count="1">
            <x v="214"/>
          </reference>
        </references>
      </pivotArea>
    </format>
    <format dxfId="1311">
      <pivotArea collapsedLevelsAreSubtotals="1" fieldPosition="0">
        <references count="1">
          <reference field="6" count="1">
            <x v="225"/>
          </reference>
        </references>
      </pivotArea>
    </format>
    <format dxfId="1310">
      <pivotArea collapsedLevelsAreSubtotals="1" fieldPosition="0">
        <references count="1">
          <reference field="6" count="1">
            <x v="226"/>
          </reference>
        </references>
      </pivotArea>
    </format>
    <format dxfId="1309">
      <pivotArea collapsedLevelsAreSubtotals="1" fieldPosition="0">
        <references count="1">
          <reference field="6" count="1">
            <x v="232"/>
          </reference>
        </references>
      </pivotArea>
    </format>
    <format dxfId="1308">
      <pivotArea collapsedLevelsAreSubtotals="1" fieldPosition="0">
        <references count="1">
          <reference field="6" count="1">
            <x v="233"/>
          </reference>
        </references>
      </pivotArea>
    </format>
    <format dxfId="1307">
      <pivotArea collapsedLevelsAreSubtotals="1" fieldPosition="0">
        <references count="1">
          <reference field="6" count="1">
            <x v="234"/>
          </reference>
        </references>
      </pivotArea>
    </format>
    <format dxfId="1306">
      <pivotArea collapsedLevelsAreSubtotals="1" fieldPosition="0">
        <references count="1">
          <reference field="6" count="1">
            <x v="236"/>
          </reference>
        </references>
      </pivotArea>
    </format>
    <format dxfId="1305">
      <pivotArea collapsedLevelsAreSubtotals="1" fieldPosition="0">
        <references count="1">
          <reference field="6" count="1">
            <x v="243"/>
          </reference>
        </references>
      </pivotArea>
    </format>
    <format dxfId="1304">
      <pivotArea collapsedLevelsAreSubtotals="1" fieldPosition="0">
        <references count="1">
          <reference field="6" count="1">
            <x v="252"/>
          </reference>
        </references>
      </pivotArea>
    </format>
    <format dxfId="1303">
      <pivotArea collapsedLevelsAreSubtotals="1" fieldPosition="0">
        <references count="1">
          <reference field="6" count="1">
            <x v="255"/>
          </reference>
        </references>
      </pivotArea>
    </format>
    <format dxfId="1302">
      <pivotArea collapsedLevelsAreSubtotals="1" fieldPosition="0">
        <references count="1">
          <reference field="6" count="1">
            <x v="263"/>
          </reference>
        </references>
      </pivotArea>
    </format>
    <format dxfId="1301">
      <pivotArea collapsedLevelsAreSubtotals="1" fieldPosition="0">
        <references count="1">
          <reference field="6" count="1">
            <x v="270"/>
          </reference>
        </references>
      </pivotArea>
    </format>
    <format dxfId="1300">
      <pivotArea collapsedLevelsAreSubtotals="1" fieldPosition="0">
        <references count="1">
          <reference field="6" count="1">
            <x v="271"/>
          </reference>
        </references>
      </pivotArea>
    </format>
    <format dxfId="1299">
      <pivotArea collapsedLevelsAreSubtotals="1" fieldPosition="0">
        <references count="1">
          <reference field="6" count="1">
            <x v="277"/>
          </reference>
        </references>
      </pivotArea>
    </format>
    <format dxfId="1298">
      <pivotArea collapsedLevelsAreSubtotals="1" fieldPosition="0">
        <references count="1">
          <reference field="6" count="1">
            <x v="289"/>
          </reference>
        </references>
      </pivotArea>
    </format>
    <format dxfId="1297">
      <pivotArea collapsedLevelsAreSubtotals="1" fieldPosition="0">
        <references count="1">
          <reference field="6" count="1">
            <x v="291"/>
          </reference>
        </references>
      </pivotArea>
    </format>
    <format dxfId="1296">
      <pivotArea collapsedLevelsAreSubtotals="1" fieldPosition="0">
        <references count="1">
          <reference field="6" count="1">
            <x v="295"/>
          </reference>
        </references>
      </pivotArea>
    </format>
    <format dxfId="1295">
      <pivotArea collapsedLevelsAreSubtotals="1" fieldPosition="0">
        <references count="1">
          <reference field="6" count="1">
            <x v="303"/>
          </reference>
        </references>
      </pivotArea>
    </format>
    <format dxfId="1294">
      <pivotArea collapsedLevelsAreSubtotals="1" fieldPosition="0">
        <references count="1">
          <reference field="6" count="1">
            <x v="305"/>
          </reference>
        </references>
      </pivotArea>
    </format>
    <format dxfId="1293">
      <pivotArea collapsedLevelsAreSubtotals="1" fieldPosition="0">
        <references count="1">
          <reference field="6" count="1">
            <x v="308"/>
          </reference>
        </references>
      </pivotArea>
    </format>
    <format dxfId="1292">
      <pivotArea collapsedLevelsAreSubtotals="1" fieldPosition="0">
        <references count="1">
          <reference field="6" count="1">
            <x v="311"/>
          </reference>
        </references>
      </pivotArea>
    </format>
    <format dxfId="1291">
      <pivotArea collapsedLevelsAreSubtotals="1" fieldPosition="0">
        <references count="1">
          <reference field="6" count="1">
            <x v="317"/>
          </reference>
        </references>
      </pivotArea>
    </format>
    <format dxfId="1290">
      <pivotArea collapsedLevelsAreSubtotals="1" fieldPosition="0">
        <references count="1">
          <reference field="6" count="1">
            <x v="321"/>
          </reference>
        </references>
      </pivotArea>
    </format>
    <format dxfId="1289">
      <pivotArea collapsedLevelsAreSubtotals="1" fieldPosition="0">
        <references count="1">
          <reference field="6" count="1">
            <x v="324"/>
          </reference>
        </references>
      </pivotArea>
    </format>
    <format dxfId="1288">
      <pivotArea collapsedLevelsAreSubtotals="1" fieldPosition="0">
        <references count="1">
          <reference field="6" count="1">
            <x v="326"/>
          </reference>
        </references>
      </pivotArea>
    </format>
    <format dxfId="1287">
      <pivotArea collapsedLevelsAreSubtotals="1" fieldPosition="0">
        <references count="1">
          <reference field="6" count="1">
            <x v="327"/>
          </reference>
        </references>
      </pivotArea>
    </format>
    <format dxfId="1286">
      <pivotArea collapsedLevelsAreSubtotals="1" fieldPosition="0">
        <references count="1">
          <reference field="6" count="1">
            <x v="330"/>
          </reference>
        </references>
      </pivotArea>
    </format>
    <format dxfId="1285">
      <pivotArea collapsedLevelsAreSubtotals="1" fieldPosition="0">
        <references count="1">
          <reference field="6" count="1">
            <x v="332"/>
          </reference>
        </references>
      </pivotArea>
    </format>
    <format dxfId="1284">
      <pivotArea collapsedLevelsAreSubtotals="1" fieldPosition="0">
        <references count="1">
          <reference field="6" count="1">
            <x v="334"/>
          </reference>
        </references>
      </pivotArea>
    </format>
    <format dxfId="1283">
      <pivotArea collapsedLevelsAreSubtotals="1" fieldPosition="0">
        <references count="1">
          <reference field="6" count="1">
            <x v="337"/>
          </reference>
        </references>
      </pivotArea>
    </format>
    <format dxfId="1282">
      <pivotArea collapsedLevelsAreSubtotals="1" fieldPosition="0">
        <references count="1">
          <reference field="6" count="1">
            <x v="339"/>
          </reference>
        </references>
      </pivotArea>
    </format>
    <format dxfId="1281">
      <pivotArea collapsedLevelsAreSubtotals="1" fieldPosition="0">
        <references count="1">
          <reference field="6" count="1">
            <x v="350"/>
          </reference>
        </references>
      </pivotArea>
    </format>
    <format dxfId="1280">
      <pivotArea collapsedLevelsAreSubtotals="1" fieldPosition="0">
        <references count="1">
          <reference field="6" count="1">
            <x v="353"/>
          </reference>
        </references>
      </pivotArea>
    </format>
    <format dxfId="1279">
      <pivotArea collapsedLevelsAreSubtotals="1" fieldPosition="0">
        <references count="1">
          <reference field="6" count="1">
            <x v="357"/>
          </reference>
        </references>
      </pivotArea>
    </format>
    <format dxfId="1278">
      <pivotArea collapsedLevelsAreSubtotals="1" fieldPosition="0">
        <references count="1">
          <reference field="6" count="1">
            <x v="359"/>
          </reference>
        </references>
      </pivotArea>
    </format>
    <format dxfId="1277">
      <pivotArea collapsedLevelsAreSubtotals="1" fieldPosition="0">
        <references count="1">
          <reference field="6" count="1">
            <x v="364"/>
          </reference>
        </references>
      </pivotArea>
    </format>
    <format dxfId="1276">
      <pivotArea collapsedLevelsAreSubtotals="1" fieldPosition="0">
        <references count="1">
          <reference field="6" count="1">
            <x v="372"/>
          </reference>
        </references>
      </pivotArea>
    </format>
    <format dxfId="1275">
      <pivotArea collapsedLevelsAreSubtotals="1" fieldPosition="0">
        <references count="1">
          <reference field="6" count="1">
            <x v="376"/>
          </reference>
        </references>
      </pivotArea>
    </format>
    <format dxfId="1274">
      <pivotArea collapsedLevelsAreSubtotals="1" fieldPosition="0">
        <references count="1">
          <reference field="6" count="1">
            <x v="381"/>
          </reference>
        </references>
      </pivotArea>
    </format>
    <format dxfId="1273">
      <pivotArea collapsedLevelsAreSubtotals="1" fieldPosition="0">
        <references count="1">
          <reference field="6" count="1">
            <x v="383"/>
          </reference>
        </references>
      </pivotArea>
    </format>
    <format dxfId="1272">
      <pivotArea collapsedLevelsAreSubtotals="1" fieldPosition="0">
        <references count="1">
          <reference field="6" count="1">
            <x v="386"/>
          </reference>
        </references>
      </pivotArea>
    </format>
    <format dxfId="1271">
      <pivotArea collapsedLevelsAreSubtotals="1" fieldPosition="0">
        <references count="1">
          <reference field="6" count="1">
            <x v="398"/>
          </reference>
        </references>
      </pivotArea>
    </format>
    <format dxfId="1270">
      <pivotArea collapsedLevelsAreSubtotals="1" fieldPosition="0">
        <references count="1">
          <reference field="6" count="1">
            <x v="408"/>
          </reference>
        </references>
      </pivotArea>
    </format>
    <format dxfId="1269">
      <pivotArea collapsedLevelsAreSubtotals="1" fieldPosition="0">
        <references count="1">
          <reference field="6" count="1">
            <x v="409"/>
          </reference>
        </references>
      </pivotArea>
    </format>
    <format dxfId="1268">
      <pivotArea collapsedLevelsAreSubtotals="1" fieldPosition="0">
        <references count="1">
          <reference field="6" count="1">
            <x v="418"/>
          </reference>
        </references>
      </pivotArea>
    </format>
    <format dxfId="1267">
      <pivotArea collapsedLevelsAreSubtotals="1" fieldPosition="0">
        <references count="1">
          <reference field="6" count="1">
            <x v="421"/>
          </reference>
        </references>
      </pivotArea>
    </format>
    <format dxfId="1266">
      <pivotArea collapsedLevelsAreSubtotals="1" fieldPosition="0">
        <references count="1">
          <reference field="6" count="1">
            <x v="428"/>
          </reference>
        </references>
      </pivotArea>
    </format>
    <format dxfId="1265">
      <pivotArea collapsedLevelsAreSubtotals="1" fieldPosition="0">
        <references count="1">
          <reference field="6" count="1">
            <x v="432"/>
          </reference>
        </references>
      </pivotArea>
    </format>
    <format dxfId="1264">
      <pivotArea collapsedLevelsAreSubtotals="1" fieldPosition="0">
        <references count="1">
          <reference field="6" count="1">
            <x v="440"/>
          </reference>
        </references>
      </pivotArea>
    </format>
    <format dxfId="1263">
      <pivotArea collapsedLevelsAreSubtotals="1" fieldPosition="0">
        <references count="1">
          <reference field="6" count="1">
            <x v="447"/>
          </reference>
        </references>
      </pivotArea>
    </format>
    <format dxfId="1262">
      <pivotArea collapsedLevelsAreSubtotals="1" fieldPosition="0">
        <references count="1">
          <reference field="6" count="1">
            <x v="448"/>
          </reference>
        </references>
      </pivotArea>
    </format>
    <format dxfId="1261">
      <pivotArea collapsedLevelsAreSubtotals="1" fieldPosition="0">
        <references count="1">
          <reference field="6" count="1">
            <x v="455"/>
          </reference>
        </references>
      </pivotArea>
    </format>
    <format dxfId="1260">
      <pivotArea collapsedLevelsAreSubtotals="1" fieldPosition="0">
        <references count="1">
          <reference field="6" count="1">
            <x v="461"/>
          </reference>
        </references>
      </pivotArea>
    </format>
    <format dxfId="1259">
      <pivotArea collapsedLevelsAreSubtotals="1" fieldPosition="0">
        <references count="1">
          <reference field="6" count="1">
            <x v="468"/>
          </reference>
        </references>
      </pivotArea>
    </format>
    <format dxfId="1258">
      <pivotArea collapsedLevelsAreSubtotals="1" fieldPosition="0">
        <references count="1">
          <reference field="6" count="1">
            <x v="471"/>
          </reference>
        </references>
      </pivotArea>
    </format>
    <format dxfId="1257">
      <pivotArea collapsedLevelsAreSubtotals="1" fieldPosition="0">
        <references count="1">
          <reference field="6" count="1">
            <x v="473"/>
          </reference>
        </references>
      </pivotArea>
    </format>
    <format dxfId="1256">
      <pivotArea collapsedLevelsAreSubtotals="1" fieldPosition="0">
        <references count="1">
          <reference field="6" count="1">
            <x v="478"/>
          </reference>
        </references>
      </pivotArea>
    </format>
    <format dxfId="1255">
      <pivotArea collapsedLevelsAreSubtotals="1" fieldPosition="0">
        <references count="1">
          <reference field="6" count="1">
            <x v="481"/>
          </reference>
        </references>
      </pivotArea>
    </format>
    <format dxfId="1254">
      <pivotArea collapsedLevelsAreSubtotals="1" fieldPosition="0">
        <references count="1">
          <reference field="6" count="1">
            <x v="482"/>
          </reference>
        </references>
      </pivotArea>
    </format>
    <format dxfId="1253">
      <pivotArea collapsedLevelsAreSubtotals="1" fieldPosition="0">
        <references count="1">
          <reference field="6" count="1">
            <x v="484"/>
          </reference>
        </references>
      </pivotArea>
    </format>
    <format dxfId="1252">
      <pivotArea collapsedLevelsAreSubtotals="1" fieldPosition="0">
        <references count="1">
          <reference field="6" count="1">
            <x v="503"/>
          </reference>
        </references>
      </pivotArea>
    </format>
    <format dxfId="1251">
      <pivotArea collapsedLevelsAreSubtotals="1" fieldPosition="0">
        <references count="1">
          <reference field="6" count="1">
            <x v="507"/>
          </reference>
        </references>
      </pivotArea>
    </format>
    <format dxfId="1250">
      <pivotArea collapsedLevelsAreSubtotals="1" fieldPosition="0">
        <references count="1">
          <reference field="6" count="1">
            <x v="532"/>
          </reference>
        </references>
      </pivotArea>
    </format>
    <format dxfId="1249">
      <pivotArea collapsedLevelsAreSubtotals="1" fieldPosition="0">
        <references count="1">
          <reference field="6" count="1">
            <x v="533"/>
          </reference>
        </references>
      </pivotArea>
    </format>
    <format dxfId="1248">
      <pivotArea collapsedLevelsAreSubtotals="1" fieldPosition="0">
        <references count="1">
          <reference field="6" count="1">
            <x v="536"/>
          </reference>
        </references>
      </pivotArea>
    </format>
    <format dxfId="1247">
      <pivotArea collapsedLevelsAreSubtotals="1" fieldPosition="0">
        <references count="1">
          <reference field="6" count="1">
            <x v="539"/>
          </reference>
        </references>
      </pivotArea>
    </format>
    <format dxfId="1246">
      <pivotArea collapsedLevelsAreSubtotals="1" fieldPosition="0">
        <references count="1">
          <reference field="6" count="1">
            <x v="540"/>
          </reference>
        </references>
      </pivotArea>
    </format>
    <format dxfId="1245">
      <pivotArea collapsedLevelsAreSubtotals="1" fieldPosition="0">
        <references count="1">
          <reference field="6" count="1">
            <x v="547"/>
          </reference>
        </references>
      </pivotArea>
    </format>
    <format dxfId="1244">
      <pivotArea collapsedLevelsAreSubtotals="1" fieldPosition="0">
        <references count="1">
          <reference field="6" count="1">
            <x v="549"/>
          </reference>
        </references>
      </pivotArea>
    </format>
    <format dxfId="1243">
      <pivotArea collapsedLevelsAreSubtotals="1" fieldPosition="0">
        <references count="1">
          <reference field="6" count="1">
            <x v="577"/>
          </reference>
        </references>
      </pivotArea>
    </format>
    <format dxfId="1242">
      <pivotArea collapsedLevelsAreSubtotals="1" fieldPosition="0">
        <references count="1">
          <reference field="6" count="1">
            <x v="586"/>
          </reference>
        </references>
      </pivotArea>
    </format>
    <format dxfId="1241">
      <pivotArea collapsedLevelsAreSubtotals="1" fieldPosition="0">
        <references count="1">
          <reference field="6" count="1">
            <x v="591"/>
          </reference>
        </references>
      </pivotArea>
    </format>
    <format dxfId="1240">
      <pivotArea collapsedLevelsAreSubtotals="1" fieldPosition="0">
        <references count="1">
          <reference field="6" count="1">
            <x v="596"/>
          </reference>
        </references>
      </pivotArea>
    </format>
    <format dxfId="1239">
      <pivotArea collapsedLevelsAreSubtotals="1" fieldPosition="0">
        <references count="1">
          <reference field="6" count="1">
            <x v="601"/>
          </reference>
        </references>
      </pivotArea>
    </format>
    <format dxfId="1238">
      <pivotArea collapsedLevelsAreSubtotals="1" fieldPosition="0">
        <references count="1">
          <reference field="6" count="1">
            <x v="607"/>
          </reference>
        </references>
      </pivotArea>
    </format>
    <format dxfId="1237">
      <pivotArea collapsedLevelsAreSubtotals="1" fieldPosition="0">
        <references count="1">
          <reference field="6" count="1">
            <x v="608"/>
          </reference>
        </references>
      </pivotArea>
    </format>
    <format dxfId="1236">
      <pivotArea collapsedLevelsAreSubtotals="1" fieldPosition="0">
        <references count="1">
          <reference field="6" count="1">
            <x v="611"/>
          </reference>
        </references>
      </pivotArea>
    </format>
    <format dxfId="1235">
      <pivotArea collapsedLevelsAreSubtotals="1" fieldPosition="0">
        <references count="1">
          <reference field="6" count="1">
            <x v="612"/>
          </reference>
        </references>
      </pivotArea>
    </format>
    <format dxfId="1234">
      <pivotArea collapsedLevelsAreSubtotals="1" fieldPosition="0">
        <references count="1">
          <reference field="6" count="1">
            <x v="616"/>
          </reference>
        </references>
      </pivotArea>
    </format>
    <format dxfId="1233">
      <pivotArea collapsedLevelsAreSubtotals="1" fieldPosition="0">
        <references count="1">
          <reference field="6" count="1">
            <x v="621"/>
          </reference>
        </references>
      </pivotArea>
    </format>
    <format dxfId="1232">
      <pivotArea collapsedLevelsAreSubtotals="1" fieldPosition="0">
        <references count="1">
          <reference field="6" count="1">
            <x v="622"/>
          </reference>
        </references>
      </pivotArea>
    </format>
    <format dxfId="1231">
      <pivotArea collapsedLevelsAreSubtotals="1" fieldPosition="0">
        <references count="1">
          <reference field="6" count="1">
            <x v="623"/>
          </reference>
        </references>
      </pivotArea>
    </format>
    <format dxfId="1230">
      <pivotArea collapsedLevelsAreSubtotals="1" fieldPosition="0">
        <references count="1">
          <reference field="6" count="1">
            <x v="628"/>
          </reference>
        </references>
      </pivotArea>
    </format>
    <format dxfId="1229">
      <pivotArea collapsedLevelsAreSubtotals="1" fieldPosition="0">
        <references count="1">
          <reference field="6" count="1">
            <x v="629"/>
          </reference>
        </references>
      </pivotArea>
    </format>
    <format dxfId="1228">
      <pivotArea collapsedLevelsAreSubtotals="1" fieldPosition="0">
        <references count="1">
          <reference field="6" count="1">
            <x v="634"/>
          </reference>
        </references>
      </pivotArea>
    </format>
    <format dxfId="1227">
      <pivotArea collapsedLevelsAreSubtotals="1" fieldPosition="0">
        <references count="1">
          <reference field="6" count="1">
            <x v="637"/>
          </reference>
        </references>
      </pivotArea>
    </format>
    <format dxfId="1226">
      <pivotArea collapsedLevelsAreSubtotals="1" fieldPosition="0">
        <references count="1">
          <reference field="6" count="1">
            <x v="644"/>
          </reference>
        </references>
      </pivotArea>
    </format>
    <format dxfId="1225">
      <pivotArea collapsedLevelsAreSubtotals="1" fieldPosition="0">
        <references count="1">
          <reference field="6" count="1">
            <x v="647"/>
          </reference>
        </references>
      </pivotArea>
    </format>
    <format dxfId="1224">
      <pivotArea collapsedLevelsAreSubtotals="1" fieldPosition="0">
        <references count="1">
          <reference field="6" count="1">
            <x v="654"/>
          </reference>
        </references>
      </pivotArea>
    </format>
    <format dxfId="1223">
      <pivotArea collapsedLevelsAreSubtotals="1" fieldPosition="0">
        <references count="1">
          <reference field="6" count="1">
            <x v="681"/>
          </reference>
        </references>
      </pivotArea>
    </format>
    <format dxfId="1222">
      <pivotArea collapsedLevelsAreSubtotals="1" fieldPosition="0">
        <references count="1">
          <reference field="6" count="1">
            <x v="684"/>
          </reference>
        </references>
      </pivotArea>
    </format>
    <format dxfId="1221">
      <pivotArea collapsedLevelsAreSubtotals="1" fieldPosition="0">
        <references count="1">
          <reference field="6" count="1">
            <x v="691"/>
          </reference>
        </references>
      </pivotArea>
    </format>
    <format dxfId="1220">
      <pivotArea collapsedLevelsAreSubtotals="1" fieldPosition="0">
        <references count="1">
          <reference field="6" count="1">
            <x v="699"/>
          </reference>
        </references>
      </pivotArea>
    </format>
    <format dxfId="1219">
      <pivotArea collapsedLevelsAreSubtotals="1" fieldPosition="0">
        <references count="1">
          <reference field="6" count="1">
            <x v="700"/>
          </reference>
        </references>
      </pivotArea>
    </format>
    <format dxfId="1218">
      <pivotArea collapsedLevelsAreSubtotals="1" fieldPosition="0">
        <references count="1">
          <reference field="6" count="1">
            <x v="705"/>
          </reference>
        </references>
      </pivotArea>
    </format>
    <format dxfId="1217">
      <pivotArea collapsedLevelsAreSubtotals="1" fieldPosition="0">
        <references count="1">
          <reference field="6" count="1">
            <x v="706"/>
          </reference>
        </references>
      </pivotArea>
    </format>
    <format dxfId="1216">
      <pivotArea collapsedLevelsAreSubtotals="1" fieldPosition="0">
        <references count="1">
          <reference field="6" count="1">
            <x v="709"/>
          </reference>
        </references>
      </pivotArea>
    </format>
    <format dxfId="1215">
      <pivotArea collapsedLevelsAreSubtotals="1" fieldPosition="0">
        <references count="1">
          <reference field="6" count="1">
            <x v="715"/>
          </reference>
        </references>
      </pivotArea>
    </format>
    <format dxfId="1214">
      <pivotArea collapsedLevelsAreSubtotals="1" fieldPosition="0">
        <references count="1">
          <reference field="6" count="1">
            <x v="727"/>
          </reference>
        </references>
      </pivotArea>
    </format>
    <format dxfId="1213">
      <pivotArea collapsedLevelsAreSubtotals="1" fieldPosition="0">
        <references count="1">
          <reference field="6" count="1">
            <x v="734"/>
          </reference>
        </references>
      </pivotArea>
    </format>
    <format dxfId="1212">
      <pivotArea collapsedLevelsAreSubtotals="1" fieldPosition="0">
        <references count="1">
          <reference field="6" count="1">
            <x v="738"/>
          </reference>
        </references>
      </pivotArea>
    </format>
    <format dxfId="1211">
      <pivotArea collapsedLevelsAreSubtotals="1" fieldPosition="0">
        <references count="1">
          <reference field="6" count="1">
            <x v="758"/>
          </reference>
        </references>
      </pivotArea>
    </format>
    <format dxfId="1210">
      <pivotArea collapsedLevelsAreSubtotals="1" fieldPosition="0">
        <references count="1">
          <reference field="6" count="1">
            <x v="776"/>
          </reference>
        </references>
      </pivotArea>
    </format>
    <format dxfId="1209">
      <pivotArea collapsedLevelsAreSubtotals="1" fieldPosition="0">
        <references count="1">
          <reference field="6" count="1">
            <x v="794"/>
          </reference>
        </references>
      </pivotArea>
    </format>
    <format dxfId="1208">
      <pivotArea collapsedLevelsAreSubtotals="1" fieldPosition="0">
        <references count="1">
          <reference field="6" count="1">
            <x v="796"/>
          </reference>
        </references>
      </pivotArea>
    </format>
    <format dxfId="1207">
      <pivotArea collapsedLevelsAreSubtotals="1" fieldPosition="0">
        <references count="1">
          <reference field="6" count="1">
            <x v="800"/>
          </reference>
        </references>
      </pivotArea>
    </format>
    <format dxfId="1206">
      <pivotArea collapsedLevelsAreSubtotals="1" fieldPosition="0">
        <references count="1">
          <reference field="6" count="1">
            <x v="804"/>
          </reference>
        </references>
      </pivotArea>
    </format>
    <format dxfId="1205">
      <pivotArea collapsedLevelsAreSubtotals="1" fieldPosition="0">
        <references count="1">
          <reference field="6" count="1">
            <x v="805"/>
          </reference>
        </references>
      </pivotArea>
    </format>
    <format dxfId="1204">
      <pivotArea collapsedLevelsAreSubtotals="1" fieldPosition="0">
        <references count="1">
          <reference field="6" count="1">
            <x v="811"/>
          </reference>
        </references>
      </pivotArea>
    </format>
    <format dxfId="1203">
      <pivotArea collapsedLevelsAreSubtotals="1" fieldPosition="0">
        <references count="1">
          <reference field="6" count="1">
            <x v="834"/>
          </reference>
        </references>
      </pivotArea>
    </format>
    <format dxfId="1202">
      <pivotArea collapsedLevelsAreSubtotals="1" fieldPosition="0">
        <references count="1">
          <reference field="6" count="1">
            <x v="835"/>
          </reference>
        </references>
      </pivotArea>
    </format>
    <format dxfId="1201">
      <pivotArea collapsedLevelsAreSubtotals="1" fieldPosition="0">
        <references count="1">
          <reference field="6" count="1">
            <x v="836"/>
          </reference>
        </references>
      </pivotArea>
    </format>
    <format dxfId="1200">
      <pivotArea collapsedLevelsAreSubtotals="1" fieldPosition="0">
        <references count="1">
          <reference field="6" count="1">
            <x v="837"/>
          </reference>
        </references>
      </pivotArea>
    </format>
    <format dxfId="1199">
      <pivotArea collapsedLevelsAreSubtotals="1" fieldPosition="0">
        <references count="1">
          <reference field="6" count="1">
            <x v="840"/>
          </reference>
        </references>
      </pivotArea>
    </format>
    <format dxfId="1198">
      <pivotArea collapsedLevelsAreSubtotals="1" fieldPosition="0">
        <references count="1">
          <reference field="6" count="1">
            <x v="846"/>
          </reference>
        </references>
      </pivotArea>
    </format>
    <format dxfId="1197">
      <pivotArea collapsedLevelsAreSubtotals="1" fieldPosition="0">
        <references count="1">
          <reference field="6" count="1">
            <x v="862"/>
          </reference>
        </references>
      </pivotArea>
    </format>
    <format dxfId="1196">
      <pivotArea collapsedLevelsAreSubtotals="1" fieldPosition="0">
        <references count="1">
          <reference field="6" count="1">
            <x v="865"/>
          </reference>
        </references>
      </pivotArea>
    </format>
    <format dxfId="1195">
      <pivotArea collapsedLevelsAreSubtotals="1" fieldPosition="0">
        <references count="1">
          <reference field="6" count="1">
            <x v="867"/>
          </reference>
        </references>
      </pivotArea>
    </format>
    <format dxfId="1194">
      <pivotArea collapsedLevelsAreSubtotals="1" fieldPosition="0">
        <references count="1">
          <reference field="6" count="1">
            <x v="872"/>
          </reference>
        </references>
      </pivotArea>
    </format>
    <format dxfId="1193">
      <pivotArea collapsedLevelsAreSubtotals="1" fieldPosition="0">
        <references count="1">
          <reference field="6" count="1">
            <x v="875"/>
          </reference>
        </references>
      </pivotArea>
    </format>
    <format dxfId="1192">
      <pivotArea collapsedLevelsAreSubtotals="1" fieldPosition="0">
        <references count="1">
          <reference field="6" count="1">
            <x v="878"/>
          </reference>
        </references>
      </pivotArea>
    </format>
    <format dxfId="1191">
      <pivotArea collapsedLevelsAreSubtotals="1" fieldPosition="0">
        <references count="1">
          <reference field="6" count="1">
            <x v="880"/>
          </reference>
        </references>
      </pivotArea>
    </format>
    <format dxfId="1190">
      <pivotArea collapsedLevelsAreSubtotals="1" fieldPosition="0">
        <references count="1">
          <reference field="6" count="1">
            <x v="882"/>
          </reference>
        </references>
      </pivotArea>
    </format>
    <format dxfId="1189">
      <pivotArea collapsedLevelsAreSubtotals="1" fieldPosition="0">
        <references count="1">
          <reference field="6" count="1">
            <x v="886"/>
          </reference>
        </references>
      </pivotArea>
    </format>
    <format dxfId="1188">
      <pivotArea collapsedLevelsAreSubtotals="1" fieldPosition="0">
        <references count="1">
          <reference field="6" count="1">
            <x v="888"/>
          </reference>
        </references>
      </pivotArea>
    </format>
    <format dxfId="1187">
      <pivotArea collapsedLevelsAreSubtotals="1" fieldPosition="0">
        <references count="1">
          <reference field="6" count="1">
            <x v="901"/>
          </reference>
        </references>
      </pivotArea>
    </format>
    <format dxfId="1186">
      <pivotArea collapsedLevelsAreSubtotals="1" fieldPosition="0">
        <references count="1">
          <reference field="6" count="1">
            <x v="919"/>
          </reference>
        </references>
      </pivotArea>
    </format>
    <format dxfId="1185">
      <pivotArea collapsedLevelsAreSubtotals="1" fieldPosition="0">
        <references count="1">
          <reference field="6" count="1">
            <x v="921"/>
          </reference>
        </references>
      </pivotArea>
    </format>
    <format dxfId="1184">
      <pivotArea collapsedLevelsAreSubtotals="1" fieldPosition="0">
        <references count="1">
          <reference field="6" count="1">
            <x v="922"/>
          </reference>
        </references>
      </pivotArea>
    </format>
    <format dxfId="1183">
      <pivotArea collapsedLevelsAreSubtotals="1" fieldPosition="0">
        <references count="1">
          <reference field="6" count="1">
            <x v="923"/>
          </reference>
        </references>
      </pivotArea>
    </format>
    <format dxfId="1182">
      <pivotArea collapsedLevelsAreSubtotals="1" fieldPosition="0">
        <references count="1">
          <reference field="6" count="1">
            <x v="924"/>
          </reference>
        </references>
      </pivotArea>
    </format>
    <format dxfId="1181">
      <pivotArea collapsedLevelsAreSubtotals="1" fieldPosition="0">
        <references count="1">
          <reference field="6" count="1">
            <x v="927"/>
          </reference>
        </references>
      </pivotArea>
    </format>
    <format dxfId="1180">
      <pivotArea collapsedLevelsAreSubtotals="1" fieldPosition="0">
        <references count="1">
          <reference field="6" count="1">
            <x v="928"/>
          </reference>
        </references>
      </pivotArea>
    </format>
    <format dxfId="1179">
      <pivotArea collapsedLevelsAreSubtotals="1" fieldPosition="0">
        <references count="1">
          <reference field="6" count="1">
            <x v="942"/>
          </reference>
        </references>
      </pivotArea>
    </format>
    <format dxfId="1178">
      <pivotArea collapsedLevelsAreSubtotals="1" fieldPosition="0">
        <references count="1">
          <reference field="6" count="1">
            <x v="943"/>
          </reference>
        </references>
      </pivotArea>
    </format>
    <format dxfId="1177">
      <pivotArea collapsedLevelsAreSubtotals="1" fieldPosition="0">
        <references count="1">
          <reference field="6" count="1">
            <x v="947"/>
          </reference>
        </references>
      </pivotArea>
    </format>
    <format dxfId="1176">
      <pivotArea collapsedLevelsAreSubtotals="1" fieldPosition="0">
        <references count="1">
          <reference field="6" count="1">
            <x v="963"/>
          </reference>
        </references>
      </pivotArea>
    </format>
    <format dxfId="1175">
      <pivotArea collapsedLevelsAreSubtotals="1" fieldPosition="0">
        <references count="1">
          <reference field="6" count="1">
            <x v="964"/>
          </reference>
        </references>
      </pivotArea>
    </format>
    <format dxfId="1174">
      <pivotArea collapsedLevelsAreSubtotals="1" fieldPosition="0">
        <references count="1">
          <reference field="6" count="1">
            <x v="969"/>
          </reference>
        </references>
      </pivotArea>
    </format>
    <format dxfId="1173">
      <pivotArea collapsedLevelsAreSubtotals="1" fieldPosition="0">
        <references count="1">
          <reference field="6" count="1">
            <x v="974"/>
          </reference>
        </references>
      </pivotArea>
    </format>
    <format dxfId="1172">
      <pivotArea collapsedLevelsAreSubtotals="1" fieldPosition="0">
        <references count="1">
          <reference field="6" count="1">
            <x v="975"/>
          </reference>
        </references>
      </pivotArea>
    </format>
    <format dxfId="1171">
      <pivotArea collapsedLevelsAreSubtotals="1" fieldPosition="0">
        <references count="1">
          <reference field="6" count="1">
            <x v="976"/>
          </reference>
        </references>
      </pivotArea>
    </format>
    <format dxfId="1170">
      <pivotArea collapsedLevelsAreSubtotals="1" fieldPosition="0">
        <references count="1">
          <reference field="6" count="1">
            <x v="978"/>
          </reference>
        </references>
      </pivotArea>
    </format>
    <format dxfId="1169">
      <pivotArea collapsedLevelsAreSubtotals="1" fieldPosition="0">
        <references count="1">
          <reference field="6" count="1">
            <x v="980"/>
          </reference>
        </references>
      </pivotArea>
    </format>
    <format dxfId="1168">
      <pivotArea collapsedLevelsAreSubtotals="1" fieldPosition="0">
        <references count="1">
          <reference field="6" count="1">
            <x v="988"/>
          </reference>
        </references>
      </pivotArea>
    </format>
    <format dxfId="1167">
      <pivotArea collapsedLevelsAreSubtotals="1" fieldPosition="0">
        <references count="1">
          <reference field="6" count="1">
            <x v="991"/>
          </reference>
        </references>
      </pivotArea>
    </format>
    <format dxfId="1166">
      <pivotArea collapsedLevelsAreSubtotals="1" fieldPosition="0">
        <references count="1">
          <reference field="6" count="1">
            <x v="993"/>
          </reference>
        </references>
      </pivotArea>
    </format>
    <format dxfId="1165">
      <pivotArea collapsedLevelsAreSubtotals="1" fieldPosition="0">
        <references count="1">
          <reference field="6" count="1">
            <x v="1000"/>
          </reference>
        </references>
      </pivotArea>
    </format>
    <format dxfId="1164">
      <pivotArea collapsedLevelsAreSubtotals="1" fieldPosition="0">
        <references count="1">
          <reference field="6" count="1">
            <x v="1001"/>
          </reference>
        </references>
      </pivotArea>
    </format>
    <format dxfId="1163">
      <pivotArea collapsedLevelsAreSubtotals="1" fieldPosition="0">
        <references count="1">
          <reference field="6" count="1">
            <x v="1004"/>
          </reference>
        </references>
      </pivotArea>
    </format>
    <format dxfId="1162">
      <pivotArea collapsedLevelsAreSubtotals="1" fieldPosition="0">
        <references count="1">
          <reference field="6" count="1">
            <x v="1007"/>
          </reference>
        </references>
      </pivotArea>
    </format>
    <format dxfId="1161">
      <pivotArea collapsedLevelsAreSubtotals="1" fieldPosition="0">
        <references count="1">
          <reference field="6" count="1">
            <x v="1009"/>
          </reference>
        </references>
      </pivotArea>
    </format>
    <format dxfId="1160">
      <pivotArea collapsedLevelsAreSubtotals="1" fieldPosition="0">
        <references count="1">
          <reference field="6" count="1">
            <x v="1010"/>
          </reference>
        </references>
      </pivotArea>
    </format>
    <format dxfId="1159">
      <pivotArea collapsedLevelsAreSubtotals="1" fieldPosition="0">
        <references count="1">
          <reference field="6" count="1">
            <x v="1020"/>
          </reference>
        </references>
      </pivotArea>
    </format>
    <format dxfId="1158">
      <pivotArea collapsedLevelsAreSubtotals="1" fieldPosition="0">
        <references count="1">
          <reference field="6" count="1">
            <x v="1024"/>
          </reference>
        </references>
      </pivotArea>
    </format>
    <format dxfId="1157">
      <pivotArea collapsedLevelsAreSubtotals="1" fieldPosition="0">
        <references count="1">
          <reference field="6" count="1">
            <x v="1028"/>
          </reference>
        </references>
      </pivotArea>
    </format>
    <format dxfId="1156">
      <pivotArea collapsedLevelsAreSubtotals="1" fieldPosition="0">
        <references count="1">
          <reference field="6" count="1">
            <x v="1035"/>
          </reference>
        </references>
      </pivotArea>
    </format>
    <format dxfId="1155">
      <pivotArea collapsedLevelsAreSubtotals="1" fieldPosition="0">
        <references count="1">
          <reference field="6" count="1">
            <x v="1043"/>
          </reference>
        </references>
      </pivotArea>
    </format>
    <format dxfId="1154">
      <pivotArea collapsedLevelsAreSubtotals="1" fieldPosition="0">
        <references count="1">
          <reference field="6" count="1">
            <x v="1050"/>
          </reference>
        </references>
      </pivotArea>
    </format>
    <format dxfId="1153">
      <pivotArea collapsedLevelsAreSubtotals="1" fieldPosition="0">
        <references count="1">
          <reference field="6" count="1">
            <x v="1057"/>
          </reference>
        </references>
      </pivotArea>
    </format>
    <format dxfId="1152">
      <pivotArea collapsedLevelsAreSubtotals="1" fieldPosition="0">
        <references count="1">
          <reference field="6" count="1">
            <x v="1061"/>
          </reference>
        </references>
      </pivotArea>
    </format>
    <format dxfId="1151">
      <pivotArea collapsedLevelsAreSubtotals="1" fieldPosition="0">
        <references count="1">
          <reference field="6" count="1">
            <x v="1069"/>
          </reference>
        </references>
      </pivotArea>
    </format>
    <format dxfId="1150">
      <pivotArea collapsedLevelsAreSubtotals="1" fieldPosition="0">
        <references count="1">
          <reference field="6" count="1">
            <x v="1081"/>
          </reference>
        </references>
      </pivotArea>
    </format>
    <format dxfId="1149">
      <pivotArea collapsedLevelsAreSubtotals="1" fieldPosition="0">
        <references count="1">
          <reference field="6" count="1">
            <x v="1083"/>
          </reference>
        </references>
      </pivotArea>
    </format>
    <format dxfId="1148">
      <pivotArea collapsedLevelsAreSubtotals="1" fieldPosition="0">
        <references count="1">
          <reference field="6" count="1">
            <x v="1088"/>
          </reference>
        </references>
      </pivotArea>
    </format>
    <format dxfId="1147">
      <pivotArea collapsedLevelsAreSubtotals="1" fieldPosition="0">
        <references count="1">
          <reference field="6" count="1">
            <x v="1090"/>
          </reference>
        </references>
      </pivotArea>
    </format>
    <format dxfId="1146">
      <pivotArea collapsedLevelsAreSubtotals="1" fieldPosition="0">
        <references count="1">
          <reference field="6" count="1">
            <x v="1104"/>
          </reference>
        </references>
      </pivotArea>
    </format>
    <format dxfId="1145">
      <pivotArea collapsedLevelsAreSubtotals="1" fieldPosition="0">
        <references count="1">
          <reference field="6" count="1">
            <x v="1105"/>
          </reference>
        </references>
      </pivotArea>
    </format>
    <format dxfId="1144">
      <pivotArea collapsedLevelsAreSubtotals="1" fieldPosition="0">
        <references count="1">
          <reference field="6" count="1">
            <x v="1106"/>
          </reference>
        </references>
      </pivotArea>
    </format>
    <format dxfId="1143">
      <pivotArea collapsedLevelsAreSubtotals="1" fieldPosition="0">
        <references count="1">
          <reference field="6" count="1">
            <x v="1107"/>
          </reference>
        </references>
      </pivotArea>
    </format>
    <format dxfId="1142">
      <pivotArea collapsedLevelsAreSubtotals="1" fieldPosition="0">
        <references count="1">
          <reference field="6" count="1">
            <x v="1109"/>
          </reference>
        </references>
      </pivotArea>
    </format>
    <format dxfId="1141">
      <pivotArea collapsedLevelsAreSubtotals="1" fieldPosition="0">
        <references count="1">
          <reference field="6" count="1">
            <x v="1113"/>
          </reference>
        </references>
      </pivotArea>
    </format>
    <format dxfId="1140">
      <pivotArea collapsedLevelsAreSubtotals="1" fieldPosition="0">
        <references count="1">
          <reference field="6" count="1">
            <x v="1127"/>
          </reference>
        </references>
      </pivotArea>
    </format>
    <format dxfId="1139">
      <pivotArea collapsedLevelsAreSubtotals="1" fieldPosition="0">
        <references count="1">
          <reference field="6" count="1">
            <x v="1137"/>
          </reference>
        </references>
      </pivotArea>
    </format>
    <format dxfId="1138">
      <pivotArea collapsedLevelsAreSubtotals="1" fieldPosition="0">
        <references count="1">
          <reference field="6" count="1">
            <x v="1139"/>
          </reference>
        </references>
      </pivotArea>
    </format>
    <format dxfId="1137">
      <pivotArea collapsedLevelsAreSubtotals="1" fieldPosition="0">
        <references count="1">
          <reference field="6" count="1">
            <x v="1145"/>
          </reference>
        </references>
      </pivotArea>
    </format>
    <format dxfId="1136">
      <pivotArea collapsedLevelsAreSubtotals="1" fieldPosition="0">
        <references count="1">
          <reference field="6" count="1">
            <x v="1158"/>
          </reference>
        </references>
      </pivotArea>
    </format>
    <format dxfId="1135">
      <pivotArea collapsedLevelsAreSubtotals="1" fieldPosition="0">
        <references count="1">
          <reference field="6" count="1">
            <x v="1162"/>
          </reference>
        </references>
      </pivotArea>
    </format>
    <format dxfId="1134">
      <pivotArea collapsedLevelsAreSubtotals="1" fieldPosition="0">
        <references count="1">
          <reference field="6" count="1">
            <x v="1168"/>
          </reference>
        </references>
      </pivotArea>
    </format>
    <format dxfId="1133">
      <pivotArea collapsedLevelsAreSubtotals="1" fieldPosition="0">
        <references count="1">
          <reference field="6" count="1">
            <x v="1172"/>
          </reference>
        </references>
      </pivotArea>
    </format>
    <format dxfId="1132">
      <pivotArea collapsedLevelsAreSubtotals="1" fieldPosition="0">
        <references count="1">
          <reference field="6" count="1">
            <x v="1173"/>
          </reference>
        </references>
      </pivotArea>
    </format>
    <format dxfId="1131">
      <pivotArea collapsedLevelsAreSubtotals="1" fieldPosition="0">
        <references count="1">
          <reference field="6" count="1">
            <x v="1174"/>
          </reference>
        </references>
      </pivotArea>
    </format>
    <format dxfId="1130">
      <pivotArea collapsedLevelsAreSubtotals="1" fieldPosition="0">
        <references count="1">
          <reference field="6" count="1">
            <x v="1177"/>
          </reference>
        </references>
      </pivotArea>
    </format>
    <format dxfId="1129">
      <pivotArea collapsedLevelsAreSubtotals="1" fieldPosition="0">
        <references count="1">
          <reference field="6" count="1">
            <x v="1178"/>
          </reference>
        </references>
      </pivotArea>
    </format>
    <format dxfId="1128">
      <pivotArea collapsedLevelsAreSubtotals="1" fieldPosition="0">
        <references count="1">
          <reference field="6" count="1">
            <x v="1179"/>
          </reference>
        </references>
      </pivotArea>
    </format>
    <format dxfId="1127">
      <pivotArea collapsedLevelsAreSubtotals="1" fieldPosition="0">
        <references count="1">
          <reference field="6" count="1">
            <x v="1180"/>
          </reference>
        </references>
      </pivotArea>
    </format>
    <format dxfId="1126">
      <pivotArea collapsedLevelsAreSubtotals="1" fieldPosition="0">
        <references count="1">
          <reference field="6" count="1">
            <x v="1186"/>
          </reference>
        </references>
      </pivotArea>
    </format>
    <format dxfId="1125">
      <pivotArea collapsedLevelsAreSubtotals="1" fieldPosition="0">
        <references count="1">
          <reference field="6" count="1">
            <x v="1187"/>
          </reference>
        </references>
      </pivotArea>
    </format>
    <format dxfId="1124">
      <pivotArea collapsedLevelsAreSubtotals="1" fieldPosition="0">
        <references count="1">
          <reference field="6" count="1">
            <x v="1188"/>
          </reference>
        </references>
      </pivotArea>
    </format>
    <format dxfId="1123">
      <pivotArea collapsedLevelsAreSubtotals="1" fieldPosition="0">
        <references count="1">
          <reference field="6" count="1">
            <x v="1199"/>
          </reference>
        </references>
      </pivotArea>
    </format>
    <format dxfId="1122">
      <pivotArea collapsedLevelsAreSubtotals="1" fieldPosition="0">
        <references count="1">
          <reference field="6" count="1">
            <x v="1200"/>
          </reference>
        </references>
      </pivotArea>
    </format>
    <format dxfId="1121">
      <pivotArea collapsedLevelsAreSubtotals="1" fieldPosition="0">
        <references count="1">
          <reference field="6" count="1">
            <x v="1201"/>
          </reference>
        </references>
      </pivotArea>
    </format>
    <format dxfId="1120">
      <pivotArea collapsedLevelsAreSubtotals="1" fieldPosition="0">
        <references count="1">
          <reference field="6" count="1">
            <x v="1202"/>
          </reference>
        </references>
      </pivotArea>
    </format>
    <format dxfId="1119">
      <pivotArea collapsedLevelsAreSubtotals="1" fieldPosition="0">
        <references count="1">
          <reference field="6" count="1">
            <x v="1204"/>
          </reference>
        </references>
      </pivotArea>
    </format>
    <format dxfId="1118">
      <pivotArea collapsedLevelsAreSubtotals="1" fieldPosition="0">
        <references count="1">
          <reference field="6" count="1">
            <x v="1205"/>
          </reference>
        </references>
      </pivotArea>
    </format>
    <format dxfId="1117">
      <pivotArea collapsedLevelsAreSubtotals="1" fieldPosition="0">
        <references count="1">
          <reference field="6" count="1">
            <x v="1214"/>
          </reference>
        </references>
      </pivotArea>
    </format>
    <format dxfId="1116">
      <pivotArea collapsedLevelsAreSubtotals="1" fieldPosition="0">
        <references count="1">
          <reference field="6" count="1">
            <x v="1216"/>
          </reference>
        </references>
      </pivotArea>
    </format>
    <format dxfId="1115">
      <pivotArea collapsedLevelsAreSubtotals="1" fieldPosition="0">
        <references count="1">
          <reference field="6" count="1">
            <x v="1221"/>
          </reference>
        </references>
      </pivotArea>
    </format>
    <format dxfId="1114">
      <pivotArea collapsedLevelsAreSubtotals="1" fieldPosition="0">
        <references count="1">
          <reference field="6" count="1">
            <x v="1231"/>
          </reference>
        </references>
      </pivotArea>
    </format>
    <format dxfId="1113">
      <pivotArea collapsedLevelsAreSubtotals="1" fieldPosition="0">
        <references count="1">
          <reference field="6" count="1">
            <x v="1232"/>
          </reference>
        </references>
      </pivotArea>
    </format>
    <format dxfId="1112">
      <pivotArea collapsedLevelsAreSubtotals="1" fieldPosition="0">
        <references count="1">
          <reference field="6" count="1">
            <x v="1256"/>
          </reference>
        </references>
      </pivotArea>
    </format>
    <format dxfId="1111">
      <pivotArea collapsedLevelsAreSubtotals="1" fieldPosition="0">
        <references count="1">
          <reference field="6" count="1">
            <x v="1263"/>
          </reference>
        </references>
      </pivotArea>
    </format>
    <format dxfId="1110">
      <pivotArea collapsedLevelsAreSubtotals="1" fieldPosition="0">
        <references count="1">
          <reference field="6" count="1">
            <x v="1277"/>
          </reference>
        </references>
      </pivotArea>
    </format>
    <format dxfId="1109">
      <pivotArea collapsedLevelsAreSubtotals="1" fieldPosition="0">
        <references count="1">
          <reference field="6" count="1">
            <x v="1278"/>
          </reference>
        </references>
      </pivotArea>
    </format>
    <format dxfId="1108">
      <pivotArea collapsedLevelsAreSubtotals="1" fieldPosition="0">
        <references count="1">
          <reference field="6" count="1">
            <x v="1279"/>
          </reference>
        </references>
      </pivotArea>
    </format>
    <format dxfId="1107">
      <pivotArea collapsedLevelsAreSubtotals="1" fieldPosition="0">
        <references count="1">
          <reference field="6" count="1">
            <x v="1282"/>
          </reference>
        </references>
      </pivotArea>
    </format>
    <format dxfId="1106">
      <pivotArea collapsedLevelsAreSubtotals="1" fieldPosition="0">
        <references count="1">
          <reference field="6" count="1">
            <x v="1290"/>
          </reference>
        </references>
      </pivotArea>
    </format>
    <format dxfId="1105">
      <pivotArea collapsedLevelsAreSubtotals="1" fieldPosition="0">
        <references count="1">
          <reference field="6" count="1">
            <x v="1296"/>
          </reference>
        </references>
      </pivotArea>
    </format>
    <format dxfId="1104">
      <pivotArea collapsedLevelsAreSubtotals="1" fieldPosition="0">
        <references count="1">
          <reference field="6" count="1">
            <x v="1300"/>
          </reference>
        </references>
      </pivotArea>
    </format>
    <format dxfId="1103">
      <pivotArea collapsedLevelsAreSubtotals="1" fieldPosition="0">
        <references count="1">
          <reference field="6" count="1">
            <x v="1305"/>
          </reference>
        </references>
      </pivotArea>
    </format>
    <format dxfId="1102">
      <pivotArea collapsedLevelsAreSubtotals="1" fieldPosition="0">
        <references count="1">
          <reference field="6" count="1">
            <x v="1313"/>
          </reference>
        </references>
      </pivotArea>
    </format>
    <format dxfId="1101">
      <pivotArea collapsedLevelsAreSubtotals="1" fieldPosition="0">
        <references count="1">
          <reference field="6" count="1">
            <x v="1318"/>
          </reference>
        </references>
      </pivotArea>
    </format>
    <format dxfId="1100">
      <pivotArea collapsedLevelsAreSubtotals="1" fieldPosition="0">
        <references count="1">
          <reference field="6" count="1">
            <x v="1321"/>
          </reference>
        </references>
      </pivotArea>
    </format>
    <format dxfId="1099">
      <pivotArea collapsedLevelsAreSubtotals="1" fieldPosition="0">
        <references count="1">
          <reference field="6" count="1">
            <x v="1322"/>
          </reference>
        </references>
      </pivotArea>
    </format>
    <format dxfId="1098">
      <pivotArea collapsedLevelsAreSubtotals="1" fieldPosition="0">
        <references count="1">
          <reference field="6" count="1">
            <x v="1325"/>
          </reference>
        </references>
      </pivotArea>
    </format>
    <format dxfId="1097">
      <pivotArea collapsedLevelsAreSubtotals="1" fieldPosition="0">
        <references count="1">
          <reference field="6" count="1">
            <x v="1329"/>
          </reference>
        </references>
      </pivotArea>
    </format>
    <format dxfId="1096">
      <pivotArea collapsedLevelsAreSubtotals="1" fieldPosition="0">
        <references count="1">
          <reference field="6" count="1">
            <x v="1331"/>
          </reference>
        </references>
      </pivotArea>
    </format>
    <format dxfId="1095">
      <pivotArea collapsedLevelsAreSubtotals="1" fieldPosition="0">
        <references count="1">
          <reference field="6" count="1">
            <x v="1333"/>
          </reference>
        </references>
      </pivotArea>
    </format>
    <format dxfId="1094">
      <pivotArea collapsedLevelsAreSubtotals="1" fieldPosition="0">
        <references count="1">
          <reference field="6" count="1">
            <x v="1342"/>
          </reference>
        </references>
      </pivotArea>
    </format>
    <format dxfId="1093">
      <pivotArea collapsedLevelsAreSubtotals="1" fieldPosition="0">
        <references count="1">
          <reference field="6" count="1">
            <x v="1345"/>
          </reference>
        </references>
      </pivotArea>
    </format>
    <format dxfId="1092">
      <pivotArea collapsedLevelsAreSubtotals="1" fieldPosition="0">
        <references count="1">
          <reference field="6" count="1">
            <x v="1364"/>
          </reference>
        </references>
      </pivotArea>
    </format>
    <format dxfId="1091">
      <pivotArea collapsedLevelsAreSubtotals="1" fieldPosition="0">
        <references count="1">
          <reference field="6" count="1">
            <x v="1367"/>
          </reference>
        </references>
      </pivotArea>
    </format>
    <format dxfId="1090">
      <pivotArea collapsedLevelsAreSubtotals="1" fieldPosition="0">
        <references count="1">
          <reference field="6" count="1">
            <x v="1373"/>
          </reference>
        </references>
      </pivotArea>
    </format>
    <format dxfId="1089">
      <pivotArea collapsedLevelsAreSubtotals="1" fieldPosition="0">
        <references count="1">
          <reference field="6" count="1">
            <x v="1378"/>
          </reference>
        </references>
      </pivotArea>
    </format>
    <format dxfId="1088">
      <pivotArea collapsedLevelsAreSubtotals="1" fieldPosition="0">
        <references count="1">
          <reference field="6" count="1">
            <x v="1380"/>
          </reference>
        </references>
      </pivotArea>
    </format>
    <format dxfId="1087">
      <pivotArea collapsedLevelsAreSubtotals="1" fieldPosition="0">
        <references count="1">
          <reference field="6" count="1">
            <x v="1387"/>
          </reference>
        </references>
      </pivotArea>
    </format>
    <format dxfId="1086">
      <pivotArea collapsedLevelsAreSubtotals="1" fieldPosition="0">
        <references count="1">
          <reference field="6" count="1">
            <x v="1390"/>
          </reference>
        </references>
      </pivotArea>
    </format>
    <format dxfId="1085">
      <pivotArea collapsedLevelsAreSubtotals="1" fieldPosition="0">
        <references count="1">
          <reference field="6" count="1">
            <x v="1392"/>
          </reference>
        </references>
      </pivotArea>
    </format>
    <format dxfId="1084">
      <pivotArea collapsedLevelsAreSubtotals="1" fieldPosition="0">
        <references count="1">
          <reference field="6" count="1">
            <x v="1402"/>
          </reference>
        </references>
      </pivotArea>
    </format>
    <format dxfId="1083">
      <pivotArea collapsedLevelsAreSubtotals="1" fieldPosition="0">
        <references count="1">
          <reference field="6" count="1">
            <x v="1413"/>
          </reference>
        </references>
      </pivotArea>
    </format>
    <format dxfId="1082">
      <pivotArea collapsedLevelsAreSubtotals="1" fieldPosition="0">
        <references count="1">
          <reference field="6" count="1">
            <x v="1419"/>
          </reference>
        </references>
      </pivotArea>
    </format>
    <format dxfId="1081">
      <pivotArea collapsedLevelsAreSubtotals="1" fieldPosition="0">
        <references count="1">
          <reference field="6" count="1">
            <x v="1423"/>
          </reference>
        </references>
      </pivotArea>
    </format>
    <format dxfId="1080">
      <pivotArea collapsedLevelsAreSubtotals="1" fieldPosition="0">
        <references count="1">
          <reference field="6" count="1">
            <x v="1446"/>
          </reference>
        </references>
      </pivotArea>
    </format>
    <format dxfId="1079">
      <pivotArea collapsedLevelsAreSubtotals="1" fieldPosition="0">
        <references count="1">
          <reference field="6" count="1">
            <x v="1453"/>
          </reference>
        </references>
      </pivotArea>
    </format>
    <format dxfId="1078">
      <pivotArea collapsedLevelsAreSubtotals="1" fieldPosition="0">
        <references count="1">
          <reference field="6" count="1">
            <x v="1460"/>
          </reference>
        </references>
      </pivotArea>
    </format>
    <format dxfId="1077">
      <pivotArea collapsedLevelsAreSubtotals="1" fieldPosition="0">
        <references count="1">
          <reference field="6" count="1">
            <x v="1462"/>
          </reference>
        </references>
      </pivotArea>
    </format>
    <format dxfId="1076">
      <pivotArea collapsedLevelsAreSubtotals="1" fieldPosition="0">
        <references count="1">
          <reference field="6" count="1">
            <x v="1466"/>
          </reference>
        </references>
      </pivotArea>
    </format>
    <format dxfId="1075">
      <pivotArea collapsedLevelsAreSubtotals="1" fieldPosition="0">
        <references count="1">
          <reference field="6" count="1">
            <x v="1467"/>
          </reference>
        </references>
      </pivotArea>
    </format>
    <format dxfId="1074">
      <pivotArea collapsedLevelsAreSubtotals="1" fieldPosition="0">
        <references count="1">
          <reference field="6" count="1">
            <x v="1475"/>
          </reference>
        </references>
      </pivotArea>
    </format>
    <format dxfId="1073">
      <pivotArea collapsedLevelsAreSubtotals="1" fieldPosition="0">
        <references count="1">
          <reference field="6" count="1">
            <x v="1481"/>
          </reference>
        </references>
      </pivotArea>
    </format>
    <format dxfId="1072">
      <pivotArea collapsedLevelsAreSubtotals="1" fieldPosition="0">
        <references count="1">
          <reference field="6" count="1">
            <x v="1485"/>
          </reference>
        </references>
      </pivotArea>
    </format>
    <format dxfId="1071">
      <pivotArea collapsedLevelsAreSubtotals="1" fieldPosition="0">
        <references count="1">
          <reference field="6" count="1">
            <x v="1488"/>
          </reference>
        </references>
      </pivotArea>
    </format>
    <format dxfId="1070">
      <pivotArea collapsedLevelsAreSubtotals="1" fieldPosition="0">
        <references count="1">
          <reference field="6" count="1">
            <x v="1489"/>
          </reference>
        </references>
      </pivotArea>
    </format>
    <format dxfId="1069">
      <pivotArea collapsedLevelsAreSubtotals="1" fieldPosition="0">
        <references count="1">
          <reference field="6" count="1">
            <x v="1490"/>
          </reference>
        </references>
      </pivotArea>
    </format>
    <format dxfId="1068">
      <pivotArea collapsedLevelsAreSubtotals="1" fieldPosition="0">
        <references count="1">
          <reference field="6" count="1">
            <x v="1505"/>
          </reference>
        </references>
      </pivotArea>
    </format>
    <format dxfId="1067">
      <pivotArea collapsedLevelsAreSubtotals="1" fieldPosition="0">
        <references count="1">
          <reference field="6" count="1">
            <x v="1512"/>
          </reference>
        </references>
      </pivotArea>
    </format>
    <format dxfId="1066">
      <pivotArea collapsedLevelsAreSubtotals="1" fieldPosition="0">
        <references count="1">
          <reference field="6" count="1">
            <x v="1516"/>
          </reference>
        </references>
      </pivotArea>
    </format>
    <format dxfId="1065">
      <pivotArea collapsedLevelsAreSubtotals="1" fieldPosition="0">
        <references count="1">
          <reference field="6" count="1">
            <x v="1518"/>
          </reference>
        </references>
      </pivotArea>
    </format>
    <format dxfId="1064">
      <pivotArea collapsedLevelsAreSubtotals="1" fieldPosition="0">
        <references count="1">
          <reference field="6" count="1">
            <x v="1520"/>
          </reference>
        </references>
      </pivotArea>
    </format>
    <format dxfId="1063">
      <pivotArea collapsedLevelsAreSubtotals="1" fieldPosition="0">
        <references count="1">
          <reference field="6" count="1">
            <x v="1524"/>
          </reference>
        </references>
      </pivotArea>
    </format>
    <format dxfId="1062">
      <pivotArea collapsedLevelsAreSubtotals="1" fieldPosition="0">
        <references count="1">
          <reference field="6" count="1">
            <x v="1529"/>
          </reference>
        </references>
      </pivotArea>
    </format>
    <format dxfId="1061">
      <pivotArea collapsedLevelsAreSubtotals="1" fieldPosition="0">
        <references count="1">
          <reference field="6" count="1">
            <x v="1546"/>
          </reference>
        </references>
      </pivotArea>
    </format>
    <format dxfId="1060">
      <pivotArea collapsedLevelsAreSubtotals="1" fieldPosition="0">
        <references count="1">
          <reference field="6" count="1">
            <x v="1551"/>
          </reference>
        </references>
      </pivotArea>
    </format>
    <format dxfId="1059">
      <pivotArea collapsedLevelsAreSubtotals="1" fieldPosition="0">
        <references count="1">
          <reference field="6" count="1">
            <x v="1554"/>
          </reference>
        </references>
      </pivotArea>
    </format>
    <format dxfId="1058">
      <pivotArea collapsedLevelsAreSubtotals="1" fieldPosition="0">
        <references count="1">
          <reference field="6" count="1">
            <x v="1562"/>
          </reference>
        </references>
      </pivotArea>
    </format>
    <format dxfId="1057">
      <pivotArea collapsedLevelsAreSubtotals="1" fieldPosition="0">
        <references count="1">
          <reference field="6" count="1">
            <x v="1570"/>
          </reference>
        </references>
      </pivotArea>
    </format>
    <format dxfId="1056">
      <pivotArea collapsedLevelsAreSubtotals="1" fieldPosition="0">
        <references count="1">
          <reference field="6" count="1">
            <x v="1579"/>
          </reference>
        </references>
      </pivotArea>
    </format>
    <format dxfId="1055">
      <pivotArea collapsedLevelsAreSubtotals="1" fieldPosition="0">
        <references count="1">
          <reference field="6" count="1">
            <x v="1581"/>
          </reference>
        </references>
      </pivotArea>
    </format>
    <format dxfId="1054">
      <pivotArea collapsedLevelsAreSubtotals="1" fieldPosition="0">
        <references count="1">
          <reference field="6" count="1">
            <x v="1588"/>
          </reference>
        </references>
      </pivotArea>
    </format>
    <format dxfId="1053">
      <pivotArea collapsedLevelsAreSubtotals="1" fieldPosition="0">
        <references count="1">
          <reference field="6" count="1">
            <x v="1590"/>
          </reference>
        </references>
      </pivotArea>
    </format>
    <format dxfId="1052">
      <pivotArea collapsedLevelsAreSubtotals="1" fieldPosition="0">
        <references count="1">
          <reference field="6" count="1">
            <x v="1602"/>
          </reference>
        </references>
      </pivotArea>
    </format>
    <format dxfId="1051">
      <pivotArea collapsedLevelsAreSubtotals="1" fieldPosition="0">
        <references count="1">
          <reference field="6" count="1">
            <x v="1604"/>
          </reference>
        </references>
      </pivotArea>
    </format>
    <format dxfId="1050">
      <pivotArea collapsedLevelsAreSubtotals="1" fieldPosition="0">
        <references count="1">
          <reference field="6" count="1">
            <x v="1615"/>
          </reference>
        </references>
      </pivotArea>
    </format>
    <format dxfId="1049">
      <pivotArea collapsedLevelsAreSubtotals="1" fieldPosition="0">
        <references count="1">
          <reference field="6" count="1">
            <x v="1617"/>
          </reference>
        </references>
      </pivotArea>
    </format>
    <format dxfId="1048">
      <pivotArea collapsedLevelsAreSubtotals="1" fieldPosition="0">
        <references count="1">
          <reference field="6" count="1">
            <x v="1620"/>
          </reference>
        </references>
      </pivotArea>
    </format>
    <format dxfId="1047">
      <pivotArea collapsedLevelsAreSubtotals="1" fieldPosition="0">
        <references count="1">
          <reference field="6" count="1">
            <x v="1628"/>
          </reference>
        </references>
      </pivotArea>
    </format>
    <format dxfId="1046">
      <pivotArea collapsedLevelsAreSubtotals="1" fieldPosition="0">
        <references count="1">
          <reference field="6" count="1">
            <x v="1630"/>
          </reference>
        </references>
      </pivotArea>
    </format>
    <format dxfId="1045">
      <pivotArea collapsedLevelsAreSubtotals="1" fieldPosition="0">
        <references count="1">
          <reference field="6" count="1">
            <x v="1632"/>
          </reference>
        </references>
      </pivotArea>
    </format>
    <format dxfId="1044">
      <pivotArea collapsedLevelsAreSubtotals="1" fieldPosition="0">
        <references count="1">
          <reference field="6" count="1">
            <x v="1635"/>
          </reference>
        </references>
      </pivotArea>
    </format>
    <format dxfId="1043">
      <pivotArea collapsedLevelsAreSubtotals="1" fieldPosition="0">
        <references count="1">
          <reference field="6" count="1">
            <x v="1644"/>
          </reference>
        </references>
      </pivotArea>
    </format>
    <format dxfId="1042">
      <pivotArea collapsedLevelsAreSubtotals="1" fieldPosition="0">
        <references count="1">
          <reference field="6" count="1">
            <x v="1646"/>
          </reference>
        </references>
      </pivotArea>
    </format>
    <format dxfId="1041">
      <pivotArea collapsedLevelsAreSubtotals="1" fieldPosition="0">
        <references count="1">
          <reference field="6" count="1">
            <x v="1648"/>
          </reference>
        </references>
      </pivotArea>
    </format>
    <format dxfId="1040">
      <pivotArea collapsedLevelsAreSubtotals="1" fieldPosition="0">
        <references count="1">
          <reference field="6" count="1">
            <x v="1663"/>
          </reference>
        </references>
      </pivotArea>
    </format>
    <format dxfId="1039">
      <pivotArea collapsedLevelsAreSubtotals="1" fieldPosition="0">
        <references count="1">
          <reference field="6" count="1">
            <x v="1674"/>
          </reference>
        </references>
      </pivotArea>
    </format>
    <format dxfId="1038">
      <pivotArea collapsedLevelsAreSubtotals="1" fieldPosition="0">
        <references count="1">
          <reference field="6" count="1">
            <x v="1685"/>
          </reference>
        </references>
      </pivotArea>
    </format>
    <format dxfId="1037">
      <pivotArea collapsedLevelsAreSubtotals="1" fieldPosition="0">
        <references count="1">
          <reference field="6" count="1">
            <x v="1686"/>
          </reference>
        </references>
      </pivotArea>
    </format>
    <format dxfId="1036">
      <pivotArea collapsedLevelsAreSubtotals="1" fieldPosition="0">
        <references count="1">
          <reference field="6" count="1">
            <x v="1694"/>
          </reference>
        </references>
      </pivotArea>
    </format>
    <format dxfId="1035">
      <pivotArea collapsedLevelsAreSubtotals="1" fieldPosition="0">
        <references count="1">
          <reference field="6" count="1">
            <x v="1700"/>
          </reference>
        </references>
      </pivotArea>
    </format>
    <format dxfId="1034">
      <pivotArea collapsedLevelsAreSubtotals="1" fieldPosition="0">
        <references count="1">
          <reference field="6" count="1">
            <x v="1701"/>
          </reference>
        </references>
      </pivotArea>
    </format>
    <format dxfId="1033">
      <pivotArea collapsedLevelsAreSubtotals="1" fieldPosition="0">
        <references count="1">
          <reference field="6" count="1">
            <x v="1717"/>
          </reference>
        </references>
      </pivotArea>
    </format>
    <format dxfId="1032">
      <pivotArea collapsedLevelsAreSubtotals="1" fieldPosition="0">
        <references count="1">
          <reference field="6" count="1">
            <x v="1720"/>
          </reference>
        </references>
      </pivotArea>
    </format>
    <format dxfId="1031">
      <pivotArea collapsedLevelsAreSubtotals="1" fieldPosition="0">
        <references count="1">
          <reference field="6" count="1">
            <x v="1721"/>
          </reference>
        </references>
      </pivotArea>
    </format>
    <format dxfId="1030">
      <pivotArea collapsedLevelsAreSubtotals="1" fieldPosition="0">
        <references count="1">
          <reference field="6" count="1">
            <x v="1730"/>
          </reference>
        </references>
      </pivotArea>
    </format>
    <format dxfId="1029">
      <pivotArea collapsedLevelsAreSubtotals="1" fieldPosition="0">
        <references count="1">
          <reference field="6" count="1">
            <x v="1732"/>
          </reference>
        </references>
      </pivotArea>
    </format>
    <format dxfId="1028">
      <pivotArea collapsedLevelsAreSubtotals="1" fieldPosition="0">
        <references count="1">
          <reference field="6" count="1">
            <x v="1738"/>
          </reference>
        </references>
      </pivotArea>
    </format>
    <format dxfId="1027">
      <pivotArea collapsedLevelsAreSubtotals="1" fieldPosition="0">
        <references count="1">
          <reference field="6" count="1">
            <x v="1741"/>
          </reference>
        </references>
      </pivotArea>
    </format>
    <format dxfId="1026">
      <pivotArea collapsedLevelsAreSubtotals="1" fieldPosition="0">
        <references count="1">
          <reference field="6" count="1">
            <x v="1755"/>
          </reference>
        </references>
      </pivotArea>
    </format>
    <format dxfId="1025">
      <pivotArea collapsedLevelsAreSubtotals="1" fieldPosition="0">
        <references count="1">
          <reference field="6" count="1">
            <x v="1761"/>
          </reference>
        </references>
      </pivotArea>
    </format>
    <format dxfId="1024">
      <pivotArea collapsedLevelsAreSubtotals="1" fieldPosition="0">
        <references count="1">
          <reference field="6" count="1">
            <x v="1763"/>
          </reference>
        </references>
      </pivotArea>
    </format>
    <format dxfId="1023">
      <pivotArea collapsedLevelsAreSubtotals="1" fieldPosition="0">
        <references count="1">
          <reference field="6" count="1">
            <x v="1769"/>
          </reference>
        </references>
      </pivotArea>
    </format>
    <format dxfId="1022">
      <pivotArea collapsedLevelsAreSubtotals="1" fieldPosition="0">
        <references count="1">
          <reference field="6" count="1">
            <x v="1774"/>
          </reference>
        </references>
      </pivotArea>
    </format>
    <format dxfId="1021">
      <pivotArea collapsedLevelsAreSubtotals="1" fieldPosition="0">
        <references count="1">
          <reference field="6" count="1">
            <x v="1775"/>
          </reference>
        </references>
      </pivotArea>
    </format>
    <format dxfId="1020">
      <pivotArea collapsedLevelsAreSubtotals="1" fieldPosition="0">
        <references count="1">
          <reference field="6" count="1">
            <x v="1784"/>
          </reference>
        </references>
      </pivotArea>
    </format>
    <format dxfId="1019">
      <pivotArea collapsedLevelsAreSubtotals="1" fieldPosition="0">
        <references count="1">
          <reference field="6" count="1">
            <x v="1786"/>
          </reference>
        </references>
      </pivotArea>
    </format>
    <format dxfId="1018">
      <pivotArea collapsedLevelsAreSubtotals="1" fieldPosition="0">
        <references count="1">
          <reference field="6" count="1">
            <x v="1799"/>
          </reference>
        </references>
      </pivotArea>
    </format>
    <format dxfId="1017">
      <pivotArea collapsedLevelsAreSubtotals="1" fieldPosition="0">
        <references count="1">
          <reference field="6" count="1">
            <x v="1804"/>
          </reference>
        </references>
      </pivotArea>
    </format>
    <format dxfId="1016">
      <pivotArea collapsedLevelsAreSubtotals="1" fieldPosition="0">
        <references count="1">
          <reference field="6" count="1">
            <x v="1808"/>
          </reference>
        </references>
      </pivotArea>
    </format>
    <format dxfId="1015">
      <pivotArea collapsedLevelsAreSubtotals="1" fieldPosition="0">
        <references count="1">
          <reference field="6" count="1">
            <x v="1820"/>
          </reference>
        </references>
      </pivotArea>
    </format>
    <format dxfId="1014">
      <pivotArea collapsedLevelsAreSubtotals="1" fieldPosition="0">
        <references count="1">
          <reference field="6" count="1">
            <x v="1822"/>
          </reference>
        </references>
      </pivotArea>
    </format>
    <format dxfId="1013">
      <pivotArea collapsedLevelsAreSubtotals="1" fieldPosition="0">
        <references count="1">
          <reference field="6" count="1">
            <x v="1825"/>
          </reference>
        </references>
      </pivotArea>
    </format>
    <format dxfId="1012">
      <pivotArea collapsedLevelsAreSubtotals="1" fieldPosition="0">
        <references count="1">
          <reference field="6" count="1">
            <x v="1826"/>
          </reference>
        </references>
      </pivotArea>
    </format>
    <format dxfId="1011">
      <pivotArea collapsedLevelsAreSubtotals="1" fieldPosition="0">
        <references count="1">
          <reference field="6" count="1">
            <x v="1829"/>
          </reference>
        </references>
      </pivotArea>
    </format>
    <format dxfId="1010">
      <pivotArea collapsedLevelsAreSubtotals="1" fieldPosition="0">
        <references count="1">
          <reference field="6" count="1">
            <x v="1830"/>
          </reference>
        </references>
      </pivotArea>
    </format>
    <format dxfId="1009">
      <pivotArea collapsedLevelsAreSubtotals="1" fieldPosition="0">
        <references count="1">
          <reference field="6" count="1">
            <x v="1839"/>
          </reference>
        </references>
      </pivotArea>
    </format>
    <format dxfId="1008">
      <pivotArea collapsedLevelsAreSubtotals="1" fieldPosition="0">
        <references count="1">
          <reference field="6" count="1">
            <x v="1843"/>
          </reference>
        </references>
      </pivotArea>
    </format>
    <format dxfId="1007">
      <pivotArea collapsedLevelsAreSubtotals="1" fieldPosition="0">
        <references count="1">
          <reference field="6" count="1">
            <x v="1856"/>
          </reference>
        </references>
      </pivotArea>
    </format>
    <format dxfId="1006">
      <pivotArea collapsedLevelsAreSubtotals="1" fieldPosition="0">
        <references count="1">
          <reference field="6" count="1">
            <x v="1863"/>
          </reference>
        </references>
      </pivotArea>
    </format>
    <format dxfId="1005">
      <pivotArea collapsedLevelsAreSubtotals="1" fieldPosition="0">
        <references count="1">
          <reference field="6" count="1">
            <x v="1869"/>
          </reference>
        </references>
      </pivotArea>
    </format>
    <format dxfId="1004">
      <pivotArea collapsedLevelsAreSubtotals="1" fieldPosition="0">
        <references count="1">
          <reference field="6" count="1">
            <x v="1872"/>
          </reference>
        </references>
      </pivotArea>
    </format>
    <format dxfId="1003">
      <pivotArea collapsedLevelsAreSubtotals="1" fieldPosition="0">
        <references count="1">
          <reference field="6" count="1">
            <x v="1877"/>
          </reference>
        </references>
      </pivotArea>
    </format>
    <format dxfId="1002">
      <pivotArea collapsedLevelsAreSubtotals="1" fieldPosition="0">
        <references count="1">
          <reference field="6" count="1">
            <x v="1890"/>
          </reference>
        </references>
      </pivotArea>
    </format>
    <format dxfId="1001">
      <pivotArea collapsedLevelsAreSubtotals="1" fieldPosition="0">
        <references count="1">
          <reference field="6" count="1">
            <x v="1891"/>
          </reference>
        </references>
      </pivotArea>
    </format>
    <format dxfId="1000">
      <pivotArea collapsedLevelsAreSubtotals="1" fieldPosition="0">
        <references count="1">
          <reference field="6" count="1">
            <x v="1893"/>
          </reference>
        </references>
      </pivotArea>
    </format>
    <format dxfId="999">
      <pivotArea collapsedLevelsAreSubtotals="1" fieldPosition="0">
        <references count="1">
          <reference field="6" count="1">
            <x v="1896"/>
          </reference>
        </references>
      </pivotArea>
    </format>
    <format dxfId="998">
      <pivotArea collapsedLevelsAreSubtotals="1" fieldPosition="0">
        <references count="1">
          <reference field="6" count="1">
            <x v="1898"/>
          </reference>
        </references>
      </pivotArea>
    </format>
    <format dxfId="997">
      <pivotArea collapsedLevelsAreSubtotals="1" fieldPosition="0">
        <references count="1">
          <reference field="6" count="1">
            <x v="1907"/>
          </reference>
        </references>
      </pivotArea>
    </format>
    <format dxfId="996">
      <pivotArea collapsedLevelsAreSubtotals="1" fieldPosition="0">
        <references count="1">
          <reference field="6" count="1">
            <x v="1910"/>
          </reference>
        </references>
      </pivotArea>
    </format>
    <format dxfId="995">
      <pivotArea collapsedLevelsAreSubtotals="1" fieldPosition="0">
        <references count="1">
          <reference field="6" count="1">
            <x v="1915"/>
          </reference>
        </references>
      </pivotArea>
    </format>
    <format dxfId="994">
      <pivotArea collapsedLevelsAreSubtotals="1" fieldPosition="0">
        <references count="1">
          <reference field="6" count="1">
            <x v="1918"/>
          </reference>
        </references>
      </pivotArea>
    </format>
    <format dxfId="993">
      <pivotArea collapsedLevelsAreSubtotals="1" fieldPosition="0">
        <references count="1">
          <reference field="6" count="1">
            <x v="1924"/>
          </reference>
        </references>
      </pivotArea>
    </format>
    <format dxfId="992">
      <pivotArea collapsedLevelsAreSubtotals="1" fieldPosition="0">
        <references count="1">
          <reference field="6" count="1">
            <x v="1930"/>
          </reference>
        </references>
      </pivotArea>
    </format>
    <format dxfId="991">
      <pivotArea collapsedLevelsAreSubtotals="1" fieldPosition="0">
        <references count="1">
          <reference field="6" count="1">
            <x v="1933"/>
          </reference>
        </references>
      </pivotArea>
    </format>
    <format dxfId="990">
      <pivotArea collapsedLevelsAreSubtotals="1" fieldPosition="0">
        <references count="1">
          <reference field="6" count="1">
            <x v="1934"/>
          </reference>
        </references>
      </pivotArea>
    </format>
    <format dxfId="989">
      <pivotArea collapsedLevelsAreSubtotals="1" fieldPosition="0">
        <references count="1">
          <reference field="6" count="1">
            <x v="1939"/>
          </reference>
        </references>
      </pivotArea>
    </format>
    <format dxfId="988">
      <pivotArea collapsedLevelsAreSubtotals="1" fieldPosition="0">
        <references count="1">
          <reference field="6" count="1">
            <x v="1952"/>
          </reference>
        </references>
      </pivotArea>
    </format>
    <format dxfId="987">
      <pivotArea collapsedLevelsAreSubtotals="1" fieldPosition="0">
        <references count="1">
          <reference field="6" count="1">
            <x v="1957"/>
          </reference>
        </references>
      </pivotArea>
    </format>
    <format dxfId="986">
      <pivotArea collapsedLevelsAreSubtotals="1" fieldPosition="0">
        <references count="1">
          <reference field="6" count="1">
            <x v="1961"/>
          </reference>
        </references>
      </pivotArea>
    </format>
    <format dxfId="985">
      <pivotArea collapsedLevelsAreSubtotals="1" fieldPosition="0">
        <references count="1">
          <reference field="6" count="1">
            <x v="1969"/>
          </reference>
        </references>
      </pivotArea>
    </format>
    <format dxfId="984">
      <pivotArea collapsedLevelsAreSubtotals="1" fieldPosition="0">
        <references count="1">
          <reference field="6" count="1">
            <x v="1970"/>
          </reference>
        </references>
      </pivotArea>
    </format>
    <format dxfId="983">
      <pivotArea collapsedLevelsAreSubtotals="1" fieldPosition="0">
        <references count="1">
          <reference field="6" count="1">
            <x v="1971"/>
          </reference>
        </references>
      </pivotArea>
    </format>
    <format dxfId="982">
      <pivotArea collapsedLevelsAreSubtotals="1" fieldPosition="0">
        <references count="1">
          <reference field="6" count="1">
            <x v="1974"/>
          </reference>
        </references>
      </pivotArea>
    </format>
    <format dxfId="981">
      <pivotArea collapsedLevelsAreSubtotals="1" fieldPosition="0">
        <references count="1">
          <reference field="6" count="1">
            <x v="1982"/>
          </reference>
        </references>
      </pivotArea>
    </format>
    <format dxfId="980">
      <pivotArea collapsedLevelsAreSubtotals="1" fieldPosition="0">
        <references count="1">
          <reference field="6" count="1">
            <x v="1984"/>
          </reference>
        </references>
      </pivotArea>
    </format>
    <format dxfId="979">
      <pivotArea collapsedLevelsAreSubtotals="1" fieldPosition="0">
        <references count="1">
          <reference field="6" count="1">
            <x v="1997"/>
          </reference>
        </references>
      </pivotArea>
    </format>
    <format dxfId="978">
      <pivotArea collapsedLevelsAreSubtotals="1" fieldPosition="0">
        <references count="1">
          <reference field="6" count="1">
            <x v="1998"/>
          </reference>
        </references>
      </pivotArea>
    </format>
    <format dxfId="977">
      <pivotArea collapsedLevelsAreSubtotals="1" fieldPosition="0">
        <references count="1">
          <reference field="6" count="1">
            <x v="1999"/>
          </reference>
        </references>
      </pivotArea>
    </format>
    <format dxfId="976">
      <pivotArea collapsedLevelsAreSubtotals="1" fieldPosition="0">
        <references count="1">
          <reference field="6" count="1">
            <x v="2000"/>
          </reference>
        </references>
      </pivotArea>
    </format>
    <format dxfId="975">
      <pivotArea collapsedLevelsAreSubtotals="1" fieldPosition="0">
        <references count="1">
          <reference field="6" count="1">
            <x v="2005"/>
          </reference>
        </references>
      </pivotArea>
    </format>
    <format dxfId="974">
      <pivotArea collapsedLevelsAreSubtotals="1" fieldPosition="0">
        <references count="1">
          <reference field="6" count="1">
            <x v="2011"/>
          </reference>
        </references>
      </pivotArea>
    </format>
    <format dxfId="973">
      <pivotArea collapsedLevelsAreSubtotals="1" fieldPosition="0">
        <references count="1">
          <reference field="6" count="1">
            <x v="2017"/>
          </reference>
        </references>
      </pivotArea>
    </format>
    <format dxfId="972">
      <pivotArea collapsedLevelsAreSubtotals="1" fieldPosition="0">
        <references count="1">
          <reference field="6" count="1">
            <x v="2018"/>
          </reference>
        </references>
      </pivotArea>
    </format>
    <format dxfId="971">
      <pivotArea collapsedLevelsAreSubtotals="1" fieldPosition="0">
        <references count="1">
          <reference field="6" count="1">
            <x v="2029"/>
          </reference>
        </references>
      </pivotArea>
    </format>
    <format dxfId="970">
      <pivotArea collapsedLevelsAreSubtotals="1" fieldPosition="0">
        <references count="1">
          <reference field="6" count="1">
            <x v="2031"/>
          </reference>
        </references>
      </pivotArea>
    </format>
    <format dxfId="969">
      <pivotArea collapsedLevelsAreSubtotals="1" fieldPosition="0">
        <references count="1">
          <reference field="6" count="1">
            <x v="2032"/>
          </reference>
        </references>
      </pivotArea>
    </format>
    <format dxfId="968">
      <pivotArea collapsedLevelsAreSubtotals="1" fieldPosition="0">
        <references count="1">
          <reference field="6" count="1">
            <x v="2033"/>
          </reference>
        </references>
      </pivotArea>
    </format>
    <format dxfId="967">
      <pivotArea collapsedLevelsAreSubtotals="1" fieldPosition="0">
        <references count="1">
          <reference field="6" count="1">
            <x v="2041"/>
          </reference>
        </references>
      </pivotArea>
    </format>
    <format dxfId="966">
      <pivotArea collapsedLevelsAreSubtotals="1" fieldPosition="0">
        <references count="1">
          <reference field="6" count="1">
            <x v="2044"/>
          </reference>
        </references>
      </pivotArea>
    </format>
    <format dxfId="965">
      <pivotArea collapsedLevelsAreSubtotals="1" fieldPosition="0">
        <references count="1">
          <reference field="6" count="1">
            <x v="2047"/>
          </reference>
        </references>
      </pivotArea>
    </format>
    <format dxfId="964">
      <pivotArea collapsedLevelsAreSubtotals="1" fieldPosition="0">
        <references count="1">
          <reference field="6" count="1">
            <x v="2055"/>
          </reference>
        </references>
      </pivotArea>
    </format>
    <format dxfId="963">
      <pivotArea collapsedLevelsAreSubtotals="1" fieldPosition="0">
        <references count="1">
          <reference field="6" count="1">
            <x v="2067"/>
          </reference>
        </references>
      </pivotArea>
    </format>
    <format dxfId="962">
      <pivotArea collapsedLevelsAreSubtotals="1" fieldPosition="0">
        <references count="1">
          <reference field="6" count="1">
            <x v="2068"/>
          </reference>
        </references>
      </pivotArea>
    </format>
    <format dxfId="961">
      <pivotArea collapsedLevelsAreSubtotals="1" fieldPosition="0">
        <references count="1">
          <reference field="6" count="1">
            <x v="2084"/>
          </reference>
        </references>
      </pivotArea>
    </format>
    <format dxfId="960">
      <pivotArea collapsedLevelsAreSubtotals="1" fieldPosition="0">
        <references count="1">
          <reference field="6" count="1">
            <x v="2087"/>
          </reference>
        </references>
      </pivotArea>
    </format>
    <format dxfId="959">
      <pivotArea collapsedLevelsAreSubtotals="1" fieldPosition="0">
        <references count="1">
          <reference field="6" count="1">
            <x v="2095"/>
          </reference>
        </references>
      </pivotArea>
    </format>
    <format dxfId="958">
      <pivotArea collapsedLevelsAreSubtotals="1" fieldPosition="0">
        <references count="1">
          <reference field="6" count="1">
            <x v="2096"/>
          </reference>
        </references>
      </pivotArea>
    </format>
    <format dxfId="957">
      <pivotArea collapsedLevelsAreSubtotals="1" fieldPosition="0">
        <references count="1">
          <reference field="6" count="1">
            <x v="2097"/>
          </reference>
        </references>
      </pivotArea>
    </format>
    <format dxfId="956">
      <pivotArea collapsedLevelsAreSubtotals="1" fieldPosition="0">
        <references count="1">
          <reference field="6" count="1">
            <x v="2101"/>
          </reference>
        </references>
      </pivotArea>
    </format>
    <format dxfId="955">
      <pivotArea collapsedLevelsAreSubtotals="1" fieldPosition="0">
        <references count="1">
          <reference field="6" count="1">
            <x v="2102"/>
          </reference>
        </references>
      </pivotArea>
    </format>
    <format dxfId="954">
      <pivotArea collapsedLevelsAreSubtotals="1" fieldPosition="0">
        <references count="1">
          <reference field="6" count="1">
            <x v="2108"/>
          </reference>
        </references>
      </pivotArea>
    </format>
    <format dxfId="953">
      <pivotArea collapsedLevelsAreSubtotals="1" fieldPosition="0">
        <references count="1">
          <reference field="6" count="1">
            <x v="2110"/>
          </reference>
        </references>
      </pivotArea>
    </format>
    <format dxfId="952">
      <pivotArea collapsedLevelsAreSubtotals="1" fieldPosition="0">
        <references count="1">
          <reference field="6" count="1">
            <x v="2114"/>
          </reference>
        </references>
      </pivotArea>
    </format>
    <format dxfId="951">
      <pivotArea collapsedLevelsAreSubtotals="1" fieldPosition="0">
        <references count="1">
          <reference field="6" count="1">
            <x v="2117"/>
          </reference>
        </references>
      </pivotArea>
    </format>
    <format dxfId="950">
      <pivotArea collapsedLevelsAreSubtotals="1" fieldPosition="0">
        <references count="1">
          <reference field="6" count="1">
            <x v="2120"/>
          </reference>
        </references>
      </pivotArea>
    </format>
    <format dxfId="949">
      <pivotArea collapsedLevelsAreSubtotals="1" fieldPosition="0">
        <references count="1">
          <reference field="6" count="1">
            <x v="2123"/>
          </reference>
        </references>
      </pivotArea>
    </format>
    <format dxfId="948">
      <pivotArea collapsedLevelsAreSubtotals="1" fieldPosition="0">
        <references count="1">
          <reference field="6" count="1">
            <x v="2124"/>
          </reference>
        </references>
      </pivotArea>
    </format>
    <format dxfId="947">
      <pivotArea collapsedLevelsAreSubtotals="1" fieldPosition="0">
        <references count="1">
          <reference field="6" count="1">
            <x v="2154"/>
          </reference>
        </references>
      </pivotArea>
    </format>
    <format dxfId="946">
      <pivotArea collapsedLevelsAreSubtotals="1" fieldPosition="0">
        <references count="1">
          <reference field="6" count="1">
            <x v="2156"/>
          </reference>
        </references>
      </pivotArea>
    </format>
    <format dxfId="945">
      <pivotArea collapsedLevelsAreSubtotals="1" fieldPosition="0">
        <references count="1">
          <reference field="6" count="1">
            <x v="2168"/>
          </reference>
        </references>
      </pivotArea>
    </format>
    <format dxfId="944">
      <pivotArea collapsedLevelsAreSubtotals="1" fieldPosition="0">
        <references count="1">
          <reference field="6" count="1">
            <x v="2170"/>
          </reference>
        </references>
      </pivotArea>
    </format>
    <format dxfId="943">
      <pivotArea collapsedLevelsAreSubtotals="1" fieldPosition="0">
        <references count="1">
          <reference field="6" count="1">
            <x v="2178"/>
          </reference>
        </references>
      </pivotArea>
    </format>
    <format dxfId="942">
      <pivotArea collapsedLevelsAreSubtotals="1" fieldPosition="0">
        <references count="1">
          <reference field="6" count="1">
            <x v="2191"/>
          </reference>
        </references>
      </pivotArea>
    </format>
    <format dxfId="941">
      <pivotArea collapsedLevelsAreSubtotals="1" fieldPosition="0">
        <references count="1">
          <reference field="6" count="1">
            <x v="2193"/>
          </reference>
        </references>
      </pivotArea>
    </format>
    <format dxfId="940">
      <pivotArea collapsedLevelsAreSubtotals="1" fieldPosition="0">
        <references count="1">
          <reference field="6" count="1">
            <x v="2205"/>
          </reference>
        </references>
      </pivotArea>
    </format>
    <format dxfId="939">
      <pivotArea collapsedLevelsAreSubtotals="1" fieldPosition="0">
        <references count="1">
          <reference field="6" count="1">
            <x v="2209"/>
          </reference>
        </references>
      </pivotArea>
    </format>
    <format dxfId="938">
      <pivotArea collapsedLevelsAreSubtotals="1" fieldPosition="0">
        <references count="1">
          <reference field="6" count="1">
            <x v="2214"/>
          </reference>
        </references>
      </pivotArea>
    </format>
    <format dxfId="937">
      <pivotArea collapsedLevelsAreSubtotals="1" fieldPosition="0">
        <references count="1">
          <reference field="6" count="1">
            <x v="2216"/>
          </reference>
        </references>
      </pivotArea>
    </format>
    <format dxfId="936">
      <pivotArea dataOnly="0" labelOnly="1" fieldPosition="0">
        <references count="1">
          <reference field="6" count="50">
            <x v="32"/>
            <x v="45"/>
            <x v="54"/>
            <x v="57"/>
            <x v="61"/>
            <x v="74"/>
            <x v="78"/>
            <x v="80"/>
            <x v="83"/>
            <x v="85"/>
            <x v="94"/>
            <x v="102"/>
            <x v="108"/>
            <x v="111"/>
            <x v="117"/>
            <x v="120"/>
            <x v="126"/>
            <x v="127"/>
            <x v="137"/>
            <x v="138"/>
            <x v="140"/>
            <x v="148"/>
            <x v="151"/>
            <x v="156"/>
            <x v="167"/>
            <x v="171"/>
            <x v="182"/>
            <x v="183"/>
            <x v="188"/>
            <x v="194"/>
            <x v="214"/>
            <x v="225"/>
            <x v="226"/>
            <x v="232"/>
            <x v="233"/>
            <x v="234"/>
            <x v="236"/>
            <x v="243"/>
            <x v="252"/>
            <x v="255"/>
            <x v="263"/>
            <x v="270"/>
            <x v="271"/>
            <x v="277"/>
            <x v="289"/>
            <x v="291"/>
            <x v="295"/>
            <x v="303"/>
            <x v="305"/>
            <x v="308"/>
          </reference>
        </references>
      </pivotArea>
    </format>
    <format dxfId="935">
      <pivotArea dataOnly="0" labelOnly="1" fieldPosition="0">
        <references count="1">
          <reference field="6" count="50">
            <x v="311"/>
            <x v="317"/>
            <x v="321"/>
            <x v="324"/>
            <x v="326"/>
            <x v="327"/>
            <x v="330"/>
            <x v="332"/>
            <x v="334"/>
            <x v="337"/>
            <x v="339"/>
            <x v="350"/>
            <x v="353"/>
            <x v="357"/>
            <x v="359"/>
            <x v="364"/>
            <x v="372"/>
            <x v="376"/>
            <x v="381"/>
            <x v="383"/>
            <x v="386"/>
            <x v="398"/>
            <x v="408"/>
            <x v="409"/>
            <x v="418"/>
            <x v="421"/>
            <x v="428"/>
            <x v="432"/>
            <x v="440"/>
            <x v="447"/>
            <x v="448"/>
            <x v="455"/>
            <x v="461"/>
            <x v="468"/>
            <x v="471"/>
            <x v="473"/>
            <x v="478"/>
            <x v="481"/>
            <x v="482"/>
            <x v="484"/>
            <x v="503"/>
            <x v="507"/>
            <x v="532"/>
            <x v="533"/>
            <x v="536"/>
            <x v="539"/>
            <x v="540"/>
            <x v="547"/>
            <x v="549"/>
            <x v="577"/>
          </reference>
        </references>
      </pivotArea>
    </format>
    <format dxfId="934">
      <pivotArea dataOnly="0" labelOnly="1" fieldPosition="0">
        <references count="1">
          <reference field="6" count="50">
            <x v="586"/>
            <x v="591"/>
            <x v="596"/>
            <x v="601"/>
            <x v="607"/>
            <x v="608"/>
            <x v="611"/>
            <x v="612"/>
            <x v="616"/>
            <x v="621"/>
            <x v="622"/>
            <x v="623"/>
            <x v="628"/>
            <x v="629"/>
            <x v="634"/>
            <x v="637"/>
            <x v="644"/>
            <x v="647"/>
            <x v="654"/>
            <x v="681"/>
            <x v="684"/>
            <x v="691"/>
            <x v="699"/>
            <x v="700"/>
            <x v="705"/>
            <x v="706"/>
            <x v="709"/>
            <x v="715"/>
            <x v="727"/>
            <x v="734"/>
            <x v="738"/>
            <x v="758"/>
            <x v="776"/>
            <x v="794"/>
            <x v="796"/>
            <x v="800"/>
            <x v="804"/>
            <x v="805"/>
            <x v="811"/>
            <x v="834"/>
            <x v="835"/>
            <x v="836"/>
            <x v="837"/>
            <x v="840"/>
            <x v="846"/>
            <x v="862"/>
            <x v="865"/>
            <x v="867"/>
            <x v="872"/>
            <x v="875"/>
          </reference>
        </references>
      </pivotArea>
    </format>
    <format dxfId="933">
      <pivotArea dataOnly="0" labelOnly="1" fieldPosition="0">
        <references count="1">
          <reference field="6" count="50">
            <x v="878"/>
            <x v="880"/>
            <x v="882"/>
            <x v="886"/>
            <x v="888"/>
            <x v="901"/>
            <x v="919"/>
            <x v="921"/>
            <x v="922"/>
            <x v="923"/>
            <x v="924"/>
            <x v="927"/>
            <x v="928"/>
            <x v="942"/>
            <x v="943"/>
            <x v="947"/>
            <x v="963"/>
            <x v="964"/>
            <x v="969"/>
            <x v="974"/>
            <x v="975"/>
            <x v="976"/>
            <x v="978"/>
            <x v="980"/>
            <x v="988"/>
            <x v="991"/>
            <x v="993"/>
            <x v="1000"/>
            <x v="1001"/>
            <x v="1004"/>
            <x v="1007"/>
            <x v="1009"/>
            <x v="1010"/>
            <x v="1020"/>
            <x v="1024"/>
            <x v="1028"/>
            <x v="1035"/>
            <x v="1043"/>
            <x v="1050"/>
            <x v="1057"/>
            <x v="1061"/>
            <x v="1069"/>
            <x v="1081"/>
            <x v="1083"/>
            <x v="1088"/>
            <x v="1090"/>
            <x v="1104"/>
            <x v="1105"/>
            <x v="1106"/>
            <x v="1107"/>
          </reference>
        </references>
      </pivotArea>
    </format>
    <format dxfId="932">
      <pivotArea dataOnly="0" labelOnly="1" fieldPosition="0">
        <references count="1">
          <reference field="6" count="50">
            <x v="1109"/>
            <x v="1113"/>
            <x v="1127"/>
            <x v="1137"/>
            <x v="1139"/>
            <x v="1145"/>
            <x v="1158"/>
            <x v="1162"/>
            <x v="1168"/>
            <x v="1172"/>
            <x v="1173"/>
            <x v="1174"/>
            <x v="1177"/>
            <x v="1178"/>
            <x v="1179"/>
            <x v="1180"/>
            <x v="1186"/>
            <x v="1187"/>
            <x v="1188"/>
            <x v="1199"/>
            <x v="1200"/>
            <x v="1201"/>
            <x v="1202"/>
            <x v="1204"/>
            <x v="1205"/>
            <x v="1214"/>
            <x v="1216"/>
            <x v="1221"/>
            <x v="1231"/>
            <x v="1232"/>
            <x v="1256"/>
            <x v="1263"/>
            <x v="1277"/>
            <x v="1278"/>
            <x v="1279"/>
            <x v="1282"/>
            <x v="1290"/>
            <x v="1296"/>
            <x v="1300"/>
            <x v="1305"/>
            <x v="1313"/>
            <x v="1318"/>
            <x v="1321"/>
            <x v="1322"/>
            <x v="1325"/>
            <x v="1329"/>
            <x v="1331"/>
            <x v="1333"/>
            <x v="1342"/>
            <x v="1345"/>
          </reference>
        </references>
      </pivotArea>
    </format>
    <format dxfId="931">
      <pivotArea dataOnly="0" labelOnly="1" fieldPosition="0">
        <references count="1">
          <reference field="6" count="50">
            <x v="1364"/>
            <x v="1367"/>
            <x v="1373"/>
            <x v="1378"/>
            <x v="1380"/>
            <x v="1387"/>
            <x v="1390"/>
            <x v="1392"/>
            <x v="1402"/>
            <x v="1413"/>
            <x v="1419"/>
            <x v="1423"/>
            <x v="1446"/>
            <x v="1453"/>
            <x v="1460"/>
            <x v="1462"/>
            <x v="1466"/>
            <x v="1467"/>
            <x v="1475"/>
            <x v="1481"/>
            <x v="1485"/>
            <x v="1488"/>
            <x v="1489"/>
            <x v="1490"/>
            <x v="1505"/>
            <x v="1512"/>
            <x v="1516"/>
            <x v="1518"/>
            <x v="1520"/>
            <x v="1524"/>
            <x v="1529"/>
            <x v="1546"/>
            <x v="1551"/>
            <x v="1554"/>
            <x v="1562"/>
            <x v="1570"/>
            <x v="1579"/>
            <x v="1581"/>
            <x v="1588"/>
            <x v="1590"/>
            <x v="1602"/>
            <x v="1604"/>
            <x v="1615"/>
            <x v="1617"/>
            <x v="1620"/>
            <x v="1628"/>
            <x v="1630"/>
            <x v="1632"/>
            <x v="1635"/>
            <x v="1644"/>
          </reference>
        </references>
      </pivotArea>
    </format>
    <format dxfId="930">
      <pivotArea dataOnly="0" labelOnly="1" fieldPosition="0">
        <references count="1">
          <reference field="6" count="50">
            <x v="1646"/>
            <x v="1648"/>
            <x v="1663"/>
            <x v="1674"/>
            <x v="1685"/>
            <x v="1686"/>
            <x v="1694"/>
            <x v="1700"/>
            <x v="1701"/>
            <x v="1717"/>
            <x v="1720"/>
            <x v="1721"/>
            <x v="1730"/>
            <x v="1732"/>
            <x v="1738"/>
            <x v="1741"/>
            <x v="1755"/>
            <x v="1761"/>
            <x v="1763"/>
            <x v="1769"/>
            <x v="1774"/>
            <x v="1775"/>
            <x v="1784"/>
            <x v="1786"/>
            <x v="1799"/>
            <x v="1804"/>
            <x v="1808"/>
            <x v="1820"/>
            <x v="1822"/>
            <x v="1825"/>
            <x v="1826"/>
            <x v="1829"/>
            <x v="1830"/>
            <x v="1839"/>
            <x v="1843"/>
            <x v="1856"/>
            <x v="1863"/>
            <x v="1869"/>
            <x v="1872"/>
            <x v="1877"/>
            <x v="1890"/>
            <x v="1891"/>
            <x v="1893"/>
            <x v="1896"/>
            <x v="1898"/>
            <x v="1907"/>
            <x v="1910"/>
            <x v="1915"/>
            <x v="1918"/>
            <x v="1924"/>
          </reference>
        </references>
      </pivotArea>
    </format>
    <format dxfId="929">
      <pivotArea dataOnly="0" labelOnly="1" fieldPosition="0">
        <references count="1">
          <reference field="6" count="50">
            <x v="1930"/>
            <x v="1933"/>
            <x v="1934"/>
            <x v="1939"/>
            <x v="1952"/>
            <x v="1957"/>
            <x v="1961"/>
            <x v="1969"/>
            <x v="1970"/>
            <x v="1971"/>
            <x v="1974"/>
            <x v="1982"/>
            <x v="1984"/>
            <x v="1997"/>
            <x v="1998"/>
            <x v="1999"/>
            <x v="2000"/>
            <x v="2005"/>
            <x v="2011"/>
            <x v="2017"/>
            <x v="2018"/>
            <x v="2029"/>
            <x v="2031"/>
            <x v="2032"/>
            <x v="2033"/>
            <x v="2041"/>
            <x v="2044"/>
            <x v="2047"/>
            <x v="2055"/>
            <x v="2067"/>
            <x v="2068"/>
            <x v="2084"/>
            <x v="2087"/>
            <x v="2095"/>
            <x v="2096"/>
            <x v="2097"/>
            <x v="2101"/>
            <x v="2102"/>
            <x v="2108"/>
            <x v="2110"/>
            <x v="2114"/>
            <x v="2117"/>
            <x v="2120"/>
            <x v="2123"/>
            <x v="2124"/>
            <x v="2154"/>
            <x v="2156"/>
            <x v="2168"/>
            <x v="2170"/>
            <x v="2178"/>
          </reference>
        </references>
      </pivotArea>
    </format>
    <format dxfId="928">
      <pivotArea dataOnly="0" labelOnly="1" fieldPosition="0">
        <references count="1">
          <reference field="6" count="6">
            <x v="2191"/>
            <x v="2193"/>
            <x v="2205"/>
            <x v="2209"/>
            <x v="2214"/>
            <x v="2216"/>
          </reference>
        </references>
      </pivotArea>
    </format>
    <format dxfId="927">
      <pivotArea collapsedLevelsAreSubtotals="1" fieldPosition="0">
        <references count="1">
          <reference field="6" count="1">
            <x v="32"/>
          </reference>
        </references>
      </pivotArea>
    </format>
    <format dxfId="926">
      <pivotArea collapsedLevelsAreSubtotals="1" fieldPosition="0">
        <references count="1">
          <reference field="6" count="1">
            <x v="45"/>
          </reference>
        </references>
      </pivotArea>
    </format>
    <format dxfId="925">
      <pivotArea collapsedLevelsAreSubtotals="1" fieldPosition="0">
        <references count="1">
          <reference field="6" count="1">
            <x v="54"/>
          </reference>
        </references>
      </pivotArea>
    </format>
    <format dxfId="924">
      <pivotArea collapsedLevelsAreSubtotals="1" fieldPosition="0">
        <references count="1">
          <reference field="6" count="1">
            <x v="57"/>
          </reference>
        </references>
      </pivotArea>
    </format>
    <format dxfId="923">
      <pivotArea collapsedLevelsAreSubtotals="1" fieldPosition="0">
        <references count="1">
          <reference field="6" count="1">
            <x v="61"/>
          </reference>
        </references>
      </pivotArea>
    </format>
    <format dxfId="922">
      <pivotArea collapsedLevelsAreSubtotals="1" fieldPosition="0">
        <references count="1">
          <reference field="6" count="1">
            <x v="74"/>
          </reference>
        </references>
      </pivotArea>
    </format>
    <format dxfId="921">
      <pivotArea collapsedLevelsAreSubtotals="1" fieldPosition="0">
        <references count="1">
          <reference field="6" count="1">
            <x v="78"/>
          </reference>
        </references>
      </pivotArea>
    </format>
    <format dxfId="920">
      <pivotArea collapsedLevelsAreSubtotals="1" fieldPosition="0">
        <references count="1">
          <reference field="6" count="1">
            <x v="80"/>
          </reference>
        </references>
      </pivotArea>
    </format>
    <format dxfId="919">
      <pivotArea collapsedLevelsAreSubtotals="1" fieldPosition="0">
        <references count="1">
          <reference field="6" count="1">
            <x v="83"/>
          </reference>
        </references>
      </pivotArea>
    </format>
    <format dxfId="918">
      <pivotArea collapsedLevelsAreSubtotals="1" fieldPosition="0">
        <references count="1">
          <reference field="6" count="1">
            <x v="85"/>
          </reference>
        </references>
      </pivotArea>
    </format>
    <format dxfId="917">
      <pivotArea collapsedLevelsAreSubtotals="1" fieldPosition="0">
        <references count="1">
          <reference field="6" count="1">
            <x v="94"/>
          </reference>
        </references>
      </pivotArea>
    </format>
    <format dxfId="916">
      <pivotArea collapsedLevelsAreSubtotals="1" fieldPosition="0">
        <references count="1">
          <reference field="6" count="1">
            <x v="102"/>
          </reference>
        </references>
      </pivotArea>
    </format>
    <format dxfId="915">
      <pivotArea collapsedLevelsAreSubtotals="1" fieldPosition="0">
        <references count="1">
          <reference field="6" count="1">
            <x v="108"/>
          </reference>
        </references>
      </pivotArea>
    </format>
    <format dxfId="914">
      <pivotArea collapsedLevelsAreSubtotals="1" fieldPosition="0">
        <references count="1">
          <reference field="6" count="1">
            <x v="111"/>
          </reference>
        </references>
      </pivotArea>
    </format>
    <format dxfId="913">
      <pivotArea collapsedLevelsAreSubtotals="1" fieldPosition="0">
        <references count="1">
          <reference field="6" count="1">
            <x v="117"/>
          </reference>
        </references>
      </pivotArea>
    </format>
    <format dxfId="912">
      <pivotArea collapsedLevelsAreSubtotals="1" fieldPosition="0">
        <references count="1">
          <reference field="6" count="1">
            <x v="120"/>
          </reference>
        </references>
      </pivotArea>
    </format>
    <format dxfId="911">
      <pivotArea collapsedLevelsAreSubtotals="1" fieldPosition="0">
        <references count="1">
          <reference field="6" count="1">
            <x v="126"/>
          </reference>
        </references>
      </pivotArea>
    </format>
    <format dxfId="910">
      <pivotArea collapsedLevelsAreSubtotals="1" fieldPosition="0">
        <references count="1">
          <reference field="6" count="1">
            <x v="127"/>
          </reference>
        </references>
      </pivotArea>
    </format>
    <format dxfId="909">
      <pivotArea collapsedLevelsAreSubtotals="1" fieldPosition="0">
        <references count="1">
          <reference field="6" count="1">
            <x v="137"/>
          </reference>
        </references>
      </pivotArea>
    </format>
    <format dxfId="908">
      <pivotArea collapsedLevelsAreSubtotals="1" fieldPosition="0">
        <references count="1">
          <reference field="6" count="1">
            <x v="138"/>
          </reference>
        </references>
      </pivotArea>
    </format>
    <format dxfId="907">
      <pivotArea collapsedLevelsAreSubtotals="1" fieldPosition="0">
        <references count="1">
          <reference field="6" count="1">
            <x v="140"/>
          </reference>
        </references>
      </pivotArea>
    </format>
    <format dxfId="906">
      <pivotArea collapsedLevelsAreSubtotals="1" fieldPosition="0">
        <references count="1">
          <reference field="6" count="1">
            <x v="148"/>
          </reference>
        </references>
      </pivotArea>
    </format>
    <format dxfId="905">
      <pivotArea collapsedLevelsAreSubtotals="1" fieldPosition="0">
        <references count="1">
          <reference field="6" count="1">
            <x v="151"/>
          </reference>
        </references>
      </pivotArea>
    </format>
    <format dxfId="904">
      <pivotArea collapsedLevelsAreSubtotals="1" fieldPosition="0">
        <references count="1">
          <reference field="6" count="1">
            <x v="156"/>
          </reference>
        </references>
      </pivotArea>
    </format>
    <format dxfId="903">
      <pivotArea collapsedLevelsAreSubtotals="1" fieldPosition="0">
        <references count="1">
          <reference field="6" count="1">
            <x v="167"/>
          </reference>
        </references>
      </pivotArea>
    </format>
    <format dxfId="902">
      <pivotArea collapsedLevelsAreSubtotals="1" fieldPosition="0">
        <references count="1">
          <reference field="6" count="1">
            <x v="171"/>
          </reference>
        </references>
      </pivotArea>
    </format>
    <format dxfId="901">
      <pivotArea collapsedLevelsAreSubtotals="1" fieldPosition="0">
        <references count="1">
          <reference field="6" count="1">
            <x v="182"/>
          </reference>
        </references>
      </pivotArea>
    </format>
    <format dxfId="900">
      <pivotArea collapsedLevelsAreSubtotals="1" fieldPosition="0">
        <references count="1">
          <reference field="6" count="1">
            <x v="183"/>
          </reference>
        </references>
      </pivotArea>
    </format>
    <format dxfId="899">
      <pivotArea collapsedLevelsAreSubtotals="1" fieldPosition="0">
        <references count="1">
          <reference field="6" count="1">
            <x v="188"/>
          </reference>
        </references>
      </pivotArea>
    </format>
    <format dxfId="898">
      <pivotArea collapsedLevelsAreSubtotals="1" fieldPosition="0">
        <references count="1">
          <reference field="6" count="1">
            <x v="194"/>
          </reference>
        </references>
      </pivotArea>
    </format>
    <format dxfId="897">
      <pivotArea collapsedLevelsAreSubtotals="1" fieldPosition="0">
        <references count="1">
          <reference field="6" count="1">
            <x v="214"/>
          </reference>
        </references>
      </pivotArea>
    </format>
    <format dxfId="896">
      <pivotArea collapsedLevelsAreSubtotals="1" fieldPosition="0">
        <references count="1">
          <reference field="6" count="1">
            <x v="225"/>
          </reference>
        </references>
      </pivotArea>
    </format>
    <format dxfId="895">
      <pivotArea collapsedLevelsAreSubtotals="1" fieldPosition="0">
        <references count="1">
          <reference field="6" count="1">
            <x v="226"/>
          </reference>
        </references>
      </pivotArea>
    </format>
    <format dxfId="894">
      <pivotArea collapsedLevelsAreSubtotals="1" fieldPosition="0">
        <references count="1">
          <reference field="6" count="1">
            <x v="232"/>
          </reference>
        </references>
      </pivotArea>
    </format>
    <format dxfId="893">
      <pivotArea collapsedLevelsAreSubtotals="1" fieldPosition="0">
        <references count="1">
          <reference field="6" count="1">
            <x v="233"/>
          </reference>
        </references>
      </pivotArea>
    </format>
    <format dxfId="892">
      <pivotArea collapsedLevelsAreSubtotals="1" fieldPosition="0">
        <references count="1">
          <reference field="6" count="1">
            <x v="234"/>
          </reference>
        </references>
      </pivotArea>
    </format>
    <format dxfId="891">
      <pivotArea collapsedLevelsAreSubtotals="1" fieldPosition="0">
        <references count="1">
          <reference field="6" count="1">
            <x v="236"/>
          </reference>
        </references>
      </pivotArea>
    </format>
    <format dxfId="890">
      <pivotArea collapsedLevelsAreSubtotals="1" fieldPosition="0">
        <references count="1">
          <reference field="6" count="1">
            <x v="243"/>
          </reference>
        </references>
      </pivotArea>
    </format>
    <format dxfId="889">
      <pivotArea collapsedLevelsAreSubtotals="1" fieldPosition="0">
        <references count="1">
          <reference field="6" count="1">
            <x v="252"/>
          </reference>
        </references>
      </pivotArea>
    </format>
    <format dxfId="888">
      <pivotArea collapsedLevelsAreSubtotals="1" fieldPosition="0">
        <references count="1">
          <reference field="6" count="1">
            <x v="255"/>
          </reference>
        </references>
      </pivotArea>
    </format>
    <format dxfId="887">
      <pivotArea collapsedLevelsAreSubtotals="1" fieldPosition="0">
        <references count="1">
          <reference field="6" count="1">
            <x v="263"/>
          </reference>
        </references>
      </pivotArea>
    </format>
    <format dxfId="886">
      <pivotArea collapsedLevelsAreSubtotals="1" fieldPosition="0">
        <references count="1">
          <reference field="6" count="1">
            <x v="270"/>
          </reference>
        </references>
      </pivotArea>
    </format>
    <format dxfId="885">
      <pivotArea collapsedLevelsAreSubtotals="1" fieldPosition="0">
        <references count="1">
          <reference field="6" count="1">
            <x v="271"/>
          </reference>
        </references>
      </pivotArea>
    </format>
    <format dxfId="884">
      <pivotArea collapsedLevelsAreSubtotals="1" fieldPosition="0">
        <references count="1">
          <reference field="6" count="1">
            <x v="277"/>
          </reference>
        </references>
      </pivotArea>
    </format>
    <format dxfId="883">
      <pivotArea collapsedLevelsAreSubtotals="1" fieldPosition="0">
        <references count="1">
          <reference field="6" count="1">
            <x v="289"/>
          </reference>
        </references>
      </pivotArea>
    </format>
    <format dxfId="882">
      <pivotArea collapsedLevelsAreSubtotals="1" fieldPosition="0">
        <references count="1">
          <reference field="6" count="1">
            <x v="291"/>
          </reference>
        </references>
      </pivotArea>
    </format>
    <format dxfId="881">
      <pivotArea collapsedLevelsAreSubtotals="1" fieldPosition="0">
        <references count="1">
          <reference field="6" count="1">
            <x v="295"/>
          </reference>
        </references>
      </pivotArea>
    </format>
    <format dxfId="880">
      <pivotArea collapsedLevelsAreSubtotals="1" fieldPosition="0">
        <references count="1">
          <reference field="6" count="1">
            <x v="303"/>
          </reference>
        </references>
      </pivotArea>
    </format>
    <format dxfId="879">
      <pivotArea collapsedLevelsAreSubtotals="1" fieldPosition="0">
        <references count="1">
          <reference field="6" count="1">
            <x v="305"/>
          </reference>
        </references>
      </pivotArea>
    </format>
    <format dxfId="878">
      <pivotArea collapsedLevelsAreSubtotals="1" fieldPosition="0">
        <references count="1">
          <reference field="6" count="1">
            <x v="308"/>
          </reference>
        </references>
      </pivotArea>
    </format>
    <format dxfId="877">
      <pivotArea collapsedLevelsAreSubtotals="1" fieldPosition="0">
        <references count="1">
          <reference field="6" count="1">
            <x v="311"/>
          </reference>
        </references>
      </pivotArea>
    </format>
    <format dxfId="876">
      <pivotArea collapsedLevelsAreSubtotals="1" fieldPosition="0">
        <references count="1">
          <reference field="6" count="1">
            <x v="317"/>
          </reference>
        </references>
      </pivotArea>
    </format>
    <format dxfId="875">
      <pivotArea collapsedLevelsAreSubtotals="1" fieldPosition="0">
        <references count="1">
          <reference field="6" count="1">
            <x v="321"/>
          </reference>
        </references>
      </pivotArea>
    </format>
    <format dxfId="874">
      <pivotArea collapsedLevelsAreSubtotals="1" fieldPosition="0">
        <references count="1">
          <reference field="6" count="1">
            <x v="324"/>
          </reference>
        </references>
      </pivotArea>
    </format>
    <format dxfId="873">
      <pivotArea collapsedLevelsAreSubtotals="1" fieldPosition="0">
        <references count="1">
          <reference field="6" count="1">
            <x v="326"/>
          </reference>
        </references>
      </pivotArea>
    </format>
    <format dxfId="872">
      <pivotArea collapsedLevelsAreSubtotals="1" fieldPosition="0">
        <references count="1">
          <reference field="6" count="1">
            <x v="327"/>
          </reference>
        </references>
      </pivotArea>
    </format>
    <format dxfId="871">
      <pivotArea collapsedLevelsAreSubtotals="1" fieldPosition="0">
        <references count="1">
          <reference field="6" count="1">
            <x v="330"/>
          </reference>
        </references>
      </pivotArea>
    </format>
    <format dxfId="870">
      <pivotArea collapsedLevelsAreSubtotals="1" fieldPosition="0">
        <references count="1">
          <reference field="6" count="1">
            <x v="332"/>
          </reference>
        </references>
      </pivotArea>
    </format>
    <format dxfId="869">
      <pivotArea collapsedLevelsAreSubtotals="1" fieldPosition="0">
        <references count="1">
          <reference field="6" count="1">
            <x v="334"/>
          </reference>
        </references>
      </pivotArea>
    </format>
    <format dxfId="868">
      <pivotArea collapsedLevelsAreSubtotals="1" fieldPosition="0">
        <references count="1">
          <reference field="6" count="1">
            <x v="337"/>
          </reference>
        </references>
      </pivotArea>
    </format>
    <format dxfId="867">
      <pivotArea collapsedLevelsAreSubtotals="1" fieldPosition="0">
        <references count="1">
          <reference field="6" count="1">
            <x v="339"/>
          </reference>
        </references>
      </pivotArea>
    </format>
    <format dxfId="866">
      <pivotArea collapsedLevelsAreSubtotals="1" fieldPosition="0">
        <references count="1">
          <reference field="6" count="1">
            <x v="350"/>
          </reference>
        </references>
      </pivotArea>
    </format>
    <format dxfId="865">
      <pivotArea collapsedLevelsAreSubtotals="1" fieldPosition="0">
        <references count="1">
          <reference field="6" count="1">
            <x v="353"/>
          </reference>
        </references>
      </pivotArea>
    </format>
    <format dxfId="864">
      <pivotArea collapsedLevelsAreSubtotals="1" fieldPosition="0">
        <references count="1">
          <reference field="6" count="1">
            <x v="357"/>
          </reference>
        </references>
      </pivotArea>
    </format>
    <format dxfId="863">
      <pivotArea collapsedLevelsAreSubtotals="1" fieldPosition="0">
        <references count="1">
          <reference field="6" count="1">
            <x v="359"/>
          </reference>
        </references>
      </pivotArea>
    </format>
    <format dxfId="862">
      <pivotArea collapsedLevelsAreSubtotals="1" fieldPosition="0">
        <references count="1">
          <reference field="6" count="1">
            <x v="364"/>
          </reference>
        </references>
      </pivotArea>
    </format>
    <format dxfId="861">
      <pivotArea collapsedLevelsAreSubtotals="1" fieldPosition="0">
        <references count="1">
          <reference field="6" count="1">
            <x v="372"/>
          </reference>
        </references>
      </pivotArea>
    </format>
    <format dxfId="860">
      <pivotArea collapsedLevelsAreSubtotals="1" fieldPosition="0">
        <references count="1">
          <reference field="6" count="1">
            <x v="376"/>
          </reference>
        </references>
      </pivotArea>
    </format>
    <format dxfId="859">
      <pivotArea collapsedLevelsAreSubtotals="1" fieldPosition="0">
        <references count="1">
          <reference field="6" count="1">
            <x v="381"/>
          </reference>
        </references>
      </pivotArea>
    </format>
    <format dxfId="858">
      <pivotArea collapsedLevelsAreSubtotals="1" fieldPosition="0">
        <references count="1">
          <reference field="6" count="1">
            <x v="383"/>
          </reference>
        </references>
      </pivotArea>
    </format>
    <format dxfId="857">
      <pivotArea collapsedLevelsAreSubtotals="1" fieldPosition="0">
        <references count="1">
          <reference field="6" count="1">
            <x v="386"/>
          </reference>
        </references>
      </pivotArea>
    </format>
    <format dxfId="856">
      <pivotArea collapsedLevelsAreSubtotals="1" fieldPosition="0">
        <references count="1">
          <reference field="6" count="1">
            <x v="398"/>
          </reference>
        </references>
      </pivotArea>
    </format>
    <format dxfId="855">
      <pivotArea collapsedLevelsAreSubtotals="1" fieldPosition="0">
        <references count="1">
          <reference field="6" count="1">
            <x v="408"/>
          </reference>
        </references>
      </pivotArea>
    </format>
    <format dxfId="854">
      <pivotArea collapsedLevelsAreSubtotals="1" fieldPosition="0">
        <references count="1">
          <reference field="6" count="1">
            <x v="409"/>
          </reference>
        </references>
      </pivotArea>
    </format>
    <format dxfId="853">
      <pivotArea collapsedLevelsAreSubtotals="1" fieldPosition="0">
        <references count="1">
          <reference field="6" count="1">
            <x v="418"/>
          </reference>
        </references>
      </pivotArea>
    </format>
    <format dxfId="852">
      <pivotArea collapsedLevelsAreSubtotals="1" fieldPosition="0">
        <references count="1">
          <reference field="6" count="1">
            <x v="421"/>
          </reference>
        </references>
      </pivotArea>
    </format>
    <format dxfId="851">
      <pivotArea collapsedLevelsAreSubtotals="1" fieldPosition="0">
        <references count="1">
          <reference field="6" count="1">
            <x v="428"/>
          </reference>
        </references>
      </pivotArea>
    </format>
    <format dxfId="850">
      <pivotArea collapsedLevelsAreSubtotals="1" fieldPosition="0">
        <references count="1">
          <reference field="6" count="1">
            <x v="432"/>
          </reference>
        </references>
      </pivotArea>
    </format>
    <format dxfId="849">
      <pivotArea collapsedLevelsAreSubtotals="1" fieldPosition="0">
        <references count="1">
          <reference field="6" count="1">
            <x v="440"/>
          </reference>
        </references>
      </pivotArea>
    </format>
    <format dxfId="848">
      <pivotArea collapsedLevelsAreSubtotals="1" fieldPosition="0">
        <references count="1">
          <reference field="6" count="1">
            <x v="447"/>
          </reference>
        </references>
      </pivotArea>
    </format>
    <format dxfId="847">
      <pivotArea collapsedLevelsAreSubtotals="1" fieldPosition="0">
        <references count="1">
          <reference field="6" count="1">
            <x v="448"/>
          </reference>
        </references>
      </pivotArea>
    </format>
    <format dxfId="846">
      <pivotArea collapsedLevelsAreSubtotals="1" fieldPosition="0">
        <references count="1">
          <reference field="6" count="1">
            <x v="455"/>
          </reference>
        </references>
      </pivotArea>
    </format>
    <format dxfId="845">
      <pivotArea collapsedLevelsAreSubtotals="1" fieldPosition="0">
        <references count="1">
          <reference field="6" count="1">
            <x v="461"/>
          </reference>
        </references>
      </pivotArea>
    </format>
    <format dxfId="844">
      <pivotArea collapsedLevelsAreSubtotals="1" fieldPosition="0">
        <references count="1">
          <reference field="6" count="1">
            <x v="468"/>
          </reference>
        </references>
      </pivotArea>
    </format>
    <format dxfId="843">
      <pivotArea collapsedLevelsAreSubtotals="1" fieldPosition="0">
        <references count="1">
          <reference field="6" count="1">
            <x v="471"/>
          </reference>
        </references>
      </pivotArea>
    </format>
    <format dxfId="842">
      <pivotArea collapsedLevelsAreSubtotals="1" fieldPosition="0">
        <references count="1">
          <reference field="6" count="1">
            <x v="473"/>
          </reference>
        </references>
      </pivotArea>
    </format>
    <format dxfId="841">
      <pivotArea collapsedLevelsAreSubtotals="1" fieldPosition="0">
        <references count="1">
          <reference field="6" count="1">
            <x v="478"/>
          </reference>
        </references>
      </pivotArea>
    </format>
    <format dxfId="840">
      <pivotArea collapsedLevelsAreSubtotals="1" fieldPosition="0">
        <references count="1">
          <reference field="6" count="1">
            <x v="481"/>
          </reference>
        </references>
      </pivotArea>
    </format>
    <format dxfId="839">
      <pivotArea collapsedLevelsAreSubtotals="1" fieldPosition="0">
        <references count="1">
          <reference field="6" count="1">
            <x v="482"/>
          </reference>
        </references>
      </pivotArea>
    </format>
    <format dxfId="838">
      <pivotArea collapsedLevelsAreSubtotals="1" fieldPosition="0">
        <references count="1">
          <reference field="6" count="1">
            <x v="484"/>
          </reference>
        </references>
      </pivotArea>
    </format>
    <format dxfId="837">
      <pivotArea collapsedLevelsAreSubtotals="1" fieldPosition="0">
        <references count="1">
          <reference field="6" count="1">
            <x v="503"/>
          </reference>
        </references>
      </pivotArea>
    </format>
    <format dxfId="836">
      <pivotArea collapsedLevelsAreSubtotals="1" fieldPosition="0">
        <references count="1">
          <reference field="6" count="1">
            <x v="507"/>
          </reference>
        </references>
      </pivotArea>
    </format>
    <format dxfId="835">
      <pivotArea collapsedLevelsAreSubtotals="1" fieldPosition="0">
        <references count="1">
          <reference field="6" count="1">
            <x v="532"/>
          </reference>
        </references>
      </pivotArea>
    </format>
    <format dxfId="834">
      <pivotArea collapsedLevelsAreSubtotals="1" fieldPosition="0">
        <references count="1">
          <reference field="6" count="1">
            <x v="533"/>
          </reference>
        </references>
      </pivotArea>
    </format>
    <format dxfId="833">
      <pivotArea collapsedLevelsAreSubtotals="1" fieldPosition="0">
        <references count="1">
          <reference field="6" count="1">
            <x v="536"/>
          </reference>
        </references>
      </pivotArea>
    </format>
    <format dxfId="832">
      <pivotArea collapsedLevelsAreSubtotals="1" fieldPosition="0">
        <references count="1">
          <reference field="6" count="1">
            <x v="539"/>
          </reference>
        </references>
      </pivotArea>
    </format>
    <format dxfId="831">
      <pivotArea collapsedLevelsAreSubtotals="1" fieldPosition="0">
        <references count="1">
          <reference field="6" count="1">
            <x v="540"/>
          </reference>
        </references>
      </pivotArea>
    </format>
    <format dxfId="830">
      <pivotArea collapsedLevelsAreSubtotals="1" fieldPosition="0">
        <references count="1">
          <reference field="6" count="1">
            <x v="547"/>
          </reference>
        </references>
      </pivotArea>
    </format>
    <format dxfId="829">
      <pivotArea collapsedLevelsAreSubtotals="1" fieldPosition="0">
        <references count="1">
          <reference field="6" count="1">
            <x v="549"/>
          </reference>
        </references>
      </pivotArea>
    </format>
    <format dxfId="828">
      <pivotArea collapsedLevelsAreSubtotals="1" fieldPosition="0">
        <references count="1">
          <reference field="6" count="1">
            <x v="577"/>
          </reference>
        </references>
      </pivotArea>
    </format>
    <format dxfId="827">
      <pivotArea collapsedLevelsAreSubtotals="1" fieldPosition="0">
        <references count="1">
          <reference field="6" count="1">
            <x v="586"/>
          </reference>
        </references>
      </pivotArea>
    </format>
    <format dxfId="826">
      <pivotArea collapsedLevelsAreSubtotals="1" fieldPosition="0">
        <references count="1">
          <reference field="6" count="1">
            <x v="591"/>
          </reference>
        </references>
      </pivotArea>
    </format>
    <format dxfId="825">
      <pivotArea collapsedLevelsAreSubtotals="1" fieldPosition="0">
        <references count="1">
          <reference field="6" count="1">
            <x v="596"/>
          </reference>
        </references>
      </pivotArea>
    </format>
    <format dxfId="824">
      <pivotArea collapsedLevelsAreSubtotals="1" fieldPosition="0">
        <references count="1">
          <reference field="6" count="1">
            <x v="601"/>
          </reference>
        </references>
      </pivotArea>
    </format>
    <format dxfId="823">
      <pivotArea collapsedLevelsAreSubtotals="1" fieldPosition="0">
        <references count="1">
          <reference field="6" count="1">
            <x v="607"/>
          </reference>
        </references>
      </pivotArea>
    </format>
    <format dxfId="822">
      <pivotArea collapsedLevelsAreSubtotals="1" fieldPosition="0">
        <references count="1">
          <reference field="6" count="1">
            <x v="608"/>
          </reference>
        </references>
      </pivotArea>
    </format>
    <format dxfId="821">
      <pivotArea collapsedLevelsAreSubtotals="1" fieldPosition="0">
        <references count="1">
          <reference field="6" count="1">
            <x v="611"/>
          </reference>
        </references>
      </pivotArea>
    </format>
    <format dxfId="820">
      <pivotArea collapsedLevelsAreSubtotals="1" fieldPosition="0">
        <references count="1">
          <reference field="6" count="1">
            <x v="612"/>
          </reference>
        </references>
      </pivotArea>
    </format>
    <format dxfId="819">
      <pivotArea collapsedLevelsAreSubtotals="1" fieldPosition="0">
        <references count="1">
          <reference field="6" count="1">
            <x v="616"/>
          </reference>
        </references>
      </pivotArea>
    </format>
    <format dxfId="818">
      <pivotArea collapsedLevelsAreSubtotals="1" fieldPosition="0">
        <references count="1">
          <reference field="6" count="1">
            <x v="621"/>
          </reference>
        </references>
      </pivotArea>
    </format>
    <format dxfId="817">
      <pivotArea collapsedLevelsAreSubtotals="1" fieldPosition="0">
        <references count="1">
          <reference field="6" count="1">
            <x v="622"/>
          </reference>
        </references>
      </pivotArea>
    </format>
    <format dxfId="816">
      <pivotArea collapsedLevelsAreSubtotals="1" fieldPosition="0">
        <references count="1">
          <reference field="6" count="1">
            <x v="623"/>
          </reference>
        </references>
      </pivotArea>
    </format>
    <format dxfId="815">
      <pivotArea collapsedLevelsAreSubtotals="1" fieldPosition="0">
        <references count="1">
          <reference field="6" count="1">
            <x v="628"/>
          </reference>
        </references>
      </pivotArea>
    </format>
    <format dxfId="814">
      <pivotArea collapsedLevelsAreSubtotals="1" fieldPosition="0">
        <references count="1">
          <reference field="6" count="1">
            <x v="629"/>
          </reference>
        </references>
      </pivotArea>
    </format>
    <format dxfId="813">
      <pivotArea collapsedLevelsAreSubtotals="1" fieldPosition="0">
        <references count="1">
          <reference field="6" count="1">
            <x v="634"/>
          </reference>
        </references>
      </pivotArea>
    </format>
    <format dxfId="812">
      <pivotArea collapsedLevelsAreSubtotals="1" fieldPosition="0">
        <references count="1">
          <reference field="6" count="1">
            <x v="637"/>
          </reference>
        </references>
      </pivotArea>
    </format>
    <format dxfId="811">
      <pivotArea collapsedLevelsAreSubtotals="1" fieldPosition="0">
        <references count="1">
          <reference field="6" count="1">
            <x v="644"/>
          </reference>
        </references>
      </pivotArea>
    </format>
    <format dxfId="810">
      <pivotArea collapsedLevelsAreSubtotals="1" fieldPosition="0">
        <references count="1">
          <reference field="6" count="1">
            <x v="647"/>
          </reference>
        </references>
      </pivotArea>
    </format>
    <format dxfId="809">
      <pivotArea collapsedLevelsAreSubtotals="1" fieldPosition="0">
        <references count="1">
          <reference field="6" count="1">
            <x v="654"/>
          </reference>
        </references>
      </pivotArea>
    </format>
    <format dxfId="808">
      <pivotArea collapsedLevelsAreSubtotals="1" fieldPosition="0">
        <references count="1">
          <reference field="6" count="1">
            <x v="681"/>
          </reference>
        </references>
      </pivotArea>
    </format>
    <format dxfId="807">
      <pivotArea collapsedLevelsAreSubtotals="1" fieldPosition="0">
        <references count="1">
          <reference field="6" count="1">
            <x v="684"/>
          </reference>
        </references>
      </pivotArea>
    </format>
    <format dxfId="806">
      <pivotArea collapsedLevelsAreSubtotals="1" fieldPosition="0">
        <references count="1">
          <reference field="6" count="1">
            <x v="691"/>
          </reference>
        </references>
      </pivotArea>
    </format>
    <format dxfId="805">
      <pivotArea collapsedLevelsAreSubtotals="1" fieldPosition="0">
        <references count="1">
          <reference field="6" count="1">
            <x v="699"/>
          </reference>
        </references>
      </pivotArea>
    </format>
    <format dxfId="804">
      <pivotArea collapsedLevelsAreSubtotals="1" fieldPosition="0">
        <references count="1">
          <reference field="6" count="1">
            <x v="700"/>
          </reference>
        </references>
      </pivotArea>
    </format>
    <format dxfId="803">
      <pivotArea collapsedLevelsAreSubtotals="1" fieldPosition="0">
        <references count="1">
          <reference field="6" count="1">
            <x v="705"/>
          </reference>
        </references>
      </pivotArea>
    </format>
    <format dxfId="802">
      <pivotArea collapsedLevelsAreSubtotals="1" fieldPosition="0">
        <references count="1">
          <reference field="6" count="1">
            <x v="706"/>
          </reference>
        </references>
      </pivotArea>
    </format>
    <format dxfId="801">
      <pivotArea collapsedLevelsAreSubtotals="1" fieldPosition="0">
        <references count="1">
          <reference field="6" count="1">
            <x v="709"/>
          </reference>
        </references>
      </pivotArea>
    </format>
    <format dxfId="800">
      <pivotArea collapsedLevelsAreSubtotals="1" fieldPosition="0">
        <references count="1">
          <reference field="6" count="1">
            <x v="715"/>
          </reference>
        </references>
      </pivotArea>
    </format>
    <format dxfId="799">
      <pivotArea collapsedLevelsAreSubtotals="1" fieldPosition="0">
        <references count="1">
          <reference field="6" count="1">
            <x v="727"/>
          </reference>
        </references>
      </pivotArea>
    </format>
    <format dxfId="798">
      <pivotArea collapsedLevelsAreSubtotals="1" fieldPosition="0">
        <references count="1">
          <reference field="6" count="1">
            <x v="734"/>
          </reference>
        </references>
      </pivotArea>
    </format>
    <format dxfId="797">
      <pivotArea collapsedLevelsAreSubtotals="1" fieldPosition="0">
        <references count="1">
          <reference field="6" count="1">
            <x v="738"/>
          </reference>
        </references>
      </pivotArea>
    </format>
    <format dxfId="796">
      <pivotArea collapsedLevelsAreSubtotals="1" fieldPosition="0">
        <references count="1">
          <reference field="6" count="1">
            <x v="758"/>
          </reference>
        </references>
      </pivotArea>
    </format>
    <format dxfId="795">
      <pivotArea collapsedLevelsAreSubtotals="1" fieldPosition="0">
        <references count="1">
          <reference field="6" count="1">
            <x v="776"/>
          </reference>
        </references>
      </pivotArea>
    </format>
    <format dxfId="794">
      <pivotArea collapsedLevelsAreSubtotals="1" fieldPosition="0">
        <references count="1">
          <reference field="6" count="1">
            <x v="794"/>
          </reference>
        </references>
      </pivotArea>
    </format>
    <format dxfId="793">
      <pivotArea collapsedLevelsAreSubtotals="1" fieldPosition="0">
        <references count="1">
          <reference field="6" count="1">
            <x v="796"/>
          </reference>
        </references>
      </pivotArea>
    </format>
    <format dxfId="792">
      <pivotArea collapsedLevelsAreSubtotals="1" fieldPosition="0">
        <references count="1">
          <reference field="6" count="1">
            <x v="800"/>
          </reference>
        </references>
      </pivotArea>
    </format>
    <format dxfId="791">
      <pivotArea collapsedLevelsAreSubtotals="1" fieldPosition="0">
        <references count="1">
          <reference field="6" count="1">
            <x v="804"/>
          </reference>
        </references>
      </pivotArea>
    </format>
    <format dxfId="790">
      <pivotArea collapsedLevelsAreSubtotals="1" fieldPosition="0">
        <references count="1">
          <reference field="6" count="1">
            <x v="805"/>
          </reference>
        </references>
      </pivotArea>
    </format>
    <format dxfId="789">
      <pivotArea collapsedLevelsAreSubtotals="1" fieldPosition="0">
        <references count="1">
          <reference field="6" count="1">
            <x v="811"/>
          </reference>
        </references>
      </pivotArea>
    </format>
    <format dxfId="788">
      <pivotArea collapsedLevelsAreSubtotals="1" fieldPosition="0">
        <references count="1">
          <reference field="6" count="1">
            <x v="834"/>
          </reference>
        </references>
      </pivotArea>
    </format>
    <format dxfId="787">
      <pivotArea collapsedLevelsAreSubtotals="1" fieldPosition="0">
        <references count="1">
          <reference field="6" count="1">
            <x v="835"/>
          </reference>
        </references>
      </pivotArea>
    </format>
    <format dxfId="786">
      <pivotArea collapsedLevelsAreSubtotals="1" fieldPosition="0">
        <references count="1">
          <reference field="6" count="1">
            <x v="836"/>
          </reference>
        </references>
      </pivotArea>
    </format>
    <format dxfId="785">
      <pivotArea collapsedLevelsAreSubtotals="1" fieldPosition="0">
        <references count="1">
          <reference field="6" count="1">
            <x v="837"/>
          </reference>
        </references>
      </pivotArea>
    </format>
    <format dxfId="784">
      <pivotArea collapsedLevelsAreSubtotals="1" fieldPosition="0">
        <references count="1">
          <reference field="6" count="1">
            <x v="840"/>
          </reference>
        </references>
      </pivotArea>
    </format>
    <format dxfId="783">
      <pivotArea collapsedLevelsAreSubtotals="1" fieldPosition="0">
        <references count="1">
          <reference field="6" count="1">
            <x v="846"/>
          </reference>
        </references>
      </pivotArea>
    </format>
    <format dxfId="782">
      <pivotArea collapsedLevelsAreSubtotals="1" fieldPosition="0">
        <references count="1">
          <reference field="6" count="1">
            <x v="862"/>
          </reference>
        </references>
      </pivotArea>
    </format>
    <format dxfId="781">
      <pivotArea collapsedLevelsAreSubtotals="1" fieldPosition="0">
        <references count="1">
          <reference field="6" count="1">
            <x v="865"/>
          </reference>
        </references>
      </pivotArea>
    </format>
    <format dxfId="780">
      <pivotArea collapsedLevelsAreSubtotals="1" fieldPosition="0">
        <references count="1">
          <reference field="6" count="1">
            <x v="867"/>
          </reference>
        </references>
      </pivotArea>
    </format>
    <format dxfId="779">
      <pivotArea collapsedLevelsAreSubtotals="1" fieldPosition="0">
        <references count="1">
          <reference field="6" count="1">
            <x v="872"/>
          </reference>
        </references>
      </pivotArea>
    </format>
    <format dxfId="778">
      <pivotArea collapsedLevelsAreSubtotals="1" fieldPosition="0">
        <references count="1">
          <reference field="6" count="1">
            <x v="875"/>
          </reference>
        </references>
      </pivotArea>
    </format>
    <format dxfId="777">
      <pivotArea collapsedLevelsAreSubtotals="1" fieldPosition="0">
        <references count="1">
          <reference field="6" count="1">
            <x v="878"/>
          </reference>
        </references>
      </pivotArea>
    </format>
    <format dxfId="776">
      <pivotArea collapsedLevelsAreSubtotals="1" fieldPosition="0">
        <references count="1">
          <reference field="6" count="1">
            <x v="880"/>
          </reference>
        </references>
      </pivotArea>
    </format>
    <format dxfId="775">
      <pivotArea collapsedLevelsAreSubtotals="1" fieldPosition="0">
        <references count="1">
          <reference field="6" count="1">
            <x v="882"/>
          </reference>
        </references>
      </pivotArea>
    </format>
    <format dxfId="774">
      <pivotArea collapsedLevelsAreSubtotals="1" fieldPosition="0">
        <references count="1">
          <reference field="6" count="1">
            <x v="886"/>
          </reference>
        </references>
      </pivotArea>
    </format>
    <format dxfId="773">
      <pivotArea collapsedLevelsAreSubtotals="1" fieldPosition="0">
        <references count="1">
          <reference field="6" count="1">
            <x v="888"/>
          </reference>
        </references>
      </pivotArea>
    </format>
    <format dxfId="772">
      <pivotArea collapsedLevelsAreSubtotals="1" fieldPosition="0">
        <references count="1">
          <reference field="6" count="1">
            <x v="901"/>
          </reference>
        </references>
      </pivotArea>
    </format>
    <format dxfId="771">
      <pivotArea collapsedLevelsAreSubtotals="1" fieldPosition="0">
        <references count="1">
          <reference field="6" count="1">
            <x v="919"/>
          </reference>
        </references>
      </pivotArea>
    </format>
    <format dxfId="770">
      <pivotArea collapsedLevelsAreSubtotals="1" fieldPosition="0">
        <references count="1">
          <reference field="6" count="1">
            <x v="921"/>
          </reference>
        </references>
      </pivotArea>
    </format>
    <format dxfId="769">
      <pivotArea collapsedLevelsAreSubtotals="1" fieldPosition="0">
        <references count="1">
          <reference field="6" count="1">
            <x v="922"/>
          </reference>
        </references>
      </pivotArea>
    </format>
    <format dxfId="768">
      <pivotArea collapsedLevelsAreSubtotals="1" fieldPosition="0">
        <references count="1">
          <reference field="6" count="1">
            <x v="923"/>
          </reference>
        </references>
      </pivotArea>
    </format>
    <format dxfId="767">
      <pivotArea collapsedLevelsAreSubtotals="1" fieldPosition="0">
        <references count="1">
          <reference field="6" count="1">
            <x v="924"/>
          </reference>
        </references>
      </pivotArea>
    </format>
    <format dxfId="766">
      <pivotArea collapsedLevelsAreSubtotals="1" fieldPosition="0">
        <references count="1">
          <reference field="6" count="1">
            <x v="927"/>
          </reference>
        </references>
      </pivotArea>
    </format>
    <format dxfId="765">
      <pivotArea collapsedLevelsAreSubtotals="1" fieldPosition="0">
        <references count="1">
          <reference field="6" count="1">
            <x v="928"/>
          </reference>
        </references>
      </pivotArea>
    </format>
    <format dxfId="764">
      <pivotArea collapsedLevelsAreSubtotals="1" fieldPosition="0">
        <references count="1">
          <reference field="6" count="1">
            <x v="942"/>
          </reference>
        </references>
      </pivotArea>
    </format>
    <format dxfId="763">
      <pivotArea collapsedLevelsAreSubtotals="1" fieldPosition="0">
        <references count="1">
          <reference field="6" count="1">
            <x v="943"/>
          </reference>
        </references>
      </pivotArea>
    </format>
    <format dxfId="762">
      <pivotArea collapsedLevelsAreSubtotals="1" fieldPosition="0">
        <references count="1">
          <reference field="6" count="1">
            <x v="947"/>
          </reference>
        </references>
      </pivotArea>
    </format>
    <format dxfId="761">
      <pivotArea collapsedLevelsAreSubtotals="1" fieldPosition="0">
        <references count="1">
          <reference field="6" count="1">
            <x v="963"/>
          </reference>
        </references>
      </pivotArea>
    </format>
    <format dxfId="760">
      <pivotArea collapsedLevelsAreSubtotals="1" fieldPosition="0">
        <references count="1">
          <reference field="6" count="1">
            <x v="964"/>
          </reference>
        </references>
      </pivotArea>
    </format>
    <format dxfId="759">
      <pivotArea collapsedLevelsAreSubtotals="1" fieldPosition="0">
        <references count="1">
          <reference field="6" count="1">
            <x v="969"/>
          </reference>
        </references>
      </pivotArea>
    </format>
    <format dxfId="758">
      <pivotArea collapsedLevelsAreSubtotals="1" fieldPosition="0">
        <references count="1">
          <reference field="6" count="1">
            <x v="974"/>
          </reference>
        </references>
      </pivotArea>
    </format>
    <format dxfId="757">
      <pivotArea collapsedLevelsAreSubtotals="1" fieldPosition="0">
        <references count="1">
          <reference field="6" count="1">
            <x v="975"/>
          </reference>
        </references>
      </pivotArea>
    </format>
    <format dxfId="756">
      <pivotArea collapsedLevelsAreSubtotals="1" fieldPosition="0">
        <references count="1">
          <reference field="6" count="1">
            <x v="976"/>
          </reference>
        </references>
      </pivotArea>
    </format>
    <format dxfId="755">
      <pivotArea collapsedLevelsAreSubtotals="1" fieldPosition="0">
        <references count="1">
          <reference field="6" count="1">
            <x v="978"/>
          </reference>
        </references>
      </pivotArea>
    </format>
    <format dxfId="754">
      <pivotArea collapsedLevelsAreSubtotals="1" fieldPosition="0">
        <references count="1">
          <reference field="6" count="1">
            <x v="980"/>
          </reference>
        </references>
      </pivotArea>
    </format>
    <format dxfId="753">
      <pivotArea collapsedLevelsAreSubtotals="1" fieldPosition="0">
        <references count="1">
          <reference field="6" count="1">
            <x v="988"/>
          </reference>
        </references>
      </pivotArea>
    </format>
    <format dxfId="752">
      <pivotArea collapsedLevelsAreSubtotals="1" fieldPosition="0">
        <references count="1">
          <reference field="6" count="1">
            <x v="991"/>
          </reference>
        </references>
      </pivotArea>
    </format>
    <format dxfId="751">
      <pivotArea collapsedLevelsAreSubtotals="1" fieldPosition="0">
        <references count="1">
          <reference field="6" count="1">
            <x v="993"/>
          </reference>
        </references>
      </pivotArea>
    </format>
    <format dxfId="750">
      <pivotArea collapsedLevelsAreSubtotals="1" fieldPosition="0">
        <references count="1">
          <reference field="6" count="1">
            <x v="1000"/>
          </reference>
        </references>
      </pivotArea>
    </format>
    <format dxfId="749">
      <pivotArea collapsedLevelsAreSubtotals="1" fieldPosition="0">
        <references count="1">
          <reference field="6" count="1">
            <x v="1001"/>
          </reference>
        </references>
      </pivotArea>
    </format>
    <format dxfId="748">
      <pivotArea collapsedLevelsAreSubtotals="1" fieldPosition="0">
        <references count="1">
          <reference field="6" count="1">
            <x v="1004"/>
          </reference>
        </references>
      </pivotArea>
    </format>
    <format dxfId="747">
      <pivotArea collapsedLevelsAreSubtotals="1" fieldPosition="0">
        <references count="1">
          <reference field="6" count="1">
            <x v="1007"/>
          </reference>
        </references>
      </pivotArea>
    </format>
    <format dxfId="746">
      <pivotArea collapsedLevelsAreSubtotals="1" fieldPosition="0">
        <references count="1">
          <reference field="6" count="1">
            <x v="1009"/>
          </reference>
        </references>
      </pivotArea>
    </format>
    <format dxfId="745">
      <pivotArea collapsedLevelsAreSubtotals="1" fieldPosition="0">
        <references count="1">
          <reference field="6" count="1">
            <x v="1010"/>
          </reference>
        </references>
      </pivotArea>
    </format>
    <format dxfId="744">
      <pivotArea collapsedLevelsAreSubtotals="1" fieldPosition="0">
        <references count="1">
          <reference field="6" count="1">
            <x v="1020"/>
          </reference>
        </references>
      </pivotArea>
    </format>
    <format dxfId="743">
      <pivotArea collapsedLevelsAreSubtotals="1" fieldPosition="0">
        <references count="1">
          <reference field="6" count="1">
            <x v="1024"/>
          </reference>
        </references>
      </pivotArea>
    </format>
    <format dxfId="742">
      <pivotArea collapsedLevelsAreSubtotals="1" fieldPosition="0">
        <references count="1">
          <reference field="6" count="1">
            <x v="1028"/>
          </reference>
        </references>
      </pivotArea>
    </format>
    <format dxfId="741">
      <pivotArea collapsedLevelsAreSubtotals="1" fieldPosition="0">
        <references count="1">
          <reference field="6" count="1">
            <x v="1035"/>
          </reference>
        </references>
      </pivotArea>
    </format>
    <format dxfId="740">
      <pivotArea collapsedLevelsAreSubtotals="1" fieldPosition="0">
        <references count="1">
          <reference field="6" count="1">
            <x v="1043"/>
          </reference>
        </references>
      </pivotArea>
    </format>
    <format dxfId="739">
      <pivotArea collapsedLevelsAreSubtotals="1" fieldPosition="0">
        <references count="1">
          <reference field="6" count="1">
            <x v="1050"/>
          </reference>
        </references>
      </pivotArea>
    </format>
    <format dxfId="738">
      <pivotArea collapsedLevelsAreSubtotals="1" fieldPosition="0">
        <references count="1">
          <reference field="6" count="1">
            <x v="1057"/>
          </reference>
        </references>
      </pivotArea>
    </format>
    <format dxfId="737">
      <pivotArea collapsedLevelsAreSubtotals="1" fieldPosition="0">
        <references count="1">
          <reference field="6" count="1">
            <x v="1061"/>
          </reference>
        </references>
      </pivotArea>
    </format>
    <format dxfId="736">
      <pivotArea collapsedLevelsAreSubtotals="1" fieldPosition="0">
        <references count="1">
          <reference field="6" count="1">
            <x v="1069"/>
          </reference>
        </references>
      </pivotArea>
    </format>
    <format dxfId="735">
      <pivotArea collapsedLevelsAreSubtotals="1" fieldPosition="0">
        <references count="1">
          <reference field="6" count="1">
            <x v="1081"/>
          </reference>
        </references>
      </pivotArea>
    </format>
    <format dxfId="734">
      <pivotArea collapsedLevelsAreSubtotals="1" fieldPosition="0">
        <references count="1">
          <reference field="6" count="1">
            <x v="1083"/>
          </reference>
        </references>
      </pivotArea>
    </format>
    <format dxfId="733">
      <pivotArea collapsedLevelsAreSubtotals="1" fieldPosition="0">
        <references count="1">
          <reference field="6" count="1">
            <x v="1088"/>
          </reference>
        </references>
      </pivotArea>
    </format>
    <format dxfId="732">
      <pivotArea collapsedLevelsAreSubtotals="1" fieldPosition="0">
        <references count="1">
          <reference field="6" count="1">
            <x v="1090"/>
          </reference>
        </references>
      </pivotArea>
    </format>
    <format dxfId="731">
      <pivotArea collapsedLevelsAreSubtotals="1" fieldPosition="0">
        <references count="1">
          <reference field="6" count="1">
            <x v="1104"/>
          </reference>
        </references>
      </pivotArea>
    </format>
    <format dxfId="730">
      <pivotArea collapsedLevelsAreSubtotals="1" fieldPosition="0">
        <references count="1">
          <reference field="6" count="1">
            <x v="1105"/>
          </reference>
        </references>
      </pivotArea>
    </format>
    <format dxfId="729">
      <pivotArea collapsedLevelsAreSubtotals="1" fieldPosition="0">
        <references count="1">
          <reference field="6" count="1">
            <x v="1106"/>
          </reference>
        </references>
      </pivotArea>
    </format>
    <format dxfId="728">
      <pivotArea collapsedLevelsAreSubtotals="1" fieldPosition="0">
        <references count="1">
          <reference field="6" count="1">
            <x v="1107"/>
          </reference>
        </references>
      </pivotArea>
    </format>
    <format dxfId="727">
      <pivotArea collapsedLevelsAreSubtotals="1" fieldPosition="0">
        <references count="1">
          <reference field="6" count="1">
            <x v="1109"/>
          </reference>
        </references>
      </pivotArea>
    </format>
    <format dxfId="726">
      <pivotArea collapsedLevelsAreSubtotals="1" fieldPosition="0">
        <references count="1">
          <reference field="6" count="1">
            <x v="1113"/>
          </reference>
        </references>
      </pivotArea>
    </format>
    <format dxfId="725">
      <pivotArea collapsedLevelsAreSubtotals="1" fieldPosition="0">
        <references count="1">
          <reference field="6" count="1">
            <x v="1127"/>
          </reference>
        </references>
      </pivotArea>
    </format>
    <format dxfId="724">
      <pivotArea collapsedLevelsAreSubtotals="1" fieldPosition="0">
        <references count="1">
          <reference field="6" count="1">
            <x v="1137"/>
          </reference>
        </references>
      </pivotArea>
    </format>
    <format dxfId="723">
      <pivotArea collapsedLevelsAreSubtotals="1" fieldPosition="0">
        <references count="1">
          <reference field="6" count="1">
            <x v="1139"/>
          </reference>
        </references>
      </pivotArea>
    </format>
    <format dxfId="722">
      <pivotArea collapsedLevelsAreSubtotals="1" fieldPosition="0">
        <references count="1">
          <reference field="6" count="1">
            <x v="1145"/>
          </reference>
        </references>
      </pivotArea>
    </format>
    <format dxfId="721">
      <pivotArea collapsedLevelsAreSubtotals="1" fieldPosition="0">
        <references count="1">
          <reference field="6" count="1">
            <x v="1158"/>
          </reference>
        </references>
      </pivotArea>
    </format>
    <format dxfId="720">
      <pivotArea collapsedLevelsAreSubtotals="1" fieldPosition="0">
        <references count="1">
          <reference field="6" count="1">
            <x v="1162"/>
          </reference>
        </references>
      </pivotArea>
    </format>
    <format dxfId="719">
      <pivotArea collapsedLevelsAreSubtotals="1" fieldPosition="0">
        <references count="1">
          <reference field="6" count="1">
            <x v="1168"/>
          </reference>
        </references>
      </pivotArea>
    </format>
    <format dxfId="718">
      <pivotArea collapsedLevelsAreSubtotals="1" fieldPosition="0">
        <references count="1">
          <reference field="6" count="1">
            <x v="1172"/>
          </reference>
        </references>
      </pivotArea>
    </format>
    <format dxfId="717">
      <pivotArea collapsedLevelsAreSubtotals="1" fieldPosition="0">
        <references count="1">
          <reference field="6" count="1">
            <x v="1173"/>
          </reference>
        </references>
      </pivotArea>
    </format>
    <format dxfId="716">
      <pivotArea collapsedLevelsAreSubtotals="1" fieldPosition="0">
        <references count="1">
          <reference field="6" count="1">
            <x v="1174"/>
          </reference>
        </references>
      </pivotArea>
    </format>
    <format dxfId="715">
      <pivotArea collapsedLevelsAreSubtotals="1" fieldPosition="0">
        <references count="1">
          <reference field="6" count="1">
            <x v="1177"/>
          </reference>
        </references>
      </pivotArea>
    </format>
    <format dxfId="714">
      <pivotArea collapsedLevelsAreSubtotals="1" fieldPosition="0">
        <references count="1">
          <reference field="6" count="1">
            <x v="1178"/>
          </reference>
        </references>
      </pivotArea>
    </format>
    <format dxfId="713">
      <pivotArea collapsedLevelsAreSubtotals="1" fieldPosition="0">
        <references count="1">
          <reference field="6" count="1">
            <x v="1179"/>
          </reference>
        </references>
      </pivotArea>
    </format>
    <format dxfId="712">
      <pivotArea collapsedLevelsAreSubtotals="1" fieldPosition="0">
        <references count="1">
          <reference field="6" count="1">
            <x v="1180"/>
          </reference>
        </references>
      </pivotArea>
    </format>
    <format dxfId="711">
      <pivotArea collapsedLevelsAreSubtotals="1" fieldPosition="0">
        <references count="1">
          <reference field="6" count="1">
            <x v="1186"/>
          </reference>
        </references>
      </pivotArea>
    </format>
    <format dxfId="710">
      <pivotArea collapsedLevelsAreSubtotals="1" fieldPosition="0">
        <references count="1">
          <reference field="6" count="1">
            <x v="1187"/>
          </reference>
        </references>
      </pivotArea>
    </format>
    <format dxfId="709">
      <pivotArea collapsedLevelsAreSubtotals="1" fieldPosition="0">
        <references count="1">
          <reference field="6" count="1">
            <x v="1188"/>
          </reference>
        </references>
      </pivotArea>
    </format>
    <format dxfId="708">
      <pivotArea collapsedLevelsAreSubtotals="1" fieldPosition="0">
        <references count="1">
          <reference field="6" count="1">
            <x v="1199"/>
          </reference>
        </references>
      </pivotArea>
    </format>
    <format dxfId="707">
      <pivotArea collapsedLevelsAreSubtotals="1" fieldPosition="0">
        <references count="1">
          <reference field="6" count="1">
            <x v="1200"/>
          </reference>
        </references>
      </pivotArea>
    </format>
    <format dxfId="706">
      <pivotArea collapsedLevelsAreSubtotals="1" fieldPosition="0">
        <references count="1">
          <reference field="6" count="1">
            <x v="1201"/>
          </reference>
        </references>
      </pivotArea>
    </format>
    <format dxfId="705">
      <pivotArea collapsedLevelsAreSubtotals="1" fieldPosition="0">
        <references count="1">
          <reference field="6" count="1">
            <x v="1202"/>
          </reference>
        </references>
      </pivotArea>
    </format>
    <format dxfId="704">
      <pivotArea collapsedLevelsAreSubtotals="1" fieldPosition="0">
        <references count="1">
          <reference field="6" count="1">
            <x v="1204"/>
          </reference>
        </references>
      </pivotArea>
    </format>
    <format dxfId="703">
      <pivotArea collapsedLevelsAreSubtotals="1" fieldPosition="0">
        <references count="1">
          <reference field="6" count="1">
            <x v="1205"/>
          </reference>
        </references>
      </pivotArea>
    </format>
    <format dxfId="702">
      <pivotArea collapsedLevelsAreSubtotals="1" fieldPosition="0">
        <references count="1">
          <reference field="6" count="1">
            <x v="1214"/>
          </reference>
        </references>
      </pivotArea>
    </format>
    <format dxfId="701">
      <pivotArea collapsedLevelsAreSubtotals="1" fieldPosition="0">
        <references count="1">
          <reference field="6" count="1">
            <x v="1216"/>
          </reference>
        </references>
      </pivotArea>
    </format>
    <format dxfId="700">
      <pivotArea collapsedLevelsAreSubtotals="1" fieldPosition="0">
        <references count="1">
          <reference field="6" count="1">
            <x v="1221"/>
          </reference>
        </references>
      </pivotArea>
    </format>
    <format dxfId="699">
      <pivotArea collapsedLevelsAreSubtotals="1" fieldPosition="0">
        <references count="1">
          <reference field="6" count="1">
            <x v="1231"/>
          </reference>
        </references>
      </pivotArea>
    </format>
    <format dxfId="698">
      <pivotArea collapsedLevelsAreSubtotals="1" fieldPosition="0">
        <references count="1">
          <reference field="6" count="1">
            <x v="1232"/>
          </reference>
        </references>
      </pivotArea>
    </format>
    <format dxfId="697">
      <pivotArea collapsedLevelsAreSubtotals="1" fieldPosition="0">
        <references count="1">
          <reference field="6" count="1">
            <x v="1256"/>
          </reference>
        </references>
      </pivotArea>
    </format>
    <format dxfId="696">
      <pivotArea collapsedLevelsAreSubtotals="1" fieldPosition="0">
        <references count="1">
          <reference field="6" count="1">
            <x v="1263"/>
          </reference>
        </references>
      </pivotArea>
    </format>
    <format dxfId="695">
      <pivotArea collapsedLevelsAreSubtotals="1" fieldPosition="0">
        <references count="1">
          <reference field="6" count="1">
            <x v="1277"/>
          </reference>
        </references>
      </pivotArea>
    </format>
    <format dxfId="694">
      <pivotArea collapsedLevelsAreSubtotals="1" fieldPosition="0">
        <references count="1">
          <reference field="6" count="1">
            <x v="1278"/>
          </reference>
        </references>
      </pivotArea>
    </format>
    <format dxfId="693">
      <pivotArea collapsedLevelsAreSubtotals="1" fieldPosition="0">
        <references count="1">
          <reference field="6" count="1">
            <x v="1279"/>
          </reference>
        </references>
      </pivotArea>
    </format>
    <format dxfId="692">
      <pivotArea collapsedLevelsAreSubtotals="1" fieldPosition="0">
        <references count="1">
          <reference field="6" count="1">
            <x v="1282"/>
          </reference>
        </references>
      </pivotArea>
    </format>
    <format dxfId="691">
      <pivotArea collapsedLevelsAreSubtotals="1" fieldPosition="0">
        <references count="1">
          <reference field="6" count="1">
            <x v="1290"/>
          </reference>
        </references>
      </pivotArea>
    </format>
    <format dxfId="690">
      <pivotArea collapsedLevelsAreSubtotals="1" fieldPosition="0">
        <references count="1">
          <reference field="6" count="1">
            <x v="1296"/>
          </reference>
        </references>
      </pivotArea>
    </format>
    <format dxfId="689">
      <pivotArea collapsedLevelsAreSubtotals="1" fieldPosition="0">
        <references count="1">
          <reference field="6" count="1">
            <x v="1300"/>
          </reference>
        </references>
      </pivotArea>
    </format>
    <format dxfId="688">
      <pivotArea collapsedLevelsAreSubtotals="1" fieldPosition="0">
        <references count="1">
          <reference field="6" count="1">
            <x v="1305"/>
          </reference>
        </references>
      </pivotArea>
    </format>
    <format dxfId="687">
      <pivotArea collapsedLevelsAreSubtotals="1" fieldPosition="0">
        <references count="1">
          <reference field="6" count="1">
            <x v="1313"/>
          </reference>
        </references>
      </pivotArea>
    </format>
    <format dxfId="686">
      <pivotArea collapsedLevelsAreSubtotals="1" fieldPosition="0">
        <references count="1">
          <reference field="6" count="1">
            <x v="1318"/>
          </reference>
        </references>
      </pivotArea>
    </format>
    <format dxfId="685">
      <pivotArea collapsedLevelsAreSubtotals="1" fieldPosition="0">
        <references count="1">
          <reference field="6" count="1">
            <x v="1321"/>
          </reference>
        </references>
      </pivotArea>
    </format>
    <format dxfId="684">
      <pivotArea collapsedLevelsAreSubtotals="1" fieldPosition="0">
        <references count="1">
          <reference field="6" count="1">
            <x v="1322"/>
          </reference>
        </references>
      </pivotArea>
    </format>
    <format dxfId="683">
      <pivotArea collapsedLevelsAreSubtotals="1" fieldPosition="0">
        <references count="1">
          <reference field="6" count="1">
            <x v="1325"/>
          </reference>
        </references>
      </pivotArea>
    </format>
    <format dxfId="682">
      <pivotArea collapsedLevelsAreSubtotals="1" fieldPosition="0">
        <references count="1">
          <reference field="6" count="1">
            <x v="1329"/>
          </reference>
        </references>
      </pivotArea>
    </format>
    <format dxfId="681">
      <pivotArea collapsedLevelsAreSubtotals="1" fieldPosition="0">
        <references count="1">
          <reference field="6" count="1">
            <x v="1331"/>
          </reference>
        </references>
      </pivotArea>
    </format>
    <format dxfId="680">
      <pivotArea collapsedLevelsAreSubtotals="1" fieldPosition="0">
        <references count="1">
          <reference field="6" count="1">
            <x v="1333"/>
          </reference>
        </references>
      </pivotArea>
    </format>
    <format dxfId="679">
      <pivotArea collapsedLevelsAreSubtotals="1" fieldPosition="0">
        <references count="1">
          <reference field="6" count="1">
            <x v="1342"/>
          </reference>
        </references>
      </pivotArea>
    </format>
    <format dxfId="678">
      <pivotArea collapsedLevelsAreSubtotals="1" fieldPosition="0">
        <references count="1">
          <reference field="6" count="1">
            <x v="1345"/>
          </reference>
        </references>
      </pivotArea>
    </format>
    <format dxfId="677">
      <pivotArea collapsedLevelsAreSubtotals="1" fieldPosition="0">
        <references count="1">
          <reference field="6" count="1">
            <x v="1364"/>
          </reference>
        </references>
      </pivotArea>
    </format>
    <format dxfId="676">
      <pivotArea collapsedLevelsAreSubtotals="1" fieldPosition="0">
        <references count="1">
          <reference field="6" count="1">
            <x v="1367"/>
          </reference>
        </references>
      </pivotArea>
    </format>
    <format dxfId="675">
      <pivotArea collapsedLevelsAreSubtotals="1" fieldPosition="0">
        <references count="1">
          <reference field="6" count="1">
            <x v="1373"/>
          </reference>
        </references>
      </pivotArea>
    </format>
    <format dxfId="674">
      <pivotArea collapsedLevelsAreSubtotals="1" fieldPosition="0">
        <references count="1">
          <reference field="6" count="1">
            <x v="1378"/>
          </reference>
        </references>
      </pivotArea>
    </format>
    <format dxfId="673">
      <pivotArea collapsedLevelsAreSubtotals="1" fieldPosition="0">
        <references count="1">
          <reference field="6" count="1">
            <x v="1380"/>
          </reference>
        </references>
      </pivotArea>
    </format>
    <format dxfId="672">
      <pivotArea collapsedLevelsAreSubtotals="1" fieldPosition="0">
        <references count="1">
          <reference field="6" count="1">
            <x v="1387"/>
          </reference>
        </references>
      </pivotArea>
    </format>
    <format dxfId="671">
      <pivotArea collapsedLevelsAreSubtotals="1" fieldPosition="0">
        <references count="1">
          <reference field="6" count="1">
            <x v="1390"/>
          </reference>
        </references>
      </pivotArea>
    </format>
    <format dxfId="670">
      <pivotArea collapsedLevelsAreSubtotals="1" fieldPosition="0">
        <references count="1">
          <reference field="6" count="1">
            <x v="1392"/>
          </reference>
        </references>
      </pivotArea>
    </format>
    <format dxfId="669">
      <pivotArea collapsedLevelsAreSubtotals="1" fieldPosition="0">
        <references count="1">
          <reference field="6" count="1">
            <x v="1402"/>
          </reference>
        </references>
      </pivotArea>
    </format>
    <format dxfId="668">
      <pivotArea collapsedLevelsAreSubtotals="1" fieldPosition="0">
        <references count="1">
          <reference field="6" count="1">
            <x v="1413"/>
          </reference>
        </references>
      </pivotArea>
    </format>
    <format dxfId="667">
      <pivotArea collapsedLevelsAreSubtotals="1" fieldPosition="0">
        <references count="1">
          <reference field="6" count="1">
            <x v="1419"/>
          </reference>
        </references>
      </pivotArea>
    </format>
    <format dxfId="666">
      <pivotArea collapsedLevelsAreSubtotals="1" fieldPosition="0">
        <references count="1">
          <reference field="6" count="1">
            <x v="1423"/>
          </reference>
        </references>
      </pivotArea>
    </format>
    <format dxfId="665">
      <pivotArea collapsedLevelsAreSubtotals="1" fieldPosition="0">
        <references count="1">
          <reference field="6" count="1">
            <x v="1446"/>
          </reference>
        </references>
      </pivotArea>
    </format>
    <format dxfId="664">
      <pivotArea collapsedLevelsAreSubtotals="1" fieldPosition="0">
        <references count="1">
          <reference field="6" count="1">
            <x v="1453"/>
          </reference>
        </references>
      </pivotArea>
    </format>
    <format dxfId="663">
      <pivotArea collapsedLevelsAreSubtotals="1" fieldPosition="0">
        <references count="1">
          <reference field="6" count="1">
            <x v="1460"/>
          </reference>
        </references>
      </pivotArea>
    </format>
    <format dxfId="662">
      <pivotArea collapsedLevelsAreSubtotals="1" fieldPosition="0">
        <references count="1">
          <reference field="6" count="1">
            <x v="1462"/>
          </reference>
        </references>
      </pivotArea>
    </format>
    <format dxfId="661">
      <pivotArea collapsedLevelsAreSubtotals="1" fieldPosition="0">
        <references count="1">
          <reference field="6" count="1">
            <x v="1466"/>
          </reference>
        </references>
      </pivotArea>
    </format>
    <format dxfId="660">
      <pivotArea collapsedLevelsAreSubtotals="1" fieldPosition="0">
        <references count="1">
          <reference field="6" count="1">
            <x v="1467"/>
          </reference>
        </references>
      </pivotArea>
    </format>
    <format dxfId="659">
      <pivotArea collapsedLevelsAreSubtotals="1" fieldPosition="0">
        <references count="1">
          <reference field="6" count="1">
            <x v="1475"/>
          </reference>
        </references>
      </pivotArea>
    </format>
    <format dxfId="658">
      <pivotArea collapsedLevelsAreSubtotals="1" fieldPosition="0">
        <references count="1">
          <reference field="6" count="1">
            <x v="1481"/>
          </reference>
        </references>
      </pivotArea>
    </format>
    <format dxfId="657">
      <pivotArea collapsedLevelsAreSubtotals="1" fieldPosition="0">
        <references count="1">
          <reference field="6" count="1">
            <x v="1485"/>
          </reference>
        </references>
      </pivotArea>
    </format>
    <format dxfId="656">
      <pivotArea collapsedLevelsAreSubtotals="1" fieldPosition="0">
        <references count="1">
          <reference field="6" count="1">
            <x v="1488"/>
          </reference>
        </references>
      </pivotArea>
    </format>
    <format dxfId="655">
      <pivotArea collapsedLevelsAreSubtotals="1" fieldPosition="0">
        <references count="1">
          <reference field="6" count="1">
            <x v="1489"/>
          </reference>
        </references>
      </pivotArea>
    </format>
    <format dxfId="654">
      <pivotArea collapsedLevelsAreSubtotals="1" fieldPosition="0">
        <references count="1">
          <reference field="6" count="1">
            <x v="1490"/>
          </reference>
        </references>
      </pivotArea>
    </format>
    <format dxfId="653">
      <pivotArea collapsedLevelsAreSubtotals="1" fieldPosition="0">
        <references count="1">
          <reference field="6" count="1">
            <x v="1505"/>
          </reference>
        </references>
      </pivotArea>
    </format>
    <format dxfId="652">
      <pivotArea collapsedLevelsAreSubtotals="1" fieldPosition="0">
        <references count="1">
          <reference field="6" count="1">
            <x v="1512"/>
          </reference>
        </references>
      </pivotArea>
    </format>
    <format dxfId="651">
      <pivotArea collapsedLevelsAreSubtotals="1" fieldPosition="0">
        <references count="1">
          <reference field="6" count="1">
            <x v="1516"/>
          </reference>
        </references>
      </pivotArea>
    </format>
    <format dxfId="650">
      <pivotArea collapsedLevelsAreSubtotals="1" fieldPosition="0">
        <references count="1">
          <reference field="6" count="1">
            <x v="1518"/>
          </reference>
        </references>
      </pivotArea>
    </format>
    <format dxfId="649">
      <pivotArea collapsedLevelsAreSubtotals="1" fieldPosition="0">
        <references count="1">
          <reference field="6" count="1">
            <x v="1520"/>
          </reference>
        </references>
      </pivotArea>
    </format>
    <format dxfId="648">
      <pivotArea collapsedLevelsAreSubtotals="1" fieldPosition="0">
        <references count="1">
          <reference field="6" count="1">
            <x v="1524"/>
          </reference>
        </references>
      </pivotArea>
    </format>
    <format dxfId="647">
      <pivotArea collapsedLevelsAreSubtotals="1" fieldPosition="0">
        <references count="1">
          <reference field="6" count="1">
            <x v="1529"/>
          </reference>
        </references>
      </pivotArea>
    </format>
    <format dxfId="646">
      <pivotArea collapsedLevelsAreSubtotals="1" fieldPosition="0">
        <references count="1">
          <reference field="6" count="1">
            <x v="1546"/>
          </reference>
        </references>
      </pivotArea>
    </format>
    <format dxfId="645">
      <pivotArea collapsedLevelsAreSubtotals="1" fieldPosition="0">
        <references count="1">
          <reference field="6" count="1">
            <x v="1551"/>
          </reference>
        </references>
      </pivotArea>
    </format>
    <format dxfId="644">
      <pivotArea collapsedLevelsAreSubtotals="1" fieldPosition="0">
        <references count="1">
          <reference field="6" count="1">
            <x v="1554"/>
          </reference>
        </references>
      </pivotArea>
    </format>
    <format dxfId="643">
      <pivotArea collapsedLevelsAreSubtotals="1" fieldPosition="0">
        <references count="1">
          <reference field="6" count="1">
            <x v="1562"/>
          </reference>
        </references>
      </pivotArea>
    </format>
    <format dxfId="642">
      <pivotArea collapsedLevelsAreSubtotals="1" fieldPosition="0">
        <references count="1">
          <reference field="6" count="1">
            <x v="1570"/>
          </reference>
        </references>
      </pivotArea>
    </format>
    <format dxfId="641">
      <pivotArea collapsedLevelsAreSubtotals="1" fieldPosition="0">
        <references count="1">
          <reference field="6" count="1">
            <x v="1579"/>
          </reference>
        </references>
      </pivotArea>
    </format>
    <format dxfId="640">
      <pivotArea collapsedLevelsAreSubtotals="1" fieldPosition="0">
        <references count="1">
          <reference field="6" count="1">
            <x v="1581"/>
          </reference>
        </references>
      </pivotArea>
    </format>
    <format dxfId="639">
      <pivotArea collapsedLevelsAreSubtotals="1" fieldPosition="0">
        <references count="1">
          <reference field="6" count="1">
            <x v="1588"/>
          </reference>
        </references>
      </pivotArea>
    </format>
    <format dxfId="638">
      <pivotArea collapsedLevelsAreSubtotals="1" fieldPosition="0">
        <references count="1">
          <reference field="6" count="1">
            <x v="1590"/>
          </reference>
        </references>
      </pivotArea>
    </format>
    <format dxfId="637">
      <pivotArea collapsedLevelsAreSubtotals="1" fieldPosition="0">
        <references count="1">
          <reference field="6" count="1">
            <x v="1602"/>
          </reference>
        </references>
      </pivotArea>
    </format>
    <format dxfId="636">
      <pivotArea collapsedLevelsAreSubtotals="1" fieldPosition="0">
        <references count="1">
          <reference field="6" count="1">
            <x v="1604"/>
          </reference>
        </references>
      </pivotArea>
    </format>
    <format dxfId="635">
      <pivotArea collapsedLevelsAreSubtotals="1" fieldPosition="0">
        <references count="1">
          <reference field="6" count="1">
            <x v="1615"/>
          </reference>
        </references>
      </pivotArea>
    </format>
    <format dxfId="634">
      <pivotArea collapsedLevelsAreSubtotals="1" fieldPosition="0">
        <references count="1">
          <reference field="6" count="1">
            <x v="1617"/>
          </reference>
        </references>
      </pivotArea>
    </format>
    <format dxfId="633">
      <pivotArea collapsedLevelsAreSubtotals="1" fieldPosition="0">
        <references count="1">
          <reference field="6" count="1">
            <x v="1620"/>
          </reference>
        </references>
      </pivotArea>
    </format>
    <format dxfId="632">
      <pivotArea collapsedLevelsAreSubtotals="1" fieldPosition="0">
        <references count="1">
          <reference field="6" count="1">
            <x v="1628"/>
          </reference>
        </references>
      </pivotArea>
    </format>
    <format dxfId="631">
      <pivotArea collapsedLevelsAreSubtotals="1" fieldPosition="0">
        <references count="1">
          <reference field="6" count="1">
            <x v="1630"/>
          </reference>
        </references>
      </pivotArea>
    </format>
    <format dxfId="630">
      <pivotArea collapsedLevelsAreSubtotals="1" fieldPosition="0">
        <references count="1">
          <reference field="6" count="1">
            <x v="1632"/>
          </reference>
        </references>
      </pivotArea>
    </format>
    <format dxfId="629">
      <pivotArea collapsedLevelsAreSubtotals="1" fieldPosition="0">
        <references count="1">
          <reference field="6" count="1">
            <x v="1635"/>
          </reference>
        </references>
      </pivotArea>
    </format>
    <format dxfId="628">
      <pivotArea collapsedLevelsAreSubtotals="1" fieldPosition="0">
        <references count="1">
          <reference field="6" count="1">
            <x v="1644"/>
          </reference>
        </references>
      </pivotArea>
    </format>
    <format dxfId="627">
      <pivotArea collapsedLevelsAreSubtotals="1" fieldPosition="0">
        <references count="1">
          <reference field="6" count="1">
            <x v="1646"/>
          </reference>
        </references>
      </pivotArea>
    </format>
    <format dxfId="626">
      <pivotArea collapsedLevelsAreSubtotals="1" fieldPosition="0">
        <references count="1">
          <reference field="6" count="1">
            <x v="1648"/>
          </reference>
        </references>
      </pivotArea>
    </format>
    <format dxfId="625">
      <pivotArea collapsedLevelsAreSubtotals="1" fieldPosition="0">
        <references count="1">
          <reference field="6" count="1">
            <x v="1663"/>
          </reference>
        </references>
      </pivotArea>
    </format>
    <format dxfId="624">
      <pivotArea collapsedLevelsAreSubtotals="1" fieldPosition="0">
        <references count="1">
          <reference field="6" count="1">
            <x v="1674"/>
          </reference>
        </references>
      </pivotArea>
    </format>
    <format dxfId="623">
      <pivotArea collapsedLevelsAreSubtotals="1" fieldPosition="0">
        <references count="1">
          <reference field="6" count="1">
            <x v="1685"/>
          </reference>
        </references>
      </pivotArea>
    </format>
    <format dxfId="622">
      <pivotArea collapsedLevelsAreSubtotals="1" fieldPosition="0">
        <references count="1">
          <reference field="6" count="1">
            <x v="1686"/>
          </reference>
        </references>
      </pivotArea>
    </format>
    <format dxfId="621">
      <pivotArea collapsedLevelsAreSubtotals="1" fieldPosition="0">
        <references count="1">
          <reference field="6" count="1">
            <x v="1694"/>
          </reference>
        </references>
      </pivotArea>
    </format>
    <format dxfId="620">
      <pivotArea collapsedLevelsAreSubtotals="1" fieldPosition="0">
        <references count="1">
          <reference field="6" count="1">
            <x v="1700"/>
          </reference>
        </references>
      </pivotArea>
    </format>
    <format dxfId="619">
      <pivotArea collapsedLevelsAreSubtotals="1" fieldPosition="0">
        <references count="1">
          <reference field="6" count="1">
            <x v="1701"/>
          </reference>
        </references>
      </pivotArea>
    </format>
    <format dxfId="618">
      <pivotArea collapsedLevelsAreSubtotals="1" fieldPosition="0">
        <references count="1">
          <reference field="6" count="1">
            <x v="1717"/>
          </reference>
        </references>
      </pivotArea>
    </format>
    <format dxfId="617">
      <pivotArea collapsedLevelsAreSubtotals="1" fieldPosition="0">
        <references count="1">
          <reference field="6" count="1">
            <x v="1720"/>
          </reference>
        </references>
      </pivotArea>
    </format>
    <format dxfId="616">
      <pivotArea collapsedLevelsAreSubtotals="1" fieldPosition="0">
        <references count="1">
          <reference field="6" count="1">
            <x v="1721"/>
          </reference>
        </references>
      </pivotArea>
    </format>
    <format dxfId="615">
      <pivotArea collapsedLevelsAreSubtotals="1" fieldPosition="0">
        <references count="1">
          <reference field="6" count="1">
            <x v="1730"/>
          </reference>
        </references>
      </pivotArea>
    </format>
    <format dxfId="614">
      <pivotArea collapsedLevelsAreSubtotals="1" fieldPosition="0">
        <references count="1">
          <reference field="6" count="1">
            <x v="1732"/>
          </reference>
        </references>
      </pivotArea>
    </format>
    <format dxfId="613">
      <pivotArea collapsedLevelsAreSubtotals="1" fieldPosition="0">
        <references count="1">
          <reference field="6" count="1">
            <x v="1738"/>
          </reference>
        </references>
      </pivotArea>
    </format>
    <format dxfId="612">
      <pivotArea collapsedLevelsAreSubtotals="1" fieldPosition="0">
        <references count="1">
          <reference field="6" count="1">
            <x v="1741"/>
          </reference>
        </references>
      </pivotArea>
    </format>
    <format dxfId="611">
      <pivotArea collapsedLevelsAreSubtotals="1" fieldPosition="0">
        <references count="1">
          <reference field="6" count="1">
            <x v="1755"/>
          </reference>
        </references>
      </pivotArea>
    </format>
    <format dxfId="610">
      <pivotArea collapsedLevelsAreSubtotals="1" fieldPosition="0">
        <references count="1">
          <reference field="6" count="1">
            <x v="1761"/>
          </reference>
        </references>
      </pivotArea>
    </format>
    <format dxfId="609">
      <pivotArea collapsedLevelsAreSubtotals="1" fieldPosition="0">
        <references count="1">
          <reference field="6" count="1">
            <x v="1763"/>
          </reference>
        </references>
      </pivotArea>
    </format>
    <format dxfId="608">
      <pivotArea collapsedLevelsAreSubtotals="1" fieldPosition="0">
        <references count="1">
          <reference field="6" count="1">
            <x v="1769"/>
          </reference>
        </references>
      </pivotArea>
    </format>
    <format dxfId="607">
      <pivotArea collapsedLevelsAreSubtotals="1" fieldPosition="0">
        <references count="1">
          <reference field="6" count="1">
            <x v="1774"/>
          </reference>
        </references>
      </pivotArea>
    </format>
    <format dxfId="606">
      <pivotArea collapsedLevelsAreSubtotals="1" fieldPosition="0">
        <references count="1">
          <reference field="6" count="1">
            <x v="1775"/>
          </reference>
        </references>
      </pivotArea>
    </format>
    <format dxfId="605">
      <pivotArea collapsedLevelsAreSubtotals="1" fieldPosition="0">
        <references count="1">
          <reference field="6" count="1">
            <x v="1784"/>
          </reference>
        </references>
      </pivotArea>
    </format>
    <format dxfId="604">
      <pivotArea collapsedLevelsAreSubtotals="1" fieldPosition="0">
        <references count="1">
          <reference field="6" count="1">
            <x v="1786"/>
          </reference>
        </references>
      </pivotArea>
    </format>
    <format dxfId="603">
      <pivotArea collapsedLevelsAreSubtotals="1" fieldPosition="0">
        <references count="1">
          <reference field="6" count="1">
            <x v="1799"/>
          </reference>
        </references>
      </pivotArea>
    </format>
    <format dxfId="602">
      <pivotArea collapsedLevelsAreSubtotals="1" fieldPosition="0">
        <references count="1">
          <reference field="6" count="1">
            <x v="1804"/>
          </reference>
        </references>
      </pivotArea>
    </format>
    <format dxfId="601">
      <pivotArea collapsedLevelsAreSubtotals="1" fieldPosition="0">
        <references count="1">
          <reference field="6" count="1">
            <x v="1808"/>
          </reference>
        </references>
      </pivotArea>
    </format>
    <format dxfId="600">
      <pivotArea collapsedLevelsAreSubtotals="1" fieldPosition="0">
        <references count="1">
          <reference field="6" count="1">
            <x v="1820"/>
          </reference>
        </references>
      </pivotArea>
    </format>
    <format dxfId="599">
      <pivotArea collapsedLevelsAreSubtotals="1" fieldPosition="0">
        <references count="1">
          <reference field="6" count="1">
            <x v="1822"/>
          </reference>
        </references>
      </pivotArea>
    </format>
    <format dxfId="598">
      <pivotArea collapsedLevelsAreSubtotals="1" fieldPosition="0">
        <references count="1">
          <reference field="6" count="1">
            <x v="1825"/>
          </reference>
        </references>
      </pivotArea>
    </format>
    <format dxfId="597">
      <pivotArea collapsedLevelsAreSubtotals="1" fieldPosition="0">
        <references count="1">
          <reference field="6" count="1">
            <x v="1826"/>
          </reference>
        </references>
      </pivotArea>
    </format>
    <format dxfId="596">
      <pivotArea collapsedLevelsAreSubtotals="1" fieldPosition="0">
        <references count="1">
          <reference field="6" count="1">
            <x v="1829"/>
          </reference>
        </references>
      </pivotArea>
    </format>
    <format dxfId="595">
      <pivotArea collapsedLevelsAreSubtotals="1" fieldPosition="0">
        <references count="1">
          <reference field="6" count="1">
            <x v="1830"/>
          </reference>
        </references>
      </pivotArea>
    </format>
    <format dxfId="594">
      <pivotArea collapsedLevelsAreSubtotals="1" fieldPosition="0">
        <references count="1">
          <reference field="6" count="1">
            <x v="1839"/>
          </reference>
        </references>
      </pivotArea>
    </format>
    <format dxfId="593">
      <pivotArea collapsedLevelsAreSubtotals="1" fieldPosition="0">
        <references count="1">
          <reference field="6" count="1">
            <x v="1843"/>
          </reference>
        </references>
      </pivotArea>
    </format>
    <format dxfId="592">
      <pivotArea collapsedLevelsAreSubtotals="1" fieldPosition="0">
        <references count="1">
          <reference field="6" count="1">
            <x v="1856"/>
          </reference>
        </references>
      </pivotArea>
    </format>
    <format dxfId="591">
      <pivotArea collapsedLevelsAreSubtotals="1" fieldPosition="0">
        <references count="1">
          <reference field="6" count="1">
            <x v="1863"/>
          </reference>
        </references>
      </pivotArea>
    </format>
    <format dxfId="590">
      <pivotArea collapsedLevelsAreSubtotals="1" fieldPosition="0">
        <references count="1">
          <reference field="6" count="1">
            <x v="1869"/>
          </reference>
        </references>
      </pivotArea>
    </format>
    <format dxfId="589">
      <pivotArea collapsedLevelsAreSubtotals="1" fieldPosition="0">
        <references count="1">
          <reference field="6" count="1">
            <x v="1872"/>
          </reference>
        </references>
      </pivotArea>
    </format>
    <format dxfId="588">
      <pivotArea collapsedLevelsAreSubtotals="1" fieldPosition="0">
        <references count="1">
          <reference field="6" count="1">
            <x v="1877"/>
          </reference>
        </references>
      </pivotArea>
    </format>
    <format dxfId="587">
      <pivotArea collapsedLevelsAreSubtotals="1" fieldPosition="0">
        <references count="1">
          <reference field="6" count="1">
            <x v="1890"/>
          </reference>
        </references>
      </pivotArea>
    </format>
    <format dxfId="586">
      <pivotArea collapsedLevelsAreSubtotals="1" fieldPosition="0">
        <references count="1">
          <reference field="6" count="1">
            <x v="1891"/>
          </reference>
        </references>
      </pivotArea>
    </format>
    <format dxfId="585">
      <pivotArea collapsedLevelsAreSubtotals="1" fieldPosition="0">
        <references count="1">
          <reference field="6" count="1">
            <x v="1893"/>
          </reference>
        </references>
      </pivotArea>
    </format>
    <format dxfId="584">
      <pivotArea collapsedLevelsAreSubtotals="1" fieldPosition="0">
        <references count="1">
          <reference field="6" count="1">
            <x v="1896"/>
          </reference>
        </references>
      </pivotArea>
    </format>
    <format dxfId="583">
      <pivotArea collapsedLevelsAreSubtotals="1" fieldPosition="0">
        <references count="1">
          <reference field="6" count="1">
            <x v="1898"/>
          </reference>
        </references>
      </pivotArea>
    </format>
    <format dxfId="582">
      <pivotArea collapsedLevelsAreSubtotals="1" fieldPosition="0">
        <references count="1">
          <reference field="6" count="1">
            <x v="1907"/>
          </reference>
        </references>
      </pivotArea>
    </format>
    <format dxfId="581">
      <pivotArea collapsedLevelsAreSubtotals="1" fieldPosition="0">
        <references count="1">
          <reference field="6" count="1">
            <x v="1910"/>
          </reference>
        </references>
      </pivotArea>
    </format>
    <format dxfId="580">
      <pivotArea collapsedLevelsAreSubtotals="1" fieldPosition="0">
        <references count="1">
          <reference field="6" count="1">
            <x v="1915"/>
          </reference>
        </references>
      </pivotArea>
    </format>
    <format dxfId="579">
      <pivotArea collapsedLevelsAreSubtotals="1" fieldPosition="0">
        <references count="1">
          <reference field="6" count="1">
            <x v="1918"/>
          </reference>
        </references>
      </pivotArea>
    </format>
    <format dxfId="578">
      <pivotArea collapsedLevelsAreSubtotals="1" fieldPosition="0">
        <references count="1">
          <reference field="6" count="1">
            <x v="1924"/>
          </reference>
        </references>
      </pivotArea>
    </format>
    <format dxfId="577">
      <pivotArea collapsedLevelsAreSubtotals="1" fieldPosition="0">
        <references count="1">
          <reference field="6" count="1">
            <x v="1930"/>
          </reference>
        </references>
      </pivotArea>
    </format>
    <format dxfId="576">
      <pivotArea collapsedLevelsAreSubtotals="1" fieldPosition="0">
        <references count="1">
          <reference field="6" count="1">
            <x v="1933"/>
          </reference>
        </references>
      </pivotArea>
    </format>
    <format dxfId="575">
      <pivotArea collapsedLevelsAreSubtotals="1" fieldPosition="0">
        <references count="1">
          <reference field="6" count="1">
            <x v="1934"/>
          </reference>
        </references>
      </pivotArea>
    </format>
    <format dxfId="574">
      <pivotArea collapsedLevelsAreSubtotals="1" fieldPosition="0">
        <references count="1">
          <reference field="6" count="1">
            <x v="1939"/>
          </reference>
        </references>
      </pivotArea>
    </format>
    <format dxfId="573">
      <pivotArea collapsedLevelsAreSubtotals="1" fieldPosition="0">
        <references count="1">
          <reference field="6" count="1">
            <x v="1952"/>
          </reference>
        </references>
      </pivotArea>
    </format>
    <format dxfId="572">
      <pivotArea collapsedLevelsAreSubtotals="1" fieldPosition="0">
        <references count="1">
          <reference field="6" count="1">
            <x v="1957"/>
          </reference>
        </references>
      </pivotArea>
    </format>
    <format dxfId="571">
      <pivotArea collapsedLevelsAreSubtotals="1" fieldPosition="0">
        <references count="1">
          <reference field="6" count="1">
            <x v="1961"/>
          </reference>
        </references>
      </pivotArea>
    </format>
    <format dxfId="570">
      <pivotArea collapsedLevelsAreSubtotals="1" fieldPosition="0">
        <references count="1">
          <reference field="6" count="1">
            <x v="1969"/>
          </reference>
        </references>
      </pivotArea>
    </format>
    <format dxfId="569">
      <pivotArea collapsedLevelsAreSubtotals="1" fieldPosition="0">
        <references count="1">
          <reference field="6" count="1">
            <x v="1970"/>
          </reference>
        </references>
      </pivotArea>
    </format>
    <format dxfId="568">
      <pivotArea collapsedLevelsAreSubtotals="1" fieldPosition="0">
        <references count="1">
          <reference field="6" count="1">
            <x v="1971"/>
          </reference>
        </references>
      </pivotArea>
    </format>
    <format dxfId="567">
      <pivotArea collapsedLevelsAreSubtotals="1" fieldPosition="0">
        <references count="1">
          <reference field="6" count="1">
            <x v="1974"/>
          </reference>
        </references>
      </pivotArea>
    </format>
    <format dxfId="566">
      <pivotArea collapsedLevelsAreSubtotals="1" fieldPosition="0">
        <references count="1">
          <reference field="6" count="1">
            <x v="1982"/>
          </reference>
        </references>
      </pivotArea>
    </format>
    <format dxfId="565">
      <pivotArea collapsedLevelsAreSubtotals="1" fieldPosition="0">
        <references count="1">
          <reference field="6" count="1">
            <x v="1984"/>
          </reference>
        </references>
      </pivotArea>
    </format>
    <format dxfId="564">
      <pivotArea collapsedLevelsAreSubtotals="1" fieldPosition="0">
        <references count="1">
          <reference field="6" count="1">
            <x v="1997"/>
          </reference>
        </references>
      </pivotArea>
    </format>
    <format dxfId="563">
      <pivotArea collapsedLevelsAreSubtotals="1" fieldPosition="0">
        <references count="1">
          <reference field="6" count="1">
            <x v="1998"/>
          </reference>
        </references>
      </pivotArea>
    </format>
    <format dxfId="562">
      <pivotArea collapsedLevelsAreSubtotals="1" fieldPosition="0">
        <references count="1">
          <reference field="6" count="1">
            <x v="1999"/>
          </reference>
        </references>
      </pivotArea>
    </format>
    <format dxfId="561">
      <pivotArea collapsedLevelsAreSubtotals="1" fieldPosition="0">
        <references count="1">
          <reference field="6" count="1">
            <x v="2000"/>
          </reference>
        </references>
      </pivotArea>
    </format>
    <format dxfId="560">
      <pivotArea collapsedLevelsAreSubtotals="1" fieldPosition="0">
        <references count="1">
          <reference field="6" count="1">
            <x v="2005"/>
          </reference>
        </references>
      </pivotArea>
    </format>
    <format dxfId="559">
      <pivotArea collapsedLevelsAreSubtotals="1" fieldPosition="0">
        <references count="1">
          <reference field="6" count="1">
            <x v="2011"/>
          </reference>
        </references>
      </pivotArea>
    </format>
    <format dxfId="558">
      <pivotArea collapsedLevelsAreSubtotals="1" fieldPosition="0">
        <references count="1">
          <reference field="6" count="1">
            <x v="2017"/>
          </reference>
        </references>
      </pivotArea>
    </format>
    <format dxfId="557">
      <pivotArea collapsedLevelsAreSubtotals="1" fieldPosition="0">
        <references count="1">
          <reference field="6" count="1">
            <x v="2018"/>
          </reference>
        </references>
      </pivotArea>
    </format>
    <format dxfId="556">
      <pivotArea collapsedLevelsAreSubtotals="1" fieldPosition="0">
        <references count="1">
          <reference field="6" count="1">
            <x v="2029"/>
          </reference>
        </references>
      </pivotArea>
    </format>
    <format dxfId="555">
      <pivotArea collapsedLevelsAreSubtotals="1" fieldPosition="0">
        <references count="1">
          <reference field="6" count="1">
            <x v="2031"/>
          </reference>
        </references>
      </pivotArea>
    </format>
    <format dxfId="554">
      <pivotArea collapsedLevelsAreSubtotals="1" fieldPosition="0">
        <references count="1">
          <reference field="6" count="1">
            <x v="2032"/>
          </reference>
        </references>
      </pivotArea>
    </format>
    <format dxfId="553">
      <pivotArea collapsedLevelsAreSubtotals="1" fieldPosition="0">
        <references count="1">
          <reference field="6" count="1">
            <x v="2033"/>
          </reference>
        </references>
      </pivotArea>
    </format>
    <format dxfId="552">
      <pivotArea collapsedLevelsAreSubtotals="1" fieldPosition="0">
        <references count="1">
          <reference field="6" count="1">
            <x v="2041"/>
          </reference>
        </references>
      </pivotArea>
    </format>
    <format dxfId="551">
      <pivotArea collapsedLevelsAreSubtotals="1" fieldPosition="0">
        <references count="1">
          <reference field="6" count="1">
            <x v="2044"/>
          </reference>
        </references>
      </pivotArea>
    </format>
    <format dxfId="550">
      <pivotArea collapsedLevelsAreSubtotals="1" fieldPosition="0">
        <references count="1">
          <reference field="6" count="1">
            <x v="2047"/>
          </reference>
        </references>
      </pivotArea>
    </format>
    <format dxfId="549">
      <pivotArea collapsedLevelsAreSubtotals="1" fieldPosition="0">
        <references count="1">
          <reference field="6" count="1">
            <x v="2055"/>
          </reference>
        </references>
      </pivotArea>
    </format>
    <format dxfId="548">
      <pivotArea collapsedLevelsAreSubtotals="1" fieldPosition="0">
        <references count="1">
          <reference field="6" count="1">
            <x v="2067"/>
          </reference>
        </references>
      </pivotArea>
    </format>
    <format dxfId="547">
      <pivotArea collapsedLevelsAreSubtotals="1" fieldPosition="0">
        <references count="1">
          <reference field="6" count="1">
            <x v="2068"/>
          </reference>
        </references>
      </pivotArea>
    </format>
    <format dxfId="546">
      <pivotArea collapsedLevelsAreSubtotals="1" fieldPosition="0">
        <references count="1">
          <reference field="6" count="1">
            <x v="2084"/>
          </reference>
        </references>
      </pivotArea>
    </format>
    <format dxfId="545">
      <pivotArea collapsedLevelsAreSubtotals="1" fieldPosition="0">
        <references count="1">
          <reference field="6" count="1">
            <x v="2087"/>
          </reference>
        </references>
      </pivotArea>
    </format>
    <format dxfId="544">
      <pivotArea collapsedLevelsAreSubtotals="1" fieldPosition="0">
        <references count="1">
          <reference field="6" count="1">
            <x v="2095"/>
          </reference>
        </references>
      </pivotArea>
    </format>
    <format dxfId="543">
      <pivotArea collapsedLevelsAreSubtotals="1" fieldPosition="0">
        <references count="1">
          <reference field="6" count="1">
            <x v="2096"/>
          </reference>
        </references>
      </pivotArea>
    </format>
    <format dxfId="542">
      <pivotArea collapsedLevelsAreSubtotals="1" fieldPosition="0">
        <references count="1">
          <reference field="6" count="1">
            <x v="2097"/>
          </reference>
        </references>
      </pivotArea>
    </format>
    <format dxfId="541">
      <pivotArea collapsedLevelsAreSubtotals="1" fieldPosition="0">
        <references count="1">
          <reference field="6" count="1">
            <x v="2101"/>
          </reference>
        </references>
      </pivotArea>
    </format>
    <format dxfId="540">
      <pivotArea collapsedLevelsAreSubtotals="1" fieldPosition="0">
        <references count="1">
          <reference field="6" count="1">
            <x v="2102"/>
          </reference>
        </references>
      </pivotArea>
    </format>
    <format dxfId="539">
      <pivotArea collapsedLevelsAreSubtotals="1" fieldPosition="0">
        <references count="1">
          <reference field="6" count="1">
            <x v="2108"/>
          </reference>
        </references>
      </pivotArea>
    </format>
    <format dxfId="538">
      <pivotArea collapsedLevelsAreSubtotals="1" fieldPosition="0">
        <references count="1">
          <reference field="6" count="1">
            <x v="2110"/>
          </reference>
        </references>
      </pivotArea>
    </format>
    <format dxfId="537">
      <pivotArea collapsedLevelsAreSubtotals="1" fieldPosition="0">
        <references count="1">
          <reference field="6" count="1">
            <x v="2114"/>
          </reference>
        </references>
      </pivotArea>
    </format>
    <format dxfId="536">
      <pivotArea collapsedLevelsAreSubtotals="1" fieldPosition="0">
        <references count="1">
          <reference field="6" count="1">
            <x v="2117"/>
          </reference>
        </references>
      </pivotArea>
    </format>
    <format dxfId="535">
      <pivotArea collapsedLevelsAreSubtotals="1" fieldPosition="0">
        <references count="1">
          <reference field="6" count="1">
            <x v="2120"/>
          </reference>
        </references>
      </pivotArea>
    </format>
    <format dxfId="534">
      <pivotArea collapsedLevelsAreSubtotals="1" fieldPosition="0">
        <references count="1">
          <reference field="6" count="1">
            <x v="2123"/>
          </reference>
        </references>
      </pivotArea>
    </format>
    <format dxfId="533">
      <pivotArea collapsedLevelsAreSubtotals="1" fieldPosition="0">
        <references count="1">
          <reference field="6" count="1">
            <x v="2124"/>
          </reference>
        </references>
      </pivotArea>
    </format>
    <format dxfId="532">
      <pivotArea collapsedLevelsAreSubtotals="1" fieldPosition="0">
        <references count="1">
          <reference field="6" count="1">
            <x v="2154"/>
          </reference>
        </references>
      </pivotArea>
    </format>
    <format dxfId="531">
      <pivotArea collapsedLevelsAreSubtotals="1" fieldPosition="0">
        <references count="1">
          <reference field="6" count="1">
            <x v="2156"/>
          </reference>
        </references>
      </pivotArea>
    </format>
    <format dxfId="530">
      <pivotArea collapsedLevelsAreSubtotals="1" fieldPosition="0">
        <references count="1">
          <reference field="6" count="1">
            <x v="2168"/>
          </reference>
        </references>
      </pivotArea>
    </format>
    <format dxfId="529">
      <pivotArea collapsedLevelsAreSubtotals="1" fieldPosition="0">
        <references count="1">
          <reference field="6" count="1">
            <x v="2170"/>
          </reference>
        </references>
      </pivotArea>
    </format>
    <format dxfId="528">
      <pivotArea collapsedLevelsAreSubtotals="1" fieldPosition="0">
        <references count="1">
          <reference field="6" count="1">
            <x v="2178"/>
          </reference>
        </references>
      </pivotArea>
    </format>
    <format dxfId="527">
      <pivotArea collapsedLevelsAreSubtotals="1" fieldPosition="0">
        <references count="1">
          <reference field="6" count="1">
            <x v="2191"/>
          </reference>
        </references>
      </pivotArea>
    </format>
    <format dxfId="526">
      <pivotArea collapsedLevelsAreSubtotals="1" fieldPosition="0">
        <references count="1">
          <reference field="6" count="1">
            <x v="2193"/>
          </reference>
        </references>
      </pivotArea>
    </format>
    <format dxfId="525">
      <pivotArea collapsedLevelsAreSubtotals="1" fieldPosition="0">
        <references count="1">
          <reference field="6" count="1">
            <x v="2205"/>
          </reference>
        </references>
      </pivotArea>
    </format>
    <format dxfId="524">
      <pivotArea collapsedLevelsAreSubtotals="1" fieldPosition="0">
        <references count="1">
          <reference field="6" count="1">
            <x v="2209"/>
          </reference>
        </references>
      </pivotArea>
    </format>
    <format dxfId="523">
      <pivotArea collapsedLevelsAreSubtotals="1" fieldPosition="0">
        <references count="1">
          <reference field="6" count="1">
            <x v="2214"/>
          </reference>
        </references>
      </pivotArea>
    </format>
    <format dxfId="522">
      <pivotArea collapsedLevelsAreSubtotals="1" fieldPosition="0">
        <references count="1">
          <reference field="6" count="1">
            <x v="2216"/>
          </reference>
        </references>
      </pivotArea>
    </format>
    <format dxfId="521">
      <pivotArea collapsedLevelsAreSubtotals="1" fieldPosition="0">
        <references count="1">
          <reference field="6" count="1">
            <x v="74"/>
          </reference>
        </references>
      </pivotArea>
    </format>
    <format dxfId="520">
      <pivotArea collapsedLevelsAreSubtotals="1" fieldPosition="0">
        <references count="1">
          <reference field="6" count="1">
            <x v="80"/>
          </reference>
        </references>
      </pivotArea>
    </format>
    <format dxfId="519">
      <pivotArea collapsedLevelsAreSubtotals="1" fieldPosition="0">
        <references count="1">
          <reference field="6" count="1">
            <x v="83"/>
          </reference>
        </references>
      </pivotArea>
    </format>
    <format dxfId="518">
      <pivotArea collapsedLevelsAreSubtotals="1" fieldPosition="0">
        <references count="1">
          <reference field="6" count="1">
            <x v="94"/>
          </reference>
        </references>
      </pivotArea>
    </format>
    <format dxfId="517">
      <pivotArea collapsedLevelsAreSubtotals="1" fieldPosition="0">
        <references count="1">
          <reference field="6" count="1">
            <x v="102"/>
          </reference>
        </references>
      </pivotArea>
    </format>
    <format dxfId="516">
      <pivotArea collapsedLevelsAreSubtotals="1" fieldPosition="0">
        <references count="1">
          <reference field="6" count="1">
            <x v="111"/>
          </reference>
        </references>
      </pivotArea>
    </format>
    <format dxfId="515">
      <pivotArea collapsedLevelsAreSubtotals="1" fieldPosition="0">
        <references count="1">
          <reference field="6" count="1">
            <x v="117"/>
          </reference>
        </references>
      </pivotArea>
    </format>
    <format dxfId="514">
      <pivotArea collapsedLevelsAreSubtotals="1" fieldPosition="0">
        <references count="1">
          <reference field="6" count="1">
            <x v="127"/>
          </reference>
        </references>
      </pivotArea>
    </format>
    <format dxfId="513">
      <pivotArea collapsedLevelsAreSubtotals="1" fieldPosition="0">
        <references count="1">
          <reference field="6" count="1">
            <x v="140"/>
          </reference>
        </references>
      </pivotArea>
    </format>
    <format dxfId="512">
      <pivotArea collapsedLevelsAreSubtotals="1" fieldPosition="0">
        <references count="1">
          <reference field="6" count="1">
            <x v="156"/>
          </reference>
        </references>
      </pivotArea>
    </format>
    <format dxfId="511">
      <pivotArea collapsedLevelsAreSubtotals="1" fieldPosition="0">
        <references count="1">
          <reference field="6" count="1">
            <x v="171"/>
          </reference>
        </references>
      </pivotArea>
    </format>
    <format dxfId="510">
      <pivotArea collapsedLevelsAreSubtotals="1" fieldPosition="0">
        <references count="1">
          <reference field="6" count="1">
            <x v="183"/>
          </reference>
        </references>
      </pivotArea>
    </format>
    <format dxfId="509">
      <pivotArea collapsedLevelsAreSubtotals="1" fieldPosition="0">
        <references count="1">
          <reference field="6" count="1">
            <x v="188"/>
          </reference>
        </references>
      </pivotArea>
    </format>
    <format dxfId="508">
      <pivotArea collapsedLevelsAreSubtotals="1" fieldPosition="0">
        <references count="1">
          <reference field="6" count="1">
            <x v="226"/>
          </reference>
        </references>
      </pivotArea>
    </format>
    <format dxfId="507">
      <pivotArea collapsedLevelsAreSubtotals="1" fieldPosition="0">
        <references count="1">
          <reference field="6" count="1">
            <x v="232"/>
          </reference>
        </references>
      </pivotArea>
    </format>
    <format dxfId="506">
      <pivotArea collapsedLevelsAreSubtotals="1" fieldPosition="0">
        <references count="1">
          <reference field="6" count="1">
            <x v="233"/>
          </reference>
        </references>
      </pivotArea>
    </format>
    <format dxfId="505">
      <pivotArea collapsedLevelsAreSubtotals="1" fieldPosition="0">
        <references count="1">
          <reference field="6" count="1">
            <x v="234"/>
          </reference>
        </references>
      </pivotArea>
    </format>
    <format dxfId="504">
      <pivotArea collapsedLevelsAreSubtotals="1" fieldPosition="0">
        <references count="1">
          <reference field="6" count="1">
            <x v="236"/>
          </reference>
        </references>
      </pivotArea>
    </format>
    <format dxfId="503">
      <pivotArea collapsedLevelsAreSubtotals="1" fieldPosition="0">
        <references count="1">
          <reference field="6" count="1">
            <x v="255"/>
          </reference>
        </references>
      </pivotArea>
    </format>
    <format dxfId="502">
      <pivotArea collapsedLevelsAreSubtotals="1" fieldPosition="0">
        <references count="1">
          <reference field="6" count="1">
            <x v="295"/>
          </reference>
        </references>
      </pivotArea>
    </format>
    <format dxfId="501">
      <pivotArea collapsedLevelsAreSubtotals="1" fieldPosition="0">
        <references count="1">
          <reference field="6" count="1">
            <x v="321"/>
          </reference>
        </references>
      </pivotArea>
    </format>
    <format dxfId="500">
      <pivotArea collapsedLevelsAreSubtotals="1" fieldPosition="0">
        <references count="1">
          <reference field="6" count="1">
            <x v="327"/>
          </reference>
        </references>
      </pivotArea>
    </format>
    <format dxfId="499">
      <pivotArea collapsedLevelsAreSubtotals="1" fieldPosition="0">
        <references count="1">
          <reference field="6" count="1">
            <x v="330"/>
          </reference>
        </references>
      </pivotArea>
    </format>
    <format dxfId="498">
      <pivotArea collapsedLevelsAreSubtotals="1" fieldPosition="0">
        <references count="1">
          <reference field="6" count="1">
            <x v="334"/>
          </reference>
        </references>
      </pivotArea>
    </format>
    <format dxfId="497">
      <pivotArea collapsedLevelsAreSubtotals="1" fieldPosition="0">
        <references count="1">
          <reference field="6" count="1">
            <x v="337"/>
          </reference>
        </references>
      </pivotArea>
    </format>
    <format dxfId="496">
      <pivotArea collapsedLevelsAreSubtotals="1" fieldPosition="0">
        <references count="1">
          <reference field="6" count="1">
            <x v="339"/>
          </reference>
        </references>
      </pivotArea>
    </format>
    <format dxfId="495">
      <pivotArea collapsedLevelsAreSubtotals="1" fieldPosition="0">
        <references count="1">
          <reference field="6" count="1">
            <x v="357"/>
          </reference>
        </references>
      </pivotArea>
    </format>
    <format dxfId="494">
      <pivotArea collapsedLevelsAreSubtotals="1" fieldPosition="0">
        <references count="1">
          <reference field="6" count="1">
            <x v="381"/>
          </reference>
        </references>
      </pivotArea>
    </format>
    <format dxfId="493">
      <pivotArea collapsedLevelsAreSubtotals="1" fieldPosition="0">
        <references count="1">
          <reference field="6" count="1">
            <x v="383"/>
          </reference>
        </references>
      </pivotArea>
    </format>
    <format dxfId="492">
      <pivotArea collapsedLevelsAreSubtotals="1" fieldPosition="0">
        <references count="1">
          <reference field="6" count="1">
            <x v="386"/>
          </reference>
        </references>
      </pivotArea>
    </format>
    <format dxfId="491">
      <pivotArea collapsedLevelsAreSubtotals="1" fieldPosition="0">
        <references count="1">
          <reference field="6" count="1">
            <x v="398"/>
          </reference>
        </references>
      </pivotArea>
    </format>
    <format dxfId="490">
      <pivotArea collapsedLevelsAreSubtotals="1" fieldPosition="0">
        <references count="1">
          <reference field="6" count="1">
            <x v="408"/>
          </reference>
        </references>
      </pivotArea>
    </format>
    <format dxfId="489">
      <pivotArea collapsedLevelsAreSubtotals="1" fieldPosition="0">
        <references count="1">
          <reference field="6" count="1">
            <x v="428"/>
          </reference>
        </references>
      </pivotArea>
    </format>
    <format dxfId="488">
      <pivotArea collapsedLevelsAreSubtotals="1" fieldPosition="0">
        <references count="1">
          <reference field="6" count="1">
            <x v="447"/>
          </reference>
        </references>
      </pivotArea>
    </format>
    <format dxfId="487">
      <pivotArea collapsedLevelsAreSubtotals="1" fieldPosition="0">
        <references count="1">
          <reference field="6" count="1">
            <x v="448"/>
          </reference>
        </references>
      </pivotArea>
    </format>
    <format dxfId="486">
      <pivotArea collapsedLevelsAreSubtotals="1" fieldPosition="0">
        <references count="1">
          <reference field="6" count="1">
            <x v="461"/>
          </reference>
        </references>
      </pivotArea>
    </format>
    <format dxfId="485">
      <pivotArea collapsedLevelsAreSubtotals="1" fieldPosition="0">
        <references count="1">
          <reference field="6" count="1">
            <x v="478"/>
          </reference>
        </references>
      </pivotArea>
    </format>
    <format dxfId="484">
      <pivotArea collapsedLevelsAreSubtotals="1" fieldPosition="0">
        <references count="1">
          <reference field="6" count="1">
            <x v="481"/>
          </reference>
        </references>
      </pivotArea>
    </format>
    <format dxfId="483">
      <pivotArea collapsedLevelsAreSubtotals="1" fieldPosition="0">
        <references count="1">
          <reference field="6" count="1">
            <x v="484"/>
          </reference>
        </references>
      </pivotArea>
    </format>
    <format dxfId="482">
      <pivotArea collapsedLevelsAreSubtotals="1" fieldPosition="0">
        <references count="1">
          <reference field="6" count="1">
            <x v="507"/>
          </reference>
        </references>
      </pivotArea>
    </format>
    <format dxfId="481">
      <pivotArea collapsedLevelsAreSubtotals="1" fieldPosition="0">
        <references count="1">
          <reference field="6" count="1">
            <x v="536"/>
          </reference>
        </references>
      </pivotArea>
    </format>
    <format dxfId="480">
      <pivotArea collapsedLevelsAreSubtotals="1" fieldPosition="0">
        <references count="1">
          <reference field="6" count="1">
            <x v="539"/>
          </reference>
        </references>
      </pivotArea>
    </format>
    <format dxfId="479">
      <pivotArea collapsedLevelsAreSubtotals="1" fieldPosition="0">
        <references count="1">
          <reference field="6" count="1">
            <x v="577"/>
          </reference>
        </references>
      </pivotArea>
    </format>
    <format dxfId="478">
      <pivotArea collapsedLevelsAreSubtotals="1" fieldPosition="0">
        <references count="1">
          <reference field="6" count="1">
            <x v="586"/>
          </reference>
        </references>
      </pivotArea>
    </format>
    <format dxfId="477">
      <pivotArea collapsedLevelsAreSubtotals="1" fieldPosition="0">
        <references count="1">
          <reference field="6" count="1">
            <x v="607"/>
          </reference>
        </references>
      </pivotArea>
    </format>
    <format dxfId="476">
      <pivotArea collapsedLevelsAreSubtotals="1" fieldPosition="0">
        <references count="1">
          <reference field="6" count="1">
            <x v="616"/>
          </reference>
        </references>
      </pivotArea>
    </format>
    <format dxfId="475">
      <pivotArea collapsedLevelsAreSubtotals="1" fieldPosition="0">
        <references count="1">
          <reference field="6" count="1">
            <x v="621"/>
          </reference>
        </references>
      </pivotArea>
    </format>
    <format dxfId="474">
      <pivotArea collapsedLevelsAreSubtotals="1" fieldPosition="0">
        <references count="1">
          <reference field="6" count="1">
            <x v="629"/>
          </reference>
        </references>
      </pivotArea>
    </format>
    <format dxfId="473">
      <pivotArea collapsedLevelsAreSubtotals="1" fieldPosition="0">
        <references count="1">
          <reference field="6" count="1">
            <x v="634"/>
          </reference>
        </references>
      </pivotArea>
    </format>
    <format dxfId="472">
      <pivotArea collapsedLevelsAreSubtotals="1" fieldPosition="0">
        <references count="1">
          <reference field="6" count="1">
            <x v="684"/>
          </reference>
        </references>
      </pivotArea>
    </format>
    <format dxfId="471">
      <pivotArea collapsedLevelsAreSubtotals="1" fieldPosition="0">
        <references count="1">
          <reference field="6" count="1">
            <x v="691"/>
          </reference>
        </references>
      </pivotArea>
    </format>
    <format dxfId="470">
      <pivotArea collapsedLevelsAreSubtotals="1" fieldPosition="0">
        <references count="1">
          <reference field="6" count="1">
            <x v="727"/>
          </reference>
        </references>
      </pivotArea>
    </format>
    <format dxfId="469">
      <pivotArea collapsedLevelsAreSubtotals="1" fieldPosition="0">
        <references count="1">
          <reference field="6" count="1">
            <x v="734"/>
          </reference>
        </references>
      </pivotArea>
    </format>
    <format dxfId="468">
      <pivotArea collapsedLevelsAreSubtotals="1" fieldPosition="0">
        <references count="1">
          <reference field="6" count="1">
            <x v="776"/>
          </reference>
        </references>
      </pivotArea>
    </format>
    <format dxfId="467">
      <pivotArea collapsedLevelsAreSubtotals="1" fieldPosition="0">
        <references count="1">
          <reference field="6" count="1">
            <x v="794"/>
          </reference>
        </references>
      </pivotArea>
    </format>
    <format dxfId="466">
      <pivotArea collapsedLevelsAreSubtotals="1" fieldPosition="0">
        <references count="1">
          <reference field="6" count="1">
            <x v="796"/>
          </reference>
        </references>
      </pivotArea>
    </format>
    <format dxfId="465">
      <pivotArea collapsedLevelsAreSubtotals="1" fieldPosition="0">
        <references count="1">
          <reference field="6" count="1">
            <x v="800"/>
          </reference>
        </references>
      </pivotArea>
    </format>
    <format dxfId="464">
      <pivotArea collapsedLevelsAreSubtotals="1" fieldPosition="0">
        <references count="1">
          <reference field="6" count="1">
            <x v="805"/>
          </reference>
        </references>
      </pivotArea>
    </format>
    <format dxfId="463">
      <pivotArea collapsedLevelsAreSubtotals="1" fieldPosition="0">
        <references count="1">
          <reference field="6" count="1">
            <x v="835"/>
          </reference>
        </references>
      </pivotArea>
    </format>
    <format dxfId="462">
      <pivotArea collapsedLevelsAreSubtotals="1" fieldPosition="0">
        <references count="1">
          <reference field="6" count="1">
            <x v="836"/>
          </reference>
        </references>
      </pivotArea>
    </format>
    <format dxfId="461">
      <pivotArea collapsedLevelsAreSubtotals="1" fieldPosition="0">
        <references count="1">
          <reference field="6" count="1">
            <x v="862"/>
          </reference>
        </references>
      </pivotArea>
    </format>
    <format dxfId="460">
      <pivotArea collapsedLevelsAreSubtotals="1" fieldPosition="0">
        <references count="1">
          <reference field="6" count="1">
            <x v="867"/>
          </reference>
        </references>
      </pivotArea>
    </format>
    <format dxfId="459">
      <pivotArea collapsedLevelsAreSubtotals="1" fieldPosition="0">
        <references count="1">
          <reference field="6" count="1">
            <x v="872"/>
          </reference>
        </references>
      </pivotArea>
    </format>
    <format dxfId="458">
      <pivotArea collapsedLevelsAreSubtotals="1" fieldPosition="0">
        <references count="1">
          <reference field="6" count="1">
            <x v="880"/>
          </reference>
        </references>
      </pivotArea>
    </format>
    <format dxfId="457">
      <pivotArea collapsedLevelsAreSubtotals="1" fieldPosition="0">
        <references count="1">
          <reference field="6" count="1">
            <x v="886"/>
          </reference>
        </references>
      </pivotArea>
    </format>
    <format dxfId="456">
      <pivotArea collapsedLevelsAreSubtotals="1" fieldPosition="0">
        <references count="1">
          <reference field="6" count="1">
            <x v="888"/>
          </reference>
        </references>
      </pivotArea>
    </format>
    <format dxfId="455">
      <pivotArea collapsedLevelsAreSubtotals="1" fieldPosition="0">
        <references count="1">
          <reference field="6" count="1">
            <x v="928"/>
          </reference>
        </references>
      </pivotArea>
    </format>
    <format dxfId="454">
      <pivotArea collapsedLevelsAreSubtotals="1" fieldPosition="0">
        <references count="1">
          <reference field="6" count="1">
            <x v="963"/>
          </reference>
        </references>
      </pivotArea>
    </format>
    <format dxfId="453">
      <pivotArea collapsedLevelsAreSubtotals="1" fieldPosition="0">
        <references count="1">
          <reference field="6" count="1">
            <x v="976"/>
          </reference>
        </references>
      </pivotArea>
    </format>
    <format dxfId="452">
      <pivotArea collapsedLevelsAreSubtotals="1" fieldPosition="0">
        <references count="1">
          <reference field="6" count="1">
            <x v="988"/>
          </reference>
        </references>
      </pivotArea>
    </format>
    <format dxfId="451">
      <pivotArea collapsedLevelsAreSubtotals="1" fieldPosition="0">
        <references count="1">
          <reference field="6" count="1">
            <x v="991"/>
          </reference>
        </references>
      </pivotArea>
    </format>
    <format dxfId="450">
      <pivotArea collapsedLevelsAreSubtotals="1" fieldPosition="0">
        <references count="1">
          <reference field="6" count="1">
            <x v="993"/>
          </reference>
        </references>
      </pivotArea>
    </format>
    <format dxfId="449">
      <pivotArea collapsedLevelsAreSubtotals="1" fieldPosition="0">
        <references count="1">
          <reference field="6" count="1">
            <x v="1004"/>
          </reference>
        </references>
      </pivotArea>
    </format>
    <format dxfId="448">
      <pivotArea collapsedLevelsAreSubtotals="1" fieldPosition="0">
        <references count="1">
          <reference field="6" count="1">
            <x v="1007"/>
          </reference>
        </references>
      </pivotArea>
    </format>
    <format dxfId="447">
      <pivotArea collapsedLevelsAreSubtotals="1" fieldPosition="0">
        <references count="1">
          <reference field="6" count="1">
            <x v="1009"/>
          </reference>
        </references>
      </pivotArea>
    </format>
    <format dxfId="446">
      <pivotArea collapsedLevelsAreSubtotals="1" fieldPosition="0">
        <references count="1">
          <reference field="6" count="1">
            <x v="1010"/>
          </reference>
        </references>
      </pivotArea>
    </format>
    <format dxfId="445">
      <pivotArea collapsedLevelsAreSubtotals="1" fieldPosition="0">
        <references count="1">
          <reference field="6" count="1">
            <x v="1028"/>
          </reference>
        </references>
      </pivotArea>
    </format>
    <format dxfId="444">
      <pivotArea collapsedLevelsAreSubtotals="1" fieldPosition="0">
        <references count="1">
          <reference field="6" count="1">
            <x v="1035"/>
          </reference>
        </references>
      </pivotArea>
    </format>
    <format dxfId="443">
      <pivotArea collapsedLevelsAreSubtotals="1" fieldPosition="0">
        <references count="1">
          <reference field="6" count="1">
            <x v="1050"/>
          </reference>
        </references>
      </pivotArea>
    </format>
    <format dxfId="442">
      <pivotArea collapsedLevelsAreSubtotals="1" fieldPosition="0">
        <references count="1">
          <reference field="6" count="1">
            <x v="1090"/>
          </reference>
        </references>
      </pivotArea>
    </format>
    <format dxfId="441">
      <pivotArea collapsedLevelsAreSubtotals="1" fieldPosition="0">
        <references count="1">
          <reference field="6" count="1">
            <x v="1105"/>
          </reference>
        </references>
      </pivotArea>
    </format>
    <format dxfId="440">
      <pivotArea collapsedLevelsAreSubtotals="1" fieldPosition="0">
        <references count="1">
          <reference field="6" count="1">
            <x v="1113"/>
          </reference>
        </references>
      </pivotArea>
    </format>
    <format dxfId="439">
      <pivotArea collapsedLevelsAreSubtotals="1" fieldPosition="0">
        <references count="1">
          <reference field="6" count="1">
            <x v="1127"/>
          </reference>
        </references>
      </pivotArea>
    </format>
    <format dxfId="438">
      <pivotArea collapsedLevelsAreSubtotals="1" fieldPosition="0">
        <references count="1">
          <reference field="6" count="1">
            <x v="1139"/>
          </reference>
        </references>
      </pivotArea>
    </format>
    <format dxfId="437">
      <pivotArea collapsedLevelsAreSubtotals="1" fieldPosition="0">
        <references count="1">
          <reference field="6" count="1">
            <x v="1162"/>
          </reference>
        </references>
      </pivotArea>
    </format>
    <format dxfId="436">
      <pivotArea collapsedLevelsAreSubtotals="1" fieldPosition="0">
        <references count="1">
          <reference field="6" count="1">
            <x v="1168"/>
          </reference>
        </references>
      </pivotArea>
    </format>
    <format dxfId="435">
      <pivotArea collapsedLevelsAreSubtotals="1" fieldPosition="0">
        <references count="1">
          <reference field="6" count="1">
            <x v="1172"/>
          </reference>
        </references>
      </pivotArea>
    </format>
    <format dxfId="434">
      <pivotArea collapsedLevelsAreSubtotals="1" fieldPosition="0">
        <references count="1">
          <reference field="6" count="1">
            <x v="1174"/>
          </reference>
        </references>
      </pivotArea>
    </format>
    <format dxfId="433">
      <pivotArea collapsedLevelsAreSubtotals="1" fieldPosition="0">
        <references count="1">
          <reference field="6" count="1">
            <x v="1188"/>
          </reference>
        </references>
      </pivotArea>
    </format>
    <format dxfId="432">
      <pivotArea collapsedLevelsAreSubtotals="1" fieldPosition="0">
        <references count="1">
          <reference field="6" count="1">
            <x v="1201"/>
          </reference>
        </references>
      </pivotArea>
    </format>
    <format dxfId="431">
      <pivotArea collapsedLevelsAreSubtotals="1" fieldPosition="0">
        <references count="1">
          <reference field="6" count="1">
            <x v="1204"/>
          </reference>
        </references>
      </pivotArea>
    </format>
    <format dxfId="430">
      <pivotArea collapsedLevelsAreSubtotals="1" fieldPosition="0">
        <references count="1">
          <reference field="6" count="1">
            <x v="1205"/>
          </reference>
        </references>
      </pivotArea>
    </format>
    <format dxfId="429">
      <pivotArea collapsedLevelsAreSubtotals="1" fieldPosition="0">
        <references count="1">
          <reference field="6" count="1">
            <x v="1214"/>
          </reference>
        </references>
      </pivotArea>
    </format>
    <format dxfId="428">
      <pivotArea collapsedLevelsAreSubtotals="1" fieldPosition="0">
        <references count="1">
          <reference field="6" count="1">
            <x v="1216"/>
          </reference>
        </references>
      </pivotArea>
    </format>
    <format dxfId="427">
      <pivotArea collapsedLevelsAreSubtotals="1" fieldPosition="0">
        <references count="1">
          <reference field="6" count="1">
            <x v="1221"/>
          </reference>
        </references>
      </pivotArea>
    </format>
    <format dxfId="426">
      <pivotArea collapsedLevelsAreSubtotals="1" fieldPosition="0">
        <references count="1">
          <reference field="6" count="1">
            <x v="1231"/>
          </reference>
        </references>
      </pivotArea>
    </format>
    <format dxfId="425">
      <pivotArea collapsedLevelsAreSubtotals="1" fieldPosition="0">
        <references count="1">
          <reference field="6" count="1">
            <x v="1232"/>
          </reference>
        </references>
      </pivotArea>
    </format>
    <format dxfId="424">
      <pivotArea collapsedLevelsAreSubtotals="1" fieldPosition="0">
        <references count="1">
          <reference field="6" count="1">
            <x v="1278"/>
          </reference>
        </references>
      </pivotArea>
    </format>
    <format dxfId="423">
      <pivotArea collapsedLevelsAreSubtotals="1" fieldPosition="0">
        <references count="1">
          <reference field="6" count="1">
            <x v="1282"/>
          </reference>
        </references>
      </pivotArea>
    </format>
    <format dxfId="422">
      <pivotArea collapsedLevelsAreSubtotals="1" fieldPosition="0">
        <references count="1">
          <reference field="6" count="1">
            <x v="1290"/>
          </reference>
        </references>
      </pivotArea>
    </format>
    <format dxfId="421">
      <pivotArea collapsedLevelsAreSubtotals="1" fieldPosition="0">
        <references count="1">
          <reference field="6" count="1">
            <x v="1296"/>
          </reference>
        </references>
      </pivotArea>
    </format>
    <format dxfId="420">
      <pivotArea collapsedLevelsAreSubtotals="1" fieldPosition="0">
        <references count="1">
          <reference field="6" count="1">
            <x v="1305"/>
          </reference>
        </references>
      </pivotArea>
    </format>
    <format dxfId="419">
      <pivotArea collapsedLevelsAreSubtotals="1" fieldPosition="0">
        <references count="1">
          <reference field="6" count="1">
            <x v="1321"/>
          </reference>
        </references>
      </pivotArea>
    </format>
    <format dxfId="418">
      <pivotArea collapsedLevelsAreSubtotals="1" fieldPosition="0">
        <references count="1">
          <reference field="6" count="1">
            <x v="1322"/>
          </reference>
        </references>
      </pivotArea>
    </format>
    <format dxfId="417">
      <pivotArea collapsedLevelsAreSubtotals="1" fieldPosition="0">
        <references count="1">
          <reference field="6" count="1">
            <x v="1325"/>
          </reference>
        </references>
      </pivotArea>
    </format>
    <format dxfId="416">
      <pivotArea collapsedLevelsAreSubtotals="1" fieldPosition="0">
        <references count="1">
          <reference field="6" count="1">
            <x v="1333"/>
          </reference>
        </references>
      </pivotArea>
    </format>
    <format dxfId="415">
      <pivotArea collapsedLevelsAreSubtotals="1" fieldPosition="0">
        <references count="1">
          <reference field="6" count="1">
            <x v="1342"/>
          </reference>
        </references>
      </pivotArea>
    </format>
    <format dxfId="414">
      <pivotArea collapsedLevelsAreSubtotals="1" fieldPosition="0">
        <references count="1">
          <reference field="6" count="1">
            <x v="1345"/>
          </reference>
        </references>
      </pivotArea>
    </format>
    <format dxfId="413">
      <pivotArea collapsedLevelsAreSubtotals="1" fieldPosition="0">
        <references count="1">
          <reference field="6" count="1">
            <x v="1367"/>
          </reference>
        </references>
      </pivotArea>
    </format>
    <format dxfId="412">
      <pivotArea collapsedLevelsAreSubtotals="1" fieldPosition="0">
        <references count="1">
          <reference field="6" count="1">
            <x v="1380"/>
          </reference>
        </references>
      </pivotArea>
    </format>
    <format dxfId="411">
      <pivotArea collapsedLevelsAreSubtotals="1" fieldPosition="0">
        <references count="1">
          <reference field="6" count="1">
            <x v="1419"/>
          </reference>
        </references>
      </pivotArea>
    </format>
    <format dxfId="410">
      <pivotArea collapsedLevelsAreSubtotals="1" fieldPosition="0">
        <references count="1">
          <reference field="6" count="1">
            <x v="1423"/>
          </reference>
        </references>
      </pivotArea>
    </format>
    <format dxfId="409">
      <pivotArea collapsedLevelsAreSubtotals="1" fieldPosition="0">
        <references count="1">
          <reference field="6" count="1">
            <x v="1446"/>
          </reference>
        </references>
      </pivotArea>
    </format>
    <format dxfId="408">
      <pivotArea collapsedLevelsAreSubtotals="1" fieldPosition="0">
        <references count="1">
          <reference field="6" count="1">
            <x v="1460"/>
          </reference>
        </references>
      </pivotArea>
    </format>
    <format dxfId="407">
      <pivotArea collapsedLevelsAreSubtotals="1" fieldPosition="0">
        <references count="1">
          <reference field="6" count="1">
            <x v="1466"/>
          </reference>
        </references>
      </pivotArea>
    </format>
    <format dxfId="406">
      <pivotArea collapsedLevelsAreSubtotals="1" fieldPosition="0">
        <references count="1">
          <reference field="6" count="1">
            <x v="1488"/>
          </reference>
        </references>
      </pivotArea>
    </format>
    <format dxfId="405">
      <pivotArea collapsedLevelsAreSubtotals="1" fieldPosition="0">
        <references count="1">
          <reference field="6" count="1">
            <x v="1490"/>
          </reference>
        </references>
      </pivotArea>
    </format>
    <format dxfId="404">
      <pivotArea collapsedLevelsAreSubtotals="1" fieldPosition="0">
        <references count="1">
          <reference field="6" count="1">
            <x v="1516"/>
          </reference>
        </references>
      </pivotArea>
    </format>
    <format dxfId="403">
      <pivotArea collapsedLevelsAreSubtotals="1" fieldPosition="0">
        <references count="1">
          <reference field="6" count="1">
            <x v="1518"/>
          </reference>
        </references>
      </pivotArea>
    </format>
    <format dxfId="402">
      <pivotArea collapsedLevelsAreSubtotals="1" fieldPosition="0">
        <references count="1">
          <reference field="6" count="1">
            <x v="1520"/>
          </reference>
        </references>
      </pivotArea>
    </format>
    <format dxfId="401">
      <pivotArea collapsedLevelsAreSubtotals="1" fieldPosition="0">
        <references count="1">
          <reference field="6" count="1">
            <x v="1546"/>
          </reference>
        </references>
      </pivotArea>
    </format>
    <format dxfId="400">
      <pivotArea collapsedLevelsAreSubtotals="1" fieldPosition="0">
        <references count="1">
          <reference field="6" count="1">
            <x v="1554"/>
          </reference>
        </references>
      </pivotArea>
    </format>
    <format dxfId="399">
      <pivotArea collapsedLevelsAreSubtotals="1" fieldPosition="0">
        <references count="1">
          <reference field="6" count="1">
            <x v="1562"/>
          </reference>
        </references>
      </pivotArea>
    </format>
    <format dxfId="398">
      <pivotArea collapsedLevelsAreSubtotals="1" fieldPosition="0">
        <references count="1">
          <reference field="6" count="1">
            <x v="1570"/>
          </reference>
        </references>
      </pivotArea>
    </format>
    <format dxfId="397">
      <pivotArea collapsedLevelsAreSubtotals="1" fieldPosition="0">
        <references count="1">
          <reference field="6" count="1">
            <x v="1579"/>
          </reference>
        </references>
      </pivotArea>
    </format>
    <format dxfId="396">
      <pivotArea collapsedLevelsAreSubtotals="1" fieldPosition="0">
        <references count="1">
          <reference field="6" count="1">
            <x v="1581"/>
          </reference>
        </references>
      </pivotArea>
    </format>
    <format dxfId="395">
      <pivotArea collapsedLevelsAreSubtotals="1" fieldPosition="0">
        <references count="1">
          <reference field="6" count="1">
            <x v="1588"/>
          </reference>
        </references>
      </pivotArea>
    </format>
    <format dxfId="394">
      <pivotArea collapsedLevelsAreSubtotals="1" fieldPosition="0">
        <references count="1">
          <reference field="6" count="1">
            <x v="1604"/>
          </reference>
        </references>
      </pivotArea>
    </format>
    <format dxfId="393">
      <pivotArea collapsedLevelsAreSubtotals="1" fieldPosition="0">
        <references count="1">
          <reference field="6" count="1">
            <x v="1615"/>
          </reference>
        </references>
      </pivotArea>
    </format>
    <format dxfId="392">
      <pivotArea collapsedLevelsAreSubtotals="1" fieldPosition="0">
        <references count="1">
          <reference field="6" count="1">
            <x v="1617"/>
          </reference>
        </references>
      </pivotArea>
    </format>
    <format dxfId="391">
      <pivotArea collapsedLevelsAreSubtotals="1" fieldPosition="0">
        <references count="1">
          <reference field="6" count="1">
            <x v="1620"/>
          </reference>
        </references>
      </pivotArea>
    </format>
    <format dxfId="390">
      <pivotArea collapsedLevelsAreSubtotals="1" fieldPosition="0">
        <references count="1">
          <reference field="6" count="1">
            <x v="1630"/>
          </reference>
        </references>
      </pivotArea>
    </format>
    <format dxfId="389">
      <pivotArea collapsedLevelsAreSubtotals="1" fieldPosition="0">
        <references count="1">
          <reference field="6" count="1">
            <x v="1632"/>
          </reference>
        </references>
      </pivotArea>
    </format>
    <format dxfId="388">
      <pivotArea collapsedLevelsAreSubtotals="1" fieldPosition="0">
        <references count="1">
          <reference field="6" count="1">
            <x v="1644"/>
          </reference>
        </references>
      </pivotArea>
    </format>
    <format dxfId="387">
      <pivotArea collapsedLevelsAreSubtotals="1" fieldPosition="0">
        <references count="1">
          <reference field="6" count="1">
            <x v="1648"/>
          </reference>
        </references>
      </pivotArea>
    </format>
    <format dxfId="386">
      <pivotArea collapsedLevelsAreSubtotals="1" fieldPosition="0">
        <references count="1">
          <reference field="6" count="1">
            <x v="1694"/>
          </reference>
        </references>
      </pivotArea>
    </format>
    <format dxfId="385">
      <pivotArea collapsedLevelsAreSubtotals="1" fieldPosition="0">
        <references count="1">
          <reference field="6" count="1">
            <x v="1700"/>
          </reference>
        </references>
      </pivotArea>
    </format>
    <format dxfId="384">
      <pivotArea collapsedLevelsAreSubtotals="1" fieldPosition="0">
        <references count="1">
          <reference field="6" count="1">
            <x v="1701"/>
          </reference>
        </references>
      </pivotArea>
    </format>
    <format dxfId="383">
      <pivotArea collapsedLevelsAreSubtotals="1" fieldPosition="0">
        <references count="1">
          <reference field="6" count="1">
            <x v="1755"/>
          </reference>
        </references>
      </pivotArea>
    </format>
    <format dxfId="382">
      <pivotArea collapsedLevelsAreSubtotals="1" fieldPosition="0">
        <references count="1">
          <reference field="6" count="1">
            <x v="1761"/>
          </reference>
        </references>
      </pivotArea>
    </format>
    <format dxfId="381">
      <pivotArea collapsedLevelsAreSubtotals="1" fieldPosition="0">
        <references count="1">
          <reference field="6" count="1">
            <x v="1763"/>
          </reference>
        </references>
      </pivotArea>
    </format>
    <format dxfId="380">
      <pivotArea collapsedLevelsAreSubtotals="1" fieldPosition="0">
        <references count="1">
          <reference field="6" count="1">
            <x v="1769"/>
          </reference>
        </references>
      </pivotArea>
    </format>
    <format dxfId="379">
      <pivotArea collapsedLevelsAreSubtotals="1" fieldPosition="0">
        <references count="1">
          <reference field="6" count="1">
            <x v="1799"/>
          </reference>
        </references>
      </pivotArea>
    </format>
    <format dxfId="378">
      <pivotArea collapsedLevelsAreSubtotals="1" fieldPosition="0">
        <references count="1">
          <reference field="6" count="1">
            <x v="1804"/>
          </reference>
        </references>
      </pivotArea>
    </format>
    <format dxfId="377">
      <pivotArea collapsedLevelsAreSubtotals="1" fieldPosition="0">
        <references count="1">
          <reference field="6" count="1">
            <x v="1822"/>
          </reference>
        </references>
      </pivotArea>
    </format>
    <format dxfId="376">
      <pivotArea collapsedLevelsAreSubtotals="1" fieldPosition="0">
        <references count="1">
          <reference field="6" count="1">
            <x v="1829"/>
          </reference>
        </references>
      </pivotArea>
    </format>
    <format dxfId="375">
      <pivotArea collapsedLevelsAreSubtotals="1" fieldPosition="0">
        <references count="1">
          <reference field="6" count="1">
            <x v="1830"/>
          </reference>
        </references>
      </pivotArea>
    </format>
    <format dxfId="374">
      <pivotArea collapsedLevelsAreSubtotals="1" fieldPosition="0">
        <references count="1">
          <reference field="6" count="1">
            <x v="1839"/>
          </reference>
        </references>
      </pivotArea>
    </format>
    <format dxfId="373">
      <pivotArea collapsedLevelsAreSubtotals="1" fieldPosition="0">
        <references count="1">
          <reference field="6" count="1">
            <x v="1843"/>
          </reference>
        </references>
      </pivotArea>
    </format>
    <format dxfId="372">
      <pivotArea collapsedLevelsAreSubtotals="1" fieldPosition="0">
        <references count="1">
          <reference field="6" count="1">
            <x v="1856"/>
          </reference>
        </references>
      </pivotArea>
    </format>
    <format dxfId="371">
      <pivotArea collapsedLevelsAreSubtotals="1" fieldPosition="0">
        <references count="1">
          <reference field="6" count="1">
            <x v="1863"/>
          </reference>
        </references>
      </pivotArea>
    </format>
    <format dxfId="370">
      <pivotArea collapsedLevelsAreSubtotals="1" fieldPosition="0">
        <references count="1">
          <reference field="6" count="1">
            <x v="1877"/>
          </reference>
        </references>
      </pivotArea>
    </format>
    <format dxfId="369">
      <pivotArea collapsedLevelsAreSubtotals="1" fieldPosition="0">
        <references count="1">
          <reference field="6" count="1">
            <x v="1891"/>
          </reference>
        </references>
      </pivotArea>
    </format>
    <format dxfId="368">
      <pivotArea collapsedLevelsAreSubtotals="1" fieldPosition="0">
        <references count="1">
          <reference field="6" count="1">
            <x v="1893"/>
          </reference>
        </references>
      </pivotArea>
    </format>
    <format dxfId="367">
      <pivotArea collapsedLevelsAreSubtotals="1" fieldPosition="0">
        <references count="1">
          <reference field="6" count="1">
            <x v="1907"/>
          </reference>
        </references>
      </pivotArea>
    </format>
    <format dxfId="366">
      <pivotArea collapsedLevelsAreSubtotals="1" fieldPosition="0">
        <references count="1">
          <reference field="6" count="1">
            <x v="1910"/>
          </reference>
        </references>
      </pivotArea>
    </format>
    <format dxfId="365">
      <pivotArea collapsedLevelsAreSubtotals="1" fieldPosition="0">
        <references count="1">
          <reference field="6" count="1">
            <x v="1918"/>
          </reference>
        </references>
      </pivotArea>
    </format>
    <format dxfId="364">
      <pivotArea collapsedLevelsAreSubtotals="1" fieldPosition="0">
        <references count="1">
          <reference field="6" count="1">
            <x v="1924"/>
          </reference>
        </references>
      </pivotArea>
    </format>
    <format dxfId="363">
      <pivotArea collapsedLevelsAreSubtotals="1" fieldPosition="0">
        <references count="1">
          <reference field="6" count="1">
            <x v="1930"/>
          </reference>
        </references>
      </pivotArea>
    </format>
    <format dxfId="362">
      <pivotArea collapsedLevelsAreSubtotals="1" fieldPosition="0">
        <references count="1">
          <reference field="6" count="1">
            <x v="1969"/>
          </reference>
        </references>
      </pivotArea>
    </format>
    <format dxfId="361">
      <pivotArea collapsedLevelsAreSubtotals="1" fieldPosition="0">
        <references count="1">
          <reference field="6" count="1">
            <x v="1974"/>
          </reference>
        </references>
      </pivotArea>
    </format>
    <format dxfId="360">
      <pivotArea collapsedLevelsAreSubtotals="1" fieldPosition="0">
        <references count="1">
          <reference field="6" count="1">
            <x v="1998"/>
          </reference>
        </references>
      </pivotArea>
    </format>
    <format dxfId="359">
      <pivotArea collapsedLevelsAreSubtotals="1" fieldPosition="0">
        <references count="1">
          <reference field="6" count="1">
            <x v="2017"/>
          </reference>
        </references>
      </pivotArea>
    </format>
    <format dxfId="358">
      <pivotArea collapsedLevelsAreSubtotals="1" fieldPosition="0">
        <references count="1">
          <reference field="6" count="1">
            <x v="2029"/>
          </reference>
        </references>
      </pivotArea>
    </format>
    <format dxfId="357">
      <pivotArea collapsedLevelsAreSubtotals="1" fieldPosition="0">
        <references count="1">
          <reference field="6" count="1">
            <x v="2033"/>
          </reference>
        </references>
      </pivotArea>
    </format>
    <format dxfId="356">
      <pivotArea collapsedLevelsAreSubtotals="1" fieldPosition="0">
        <references count="1">
          <reference field="6" count="1">
            <x v="2047"/>
          </reference>
        </references>
      </pivotArea>
    </format>
    <format dxfId="355">
      <pivotArea collapsedLevelsAreSubtotals="1" fieldPosition="0">
        <references count="1">
          <reference field="6" count="1">
            <x v="2055"/>
          </reference>
        </references>
      </pivotArea>
    </format>
    <format dxfId="354">
      <pivotArea collapsedLevelsAreSubtotals="1" fieldPosition="0">
        <references count="1">
          <reference field="6" count="1">
            <x v="2067"/>
          </reference>
        </references>
      </pivotArea>
    </format>
    <format dxfId="353">
      <pivotArea collapsedLevelsAreSubtotals="1" fieldPosition="0">
        <references count="1">
          <reference field="6" count="1">
            <x v="2102"/>
          </reference>
        </references>
      </pivotArea>
    </format>
    <format dxfId="352">
      <pivotArea collapsedLevelsAreSubtotals="1" fieldPosition="0">
        <references count="1">
          <reference field="6" count="1">
            <x v="2110"/>
          </reference>
        </references>
      </pivotArea>
    </format>
    <format dxfId="351">
      <pivotArea collapsedLevelsAreSubtotals="1" fieldPosition="0">
        <references count="1">
          <reference field="6" count="1">
            <x v="2114"/>
          </reference>
        </references>
      </pivotArea>
    </format>
    <format dxfId="350">
      <pivotArea collapsedLevelsAreSubtotals="1" fieldPosition="0">
        <references count="1">
          <reference field="6" count="1">
            <x v="2168"/>
          </reference>
        </references>
      </pivotArea>
    </format>
    <format dxfId="349">
      <pivotArea collapsedLevelsAreSubtotals="1" fieldPosition="0">
        <references count="1">
          <reference field="6" count="1">
            <x v="2170"/>
          </reference>
        </references>
      </pivotArea>
    </format>
    <format dxfId="348">
      <pivotArea collapsedLevelsAreSubtotals="1" fieldPosition="0">
        <references count="1">
          <reference field="6" count="1">
            <x v="2178"/>
          </reference>
        </references>
      </pivotArea>
    </format>
    <format dxfId="347">
      <pivotArea collapsedLevelsAreSubtotals="1" fieldPosition="0">
        <references count="1">
          <reference field="6" count="1">
            <x v="2209"/>
          </reference>
        </references>
      </pivotArea>
    </format>
    <format dxfId="346">
      <pivotArea collapsedLevelsAreSubtotals="1" fieldPosition="0">
        <references count="1">
          <reference field="6" count="1">
            <x v="2214"/>
          </reference>
        </references>
      </pivotArea>
    </format>
    <format dxfId="345">
      <pivotArea type="all" dataOnly="0" outline="0" fieldPosition="0"/>
    </format>
    <format dxfId="344">
      <pivotArea outline="0" collapsedLevelsAreSubtotals="1" fieldPosition="0"/>
    </format>
    <format dxfId="343">
      <pivotArea type="origin" dataOnly="0" labelOnly="1" outline="0" fieldPosition="0"/>
    </format>
    <format dxfId="342">
      <pivotArea field="19" type="button" dataOnly="0" labelOnly="1" outline="0" axis="axisCol" fieldPosition="0"/>
    </format>
    <format dxfId="341">
      <pivotArea type="topRight" dataOnly="0" labelOnly="1" outline="0" fieldPosition="0"/>
    </format>
    <format dxfId="340">
      <pivotArea field="6" type="button" dataOnly="0" labelOnly="1" outline="0" axis="axisRow" fieldPosition="0"/>
    </format>
    <format dxfId="339">
      <pivotArea dataOnly="0" labelOnly="1" fieldPosition="0">
        <references count="1">
          <reference field="6" count="50">
            <x v="11"/>
            <x v="19"/>
            <x v="32"/>
            <x v="33"/>
            <x v="54"/>
            <x v="57"/>
            <x v="74"/>
            <x v="75"/>
            <x v="78"/>
            <x v="85"/>
            <x v="93"/>
            <x v="99"/>
            <x v="101"/>
            <x v="102"/>
            <x v="111"/>
            <x v="116"/>
            <x v="120"/>
            <x v="121"/>
            <x v="134"/>
            <x v="137"/>
            <x v="141"/>
            <x v="148"/>
            <x v="154"/>
            <x v="166"/>
            <x v="177"/>
            <x v="192"/>
            <x v="194"/>
            <x v="215"/>
            <x v="217"/>
            <x v="218"/>
            <x v="222"/>
            <x v="242"/>
            <x v="246"/>
            <x v="253"/>
            <x v="273"/>
            <x v="276"/>
            <x v="278"/>
            <x v="283"/>
            <x v="287"/>
            <x v="289"/>
            <x v="302"/>
            <x v="303"/>
            <x v="305"/>
            <x v="332"/>
            <x v="334"/>
            <x v="336"/>
            <x v="339"/>
            <x v="342"/>
            <x v="350"/>
            <x v="360"/>
          </reference>
        </references>
      </pivotArea>
    </format>
    <format dxfId="338">
      <pivotArea dataOnly="0" labelOnly="1" fieldPosition="0">
        <references count="1">
          <reference field="6" count="50">
            <x v="377"/>
            <x v="383"/>
            <x v="388"/>
            <x v="390"/>
            <x v="394"/>
            <x v="402"/>
            <x v="409"/>
            <x v="418"/>
            <x v="438"/>
            <x v="447"/>
            <x v="455"/>
            <x v="463"/>
            <x v="470"/>
            <x v="473"/>
            <x v="479"/>
            <x v="496"/>
            <x v="500"/>
            <x v="501"/>
            <x v="502"/>
            <x v="503"/>
            <x v="522"/>
            <x v="523"/>
            <x v="524"/>
            <x v="532"/>
            <x v="533"/>
            <x v="536"/>
            <x v="538"/>
            <x v="540"/>
            <x v="545"/>
            <x v="547"/>
            <x v="563"/>
            <x v="596"/>
            <x v="598"/>
            <x v="599"/>
            <x v="600"/>
            <x v="601"/>
            <x v="609"/>
            <x v="611"/>
            <x v="612"/>
            <x v="620"/>
            <x v="623"/>
            <x v="634"/>
            <x v="636"/>
            <x v="647"/>
            <x v="654"/>
            <x v="659"/>
            <x v="662"/>
            <x v="663"/>
            <x v="680"/>
            <x v="681"/>
          </reference>
        </references>
      </pivotArea>
    </format>
    <format dxfId="337">
      <pivotArea dataOnly="0" labelOnly="1" fieldPosition="0">
        <references count="1">
          <reference field="6" count="50">
            <x v="694"/>
            <x v="696"/>
            <x v="698"/>
            <x v="699"/>
            <x v="700"/>
            <x v="704"/>
            <x v="705"/>
            <x v="706"/>
            <x v="709"/>
            <x v="711"/>
            <x v="724"/>
            <x v="725"/>
            <x v="726"/>
            <x v="738"/>
            <x v="758"/>
            <x v="796"/>
            <x v="805"/>
            <x v="810"/>
            <x v="811"/>
            <x v="812"/>
            <x v="819"/>
            <x v="832"/>
            <x v="836"/>
            <x v="846"/>
            <x v="865"/>
            <x v="866"/>
            <x v="867"/>
            <x v="882"/>
            <x v="890"/>
            <x v="891"/>
            <x v="894"/>
            <x v="900"/>
            <x v="901"/>
            <x v="906"/>
            <x v="910"/>
            <x v="913"/>
            <x v="914"/>
            <x v="922"/>
            <x v="923"/>
            <x v="924"/>
            <x v="927"/>
            <x v="933"/>
            <x v="935"/>
            <x v="942"/>
            <x v="947"/>
            <x v="972"/>
            <x v="974"/>
            <x v="975"/>
            <x v="977"/>
            <x v="978"/>
          </reference>
        </references>
      </pivotArea>
    </format>
    <format dxfId="336">
      <pivotArea dataOnly="0" labelOnly="1" fieldPosition="0">
        <references count="1">
          <reference field="6" count="50">
            <x v="980"/>
            <x v="986"/>
            <x v="1000"/>
            <x v="1004"/>
            <x v="1007"/>
            <x v="1016"/>
            <x v="1020"/>
            <x v="1035"/>
            <x v="1044"/>
            <x v="1047"/>
            <x v="1057"/>
            <x v="1067"/>
            <x v="1069"/>
            <x v="1070"/>
            <x v="1084"/>
            <x v="1088"/>
            <x v="1100"/>
            <x v="1105"/>
            <x v="1129"/>
            <x v="1153"/>
            <x v="1158"/>
            <x v="1169"/>
            <x v="1172"/>
            <x v="1173"/>
            <x v="1181"/>
            <x v="1186"/>
            <x v="1189"/>
            <x v="1190"/>
            <x v="1199"/>
            <x v="1201"/>
            <x v="1202"/>
            <x v="1204"/>
            <x v="1224"/>
            <x v="1229"/>
            <x v="1231"/>
            <x v="1235"/>
            <x v="1249"/>
            <x v="1254"/>
            <x v="1256"/>
            <x v="1259"/>
            <x v="1262"/>
            <x v="1266"/>
            <x v="1273"/>
            <x v="1274"/>
            <x v="1277"/>
            <x v="1279"/>
            <x v="1290"/>
            <x v="1298"/>
            <x v="1312"/>
            <x v="1313"/>
          </reference>
        </references>
      </pivotArea>
    </format>
    <format dxfId="335">
      <pivotArea dataOnly="0" labelOnly="1" fieldPosition="0">
        <references count="1">
          <reference field="6" count="50">
            <x v="1330"/>
            <x v="1345"/>
            <x v="1360"/>
            <x v="1364"/>
            <x v="1371"/>
            <x v="1375"/>
            <x v="1382"/>
            <x v="1389"/>
            <x v="1390"/>
            <x v="1396"/>
            <x v="1402"/>
            <x v="1423"/>
            <x v="1430"/>
            <x v="1441"/>
            <x v="1447"/>
            <x v="1450"/>
            <x v="1453"/>
            <x v="1455"/>
            <x v="1462"/>
            <x v="1470"/>
            <x v="1474"/>
            <x v="1475"/>
            <x v="1485"/>
            <x v="1486"/>
            <x v="1488"/>
            <x v="1493"/>
            <x v="1496"/>
            <x v="1500"/>
            <x v="1505"/>
            <x v="1508"/>
            <x v="1509"/>
            <x v="1510"/>
            <x v="1512"/>
            <x v="1517"/>
            <x v="1524"/>
            <x v="1526"/>
            <x v="1527"/>
            <x v="1529"/>
            <x v="1534"/>
            <x v="1545"/>
            <x v="1553"/>
            <x v="1560"/>
            <x v="1562"/>
            <x v="1565"/>
            <x v="1572"/>
            <x v="1575"/>
            <x v="1579"/>
            <x v="1581"/>
            <x v="1585"/>
            <x v="1599"/>
          </reference>
        </references>
      </pivotArea>
    </format>
    <format dxfId="334">
      <pivotArea dataOnly="0" labelOnly="1" fieldPosition="0">
        <references count="1">
          <reference field="6" count="50">
            <x v="1601"/>
            <x v="1602"/>
            <x v="1604"/>
            <x v="1606"/>
            <x v="1609"/>
            <x v="1612"/>
            <x v="1620"/>
            <x v="1627"/>
            <x v="1632"/>
            <x v="1641"/>
            <x v="1648"/>
            <x v="1654"/>
            <x v="1658"/>
            <x v="1662"/>
            <x v="1667"/>
            <x v="1672"/>
            <x v="1674"/>
            <x v="1686"/>
            <x v="1687"/>
            <x v="1688"/>
            <x v="1692"/>
            <x v="1694"/>
            <x v="1702"/>
            <x v="1703"/>
            <x v="1704"/>
            <x v="1714"/>
            <x v="1718"/>
            <x v="1721"/>
            <x v="1728"/>
            <x v="1732"/>
            <x v="1740"/>
            <x v="1742"/>
            <x v="1748"/>
            <x v="1761"/>
            <x v="1774"/>
            <x v="1775"/>
            <x v="1780"/>
            <x v="1786"/>
            <x v="1789"/>
            <x v="1790"/>
            <x v="1791"/>
            <x v="1796"/>
            <x v="1799"/>
            <x v="1801"/>
            <x v="1805"/>
            <x v="1808"/>
            <x v="1809"/>
            <x v="1820"/>
            <x v="1822"/>
            <x v="1825"/>
          </reference>
        </references>
      </pivotArea>
    </format>
    <format dxfId="333">
      <pivotArea dataOnly="0" labelOnly="1" fieldPosition="0">
        <references count="1">
          <reference field="6" count="50">
            <x v="1826"/>
            <x v="1830"/>
            <x v="1850"/>
            <x v="1862"/>
            <x v="1863"/>
            <x v="1869"/>
            <x v="1872"/>
            <x v="1873"/>
            <x v="1876"/>
            <x v="1884"/>
            <x v="1890"/>
            <x v="1893"/>
            <x v="1900"/>
            <x v="1907"/>
            <x v="1930"/>
            <x v="1933"/>
            <x v="1934"/>
            <x v="1939"/>
            <x v="1966"/>
            <x v="1967"/>
            <x v="1972"/>
            <x v="1988"/>
            <x v="1990"/>
            <x v="1993"/>
            <x v="2011"/>
            <x v="2015"/>
            <x v="2025"/>
            <x v="2029"/>
            <x v="2030"/>
            <x v="2031"/>
            <x v="2038"/>
            <x v="2051"/>
            <x v="2056"/>
            <x v="2068"/>
            <x v="2073"/>
            <x v="2082"/>
            <x v="2084"/>
            <x v="2087"/>
            <x v="2093"/>
            <x v="2094"/>
            <x v="2095"/>
            <x v="2096"/>
            <x v="2097"/>
            <x v="2105"/>
            <x v="2106"/>
            <x v="2108"/>
            <x v="2114"/>
            <x v="2124"/>
            <x v="2152"/>
            <x v="2154"/>
          </reference>
        </references>
      </pivotArea>
    </format>
    <format dxfId="332">
      <pivotArea dataOnly="0" labelOnly="1" fieldPosition="0">
        <references count="1">
          <reference field="6" count="9">
            <x v="2156"/>
            <x v="2157"/>
            <x v="2169"/>
            <x v="2188"/>
            <x v="2193"/>
            <x v="2204"/>
            <x v="2214"/>
            <x v="2216"/>
            <x v="2219"/>
          </reference>
        </references>
      </pivotArea>
    </format>
    <format dxfId="331">
      <pivotArea dataOnly="0" labelOnly="1" grandRow="1" outline="0" fieldPosition="0"/>
    </format>
    <format dxfId="330">
      <pivotArea dataOnly="0" labelOnly="1" fieldPosition="0">
        <references count="1">
          <reference field="19" count="0"/>
        </references>
      </pivotArea>
    </format>
    <format dxfId="329">
      <pivotArea dataOnly="0" labelOnly="1" grandCol="1" outline="0" fieldPosition="0"/>
    </format>
    <format dxfId="328">
      <pivotArea dataOnly="0" labelOnly="1" fieldPosition="0">
        <references count="1">
          <reference field="6" count="50">
            <x v="0"/>
            <x v="1"/>
            <x v="5"/>
            <x v="15"/>
            <x v="23"/>
            <x v="26"/>
            <x v="27"/>
            <x v="30"/>
            <x v="33"/>
            <x v="44"/>
            <x v="45"/>
            <x v="47"/>
            <x v="48"/>
            <x v="51"/>
            <x v="54"/>
            <x v="55"/>
            <x v="57"/>
            <x v="60"/>
            <x v="61"/>
            <x v="64"/>
            <x v="65"/>
            <x v="69"/>
            <x v="78"/>
            <x v="80"/>
            <x v="90"/>
            <x v="91"/>
            <x v="94"/>
            <x v="97"/>
            <x v="99"/>
            <x v="101"/>
            <x v="102"/>
            <x v="103"/>
            <x v="104"/>
            <x v="107"/>
            <x v="108"/>
            <x v="115"/>
            <x v="120"/>
            <x v="121"/>
            <x v="122"/>
            <x v="126"/>
            <x v="131"/>
            <x v="132"/>
            <x v="144"/>
            <x v="148"/>
            <x v="149"/>
            <x v="155"/>
            <x v="161"/>
            <x v="164"/>
            <x v="166"/>
            <x v="167"/>
          </reference>
        </references>
      </pivotArea>
    </format>
    <format dxfId="327">
      <pivotArea dataOnly="0" labelOnly="1" fieldPosition="0">
        <references count="1">
          <reference field="6" count="50">
            <x v="176"/>
            <x v="182"/>
            <x v="188"/>
            <x v="189"/>
            <x v="191"/>
            <x v="192"/>
            <x v="194"/>
            <x v="196"/>
            <x v="200"/>
            <x v="202"/>
            <x v="224"/>
            <x v="225"/>
            <x v="228"/>
            <x v="234"/>
            <x v="240"/>
            <x v="252"/>
            <x v="254"/>
            <x v="270"/>
            <x v="271"/>
            <x v="277"/>
            <x v="278"/>
            <x v="282"/>
            <x v="283"/>
            <x v="286"/>
            <x v="287"/>
            <x v="290"/>
            <x v="292"/>
            <x v="303"/>
            <x v="305"/>
            <x v="306"/>
            <x v="307"/>
            <x v="308"/>
            <x v="309"/>
            <x v="310"/>
            <x v="315"/>
            <x v="317"/>
            <x v="323"/>
            <x v="326"/>
            <x v="332"/>
            <x v="334"/>
            <x v="336"/>
            <x v="342"/>
            <x v="345"/>
            <x v="348"/>
            <x v="350"/>
            <x v="351"/>
            <x v="353"/>
            <x v="362"/>
            <x v="364"/>
            <x v="369"/>
          </reference>
        </references>
      </pivotArea>
    </format>
    <format dxfId="326">
      <pivotArea dataOnly="0" labelOnly="1" fieldPosition="0">
        <references count="1">
          <reference field="6" count="50">
            <x v="372"/>
            <x v="374"/>
            <x v="376"/>
            <x v="382"/>
            <x v="383"/>
            <x v="384"/>
            <x v="386"/>
            <x v="394"/>
            <x v="406"/>
            <x v="407"/>
            <x v="409"/>
            <x v="410"/>
            <x v="418"/>
            <x v="421"/>
            <x v="428"/>
            <x v="435"/>
            <x v="436"/>
            <x v="438"/>
            <x v="439"/>
            <x v="440"/>
            <x v="443"/>
            <x v="448"/>
            <x v="450"/>
            <x v="452"/>
            <x v="454"/>
            <x v="455"/>
            <x v="457"/>
            <x v="461"/>
            <x v="474"/>
            <x v="475"/>
            <x v="478"/>
            <x v="479"/>
            <x v="482"/>
            <x v="491"/>
            <x v="494"/>
            <x v="495"/>
            <x v="497"/>
            <x v="498"/>
            <x v="499"/>
            <x v="501"/>
            <x v="503"/>
            <x v="504"/>
            <x v="506"/>
            <x v="508"/>
            <x v="510"/>
            <x v="513"/>
            <x v="516"/>
            <x v="522"/>
            <x v="524"/>
            <x v="530"/>
          </reference>
        </references>
      </pivotArea>
    </format>
    <format dxfId="325">
      <pivotArea dataOnly="0" labelOnly="1" fieldPosition="0">
        <references count="1">
          <reference field="6" count="50">
            <x v="531"/>
            <x v="532"/>
            <x v="533"/>
            <x v="536"/>
            <x v="538"/>
            <x v="540"/>
            <x v="547"/>
            <x v="549"/>
            <x v="551"/>
            <x v="555"/>
            <x v="563"/>
            <x v="564"/>
            <x v="576"/>
            <x v="586"/>
            <x v="590"/>
            <x v="591"/>
            <x v="594"/>
            <x v="595"/>
            <x v="596"/>
            <x v="601"/>
            <x v="603"/>
            <x v="608"/>
            <x v="611"/>
            <x v="612"/>
            <x v="621"/>
            <x v="622"/>
            <x v="623"/>
            <x v="626"/>
            <x v="628"/>
            <x v="631"/>
            <x v="634"/>
            <x v="636"/>
            <x v="637"/>
            <x v="642"/>
            <x v="644"/>
            <x v="648"/>
            <x v="651"/>
            <x v="654"/>
            <x v="655"/>
            <x v="658"/>
            <x v="659"/>
            <x v="670"/>
            <x v="671"/>
            <x v="673"/>
            <x v="674"/>
            <x v="678"/>
            <x v="680"/>
            <x v="687"/>
            <x v="688"/>
            <x v="690"/>
          </reference>
        </references>
      </pivotArea>
    </format>
    <format dxfId="324">
      <pivotArea dataOnly="0" labelOnly="1" fieldPosition="0">
        <references count="1">
          <reference field="6" count="50">
            <x v="691"/>
            <x v="698"/>
            <x v="699"/>
            <x v="700"/>
            <x v="701"/>
            <x v="705"/>
            <x v="706"/>
            <x v="709"/>
            <x v="711"/>
            <x v="715"/>
            <x v="717"/>
            <x v="720"/>
            <x v="727"/>
            <x v="729"/>
            <x v="730"/>
            <x v="736"/>
            <x v="738"/>
            <x v="745"/>
            <x v="747"/>
            <x v="749"/>
            <x v="750"/>
            <x v="752"/>
            <x v="756"/>
            <x v="757"/>
            <x v="758"/>
            <x v="762"/>
            <x v="769"/>
            <x v="770"/>
            <x v="773"/>
            <x v="775"/>
            <x v="777"/>
            <x v="781"/>
            <x v="782"/>
            <x v="784"/>
            <x v="787"/>
            <x v="789"/>
            <x v="795"/>
            <x v="796"/>
            <x v="804"/>
            <x v="805"/>
            <x v="806"/>
            <x v="811"/>
            <x v="815"/>
            <x v="819"/>
            <x v="832"/>
            <x v="834"/>
            <x v="842"/>
            <x v="843"/>
            <x v="846"/>
            <x v="847"/>
          </reference>
        </references>
      </pivotArea>
    </format>
    <format dxfId="323">
      <pivotArea dataOnly="0" labelOnly="1" fieldPosition="0">
        <references count="1">
          <reference field="6" count="50">
            <x v="848"/>
            <x v="851"/>
            <x v="855"/>
            <x v="858"/>
            <x v="862"/>
            <x v="865"/>
            <x v="866"/>
            <x v="869"/>
            <x v="875"/>
            <x v="878"/>
            <x v="882"/>
            <x v="894"/>
            <x v="896"/>
            <x v="901"/>
            <x v="906"/>
            <x v="910"/>
            <x v="911"/>
            <x v="921"/>
            <x v="922"/>
            <x v="923"/>
            <x v="924"/>
            <x v="927"/>
            <x v="928"/>
            <x v="934"/>
            <x v="939"/>
            <x v="942"/>
            <x v="943"/>
            <x v="944"/>
            <x v="947"/>
            <x v="948"/>
            <x v="949"/>
            <x v="950"/>
            <x v="956"/>
            <x v="962"/>
            <x v="964"/>
            <x v="965"/>
            <x v="966"/>
            <x v="970"/>
            <x v="980"/>
            <x v="987"/>
            <x v="991"/>
            <x v="994"/>
            <x v="995"/>
            <x v="1000"/>
            <x v="1005"/>
            <x v="1009"/>
            <x v="1011"/>
            <x v="1012"/>
            <x v="1015"/>
            <x v="1016"/>
          </reference>
        </references>
      </pivotArea>
    </format>
    <format dxfId="322">
      <pivotArea dataOnly="0" labelOnly="1" fieldPosition="0">
        <references count="1">
          <reference field="6" count="50">
            <x v="1019"/>
            <x v="1024"/>
            <x v="1028"/>
            <x v="1031"/>
            <x v="1034"/>
            <x v="1042"/>
            <x v="1057"/>
            <x v="1059"/>
            <x v="1061"/>
            <x v="1065"/>
            <x v="1069"/>
            <x v="1078"/>
            <x v="1079"/>
            <x v="1081"/>
            <x v="1083"/>
            <x v="1084"/>
            <x v="1088"/>
            <x v="1093"/>
            <x v="1094"/>
            <x v="1095"/>
            <x v="1096"/>
            <x v="1099"/>
            <x v="1101"/>
            <x v="1105"/>
            <x v="1107"/>
            <x v="1109"/>
            <x v="1110"/>
            <x v="1111"/>
            <x v="1112"/>
            <x v="1116"/>
            <x v="1120"/>
            <x v="1129"/>
            <x v="1130"/>
            <x v="1131"/>
            <x v="1133"/>
            <x v="1143"/>
            <x v="1145"/>
            <x v="1147"/>
            <x v="1153"/>
            <x v="1154"/>
            <x v="1155"/>
            <x v="1158"/>
            <x v="1164"/>
            <x v="1165"/>
            <x v="1167"/>
            <x v="1172"/>
            <x v="1173"/>
            <x v="1176"/>
            <x v="1179"/>
            <x v="1180"/>
          </reference>
        </references>
      </pivotArea>
    </format>
    <format dxfId="321">
      <pivotArea dataOnly="0" labelOnly="1" fieldPosition="0">
        <references count="1">
          <reference field="6" count="50">
            <x v="1186"/>
            <x v="1187"/>
            <x v="1200"/>
            <x v="1203"/>
            <x v="1205"/>
            <x v="1211"/>
            <x v="1220"/>
            <x v="1223"/>
            <x v="1224"/>
            <x v="1230"/>
            <x v="1231"/>
            <x v="1245"/>
            <x v="1249"/>
            <x v="1252"/>
            <x v="1254"/>
            <x v="1256"/>
            <x v="1262"/>
            <x v="1263"/>
            <x v="1270"/>
            <x v="1271"/>
            <x v="1272"/>
            <x v="1274"/>
            <x v="1279"/>
            <x v="1287"/>
            <x v="1290"/>
            <x v="1297"/>
            <x v="1301"/>
            <x v="1304"/>
            <x v="1313"/>
            <x v="1316"/>
            <x v="1318"/>
            <x v="1329"/>
            <x v="1335"/>
            <x v="1338"/>
            <x v="1344"/>
            <x v="1345"/>
            <x v="1348"/>
            <x v="1352"/>
            <x v="1358"/>
            <x v="1359"/>
            <x v="1362"/>
            <x v="1363"/>
            <x v="1364"/>
            <x v="1371"/>
            <x v="1377"/>
            <x v="1390"/>
            <x v="1392"/>
            <x v="1401"/>
            <x v="1402"/>
            <x v="1407"/>
          </reference>
        </references>
      </pivotArea>
    </format>
    <format dxfId="320">
      <pivotArea dataOnly="0" labelOnly="1" fieldPosition="0">
        <references count="1">
          <reference field="6" count="50">
            <x v="1410"/>
            <x v="1415"/>
            <x v="1419"/>
            <x v="1420"/>
            <x v="1423"/>
            <x v="1440"/>
            <x v="1441"/>
            <x v="1446"/>
            <x v="1449"/>
            <x v="1450"/>
            <x v="1455"/>
            <x v="1458"/>
            <x v="1462"/>
            <x v="1465"/>
            <x v="1477"/>
            <x v="1482"/>
            <x v="1485"/>
            <x v="1486"/>
            <x v="1488"/>
            <x v="1491"/>
            <x v="1497"/>
            <x v="1502"/>
            <x v="1508"/>
            <x v="1509"/>
            <x v="1512"/>
            <x v="1513"/>
            <x v="1520"/>
            <x v="1524"/>
            <x v="1525"/>
            <x v="1528"/>
            <x v="1529"/>
            <x v="1533"/>
            <x v="1536"/>
            <x v="1545"/>
            <x v="1551"/>
            <x v="1554"/>
            <x v="1556"/>
            <x v="1561"/>
            <x v="1565"/>
            <x v="1572"/>
            <x v="1576"/>
            <x v="1577"/>
            <x v="1582"/>
            <x v="1585"/>
            <x v="1587"/>
            <x v="1588"/>
            <x v="1589"/>
            <x v="1590"/>
            <x v="1601"/>
            <x v="1603"/>
          </reference>
        </references>
      </pivotArea>
    </format>
    <format dxfId="319">
      <pivotArea dataOnly="0" labelOnly="1" fieldPosition="0">
        <references count="1">
          <reference field="6" count="50">
            <x v="1605"/>
            <x v="1606"/>
            <x v="1611"/>
            <x v="1612"/>
            <x v="1620"/>
            <x v="1626"/>
            <x v="1628"/>
            <x v="1631"/>
            <x v="1635"/>
            <x v="1636"/>
            <x v="1638"/>
            <x v="1641"/>
            <x v="1646"/>
            <x v="1648"/>
            <x v="1652"/>
            <x v="1655"/>
            <x v="1660"/>
            <x v="1669"/>
            <x v="1685"/>
            <x v="1686"/>
            <x v="1692"/>
            <x v="1694"/>
            <x v="1697"/>
            <x v="1704"/>
            <x v="1710"/>
            <x v="1718"/>
            <x v="1721"/>
            <x v="1726"/>
            <x v="1732"/>
            <x v="1742"/>
            <x v="1747"/>
            <x v="1750"/>
            <x v="1751"/>
            <x v="1752"/>
            <x v="1753"/>
            <x v="1761"/>
            <x v="1765"/>
            <x v="1771"/>
            <x v="1774"/>
            <x v="1775"/>
            <x v="1777"/>
            <x v="1779"/>
            <x v="1781"/>
            <x v="1783"/>
            <x v="1786"/>
            <x v="1790"/>
            <x v="1794"/>
            <x v="1807"/>
            <x v="1808"/>
            <x v="1811"/>
          </reference>
        </references>
      </pivotArea>
    </format>
    <format dxfId="318">
      <pivotArea dataOnly="0" labelOnly="1" fieldPosition="0">
        <references count="1">
          <reference field="6" count="50">
            <x v="1813"/>
            <x v="1815"/>
            <x v="1818"/>
            <x v="1820"/>
            <x v="1823"/>
            <x v="1825"/>
            <x v="1826"/>
            <x v="1832"/>
            <x v="1834"/>
            <x v="1835"/>
            <x v="1837"/>
            <x v="1845"/>
            <x v="1854"/>
            <x v="1855"/>
            <x v="1859"/>
            <x v="1861"/>
            <x v="1864"/>
            <x v="1867"/>
            <x v="1869"/>
            <x v="1872"/>
            <x v="1878"/>
            <x v="1879"/>
            <x v="1890"/>
            <x v="1891"/>
            <x v="1892"/>
            <x v="1896"/>
            <x v="1897"/>
            <x v="1899"/>
            <x v="1900"/>
            <x v="1901"/>
            <x v="1903"/>
            <x v="1912"/>
            <x v="1913"/>
            <x v="1915"/>
            <x v="1921"/>
            <x v="1925"/>
            <x v="1928"/>
            <x v="1930"/>
            <x v="1933"/>
            <x v="1934"/>
            <x v="1935"/>
            <x v="1939"/>
            <x v="1943"/>
            <x v="1944"/>
            <x v="1952"/>
            <x v="1959"/>
            <x v="1960"/>
            <x v="1965"/>
            <x v="1970"/>
            <x v="1971"/>
          </reference>
        </references>
      </pivotArea>
    </format>
    <format dxfId="317">
      <pivotArea dataOnly="0" labelOnly="1" fieldPosition="0">
        <references count="1">
          <reference field="6" count="50">
            <x v="1980"/>
            <x v="1983"/>
            <x v="1984"/>
            <x v="1986"/>
            <x v="1987"/>
            <x v="1988"/>
            <x v="1989"/>
            <x v="1990"/>
            <x v="1991"/>
            <x v="1993"/>
            <x v="1996"/>
            <x v="1999"/>
            <x v="2002"/>
            <x v="2006"/>
            <x v="2007"/>
            <x v="2009"/>
            <x v="2011"/>
            <x v="2012"/>
            <x v="2013"/>
            <x v="2015"/>
            <x v="2016"/>
            <x v="2021"/>
            <x v="2022"/>
            <x v="2025"/>
            <x v="2027"/>
            <x v="2029"/>
            <x v="2030"/>
            <x v="2031"/>
            <x v="2037"/>
            <x v="2038"/>
            <x v="2040"/>
            <x v="2042"/>
            <x v="2049"/>
            <x v="2051"/>
            <x v="2052"/>
            <x v="2053"/>
            <x v="2060"/>
            <x v="2061"/>
            <x v="2063"/>
            <x v="2066"/>
            <x v="2068"/>
            <x v="2069"/>
            <x v="2070"/>
            <x v="2085"/>
            <x v="2087"/>
            <x v="2089"/>
            <x v="2091"/>
            <x v="2092"/>
            <x v="2095"/>
            <x v="2096"/>
          </reference>
        </references>
      </pivotArea>
    </format>
    <format dxfId="316">
      <pivotArea dataOnly="0" labelOnly="1" fieldPosition="0">
        <references count="1">
          <reference field="6" count="41">
            <x v="2097"/>
            <x v="2103"/>
            <x v="2104"/>
            <x v="2110"/>
            <x v="2112"/>
            <x v="2114"/>
            <x v="2117"/>
            <x v="2118"/>
            <x v="2120"/>
            <x v="2123"/>
            <x v="2127"/>
            <x v="2128"/>
            <x v="2129"/>
            <x v="2131"/>
            <x v="2139"/>
            <x v="2146"/>
            <x v="2148"/>
            <x v="2149"/>
            <x v="2151"/>
            <x v="2154"/>
            <x v="2155"/>
            <x v="2156"/>
            <x v="2161"/>
            <x v="2163"/>
            <x v="2168"/>
            <x v="2174"/>
            <x v="2180"/>
            <x v="2186"/>
            <x v="2190"/>
            <x v="2191"/>
            <x v="2193"/>
            <x v="2196"/>
            <x v="2198"/>
            <x v="2204"/>
            <x v="2209"/>
            <x v="2212"/>
            <x v="2214"/>
            <x v="2216"/>
            <x v="2217"/>
            <x v="2219"/>
            <x v="2221"/>
          </reference>
        </references>
      </pivotArea>
    </format>
    <format dxfId="315">
      <pivotArea dataOnly="0" labelOnly="1" fieldPosition="0">
        <references count="1">
          <reference field="6" count="1">
            <x v="530"/>
          </reference>
        </references>
      </pivotArea>
    </format>
    <format dxfId="314">
      <pivotArea collapsedLevelsAreSubtotals="1" fieldPosition="0">
        <references count="1">
          <reference field="6" count="17">
            <x v="64"/>
            <x v="65"/>
            <x v="522"/>
            <x v="711"/>
            <x v="906"/>
            <x v="1101"/>
            <x v="1120"/>
            <x v="1329"/>
            <x v="1525"/>
            <x v="1589"/>
            <x v="1704"/>
            <x v="1811"/>
            <x v="1901"/>
            <x v="1912"/>
            <x v="1993"/>
            <x v="2031"/>
            <x v="2095"/>
          </reference>
        </references>
      </pivotArea>
    </format>
    <format dxfId="313">
      <pivotArea dataOnly="0" labelOnly="1" fieldPosition="0">
        <references count="1">
          <reference field="6" count="17">
            <x v="64"/>
            <x v="65"/>
            <x v="522"/>
            <x v="711"/>
            <x v="906"/>
            <x v="1101"/>
            <x v="1120"/>
            <x v="1329"/>
            <x v="1525"/>
            <x v="1589"/>
            <x v="1704"/>
            <x v="1811"/>
            <x v="1901"/>
            <x v="1912"/>
            <x v="1993"/>
            <x v="2031"/>
            <x v="2095"/>
          </reference>
        </references>
      </pivotArea>
    </format>
    <format dxfId="312">
      <pivotArea dataOnly="0" labelOnly="1" fieldPosition="0">
        <references count="1">
          <reference field="6" count="50">
            <x v="0"/>
            <x v="10"/>
            <x v="13"/>
            <x v="15"/>
            <x v="19"/>
            <x v="23"/>
            <x v="32"/>
            <x v="33"/>
            <x v="40"/>
            <x v="45"/>
            <x v="47"/>
            <x v="50"/>
            <x v="53"/>
            <x v="54"/>
            <x v="55"/>
            <x v="57"/>
            <x v="73"/>
            <x v="78"/>
            <x v="90"/>
            <x v="101"/>
            <x v="104"/>
            <x v="107"/>
            <x v="108"/>
            <x v="118"/>
            <x v="121"/>
            <x v="122"/>
            <x v="130"/>
            <x v="138"/>
            <x v="139"/>
            <x v="144"/>
            <x v="148"/>
            <x v="152"/>
            <x v="166"/>
            <x v="182"/>
            <x v="186"/>
            <x v="192"/>
            <x v="193"/>
            <x v="194"/>
            <x v="212"/>
            <x v="228"/>
            <x v="230"/>
            <x v="262"/>
            <x v="271"/>
            <x v="277"/>
            <x v="278"/>
            <x v="289"/>
            <x v="290"/>
            <x v="302"/>
            <x v="303"/>
            <x v="309"/>
          </reference>
        </references>
      </pivotArea>
    </format>
    <format dxfId="311">
      <pivotArea dataOnly="0" labelOnly="1" fieldPosition="0">
        <references count="1">
          <reference field="6" count="50">
            <x v="311"/>
            <x v="315"/>
            <x v="323"/>
            <x v="325"/>
            <x v="328"/>
            <x v="332"/>
            <x v="335"/>
            <x v="336"/>
            <x v="341"/>
            <x v="342"/>
            <x v="348"/>
            <x v="349"/>
            <x v="350"/>
            <x v="351"/>
            <x v="359"/>
            <x v="361"/>
            <x v="366"/>
            <x v="372"/>
            <x v="374"/>
            <x v="376"/>
            <x v="382"/>
            <x v="388"/>
            <x v="394"/>
            <x v="406"/>
            <x v="407"/>
            <x v="409"/>
            <x v="412"/>
            <x v="415"/>
            <x v="418"/>
            <x v="421"/>
            <x v="431"/>
            <x v="437"/>
            <x v="438"/>
            <x v="439"/>
            <x v="440"/>
            <x v="452"/>
            <x v="455"/>
            <x v="469"/>
            <x v="471"/>
            <x v="479"/>
            <x v="480"/>
            <x v="490"/>
            <x v="491"/>
            <x v="494"/>
            <x v="496"/>
            <x v="501"/>
            <x v="502"/>
            <x v="503"/>
            <x v="521"/>
            <x v="522"/>
          </reference>
        </references>
      </pivotArea>
    </format>
    <format dxfId="310">
      <pivotArea dataOnly="0" labelOnly="1" fieldPosition="0">
        <references count="1">
          <reference field="6" count="50">
            <x v="525"/>
            <x v="530"/>
            <x v="532"/>
            <x v="533"/>
            <x v="547"/>
            <x v="549"/>
            <x v="552"/>
            <x v="555"/>
            <x v="557"/>
            <x v="563"/>
            <x v="568"/>
            <x v="575"/>
            <x v="580"/>
            <x v="585"/>
            <x v="591"/>
            <x v="596"/>
            <x v="601"/>
            <x v="609"/>
            <x v="610"/>
            <x v="622"/>
            <x v="623"/>
            <x v="625"/>
            <x v="628"/>
            <x v="635"/>
            <x v="637"/>
            <x v="654"/>
            <x v="655"/>
            <x v="657"/>
            <x v="659"/>
            <x v="670"/>
            <x v="674"/>
            <x v="676"/>
            <x v="679"/>
            <x v="681"/>
            <x v="690"/>
            <x v="693"/>
            <x v="694"/>
            <x v="698"/>
            <x v="700"/>
            <x v="705"/>
            <x v="706"/>
            <x v="709"/>
            <x v="711"/>
            <x v="715"/>
            <x v="717"/>
            <x v="720"/>
            <x v="730"/>
            <x v="738"/>
            <x v="749"/>
            <x v="750"/>
          </reference>
        </references>
      </pivotArea>
    </format>
    <format dxfId="309">
      <pivotArea dataOnly="0" labelOnly="1" fieldPosition="0">
        <references count="1">
          <reference field="6" count="50">
            <x v="758"/>
            <x v="759"/>
            <x v="763"/>
            <x v="778"/>
            <x v="781"/>
            <x v="787"/>
            <x v="793"/>
            <x v="795"/>
            <x v="804"/>
            <x v="811"/>
            <x v="815"/>
            <x v="822"/>
            <x v="824"/>
            <x v="834"/>
            <x v="837"/>
            <x v="843"/>
            <x v="845"/>
            <x v="846"/>
            <x v="855"/>
            <x v="863"/>
            <x v="865"/>
            <x v="866"/>
            <x v="871"/>
            <x v="875"/>
            <x v="879"/>
            <x v="882"/>
            <x v="893"/>
            <x v="894"/>
            <x v="901"/>
            <x v="906"/>
            <x v="910"/>
            <x v="911"/>
            <x v="914"/>
            <x v="915"/>
            <x v="916"/>
            <x v="918"/>
            <x v="921"/>
            <x v="924"/>
            <x v="927"/>
            <x v="936"/>
            <x v="941"/>
            <x v="943"/>
            <x v="947"/>
            <x v="957"/>
            <x v="962"/>
            <x v="964"/>
            <x v="965"/>
            <x v="969"/>
            <x v="970"/>
            <x v="971"/>
          </reference>
        </references>
      </pivotArea>
    </format>
    <format dxfId="308">
      <pivotArea dataOnly="0" labelOnly="1" fieldPosition="0">
        <references count="1">
          <reference field="6" count="50">
            <x v="973"/>
            <x v="980"/>
            <x v="989"/>
            <x v="995"/>
            <x v="1000"/>
            <x v="1003"/>
            <x v="1008"/>
            <x v="1011"/>
            <x v="1012"/>
            <x v="1013"/>
            <x v="1014"/>
            <x v="1016"/>
            <x v="1019"/>
            <x v="1020"/>
            <x v="1022"/>
            <x v="1024"/>
            <x v="1026"/>
            <x v="1034"/>
            <x v="1036"/>
            <x v="1042"/>
            <x v="1043"/>
            <x v="1044"/>
            <x v="1046"/>
            <x v="1049"/>
            <x v="1054"/>
            <x v="1064"/>
            <x v="1077"/>
            <x v="1107"/>
            <x v="1110"/>
            <x v="1112"/>
            <x v="1114"/>
            <x v="1120"/>
            <x v="1124"/>
            <x v="1137"/>
            <x v="1153"/>
            <x v="1154"/>
            <x v="1158"/>
            <x v="1166"/>
            <x v="1173"/>
            <x v="1175"/>
            <x v="1176"/>
            <x v="1177"/>
            <x v="1178"/>
            <x v="1180"/>
            <x v="1186"/>
            <x v="1187"/>
            <x v="1200"/>
            <x v="1223"/>
            <x v="1237"/>
            <x v="1240"/>
          </reference>
        </references>
      </pivotArea>
    </format>
    <format dxfId="307">
      <pivotArea dataOnly="0" labelOnly="1" fieldPosition="0">
        <references count="1">
          <reference field="6" count="50">
            <x v="1248"/>
            <x v="1249"/>
            <x v="1252"/>
            <x v="1263"/>
            <x v="1265"/>
            <x v="1270"/>
            <x v="1279"/>
            <x v="1289"/>
            <x v="1295"/>
            <x v="1298"/>
            <x v="1314"/>
            <x v="1318"/>
            <x v="1338"/>
            <x v="1340"/>
            <x v="1347"/>
            <x v="1350"/>
            <x v="1364"/>
            <x v="1381"/>
            <x v="1387"/>
            <x v="1390"/>
            <x v="1399"/>
            <x v="1402"/>
            <x v="1404"/>
            <x v="1406"/>
            <x v="1409"/>
            <x v="1410"/>
            <x v="1412"/>
            <x v="1415"/>
            <x v="1422"/>
            <x v="1433"/>
            <x v="1435"/>
            <x v="1440"/>
            <x v="1450"/>
            <x v="1453"/>
            <x v="1454"/>
            <x v="1461"/>
            <x v="1464"/>
            <x v="1481"/>
            <x v="1485"/>
            <x v="1487"/>
            <x v="1489"/>
            <x v="1501"/>
            <x v="1502"/>
            <x v="1508"/>
            <x v="1509"/>
            <x v="1512"/>
            <x v="1513"/>
            <x v="1515"/>
            <x v="1524"/>
            <x v="1527"/>
          </reference>
        </references>
      </pivotArea>
    </format>
    <format dxfId="306">
      <pivotArea dataOnly="0" labelOnly="1" fieldPosition="0">
        <references count="1">
          <reference field="6" count="50">
            <x v="1536"/>
            <x v="1539"/>
            <x v="1542"/>
            <x v="1545"/>
            <x v="1551"/>
            <x v="1558"/>
            <x v="1559"/>
            <x v="1565"/>
            <x v="1582"/>
            <x v="1585"/>
            <x v="1587"/>
            <x v="1595"/>
            <x v="1602"/>
            <x v="1603"/>
            <x v="1623"/>
            <x v="1624"/>
            <x v="1626"/>
            <x v="1628"/>
            <x v="1631"/>
            <x v="1638"/>
            <x v="1641"/>
            <x v="1645"/>
            <x v="1646"/>
            <x v="1651"/>
            <x v="1653"/>
            <x v="1667"/>
            <x v="1668"/>
            <x v="1674"/>
            <x v="1675"/>
            <x v="1689"/>
            <x v="1690"/>
            <x v="1692"/>
            <x v="1703"/>
            <x v="1721"/>
            <x v="1732"/>
            <x v="1737"/>
            <x v="1742"/>
            <x v="1749"/>
            <x v="1760"/>
            <x v="1775"/>
            <x v="1777"/>
            <x v="1789"/>
            <x v="1790"/>
            <x v="1797"/>
            <x v="1801"/>
            <x v="1802"/>
            <x v="1808"/>
            <x v="1819"/>
            <x v="1823"/>
            <x v="1825"/>
          </reference>
        </references>
      </pivotArea>
    </format>
    <format dxfId="305">
      <pivotArea dataOnly="0" labelOnly="1" fieldPosition="0">
        <references count="1">
          <reference field="6" count="50">
            <x v="1826"/>
            <x v="1833"/>
            <x v="1834"/>
            <x v="1836"/>
            <x v="1847"/>
            <x v="1850"/>
            <x v="1855"/>
            <x v="1859"/>
            <x v="1861"/>
            <x v="1866"/>
            <x v="1869"/>
            <x v="1872"/>
            <x v="1885"/>
            <x v="1890"/>
            <x v="1894"/>
            <x v="1896"/>
            <x v="1897"/>
            <x v="1899"/>
            <x v="1915"/>
            <x v="1920"/>
            <x v="1925"/>
            <x v="1926"/>
            <x v="1933"/>
            <x v="1934"/>
            <x v="1935"/>
            <x v="1939"/>
            <x v="1953"/>
            <x v="1954"/>
            <x v="1968"/>
            <x v="1971"/>
            <x v="1976"/>
            <x v="1977"/>
            <x v="1980"/>
            <x v="1982"/>
            <x v="1984"/>
            <x v="1989"/>
            <x v="1990"/>
            <x v="1991"/>
            <x v="1999"/>
            <x v="2005"/>
            <x v="2006"/>
            <x v="2008"/>
            <x v="2009"/>
            <x v="2010"/>
            <x v="2012"/>
            <x v="2021"/>
            <x v="2023"/>
            <x v="2028"/>
            <x v="2030"/>
            <x v="2031"/>
          </reference>
        </references>
      </pivotArea>
    </format>
    <format dxfId="304">
      <pivotArea dataOnly="0" labelOnly="1" fieldPosition="0">
        <references count="1">
          <reference field="6" count="45">
            <x v="2032"/>
            <x v="2034"/>
            <x v="2042"/>
            <x v="2044"/>
            <x v="2048"/>
            <x v="2050"/>
            <x v="2053"/>
            <x v="2057"/>
            <x v="2063"/>
            <x v="2068"/>
            <x v="2070"/>
            <x v="2071"/>
            <x v="2087"/>
            <x v="2091"/>
            <x v="2092"/>
            <x v="2095"/>
            <x v="2096"/>
            <x v="2097"/>
            <x v="2103"/>
            <x v="2104"/>
            <x v="2108"/>
            <x v="2117"/>
            <x v="2119"/>
            <x v="2124"/>
            <x v="2125"/>
            <x v="2148"/>
            <x v="2152"/>
            <x v="2154"/>
            <x v="2156"/>
            <x v="2159"/>
            <x v="2162"/>
            <x v="2176"/>
            <x v="2180"/>
            <x v="2188"/>
            <x v="2190"/>
            <x v="2191"/>
            <x v="2193"/>
            <x v="2200"/>
            <x v="2201"/>
            <x v="2205"/>
            <x v="2206"/>
            <x v="2210"/>
            <x v="2215"/>
            <x v="2216"/>
            <x v="2217"/>
          </reference>
        </references>
      </pivotArea>
    </format>
    <format dxfId="303">
      <pivotArea dataOnly="0" labelOnly="1" fieldPosition="0">
        <references count="1">
          <reference field="6" count="50">
            <x v="0"/>
            <x v="8"/>
            <x v="10"/>
            <x v="13"/>
            <x v="15"/>
            <x v="19"/>
            <x v="21"/>
            <x v="23"/>
            <x v="26"/>
            <x v="27"/>
            <x v="32"/>
            <x v="33"/>
            <x v="35"/>
            <x v="40"/>
            <x v="41"/>
            <x v="45"/>
            <x v="47"/>
            <x v="50"/>
            <x v="51"/>
            <x v="53"/>
            <x v="54"/>
            <x v="55"/>
            <x v="57"/>
            <x v="61"/>
            <x v="69"/>
            <x v="73"/>
            <x v="78"/>
            <x v="90"/>
            <x v="94"/>
            <x v="97"/>
            <x v="101"/>
            <x v="102"/>
            <x v="104"/>
            <x v="107"/>
            <x v="108"/>
            <x v="111"/>
            <x v="118"/>
            <x v="121"/>
            <x v="122"/>
            <x v="130"/>
            <x v="131"/>
            <x v="138"/>
            <x v="139"/>
            <x v="144"/>
            <x v="148"/>
            <x v="149"/>
            <x v="152"/>
            <x v="155"/>
            <x v="163"/>
            <x v="164"/>
          </reference>
        </references>
      </pivotArea>
    </format>
    <format dxfId="302">
      <pivotArea dataOnly="0" labelOnly="1" fieldPosition="0">
        <references count="1">
          <reference field="6" count="50">
            <x v="166"/>
            <x v="167"/>
            <x v="169"/>
            <x v="176"/>
            <x v="182"/>
            <x v="186"/>
            <x v="192"/>
            <x v="193"/>
            <x v="194"/>
            <x v="212"/>
            <x v="219"/>
            <x v="228"/>
            <x v="230"/>
            <x v="248"/>
            <x v="262"/>
            <x v="271"/>
            <x v="277"/>
            <x v="278"/>
            <x v="279"/>
            <x v="283"/>
            <x v="289"/>
            <x v="290"/>
            <x v="293"/>
            <x v="302"/>
            <x v="303"/>
            <x v="309"/>
            <x v="310"/>
            <x v="311"/>
            <x v="315"/>
            <x v="323"/>
            <x v="325"/>
            <x v="328"/>
            <x v="332"/>
            <x v="335"/>
            <x v="336"/>
            <x v="341"/>
            <x v="342"/>
            <x v="345"/>
            <x v="348"/>
            <x v="349"/>
            <x v="350"/>
            <x v="351"/>
            <x v="353"/>
            <x v="359"/>
            <x v="361"/>
            <x v="366"/>
            <x v="372"/>
            <x v="374"/>
            <x v="376"/>
            <x v="382"/>
          </reference>
        </references>
      </pivotArea>
    </format>
    <format dxfId="301">
      <pivotArea dataOnly="0" labelOnly="1" fieldPosition="0">
        <references count="1">
          <reference field="6" count="50">
            <x v="384"/>
            <x v="387"/>
            <x v="388"/>
            <x v="389"/>
            <x v="394"/>
            <x v="406"/>
            <x v="407"/>
            <x v="409"/>
            <x v="412"/>
            <x v="415"/>
            <x v="418"/>
            <x v="421"/>
            <x v="422"/>
            <x v="431"/>
            <x v="436"/>
            <x v="437"/>
            <x v="438"/>
            <x v="439"/>
            <x v="440"/>
            <x v="448"/>
            <x v="449"/>
            <x v="452"/>
            <x v="455"/>
            <x v="469"/>
            <x v="471"/>
            <x v="476"/>
            <x v="478"/>
            <x v="479"/>
            <x v="480"/>
            <x v="490"/>
            <x v="491"/>
            <x v="494"/>
            <x v="495"/>
            <x v="496"/>
            <x v="499"/>
            <x v="500"/>
            <x v="501"/>
            <x v="502"/>
            <x v="503"/>
            <x v="508"/>
            <x v="513"/>
            <x v="516"/>
            <x v="521"/>
            <x v="522"/>
            <x v="525"/>
            <x v="530"/>
            <x v="531"/>
            <x v="532"/>
            <x v="533"/>
            <x v="535"/>
          </reference>
        </references>
      </pivotArea>
    </format>
    <format dxfId="300">
      <pivotArea dataOnly="0" labelOnly="1" fieldPosition="0">
        <references count="1">
          <reference field="6" count="50">
            <x v="537"/>
            <x v="544"/>
            <x v="547"/>
            <x v="549"/>
            <x v="551"/>
            <x v="552"/>
            <x v="555"/>
            <x v="556"/>
            <x v="557"/>
            <x v="563"/>
            <x v="568"/>
            <x v="575"/>
            <x v="580"/>
            <x v="585"/>
            <x v="591"/>
            <x v="596"/>
            <x v="601"/>
            <x v="603"/>
            <x v="604"/>
            <x v="609"/>
            <x v="610"/>
            <x v="621"/>
            <x v="622"/>
            <x v="623"/>
            <x v="625"/>
            <x v="628"/>
            <x v="635"/>
            <x v="637"/>
            <x v="642"/>
            <x v="648"/>
            <x v="651"/>
            <x v="654"/>
            <x v="655"/>
            <x v="657"/>
            <x v="658"/>
            <x v="659"/>
            <x v="664"/>
            <x v="665"/>
            <x v="670"/>
            <x v="673"/>
            <x v="674"/>
            <x v="676"/>
            <x v="679"/>
            <x v="681"/>
            <x v="684"/>
            <x v="687"/>
            <x v="690"/>
            <x v="693"/>
            <x v="694"/>
            <x v="698"/>
          </reference>
        </references>
      </pivotArea>
    </format>
    <format dxfId="299">
      <pivotArea dataOnly="0" labelOnly="1" fieldPosition="0">
        <references count="1">
          <reference field="6" count="50">
            <x v="699"/>
            <x v="700"/>
            <x v="705"/>
            <x v="706"/>
            <x v="709"/>
            <x v="711"/>
            <x v="715"/>
            <x v="717"/>
            <x v="720"/>
            <x v="729"/>
            <x v="730"/>
            <x v="738"/>
            <x v="749"/>
            <x v="750"/>
            <x v="752"/>
            <x v="758"/>
            <x v="759"/>
            <x v="763"/>
            <x v="769"/>
            <x v="777"/>
            <x v="778"/>
            <x v="781"/>
            <x v="787"/>
            <x v="789"/>
            <x v="793"/>
            <x v="795"/>
            <x v="804"/>
            <x v="805"/>
            <x v="806"/>
            <x v="809"/>
            <x v="811"/>
            <x v="815"/>
            <x v="816"/>
            <x v="819"/>
            <x v="820"/>
            <x v="822"/>
            <x v="824"/>
            <x v="832"/>
            <x v="834"/>
            <x v="837"/>
            <x v="843"/>
            <x v="845"/>
            <x v="846"/>
            <x v="848"/>
            <x v="855"/>
            <x v="858"/>
            <x v="860"/>
            <x v="863"/>
            <x v="865"/>
            <x v="866"/>
          </reference>
        </references>
      </pivotArea>
    </format>
    <format dxfId="298">
      <pivotArea dataOnly="0" labelOnly="1" fieldPosition="0">
        <references count="1">
          <reference field="6" count="50">
            <x v="871"/>
            <x v="875"/>
            <x v="879"/>
            <x v="882"/>
            <x v="893"/>
            <x v="894"/>
            <x v="896"/>
            <x v="901"/>
            <x v="906"/>
            <x v="910"/>
            <x v="911"/>
            <x v="914"/>
            <x v="915"/>
            <x v="916"/>
            <x v="917"/>
            <x v="918"/>
            <x v="921"/>
            <x v="924"/>
            <x v="926"/>
            <x v="927"/>
            <x v="936"/>
            <x v="941"/>
            <x v="942"/>
            <x v="943"/>
            <x v="947"/>
            <x v="949"/>
            <x v="956"/>
            <x v="957"/>
            <x v="962"/>
            <x v="964"/>
            <x v="965"/>
            <x v="967"/>
            <x v="969"/>
            <x v="970"/>
            <x v="971"/>
            <x v="973"/>
            <x v="980"/>
            <x v="989"/>
            <x v="995"/>
            <x v="1000"/>
            <x v="1003"/>
            <x v="1006"/>
            <x v="1008"/>
            <x v="1011"/>
            <x v="1012"/>
            <x v="1013"/>
            <x v="1014"/>
            <x v="1016"/>
            <x v="1019"/>
            <x v="1020"/>
          </reference>
        </references>
      </pivotArea>
    </format>
    <format dxfId="297">
      <pivotArea dataOnly="0" labelOnly="1" fieldPosition="0">
        <references count="1">
          <reference field="6" count="50">
            <x v="1022"/>
            <x v="1024"/>
            <x v="1026"/>
            <x v="1033"/>
            <x v="1034"/>
            <x v="1036"/>
            <x v="1042"/>
            <x v="1043"/>
            <x v="1044"/>
            <x v="1045"/>
            <x v="1046"/>
            <x v="1049"/>
            <x v="1054"/>
            <x v="1061"/>
            <x v="1062"/>
            <x v="1064"/>
            <x v="1065"/>
            <x v="1069"/>
            <x v="1072"/>
            <x v="1077"/>
            <x v="1081"/>
            <x v="1092"/>
            <x v="1094"/>
            <x v="1107"/>
            <x v="1109"/>
            <x v="1110"/>
            <x v="1112"/>
            <x v="1114"/>
            <x v="1115"/>
            <x v="1120"/>
            <x v="1124"/>
            <x v="1126"/>
            <x v="1129"/>
            <x v="1133"/>
            <x v="1137"/>
            <x v="1139"/>
            <x v="1141"/>
            <x v="1153"/>
            <x v="1154"/>
            <x v="1158"/>
            <x v="1166"/>
            <x v="1167"/>
            <x v="1173"/>
            <x v="1175"/>
            <x v="1176"/>
            <x v="1177"/>
            <x v="1178"/>
            <x v="1180"/>
            <x v="1183"/>
            <x v="1186"/>
          </reference>
        </references>
      </pivotArea>
    </format>
    <format dxfId="296">
      <pivotArea dataOnly="0" labelOnly="1" fieldPosition="0">
        <references count="1">
          <reference field="6" count="50">
            <x v="1187"/>
            <x v="1200"/>
            <x v="1203"/>
            <x v="1219"/>
            <x v="1223"/>
            <x v="1228"/>
            <x v="1231"/>
            <x v="1237"/>
            <x v="1239"/>
            <x v="1240"/>
            <x v="1248"/>
            <x v="1249"/>
            <x v="1252"/>
            <x v="1263"/>
            <x v="1265"/>
            <x v="1270"/>
            <x v="1279"/>
            <x v="1283"/>
            <x v="1289"/>
            <x v="1295"/>
            <x v="1298"/>
            <x v="1301"/>
            <x v="1304"/>
            <x v="1306"/>
            <x v="1309"/>
            <x v="1314"/>
            <x v="1316"/>
            <x v="1318"/>
            <x v="1338"/>
            <x v="1340"/>
            <x v="1347"/>
            <x v="1350"/>
            <x v="1358"/>
            <x v="1359"/>
            <x v="1363"/>
            <x v="1364"/>
            <x v="1381"/>
            <x v="1387"/>
            <x v="1390"/>
            <x v="1399"/>
            <x v="1402"/>
            <x v="1404"/>
            <x v="1406"/>
            <x v="1407"/>
            <x v="1409"/>
            <x v="1410"/>
            <x v="1412"/>
            <x v="1415"/>
            <x v="1422"/>
            <x v="1433"/>
          </reference>
        </references>
      </pivotArea>
    </format>
    <format dxfId="295">
      <pivotArea dataOnly="0" labelOnly="1" fieldPosition="0">
        <references count="1">
          <reference field="6" count="50">
            <x v="1435"/>
            <x v="1440"/>
            <x v="1446"/>
            <x v="1450"/>
            <x v="1453"/>
            <x v="1454"/>
            <x v="1458"/>
            <x v="1461"/>
            <x v="1464"/>
            <x v="1465"/>
            <x v="1481"/>
            <x v="1485"/>
            <x v="1487"/>
            <x v="1489"/>
            <x v="1501"/>
            <x v="1502"/>
            <x v="1508"/>
            <x v="1509"/>
            <x v="1512"/>
            <x v="1513"/>
            <x v="1515"/>
            <x v="1524"/>
            <x v="1527"/>
            <x v="1529"/>
            <x v="1536"/>
            <x v="1539"/>
            <x v="1542"/>
            <x v="1545"/>
            <x v="1551"/>
            <x v="1558"/>
            <x v="1559"/>
            <x v="1561"/>
            <x v="1565"/>
            <x v="1582"/>
            <x v="1585"/>
            <x v="1587"/>
            <x v="1595"/>
            <x v="1602"/>
            <x v="1603"/>
            <x v="1605"/>
            <x v="1623"/>
            <x v="1624"/>
            <x v="1626"/>
            <x v="1628"/>
            <x v="1631"/>
            <x v="1638"/>
            <x v="1641"/>
            <x v="1645"/>
            <x v="1646"/>
            <x v="1651"/>
          </reference>
        </references>
      </pivotArea>
    </format>
    <format dxfId="294">
      <pivotArea dataOnly="0" labelOnly="1" fieldPosition="0">
        <references count="1">
          <reference field="6" count="50">
            <x v="1653"/>
            <x v="1667"/>
            <x v="1668"/>
            <x v="1674"/>
            <x v="1675"/>
            <x v="1689"/>
            <x v="1690"/>
            <x v="1692"/>
            <x v="1703"/>
            <x v="1721"/>
            <x v="1732"/>
            <x v="1735"/>
            <x v="1736"/>
            <x v="1737"/>
            <x v="1742"/>
            <x v="1749"/>
            <x v="1752"/>
            <x v="1753"/>
            <x v="1754"/>
            <x v="1760"/>
            <x v="1775"/>
            <x v="1777"/>
            <x v="1779"/>
            <x v="1783"/>
            <x v="1789"/>
            <x v="1790"/>
            <x v="1794"/>
            <x v="1796"/>
            <x v="1797"/>
            <x v="1799"/>
            <x v="1801"/>
            <x v="1802"/>
            <x v="1808"/>
            <x v="1819"/>
            <x v="1823"/>
            <x v="1825"/>
            <x v="1826"/>
            <x v="1827"/>
            <x v="1832"/>
            <x v="1833"/>
            <x v="1834"/>
            <x v="1836"/>
            <x v="1845"/>
            <x v="1847"/>
            <x v="1850"/>
            <x v="1855"/>
            <x v="1859"/>
            <x v="1861"/>
            <x v="1864"/>
            <x v="1866"/>
          </reference>
        </references>
      </pivotArea>
    </format>
    <format dxfId="293">
      <pivotArea dataOnly="0" labelOnly="1" fieldPosition="0">
        <references count="1">
          <reference field="6" count="50">
            <x v="1867"/>
            <x v="1869"/>
            <x v="1872"/>
            <x v="1882"/>
            <x v="1885"/>
            <x v="1890"/>
            <x v="1891"/>
            <x v="1892"/>
            <x v="1894"/>
            <x v="1896"/>
            <x v="1897"/>
            <x v="1899"/>
            <x v="1900"/>
            <x v="1903"/>
            <x v="1915"/>
            <x v="1919"/>
            <x v="1920"/>
            <x v="1925"/>
            <x v="1926"/>
            <x v="1928"/>
            <x v="1930"/>
            <x v="1933"/>
            <x v="1934"/>
            <x v="1935"/>
            <x v="1937"/>
            <x v="1939"/>
            <x v="1943"/>
            <x v="1944"/>
            <x v="1947"/>
            <x v="1951"/>
            <x v="1952"/>
            <x v="1953"/>
            <x v="1954"/>
            <x v="1964"/>
            <x v="1968"/>
            <x v="1971"/>
            <x v="1976"/>
            <x v="1977"/>
            <x v="1980"/>
            <x v="1982"/>
            <x v="1983"/>
            <x v="1984"/>
            <x v="1987"/>
            <x v="1988"/>
            <x v="1989"/>
            <x v="1990"/>
            <x v="1991"/>
            <x v="1999"/>
            <x v="2005"/>
            <x v="2006"/>
          </reference>
        </references>
      </pivotArea>
    </format>
    <format dxfId="292">
      <pivotArea dataOnly="0" labelOnly="1" fieldPosition="0">
        <references count="1">
          <reference field="6" count="50">
            <x v="2008"/>
            <x v="2009"/>
            <x v="2010"/>
            <x v="2012"/>
            <x v="2021"/>
            <x v="2023"/>
            <x v="2027"/>
            <x v="2028"/>
            <x v="2030"/>
            <x v="2031"/>
            <x v="2032"/>
            <x v="2034"/>
            <x v="2042"/>
            <x v="2044"/>
            <x v="2048"/>
            <x v="2050"/>
            <x v="2052"/>
            <x v="2053"/>
            <x v="2057"/>
            <x v="2060"/>
            <x v="2063"/>
            <x v="2066"/>
            <x v="2068"/>
            <x v="2070"/>
            <x v="2071"/>
            <x v="2080"/>
            <x v="2082"/>
            <x v="2084"/>
            <x v="2086"/>
            <x v="2087"/>
            <x v="2091"/>
            <x v="2092"/>
            <x v="2095"/>
            <x v="2096"/>
            <x v="2097"/>
            <x v="2101"/>
            <x v="2103"/>
            <x v="2104"/>
            <x v="2108"/>
            <x v="2110"/>
            <x v="2112"/>
            <x v="2113"/>
            <x v="2114"/>
            <x v="2117"/>
            <x v="2119"/>
            <x v="2122"/>
            <x v="2124"/>
            <x v="2125"/>
            <x v="2127"/>
            <x v="2141"/>
          </reference>
        </references>
      </pivotArea>
    </format>
    <format dxfId="291">
      <pivotArea dataOnly="0" labelOnly="1" fieldPosition="0">
        <references count="1">
          <reference field="6" count="27">
            <x v="2142"/>
            <x v="2148"/>
            <x v="2149"/>
            <x v="2152"/>
            <x v="2154"/>
            <x v="2155"/>
            <x v="2156"/>
            <x v="2159"/>
            <x v="2162"/>
            <x v="2163"/>
            <x v="2176"/>
            <x v="2180"/>
            <x v="2188"/>
            <x v="2190"/>
            <x v="2191"/>
            <x v="2193"/>
            <x v="2200"/>
            <x v="2201"/>
            <x v="2205"/>
            <x v="2206"/>
            <x v="2210"/>
            <x v="2213"/>
            <x v="2214"/>
            <x v="2215"/>
            <x v="2216"/>
            <x v="2217"/>
            <x v="2221"/>
          </reference>
        </references>
      </pivotArea>
    </format>
    <format dxfId="290">
      <pivotArea dataOnly="0" labelOnly="1" fieldPosition="0">
        <references count="1">
          <reference field="6" count="50">
            <x v="0"/>
            <x v="10"/>
            <x v="13"/>
            <x v="15"/>
            <x v="19"/>
            <x v="23"/>
            <x v="32"/>
            <x v="33"/>
            <x v="40"/>
            <x v="45"/>
            <x v="47"/>
            <x v="50"/>
            <x v="53"/>
            <x v="54"/>
            <x v="55"/>
            <x v="57"/>
            <x v="73"/>
            <x v="78"/>
            <x v="90"/>
            <x v="101"/>
            <x v="104"/>
            <x v="107"/>
            <x v="108"/>
            <x v="118"/>
            <x v="121"/>
            <x v="122"/>
            <x v="130"/>
            <x v="138"/>
            <x v="139"/>
            <x v="144"/>
            <x v="148"/>
            <x v="152"/>
            <x v="166"/>
            <x v="182"/>
            <x v="186"/>
            <x v="192"/>
            <x v="193"/>
            <x v="194"/>
            <x v="212"/>
            <x v="228"/>
            <x v="230"/>
            <x v="262"/>
            <x v="271"/>
            <x v="277"/>
            <x v="278"/>
            <x v="289"/>
            <x v="290"/>
            <x v="302"/>
            <x v="303"/>
            <x v="309"/>
          </reference>
        </references>
      </pivotArea>
    </format>
    <format dxfId="289">
      <pivotArea dataOnly="0" labelOnly="1" fieldPosition="0">
        <references count="1">
          <reference field="6" count="50">
            <x v="311"/>
            <x v="315"/>
            <x v="323"/>
            <x v="325"/>
            <x v="328"/>
            <x v="332"/>
            <x v="335"/>
            <x v="336"/>
            <x v="341"/>
            <x v="342"/>
            <x v="348"/>
            <x v="349"/>
            <x v="350"/>
            <x v="351"/>
            <x v="359"/>
            <x v="361"/>
            <x v="366"/>
            <x v="372"/>
            <x v="374"/>
            <x v="376"/>
            <x v="382"/>
            <x v="388"/>
            <x v="394"/>
            <x v="406"/>
            <x v="407"/>
            <x v="409"/>
            <x v="412"/>
            <x v="415"/>
            <x v="418"/>
            <x v="421"/>
            <x v="431"/>
            <x v="437"/>
            <x v="438"/>
            <x v="439"/>
            <x v="440"/>
            <x v="452"/>
            <x v="455"/>
            <x v="469"/>
            <x v="471"/>
            <x v="479"/>
            <x v="480"/>
            <x v="490"/>
            <x v="491"/>
            <x v="494"/>
            <x v="496"/>
            <x v="501"/>
            <x v="502"/>
            <x v="503"/>
            <x v="521"/>
            <x v="522"/>
          </reference>
        </references>
      </pivotArea>
    </format>
    <format dxfId="288">
      <pivotArea dataOnly="0" labelOnly="1" fieldPosition="0">
        <references count="1">
          <reference field="6" count="50">
            <x v="525"/>
            <x v="530"/>
            <x v="532"/>
            <x v="533"/>
            <x v="547"/>
            <x v="549"/>
            <x v="552"/>
            <x v="555"/>
            <x v="557"/>
            <x v="563"/>
            <x v="568"/>
            <x v="575"/>
            <x v="580"/>
            <x v="585"/>
            <x v="591"/>
            <x v="596"/>
            <x v="601"/>
            <x v="609"/>
            <x v="610"/>
            <x v="622"/>
            <x v="623"/>
            <x v="625"/>
            <x v="628"/>
            <x v="635"/>
            <x v="637"/>
            <x v="654"/>
            <x v="655"/>
            <x v="657"/>
            <x v="659"/>
            <x v="670"/>
            <x v="674"/>
            <x v="676"/>
            <x v="679"/>
            <x v="681"/>
            <x v="690"/>
            <x v="693"/>
            <x v="694"/>
            <x v="698"/>
            <x v="700"/>
            <x v="705"/>
            <x v="706"/>
            <x v="709"/>
            <x v="711"/>
            <x v="715"/>
            <x v="717"/>
            <x v="720"/>
            <x v="730"/>
            <x v="738"/>
            <x v="749"/>
            <x v="750"/>
          </reference>
        </references>
      </pivotArea>
    </format>
    <format dxfId="287">
      <pivotArea dataOnly="0" labelOnly="1" fieldPosition="0">
        <references count="1">
          <reference field="6" count="50">
            <x v="758"/>
            <x v="759"/>
            <x v="763"/>
            <x v="778"/>
            <x v="781"/>
            <x v="787"/>
            <x v="793"/>
            <x v="795"/>
            <x v="804"/>
            <x v="811"/>
            <x v="815"/>
            <x v="822"/>
            <x v="824"/>
            <x v="834"/>
            <x v="837"/>
            <x v="843"/>
            <x v="845"/>
            <x v="846"/>
            <x v="855"/>
            <x v="863"/>
            <x v="865"/>
            <x v="866"/>
            <x v="871"/>
            <x v="875"/>
            <x v="879"/>
            <x v="882"/>
            <x v="893"/>
            <x v="894"/>
            <x v="901"/>
            <x v="906"/>
            <x v="910"/>
            <x v="911"/>
            <x v="914"/>
            <x v="915"/>
            <x v="916"/>
            <x v="918"/>
            <x v="921"/>
            <x v="924"/>
            <x v="927"/>
            <x v="936"/>
            <x v="941"/>
            <x v="943"/>
            <x v="947"/>
            <x v="957"/>
            <x v="962"/>
            <x v="964"/>
            <x v="965"/>
            <x v="969"/>
            <x v="970"/>
            <x v="971"/>
          </reference>
        </references>
      </pivotArea>
    </format>
    <format dxfId="286">
      <pivotArea dataOnly="0" labelOnly="1" fieldPosition="0">
        <references count="1">
          <reference field="6" count="50">
            <x v="973"/>
            <x v="980"/>
            <x v="989"/>
            <x v="995"/>
            <x v="1000"/>
            <x v="1003"/>
            <x v="1008"/>
            <x v="1011"/>
            <x v="1012"/>
            <x v="1013"/>
            <x v="1014"/>
            <x v="1016"/>
            <x v="1019"/>
            <x v="1020"/>
            <x v="1022"/>
            <x v="1024"/>
            <x v="1026"/>
            <x v="1034"/>
            <x v="1036"/>
            <x v="1042"/>
            <x v="1043"/>
            <x v="1044"/>
            <x v="1046"/>
            <x v="1049"/>
            <x v="1054"/>
            <x v="1064"/>
            <x v="1077"/>
            <x v="1107"/>
            <x v="1110"/>
            <x v="1112"/>
            <x v="1114"/>
            <x v="1120"/>
            <x v="1124"/>
            <x v="1137"/>
            <x v="1153"/>
            <x v="1154"/>
            <x v="1158"/>
            <x v="1166"/>
            <x v="1173"/>
            <x v="1175"/>
            <x v="1176"/>
            <x v="1177"/>
            <x v="1178"/>
            <x v="1180"/>
            <x v="1186"/>
            <x v="1187"/>
            <x v="1200"/>
            <x v="1223"/>
            <x v="1237"/>
            <x v="1240"/>
          </reference>
        </references>
      </pivotArea>
    </format>
    <format dxfId="285">
      <pivotArea dataOnly="0" labelOnly="1" fieldPosition="0">
        <references count="1">
          <reference field="6" count="50">
            <x v="1248"/>
            <x v="1249"/>
            <x v="1252"/>
            <x v="1263"/>
            <x v="1270"/>
            <x v="1279"/>
            <x v="1289"/>
            <x v="1295"/>
            <x v="1298"/>
            <x v="1314"/>
            <x v="1318"/>
            <x v="1338"/>
            <x v="1340"/>
            <x v="1347"/>
            <x v="1350"/>
            <x v="1364"/>
            <x v="1381"/>
            <x v="1387"/>
            <x v="1390"/>
            <x v="1399"/>
            <x v="1402"/>
            <x v="1404"/>
            <x v="1406"/>
            <x v="1409"/>
            <x v="1410"/>
            <x v="1412"/>
            <x v="1415"/>
            <x v="1422"/>
            <x v="1433"/>
            <x v="1435"/>
            <x v="1440"/>
            <x v="1450"/>
            <x v="1453"/>
            <x v="1454"/>
            <x v="1461"/>
            <x v="1464"/>
            <x v="1481"/>
            <x v="1485"/>
            <x v="1487"/>
            <x v="1489"/>
            <x v="1501"/>
            <x v="1502"/>
            <x v="1508"/>
            <x v="1509"/>
            <x v="1512"/>
            <x v="1513"/>
            <x v="1515"/>
            <x v="1524"/>
            <x v="1527"/>
            <x v="1536"/>
          </reference>
        </references>
      </pivotArea>
    </format>
    <format dxfId="284">
      <pivotArea dataOnly="0" labelOnly="1" fieldPosition="0">
        <references count="1">
          <reference field="6" count="50">
            <x v="1539"/>
            <x v="1542"/>
            <x v="1545"/>
            <x v="1551"/>
            <x v="1558"/>
            <x v="1559"/>
            <x v="1565"/>
            <x v="1582"/>
            <x v="1585"/>
            <x v="1587"/>
            <x v="1595"/>
            <x v="1602"/>
            <x v="1603"/>
            <x v="1623"/>
            <x v="1624"/>
            <x v="1626"/>
            <x v="1628"/>
            <x v="1631"/>
            <x v="1638"/>
            <x v="1641"/>
            <x v="1645"/>
            <x v="1646"/>
            <x v="1651"/>
            <x v="1653"/>
            <x v="1667"/>
            <x v="1668"/>
            <x v="1674"/>
            <x v="1675"/>
            <x v="1689"/>
            <x v="1690"/>
            <x v="1692"/>
            <x v="1703"/>
            <x v="1721"/>
            <x v="1732"/>
            <x v="1737"/>
            <x v="1742"/>
            <x v="1749"/>
            <x v="1760"/>
            <x v="1775"/>
            <x v="1777"/>
            <x v="1789"/>
            <x v="1790"/>
            <x v="1797"/>
            <x v="1801"/>
            <x v="1802"/>
            <x v="1808"/>
            <x v="1819"/>
            <x v="1823"/>
            <x v="1825"/>
            <x v="1826"/>
          </reference>
        </references>
      </pivotArea>
    </format>
    <format dxfId="283">
      <pivotArea dataOnly="0" labelOnly="1" fieldPosition="0">
        <references count="1">
          <reference field="6" count="50">
            <x v="1833"/>
            <x v="1834"/>
            <x v="1836"/>
            <x v="1847"/>
            <x v="1850"/>
            <x v="1855"/>
            <x v="1859"/>
            <x v="1861"/>
            <x v="1866"/>
            <x v="1869"/>
            <x v="1872"/>
            <x v="1885"/>
            <x v="1890"/>
            <x v="1894"/>
            <x v="1896"/>
            <x v="1897"/>
            <x v="1899"/>
            <x v="1915"/>
            <x v="1920"/>
            <x v="1925"/>
            <x v="1926"/>
            <x v="1933"/>
            <x v="1934"/>
            <x v="1935"/>
            <x v="1939"/>
            <x v="1953"/>
            <x v="1954"/>
            <x v="1968"/>
            <x v="1971"/>
            <x v="1976"/>
            <x v="1977"/>
            <x v="1980"/>
            <x v="1982"/>
            <x v="1984"/>
            <x v="1989"/>
            <x v="1990"/>
            <x v="1991"/>
            <x v="1999"/>
            <x v="2005"/>
            <x v="2006"/>
            <x v="2008"/>
            <x v="2009"/>
            <x v="2010"/>
            <x v="2012"/>
            <x v="2021"/>
            <x v="2023"/>
            <x v="2028"/>
            <x v="2030"/>
            <x v="2031"/>
            <x v="2032"/>
          </reference>
        </references>
      </pivotArea>
    </format>
    <format dxfId="282">
      <pivotArea dataOnly="0" labelOnly="1" fieldPosition="0">
        <references count="1">
          <reference field="6" count="44">
            <x v="2034"/>
            <x v="2042"/>
            <x v="2044"/>
            <x v="2048"/>
            <x v="2050"/>
            <x v="2053"/>
            <x v="2057"/>
            <x v="2063"/>
            <x v="2068"/>
            <x v="2070"/>
            <x v="2071"/>
            <x v="2087"/>
            <x v="2091"/>
            <x v="2092"/>
            <x v="2095"/>
            <x v="2096"/>
            <x v="2097"/>
            <x v="2103"/>
            <x v="2104"/>
            <x v="2108"/>
            <x v="2117"/>
            <x v="2119"/>
            <x v="2124"/>
            <x v="2125"/>
            <x v="2148"/>
            <x v="2152"/>
            <x v="2154"/>
            <x v="2156"/>
            <x v="2159"/>
            <x v="2162"/>
            <x v="2176"/>
            <x v="2180"/>
            <x v="2188"/>
            <x v="2190"/>
            <x v="2191"/>
            <x v="2193"/>
            <x v="2200"/>
            <x v="2201"/>
            <x v="2205"/>
            <x v="2206"/>
            <x v="2210"/>
            <x v="2215"/>
            <x v="2216"/>
            <x v="2217"/>
          </reference>
        </references>
      </pivotArea>
    </format>
    <format dxfId="281">
      <pivotArea dataOnly="0" labelOnly="1" fieldPosition="0">
        <references count="1">
          <reference field="6" count="50">
            <x v="0"/>
            <x v="4"/>
            <x v="10"/>
            <x v="13"/>
            <x v="15"/>
            <x v="17"/>
            <x v="19"/>
            <x v="23"/>
            <x v="30"/>
            <x v="32"/>
            <x v="33"/>
            <x v="40"/>
            <x v="44"/>
            <x v="45"/>
            <x v="47"/>
            <x v="50"/>
            <x v="53"/>
            <x v="54"/>
            <x v="55"/>
            <x v="57"/>
            <x v="73"/>
            <x v="78"/>
            <x v="87"/>
            <x v="90"/>
            <x v="95"/>
            <x v="101"/>
            <x v="104"/>
            <x v="107"/>
            <x v="108"/>
            <x v="114"/>
            <x v="116"/>
            <x v="118"/>
            <x v="121"/>
            <x v="122"/>
            <x v="125"/>
            <x v="129"/>
            <x v="130"/>
            <x v="138"/>
            <x v="139"/>
            <x v="142"/>
            <x v="144"/>
            <x v="148"/>
            <x v="152"/>
            <x v="164"/>
            <x v="166"/>
            <x v="170"/>
            <x v="181"/>
            <x v="182"/>
            <x v="186"/>
            <x v="192"/>
          </reference>
        </references>
      </pivotArea>
    </format>
    <format dxfId="280">
      <pivotArea dataOnly="0" labelOnly="1" fieldPosition="0">
        <references count="1">
          <reference field="6" count="50">
            <x v="193"/>
            <x v="194"/>
            <x v="197"/>
            <x v="212"/>
            <x v="219"/>
            <x v="228"/>
            <x v="230"/>
            <x v="238"/>
            <x v="240"/>
            <x v="253"/>
            <x v="262"/>
            <x v="266"/>
            <x v="268"/>
            <x v="271"/>
            <x v="275"/>
            <x v="277"/>
            <x v="278"/>
            <x v="289"/>
            <x v="290"/>
            <x v="291"/>
            <x v="302"/>
            <x v="303"/>
            <x v="309"/>
            <x v="311"/>
            <x v="315"/>
            <x v="317"/>
            <x v="323"/>
            <x v="325"/>
            <x v="328"/>
            <x v="331"/>
            <x v="332"/>
            <x v="335"/>
            <x v="336"/>
            <x v="340"/>
            <x v="341"/>
            <x v="342"/>
            <x v="348"/>
            <x v="349"/>
            <x v="350"/>
            <x v="351"/>
            <x v="354"/>
            <x v="359"/>
            <x v="361"/>
            <x v="366"/>
            <x v="368"/>
            <x v="372"/>
            <x v="374"/>
            <x v="375"/>
            <x v="376"/>
            <x v="380"/>
          </reference>
        </references>
      </pivotArea>
    </format>
    <format dxfId="279">
      <pivotArea dataOnly="0" labelOnly="1" fieldPosition="0">
        <references count="1">
          <reference field="6" count="50">
            <x v="382"/>
            <x v="387"/>
            <x v="388"/>
            <x v="392"/>
            <x v="394"/>
            <x v="406"/>
            <x v="407"/>
            <x v="409"/>
            <x v="412"/>
            <x v="415"/>
            <x v="418"/>
            <x v="421"/>
            <x v="431"/>
            <x v="432"/>
            <x v="437"/>
            <x v="438"/>
            <x v="439"/>
            <x v="440"/>
            <x v="442"/>
            <x v="443"/>
            <x v="450"/>
            <x v="452"/>
            <x v="455"/>
            <x v="460"/>
            <x v="469"/>
            <x v="471"/>
            <x v="473"/>
            <x v="474"/>
            <x v="479"/>
            <x v="480"/>
            <x v="482"/>
            <x v="483"/>
            <x v="487"/>
            <x v="490"/>
            <x v="491"/>
            <x v="494"/>
            <x v="496"/>
            <x v="497"/>
            <x v="501"/>
            <x v="502"/>
            <x v="503"/>
            <x v="505"/>
            <x v="506"/>
            <x v="511"/>
            <x v="521"/>
            <x v="522"/>
            <x v="525"/>
            <x v="526"/>
            <x v="530"/>
            <x v="532"/>
          </reference>
        </references>
      </pivotArea>
    </format>
    <format dxfId="278">
      <pivotArea dataOnly="0" labelOnly="1" fieldPosition="0">
        <references count="1">
          <reference field="6" count="50">
            <x v="533"/>
            <x v="534"/>
            <x v="537"/>
            <x v="541"/>
            <x v="547"/>
            <x v="549"/>
            <x v="552"/>
            <x v="555"/>
            <x v="557"/>
            <x v="560"/>
            <x v="563"/>
            <x v="564"/>
            <x v="566"/>
            <x v="567"/>
            <x v="568"/>
            <x v="572"/>
            <x v="575"/>
            <x v="578"/>
            <x v="580"/>
            <x v="585"/>
            <x v="591"/>
            <x v="595"/>
            <x v="596"/>
            <x v="601"/>
            <x v="603"/>
            <x v="606"/>
            <x v="609"/>
            <x v="610"/>
            <x v="611"/>
            <x v="622"/>
            <x v="623"/>
            <x v="625"/>
            <x v="628"/>
            <x v="630"/>
            <x v="635"/>
            <x v="637"/>
            <x v="638"/>
            <x v="647"/>
            <x v="648"/>
            <x v="650"/>
            <x v="654"/>
            <x v="655"/>
            <x v="657"/>
            <x v="659"/>
            <x v="662"/>
            <x v="668"/>
            <x v="670"/>
            <x v="674"/>
            <x v="676"/>
            <x v="679"/>
          </reference>
        </references>
      </pivotArea>
    </format>
    <format dxfId="277">
      <pivotArea dataOnly="0" labelOnly="1" fieldPosition="0">
        <references count="1">
          <reference field="6" count="50">
            <x v="681"/>
            <x v="690"/>
            <x v="692"/>
            <x v="693"/>
            <x v="694"/>
            <x v="698"/>
            <x v="699"/>
            <x v="700"/>
            <x v="703"/>
            <x v="705"/>
            <x v="706"/>
            <x v="709"/>
            <x v="711"/>
            <x v="713"/>
            <x v="715"/>
            <x v="717"/>
            <x v="720"/>
            <x v="730"/>
            <x v="732"/>
            <x v="738"/>
            <x v="739"/>
            <x v="749"/>
            <x v="750"/>
            <x v="758"/>
            <x v="759"/>
            <x v="761"/>
            <x v="763"/>
            <x v="768"/>
            <x v="773"/>
            <x v="778"/>
            <x v="781"/>
            <x v="783"/>
            <x v="787"/>
            <x v="788"/>
            <x v="793"/>
            <x v="795"/>
            <x v="804"/>
            <x v="811"/>
            <x v="814"/>
            <x v="815"/>
            <x v="817"/>
            <x v="822"/>
            <x v="824"/>
            <x v="834"/>
            <x v="837"/>
            <x v="840"/>
            <x v="843"/>
            <x v="845"/>
            <x v="846"/>
            <x v="853"/>
          </reference>
        </references>
      </pivotArea>
    </format>
    <format dxfId="276">
      <pivotArea dataOnly="0" labelOnly="1" fieldPosition="0">
        <references count="1">
          <reference field="6" count="50">
            <x v="855"/>
            <x v="857"/>
            <x v="863"/>
            <x v="865"/>
            <x v="866"/>
            <x v="868"/>
            <x v="871"/>
            <x v="875"/>
            <x v="877"/>
            <x v="879"/>
            <x v="882"/>
            <x v="887"/>
            <x v="892"/>
            <x v="893"/>
            <x v="894"/>
            <x v="901"/>
            <x v="906"/>
            <x v="907"/>
            <x v="909"/>
            <x v="910"/>
            <x v="911"/>
            <x v="914"/>
            <x v="915"/>
            <x v="916"/>
            <x v="918"/>
            <x v="919"/>
            <x v="921"/>
            <x v="922"/>
            <x v="924"/>
            <x v="927"/>
            <x v="936"/>
            <x v="941"/>
            <x v="942"/>
            <x v="943"/>
            <x v="947"/>
            <x v="953"/>
            <x v="954"/>
            <x v="957"/>
            <x v="962"/>
            <x v="964"/>
            <x v="965"/>
            <x v="969"/>
            <x v="970"/>
            <x v="971"/>
            <x v="973"/>
            <x v="974"/>
            <x v="975"/>
            <x v="980"/>
            <x v="981"/>
            <x v="984"/>
          </reference>
        </references>
      </pivotArea>
    </format>
    <format dxfId="275">
      <pivotArea dataOnly="0" labelOnly="1" fieldPosition="0">
        <references count="1">
          <reference field="6" count="50">
            <x v="989"/>
            <x v="992"/>
            <x v="994"/>
            <x v="995"/>
            <x v="1000"/>
            <x v="1003"/>
            <x v="1008"/>
            <x v="1011"/>
            <x v="1012"/>
            <x v="1013"/>
            <x v="1014"/>
            <x v="1016"/>
            <x v="1019"/>
            <x v="1020"/>
            <x v="1022"/>
            <x v="1023"/>
            <x v="1024"/>
            <x v="1026"/>
            <x v="1034"/>
            <x v="1036"/>
            <x v="1037"/>
            <x v="1042"/>
            <x v="1043"/>
            <x v="1044"/>
            <x v="1046"/>
            <x v="1048"/>
            <x v="1049"/>
            <x v="1054"/>
            <x v="1062"/>
            <x v="1064"/>
            <x v="1069"/>
            <x v="1077"/>
            <x v="1079"/>
            <x v="1081"/>
            <x v="1083"/>
            <x v="1092"/>
            <x v="1095"/>
            <x v="1102"/>
            <x v="1103"/>
            <x v="1107"/>
            <x v="1110"/>
            <x v="1112"/>
            <x v="1114"/>
            <x v="1120"/>
            <x v="1123"/>
            <x v="1124"/>
            <x v="1125"/>
            <x v="1131"/>
            <x v="1136"/>
            <x v="1137"/>
          </reference>
        </references>
      </pivotArea>
    </format>
    <format dxfId="274">
      <pivotArea dataOnly="0" labelOnly="1" fieldPosition="0">
        <references count="1">
          <reference field="6" count="50">
            <x v="1142"/>
            <x v="1143"/>
            <x v="1145"/>
            <x v="1153"/>
            <x v="1154"/>
            <x v="1157"/>
            <x v="1158"/>
            <x v="1166"/>
            <x v="1169"/>
            <x v="1173"/>
            <x v="1175"/>
            <x v="1176"/>
            <x v="1177"/>
            <x v="1178"/>
            <x v="1180"/>
            <x v="1182"/>
            <x v="1186"/>
            <x v="1187"/>
            <x v="1189"/>
            <x v="1191"/>
            <x v="1193"/>
            <x v="1194"/>
            <x v="1200"/>
            <x v="1223"/>
            <x v="1224"/>
            <x v="1227"/>
            <x v="1233"/>
            <x v="1237"/>
            <x v="1240"/>
            <x v="1248"/>
            <x v="1249"/>
            <x v="1252"/>
            <x v="1256"/>
            <x v="1263"/>
            <x v="1270"/>
            <x v="1273"/>
            <x v="1276"/>
            <x v="1279"/>
            <x v="1284"/>
            <x v="1286"/>
            <x v="1287"/>
            <x v="1289"/>
            <x v="1295"/>
            <x v="1298"/>
            <x v="1301"/>
            <x v="1314"/>
            <x v="1318"/>
            <x v="1323"/>
            <x v="1329"/>
            <x v="1332"/>
          </reference>
        </references>
      </pivotArea>
    </format>
    <format dxfId="273">
      <pivotArea dataOnly="0" labelOnly="1" fieldPosition="0">
        <references count="1">
          <reference field="6" count="50">
            <x v="1338"/>
            <x v="1340"/>
            <x v="1347"/>
            <x v="1350"/>
            <x v="1364"/>
            <x v="1369"/>
            <x v="1376"/>
            <x v="1378"/>
            <x v="1381"/>
            <x v="1387"/>
            <x v="1390"/>
            <x v="1391"/>
            <x v="1399"/>
            <x v="1402"/>
            <x v="1404"/>
            <x v="1406"/>
            <x v="1409"/>
            <x v="1410"/>
            <x v="1411"/>
            <x v="1412"/>
            <x v="1415"/>
            <x v="1421"/>
            <x v="1422"/>
            <x v="1426"/>
            <x v="1433"/>
            <x v="1435"/>
            <x v="1440"/>
            <x v="1441"/>
            <x v="1443"/>
            <x v="1450"/>
            <x v="1452"/>
            <x v="1453"/>
            <x v="1454"/>
            <x v="1461"/>
            <x v="1464"/>
            <x v="1481"/>
            <x v="1482"/>
            <x v="1483"/>
            <x v="1485"/>
            <x v="1487"/>
            <x v="1489"/>
            <x v="1499"/>
            <x v="1501"/>
            <x v="1502"/>
            <x v="1505"/>
            <x v="1508"/>
            <x v="1509"/>
            <x v="1512"/>
            <x v="1513"/>
            <x v="1515"/>
          </reference>
        </references>
      </pivotArea>
    </format>
    <format dxfId="272">
      <pivotArea dataOnly="0" labelOnly="1" fieldPosition="0">
        <references count="1">
          <reference field="6" count="50">
            <x v="1519"/>
            <x v="1524"/>
            <x v="1527"/>
            <x v="1529"/>
            <x v="1536"/>
            <x v="1539"/>
            <x v="1542"/>
            <x v="1545"/>
            <x v="1548"/>
            <x v="1549"/>
            <x v="1551"/>
            <x v="1558"/>
            <x v="1559"/>
            <x v="1564"/>
            <x v="1565"/>
            <x v="1582"/>
            <x v="1585"/>
            <x v="1587"/>
            <x v="1590"/>
            <x v="1591"/>
            <x v="1595"/>
            <x v="1602"/>
            <x v="1603"/>
            <x v="1605"/>
            <x v="1612"/>
            <x v="1618"/>
            <x v="1619"/>
            <x v="1623"/>
            <x v="1624"/>
            <x v="1626"/>
            <x v="1628"/>
            <x v="1631"/>
            <x v="1638"/>
            <x v="1641"/>
            <x v="1645"/>
            <x v="1646"/>
            <x v="1651"/>
            <x v="1653"/>
            <x v="1654"/>
            <x v="1663"/>
            <x v="1667"/>
            <x v="1668"/>
            <x v="1674"/>
            <x v="1675"/>
            <x v="1686"/>
            <x v="1689"/>
            <x v="1690"/>
            <x v="1691"/>
            <x v="1692"/>
            <x v="1695"/>
          </reference>
        </references>
      </pivotArea>
    </format>
    <format dxfId="271">
      <pivotArea dataOnly="0" labelOnly="1" fieldPosition="0">
        <references count="1">
          <reference field="6" count="50">
            <x v="1703"/>
            <x v="1710"/>
            <x v="1717"/>
            <x v="1721"/>
            <x v="1729"/>
            <x v="1732"/>
            <x v="1735"/>
            <x v="1737"/>
            <x v="1742"/>
            <x v="1745"/>
            <x v="1749"/>
            <x v="1756"/>
            <x v="1760"/>
            <x v="1764"/>
            <x v="1765"/>
            <x v="1768"/>
            <x v="1775"/>
            <x v="1777"/>
            <x v="1782"/>
            <x v="1785"/>
            <x v="1789"/>
            <x v="1790"/>
            <x v="1792"/>
            <x v="1796"/>
            <x v="1797"/>
            <x v="1798"/>
            <x v="1801"/>
            <x v="1802"/>
            <x v="1808"/>
            <x v="1811"/>
            <x v="1816"/>
            <x v="1819"/>
            <x v="1820"/>
            <x v="1823"/>
            <x v="1825"/>
            <x v="1826"/>
            <x v="1831"/>
            <x v="1833"/>
            <x v="1834"/>
            <x v="1836"/>
            <x v="1846"/>
            <x v="1847"/>
            <x v="1850"/>
            <x v="1853"/>
            <x v="1855"/>
            <x v="1859"/>
            <x v="1861"/>
            <x v="1866"/>
            <x v="1869"/>
            <x v="1872"/>
          </reference>
        </references>
      </pivotArea>
    </format>
    <format dxfId="270">
      <pivotArea dataOnly="0" labelOnly="1" fieldPosition="0">
        <references count="1">
          <reference field="6" count="50">
            <x v="1885"/>
            <x v="1890"/>
            <x v="1894"/>
            <x v="1895"/>
            <x v="1896"/>
            <x v="1897"/>
            <x v="1898"/>
            <x v="1899"/>
            <x v="1905"/>
            <x v="1908"/>
            <x v="1915"/>
            <x v="1920"/>
            <x v="1921"/>
            <x v="1922"/>
            <x v="1925"/>
            <x v="1926"/>
            <x v="1931"/>
            <x v="1933"/>
            <x v="1934"/>
            <x v="1935"/>
            <x v="1939"/>
            <x v="1946"/>
            <x v="1950"/>
            <x v="1953"/>
            <x v="1954"/>
            <x v="1957"/>
            <x v="1962"/>
            <x v="1968"/>
            <x v="1970"/>
            <x v="1971"/>
            <x v="1973"/>
            <x v="1976"/>
            <x v="1977"/>
            <x v="1980"/>
            <x v="1982"/>
            <x v="1983"/>
            <x v="1984"/>
            <x v="1987"/>
            <x v="1989"/>
            <x v="1990"/>
            <x v="1991"/>
            <x v="1997"/>
            <x v="1999"/>
            <x v="2005"/>
            <x v="2006"/>
            <x v="2008"/>
            <x v="2009"/>
            <x v="2010"/>
            <x v="2011"/>
            <x v="2012"/>
          </reference>
        </references>
      </pivotArea>
    </format>
    <format dxfId="269">
      <pivotArea dataOnly="0" labelOnly="1" fieldPosition="0">
        <references count="1">
          <reference field="6" count="50">
            <x v="2021"/>
            <x v="2023"/>
            <x v="2028"/>
            <x v="2030"/>
            <x v="2031"/>
            <x v="2032"/>
            <x v="2034"/>
            <x v="2041"/>
            <x v="2042"/>
            <x v="2044"/>
            <x v="2048"/>
            <x v="2050"/>
            <x v="2052"/>
            <x v="2053"/>
            <x v="2057"/>
            <x v="2063"/>
            <x v="2065"/>
            <x v="2068"/>
            <x v="2070"/>
            <x v="2071"/>
            <x v="2074"/>
            <x v="2075"/>
            <x v="2076"/>
            <x v="2084"/>
            <x v="2085"/>
            <x v="2087"/>
            <x v="2089"/>
            <x v="2091"/>
            <x v="2092"/>
            <x v="2095"/>
            <x v="2096"/>
            <x v="2097"/>
            <x v="2100"/>
            <x v="2103"/>
            <x v="2104"/>
            <x v="2108"/>
            <x v="2116"/>
            <x v="2117"/>
            <x v="2119"/>
            <x v="2123"/>
            <x v="2124"/>
            <x v="2125"/>
            <x v="2148"/>
            <x v="2152"/>
            <x v="2154"/>
            <x v="2156"/>
            <x v="2157"/>
            <x v="2159"/>
            <x v="2160"/>
            <x v="2162"/>
          </reference>
        </references>
      </pivotArea>
    </format>
    <format dxfId="268">
      <pivotArea collapsedLevelsAreSubtotals="1" fieldPosition="0">
        <references count="1">
          <reference field="6" count="801">
            <x v="0"/>
            <x v="4"/>
            <x v="10"/>
            <x v="13"/>
            <x v="15"/>
            <x v="17"/>
            <x v="19"/>
            <x v="23"/>
            <x v="25"/>
            <x v="30"/>
            <x v="32"/>
            <x v="33"/>
            <x v="40"/>
            <x v="43"/>
            <x v="44"/>
            <x v="45"/>
            <x v="47"/>
            <x v="50"/>
            <x v="53"/>
            <x v="54"/>
            <x v="55"/>
            <x v="57"/>
            <x v="63"/>
            <x v="73"/>
            <x v="78"/>
            <x v="85"/>
            <x v="87"/>
            <x v="90"/>
            <x v="95"/>
            <x v="96"/>
            <x v="98"/>
            <x v="101"/>
            <x v="104"/>
            <x v="107"/>
            <x v="108"/>
            <x v="114"/>
            <x v="116"/>
            <x v="118"/>
            <x v="120"/>
            <x v="121"/>
            <x v="122"/>
            <x v="124"/>
            <x v="125"/>
            <x v="129"/>
            <x v="130"/>
            <x v="138"/>
            <x v="139"/>
            <x v="142"/>
            <x v="144"/>
            <x v="148"/>
            <x v="152"/>
            <x v="155"/>
            <x v="160"/>
            <x v="164"/>
            <x v="166"/>
            <x v="170"/>
            <x v="180"/>
            <x v="181"/>
            <x v="182"/>
            <x v="186"/>
            <x v="192"/>
            <x v="193"/>
            <x v="194"/>
            <x v="197"/>
            <x v="212"/>
            <x v="219"/>
            <x v="222"/>
            <x v="228"/>
            <x v="230"/>
            <x v="238"/>
            <x v="239"/>
            <x v="240"/>
            <x v="250"/>
            <x v="253"/>
            <x v="261"/>
            <x v="262"/>
            <x v="264"/>
            <x v="266"/>
            <x v="268"/>
            <x v="270"/>
            <x v="271"/>
            <x v="275"/>
            <x v="277"/>
            <x v="278"/>
            <x v="283"/>
            <x v="287"/>
            <x v="289"/>
            <x v="290"/>
            <x v="291"/>
            <x v="302"/>
            <x v="303"/>
            <x v="308"/>
            <x v="309"/>
            <x v="311"/>
            <x v="315"/>
            <x v="317"/>
            <x v="323"/>
            <x v="325"/>
            <x v="328"/>
            <x v="331"/>
            <x v="332"/>
            <x v="335"/>
            <x v="336"/>
            <x v="340"/>
            <x v="341"/>
            <x v="342"/>
            <x v="345"/>
            <x v="348"/>
            <x v="349"/>
            <x v="350"/>
            <x v="351"/>
            <x v="352"/>
            <x v="354"/>
            <x v="359"/>
            <x v="361"/>
            <x v="364"/>
            <x v="366"/>
            <x v="368"/>
            <x v="372"/>
            <x v="374"/>
            <x v="375"/>
            <x v="376"/>
            <x v="380"/>
            <x v="382"/>
            <x v="387"/>
            <x v="388"/>
            <x v="390"/>
            <x v="392"/>
            <x v="394"/>
            <x v="400"/>
            <x v="406"/>
            <x v="407"/>
            <x v="409"/>
            <x v="412"/>
            <x v="415"/>
            <x v="418"/>
            <x v="421"/>
            <x v="422"/>
            <x v="431"/>
            <x v="432"/>
            <x v="437"/>
            <x v="438"/>
            <x v="439"/>
            <x v="440"/>
            <x v="442"/>
            <x v="443"/>
            <x v="444"/>
            <x v="450"/>
            <x v="452"/>
            <x v="455"/>
            <x v="460"/>
            <x v="463"/>
            <x v="466"/>
            <x v="468"/>
            <x v="469"/>
            <x v="471"/>
            <x v="473"/>
            <x v="474"/>
            <x v="479"/>
            <x v="480"/>
            <x v="482"/>
            <x v="483"/>
            <x v="486"/>
            <x v="487"/>
            <x v="489"/>
            <x v="490"/>
            <x v="491"/>
            <x v="494"/>
            <x v="496"/>
            <x v="497"/>
            <x v="501"/>
            <x v="502"/>
            <x v="503"/>
            <x v="505"/>
            <x v="506"/>
            <x v="511"/>
            <x v="513"/>
            <x v="521"/>
            <x v="522"/>
            <x v="525"/>
            <x v="526"/>
            <x v="530"/>
            <x v="531"/>
            <x v="532"/>
            <x v="533"/>
            <x v="534"/>
            <x v="535"/>
            <x v="537"/>
            <x v="541"/>
            <x v="547"/>
            <x v="549"/>
            <x v="552"/>
            <x v="554"/>
            <x v="555"/>
            <x v="556"/>
            <x v="557"/>
            <x v="559"/>
            <x v="560"/>
            <x v="563"/>
            <x v="564"/>
            <x v="566"/>
            <x v="567"/>
            <x v="568"/>
            <x v="570"/>
            <x v="572"/>
            <x v="575"/>
            <x v="578"/>
            <x v="579"/>
            <x v="580"/>
            <x v="581"/>
            <x v="585"/>
            <x v="591"/>
            <x v="595"/>
            <x v="596"/>
            <x v="598"/>
            <x v="601"/>
            <x v="603"/>
            <x v="606"/>
            <x v="609"/>
            <x v="610"/>
            <x v="611"/>
            <x v="612"/>
            <x v="613"/>
            <x v="620"/>
            <x v="622"/>
            <x v="623"/>
            <x v="624"/>
            <x v="625"/>
            <x v="628"/>
            <x v="630"/>
            <x v="635"/>
            <x v="637"/>
            <x v="638"/>
            <x v="639"/>
            <x v="647"/>
            <x v="648"/>
            <x v="650"/>
            <x v="654"/>
            <x v="655"/>
            <x v="657"/>
            <x v="658"/>
            <x v="659"/>
            <x v="662"/>
            <x v="666"/>
            <x v="668"/>
            <x v="670"/>
            <x v="674"/>
            <x v="676"/>
            <x v="679"/>
            <x v="680"/>
            <x v="681"/>
            <x v="682"/>
            <x v="688"/>
            <x v="690"/>
            <x v="692"/>
            <x v="693"/>
            <x v="694"/>
            <x v="698"/>
            <x v="699"/>
            <x v="700"/>
            <x v="702"/>
            <x v="703"/>
            <x v="705"/>
            <x v="706"/>
            <x v="709"/>
            <x v="711"/>
            <x v="713"/>
            <x v="715"/>
            <x v="716"/>
            <x v="717"/>
            <x v="720"/>
            <x v="730"/>
            <x v="732"/>
            <x v="738"/>
            <x v="739"/>
            <x v="742"/>
            <x v="743"/>
            <x v="749"/>
            <x v="750"/>
            <x v="752"/>
            <x v="758"/>
            <x v="759"/>
            <x v="760"/>
            <x v="761"/>
            <x v="763"/>
            <x v="768"/>
            <x v="773"/>
            <x v="778"/>
            <x v="781"/>
            <x v="783"/>
            <x v="787"/>
            <x v="788"/>
            <x v="793"/>
            <x v="795"/>
            <x v="799"/>
            <x v="804"/>
            <x v="811"/>
            <x v="814"/>
            <x v="815"/>
            <x v="817"/>
            <x v="822"/>
            <x v="823"/>
            <x v="824"/>
            <x v="829"/>
            <x v="834"/>
            <x v="837"/>
            <x v="839"/>
            <x v="840"/>
            <x v="843"/>
            <x v="845"/>
            <x v="846"/>
            <x v="851"/>
            <x v="853"/>
            <x v="855"/>
            <x v="857"/>
            <x v="863"/>
            <x v="865"/>
            <x v="866"/>
            <x v="868"/>
            <x v="871"/>
            <x v="875"/>
            <x v="877"/>
            <x v="879"/>
            <x v="882"/>
            <x v="885"/>
            <x v="887"/>
            <x v="892"/>
            <x v="893"/>
            <x v="894"/>
            <x v="898"/>
            <x v="901"/>
            <x v="906"/>
            <x v="907"/>
            <x v="909"/>
            <x v="910"/>
            <x v="911"/>
            <x v="914"/>
            <x v="915"/>
            <x v="916"/>
            <x v="918"/>
            <x v="919"/>
            <x v="920"/>
            <x v="921"/>
            <x v="922"/>
            <x v="924"/>
            <x v="927"/>
            <x v="929"/>
            <x v="930"/>
            <x v="936"/>
            <x v="941"/>
            <x v="942"/>
            <x v="943"/>
            <x v="945"/>
            <x v="947"/>
            <x v="953"/>
            <x v="954"/>
            <x v="956"/>
            <x v="957"/>
            <x v="962"/>
            <x v="964"/>
            <x v="965"/>
            <x v="969"/>
            <x v="970"/>
            <x v="971"/>
            <x v="973"/>
            <x v="974"/>
            <x v="975"/>
            <x v="980"/>
            <x v="981"/>
            <x v="984"/>
            <x v="989"/>
            <x v="992"/>
            <x v="994"/>
            <x v="995"/>
            <x v="997"/>
            <x v="1000"/>
            <x v="1003"/>
            <x v="1008"/>
            <x v="1011"/>
            <x v="1012"/>
            <x v="1013"/>
            <x v="1014"/>
            <x v="1016"/>
            <x v="1018"/>
            <x v="1019"/>
            <x v="1020"/>
            <x v="1022"/>
            <x v="1023"/>
            <x v="1024"/>
            <x v="1026"/>
            <x v="1034"/>
            <x v="1036"/>
            <x v="1037"/>
            <x v="1042"/>
            <x v="1043"/>
            <x v="1044"/>
            <x v="1045"/>
            <x v="1046"/>
            <x v="1048"/>
            <x v="1049"/>
            <x v="1054"/>
            <x v="1057"/>
            <x v="1062"/>
            <x v="1064"/>
            <x v="1069"/>
            <x v="1076"/>
            <x v="1077"/>
            <x v="1079"/>
            <x v="1081"/>
            <x v="1083"/>
            <x v="1086"/>
            <x v="1088"/>
            <x v="1092"/>
            <x v="1095"/>
            <x v="1102"/>
            <x v="1103"/>
            <x v="1106"/>
            <x v="1107"/>
            <x v="1109"/>
            <x v="1110"/>
            <x v="1111"/>
            <x v="1112"/>
            <x v="1114"/>
            <x v="1119"/>
            <x v="1120"/>
            <x v="1121"/>
            <x v="1123"/>
            <x v="1124"/>
            <x v="1125"/>
            <x v="1131"/>
            <x v="1136"/>
            <x v="1137"/>
            <x v="1142"/>
            <x v="1143"/>
            <x v="1145"/>
            <x v="1149"/>
            <x v="1153"/>
            <x v="1154"/>
            <x v="1157"/>
            <x v="1158"/>
            <x v="1163"/>
            <x v="1164"/>
            <x v="1166"/>
            <x v="1169"/>
            <x v="1173"/>
            <x v="1175"/>
            <x v="1176"/>
            <x v="1177"/>
            <x v="1178"/>
            <x v="1180"/>
            <x v="1182"/>
            <x v="1186"/>
            <x v="1187"/>
            <x v="1189"/>
            <x v="1191"/>
            <x v="1193"/>
            <x v="1194"/>
            <x v="1200"/>
            <x v="1210"/>
            <x v="1211"/>
            <x v="1215"/>
            <x v="1223"/>
            <x v="1224"/>
            <x v="1227"/>
            <x v="1233"/>
            <x v="1237"/>
            <x v="1240"/>
            <x v="1246"/>
            <x v="1248"/>
            <x v="1249"/>
            <x v="1252"/>
            <x v="1256"/>
            <x v="1263"/>
            <x v="1264"/>
            <x v="1270"/>
            <x v="1273"/>
            <x v="1275"/>
            <x v="1276"/>
            <x v="1277"/>
            <x v="1279"/>
            <x v="1280"/>
            <x v="1284"/>
            <x v="1286"/>
            <x v="1287"/>
            <x v="1289"/>
            <x v="1292"/>
            <x v="1295"/>
            <x v="1298"/>
            <x v="1301"/>
            <x v="1313"/>
            <x v="1314"/>
            <x v="1318"/>
            <x v="1323"/>
            <x v="1329"/>
            <x v="1331"/>
            <x v="1332"/>
            <x v="1338"/>
            <x v="1340"/>
            <x v="1341"/>
            <x v="1347"/>
            <x v="1350"/>
            <x v="1358"/>
            <x v="1364"/>
            <x v="1369"/>
            <x v="1373"/>
            <x v="1376"/>
            <x v="1378"/>
            <x v="1381"/>
            <x v="1387"/>
            <x v="1390"/>
            <x v="1391"/>
            <x v="1399"/>
            <x v="1402"/>
            <x v="1404"/>
            <x v="1406"/>
            <x v="1408"/>
            <x v="1409"/>
            <x v="1410"/>
            <x v="1411"/>
            <x v="1412"/>
            <x v="1415"/>
            <x v="1421"/>
            <x v="1422"/>
            <x v="1426"/>
            <x v="1429"/>
            <x v="1433"/>
            <x v="1435"/>
            <x v="1440"/>
            <x v="1441"/>
            <x v="1443"/>
            <x v="1450"/>
            <x v="1452"/>
            <x v="1453"/>
            <x v="1454"/>
            <x v="1461"/>
            <x v="1464"/>
            <x v="1467"/>
            <x v="1471"/>
            <x v="1481"/>
            <x v="1482"/>
            <x v="1483"/>
            <x v="1485"/>
            <x v="1487"/>
            <x v="1489"/>
            <x v="1499"/>
            <x v="1501"/>
            <x v="1502"/>
            <x v="1505"/>
            <x v="1508"/>
            <x v="1509"/>
            <x v="1512"/>
            <x v="1513"/>
            <x v="1515"/>
            <x v="1519"/>
            <x v="1522"/>
            <x v="1524"/>
            <x v="1527"/>
            <x v="1529"/>
            <x v="1530"/>
            <x v="1535"/>
            <x v="1536"/>
            <x v="1538"/>
            <x v="1539"/>
            <x v="1542"/>
            <x v="1545"/>
            <x v="1548"/>
            <x v="1549"/>
            <x v="1551"/>
            <x v="1555"/>
            <x v="1558"/>
            <x v="1559"/>
            <x v="1564"/>
            <x v="1565"/>
            <x v="1582"/>
            <x v="1583"/>
            <x v="1585"/>
            <x v="1587"/>
            <x v="1590"/>
            <x v="1591"/>
            <x v="1595"/>
            <x v="1601"/>
            <x v="1602"/>
            <x v="1603"/>
            <x v="1605"/>
            <x v="1610"/>
            <x v="1612"/>
            <x v="1618"/>
            <x v="1619"/>
            <x v="1623"/>
            <x v="1624"/>
            <x v="1626"/>
            <x v="1628"/>
            <x v="1631"/>
            <x v="1634"/>
            <x v="1638"/>
            <x v="1639"/>
            <x v="1641"/>
            <x v="1645"/>
            <x v="1646"/>
            <x v="1651"/>
            <x v="1653"/>
            <x v="1654"/>
            <x v="1657"/>
            <x v="1663"/>
            <x v="1667"/>
            <x v="1668"/>
            <x v="1674"/>
            <x v="1675"/>
            <x v="1676"/>
            <x v="1682"/>
            <x v="1686"/>
            <x v="1689"/>
            <x v="1690"/>
            <x v="1691"/>
            <x v="1692"/>
            <x v="1695"/>
            <x v="1703"/>
            <x v="1705"/>
            <x v="1706"/>
            <x v="1710"/>
            <x v="1717"/>
            <x v="1721"/>
            <x v="1724"/>
            <x v="1729"/>
            <x v="1732"/>
            <x v="1735"/>
            <x v="1737"/>
            <x v="1742"/>
            <x v="1745"/>
            <x v="1748"/>
            <x v="1749"/>
            <x v="1756"/>
            <x v="1760"/>
            <x v="1764"/>
            <x v="1765"/>
            <x v="1768"/>
            <x v="1774"/>
            <x v="1775"/>
            <x v="1777"/>
            <x v="1782"/>
            <x v="1785"/>
            <x v="1786"/>
            <x v="1789"/>
            <x v="1790"/>
            <x v="1792"/>
            <x v="1796"/>
            <x v="1797"/>
            <x v="1798"/>
            <x v="1801"/>
            <x v="1802"/>
            <x v="1808"/>
            <x v="1811"/>
            <x v="1816"/>
            <x v="1817"/>
            <x v="1819"/>
            <x v="1820"/>
            <x v="1821"/>
            <x v="1823"/>
            <x v="1825"/>
            <x v="1826"/>
            <x v="1831"/>
            <x v="1833"/>
            <x v="1834"/>
            <x v="1836"/>
            <x v="1846"/>
            <x v="1847"/>
            <x v="1850"/>
            <x v="1853"/>
            <x v="1855"/>
            <x v="1859"/>
            <x v="1861"/>
            <x v="1866"/>
            <x v="1869"/>
            <x v="1872"/>
            <x v="1873"/>
            <x v="1885"/>
            <x v="1887"/>
            <x v="1890"/>
            <x v="1894"/>
            <x v="1895"/>
            <x v="1896"/>
            <x v="1897"/>
            <x v="1898"/>
            <x v="1899"/>
            <x v="1905"/>
            <x v="1908"/>
            <x v="1911"/>
            <x v="1913"/>
            <x v="1915"/>
            <x v="1920"/>
            <x v="1921"/>
            <x v="1922"/>
            <x v="1925"/>
            <x v="1926"/>
            <x v="1931"/>
            <x v="1933"/>
            <x v="1934"/>
            <x v="1935"/>
            <x v="1939"/>
            <x v="1940"/>
            <x v="1946"/>
            <x v="1950"/>
            <x v="1952"/>
            <x v="1953"/>
            <x v="1954"/>
            <x v="1957"/>
            <x v="1962"/>
            <x v="1968"/>
            <x v="1970"/>
            <x v="1971"/>
            <x v="1973"/>
            <x v="1976"/>
            <x v="1977"/>
            <x v="1980"/>
            <x v="1982"/>
            <x v="1983"/>
            <x v="1984"/>
            <x v="1987"/>
            <x v="1989"/>
            <x v="1990"/>
            <x v="1991"/>
            <x v="1994"/>
            <x v="1997"/>
            <x v="1999"/>
            <x v="2005"/>
            <x v="2006"/>
            <x v="2008"/>
            <x v="2009"/>
            <x v="2010"/>
            <x v="2011"/>
            <x v="2012"/>
            <x v="2021"/>
            <x v="2023"/>
            <x v="2028"/>
            <x v="2030"/>
            <x v="2031"/>
            <x v="2032"/>
            <x v="2034"/>
            <x v="2040"/>
            <x v="2041"/>
            <x v="2042"/>
            <x v="2044"/>
            <x v="2048"/>
            <x v="2050"/>
            <x v="2052"/>
            <x v="2053"/>
            <x v="2057"/>
            <x v="2063"/>
            <x v="2065"/>
            <x v="2068"/>
            <x v="2070"/>
            <x v="2071"/>
            <x v="2074"/>
            <x v="2075"/>
            <x v="2076"/>
            <x v="2080"/>
            <x v="2084"/>
            <x v="2085"/>
            <x v="2087"/>
            <x v="2089"/>
            <x v="2091"/>
            <x v="2092"/>
            <x v="2095"/>
            <x v="2096"/>
            <x v="2097"/>
            <x v="2100"/>
            <x v="2103"/>
            <x v="2104"/>
            <x v="2108"/>
            <x v="2116"/>
            <x v="2117"/>
            <x v="2119"/>
            <x v="2123"/>
            <x v="2124"/>
            <x v="2125"/>
            <x v="2148"/>
            <x v="2152"/>
            <x v="2154"/>
            <x v="2156"/>
            <x v="2157"/>
            <x v="2159"/>
            <x v="2160"/>
            <x v="2162"/>
            <x v="2166"/>
            <x v="2167"/>
            <x v="2176"/>
            <x v="2180"/>
            <x v="2185"/>
            <x v="2188"/>
            <x v="2190"/>
            <x v="2191"/>
            <x v="2193"/>
            <x v="2200"/>
            <x v="2201"/>
            <x v="2203"/>
            <x v="2205"/>
            <x v="2206"/>
            <x v="2210"/>
            <x v="2215"/>
            <x v="2216"/>
            <x v="2217"/>
          </reference>
        </references>
      </pivotArea>
    </format>
    <format dxfId="267">
      <pivotArea dataOnly="0" labelOnly="1" fieldPosition="0">
        <references count="1">
          <reference field="6" count="50">
            <x v="0"/>
            <x v="4"/>
            <x v="10"/>
            <x v="13"/>
            <x v="15"/>
            <x v="17"/>
            <x v="19"/>
            <x v="23"/>
            <x v="25"/>
            <x v="30"/>
            <x v="32"/>
            <x v="33"/>
            <x v="40"/>
            <x v="43"/>
            <x v="44"/>
            <x v="45"/>
            <x v="47"/>
            <x v="50"/>
            <x v="53"/>
            <x v="54"/>
            <x v="55"/>
            <x v="57"/>
            <x v="63"/>
            <x v="73"/>
            <x v="78"/>
            <x v="85"/>
            <x v="87"/>
            <x v="90"/>
            <x v="95"/>
            <x v="96"/>
            <x v="98"/>
            <x v="101"/>
            <x v="104"/>
            <x v="107"/>
            <x v="108"/>
            <x v="114"/>
            <x v="116"/>
            <x v="118"/>
            <x v="120"/>
            <x v="121"/>
            <x v="122"/>
            <x v="124"/>
            <x v="125"/>
            <x v="129"/>
            <x v="130"/>
            <x v="138"/>
            <x v="139"/>
            <x v="142"/>
            <x v="144"/>
            <x v="148"/>
          </reference>
        </references>
      </pivotArea>
    </format>
    <format dxfId="266">
      <pivotArea dataOnly="0" labelOnly="1" fieldPosition="0">
        <references count="1">
          <reference field="6" count="50">
            <x v="152"/>
            <x v="155"/>
            <x v="160"/>
            <x v="164"/>
            <x v="166"/>
            <x v="170"/>
            <x v="180"/>
            <x v="181"/>
            <x v="182"/>
            <x v="186"/>
            <x v="192"/>
            <x v="193"/>
            <x v="194"/>
            <x v="197"/>
            <x v="212"/>
            <x v="219"/>
            <x v="222"/>
            <x v="228"/>
            <x v="230"/>
            <x v="238"/>
            <x v="239"/>
            <x v="240"/>
            <x v="250"/>
            <x v="253"/>
            <x v="261"/>
            <x v="262"/>
            <x v="264"/>
            <x v="266"/>
            <x v="268"/>
            <x v="270"/>
            <x v="271"/>
            <x v="275"/>
            <x v="277"/>
            <x v="278"/>
            <x v="283"/>
            <x v="287"/>
            <x v="289"/>
            <x v="290"/>
            <x v="291"/>
            <x v="302"/>
            <x v="303"/>
            <x v="308"/>
            <x v="309"/>
            <x v="311"/>
            <x v="315"/>
            <x v="317"/>
            <x v="323"/>
            <x v="325"/>
            <x v="328"/>
            <x v="331"/>
          </reference>
        </references>
      </pivotArea>
    </format>
    <format dxfId="265">
      <pivotArea dataOnly="0" labelOnly="1" fieldPosition="0">
        <references count="1">
          <reference field="6" count="50">
            <x v="332"/>
            <x v="335"/>
            <x v="336"/>
            <x v="340"/>
            <x v="341"/>
            <x v="342"/>
            <x v="345"/>
            <x v="348"/>
            <x v="349"/>
            <x v="350"/>
            <x v="351"/>
            <x v="352"/>
            <x v="354"/>
            <x v="359"/>
            <x v="361"/>
            <x v="364"/>
            <x v="366"/>
            <x v="368"/>
            <x v="372"/>
            <x v="374"/>
            <x v="375"/>
            <x v="376"/>
            <x v="380"/>
            <x v="382"/>
            <x v="387"/>
            <x v="388"/>
            <x v="390"/>
            <x v="392"/>
            <x v="394"/>
            <x v="400"/>
            <x v="406"/>
            <x v="407"/>
            <x v="409"/>
            <x v="412"/>
            <x v="415"/>
            <x v="418"/>
            <x v="421"/>
            <x v="422"/>
            <x v="431"/>
            <x v="432"/>
            <x v="437"/>
            <x v="438"/>
            <x v="439"/>
            <x v="440"/>
            <x v="442"/>
            <x v="443"/>
            <x v="444"/>
            <x v="450"/>
            <x v="452"/>
            <x v="455"/>
          </reference>
        </references>
      </pivotArea>
    </format>
    <format dxfId="264">
      <pivotArea dataOnly="0" labelOnly="1" fieldPosition="0">
        <references count="1">
          <reference field="6" count="50">
            <x v="460"/>
            <x v="463"/>
            <x v="466"/>
            <x v="468"/>
            <x v="469"/>
            <x v="471"/>
            <x v="473"/>
            <x v="474"/>
            <x v="479"/>
            <x v="480"/>
            <x v="482"/>
            <x v="483"/>
            <x v="486"/>
            <x v="487"/>
            <x v="489"/>
            <x v="490"/>
            <x v="491"/>
            <x v="494"/>
            <x v="496"/>
            <x v="497"/>
            <x v="501"/>
            <x v="502"/>
            <x v="503"/>
            <x v="505"/>
            <x v="506"/>
            <x v="511"/>
            <x v="513"/>
            <x v="521"/>
            <x v="522"/>
            <x v="525"/>
            <x v="526"/>
            <x v="530"/>
            <x v="531"/>
            <x v="532"/>
            <x v="533"/>
            <x v="534"/>
            <x v="535"/>
            <x v="537"/>
            <x v="541"/>
            <x v="547"/>
            <x v="549"/>
            <x v="552"/>
            <x v="554"/>
            <x v="555"/>
            <x v="556"/>
            <x v="557"/>
            <x v="559"/>
            <x v="560"/>
            <x v="563"/>
            <x v="564"/>
          </reference>
        </references>
      </pivotArea>
    </format>
    <format dxfId="263">
      <pivotArea dataOnly="0" labelOnly="1" fieldPosition="0">
        <references count="1">
          <reference field="6" count="50">
            <x v="566"/>
            <x v="567"/>
            <x v="568"/>
            <x v="570"/>
            <x v="572"/>
            <x v="575"/>
            <x v="578"/>
            <x v="579"/>
            <x v="580"/>
            <x v="581"/>
            <x v="585"/>
            <x v="591"/>
            <x v="595"/>
            <x v="596"/>
            <x v="598"/>
            <x v="601"/>
            <x v="603"/>
            <x v="606"/>
            <x v="609"/>
            <x v="610"/>
            <x v="611"/>
            <x v="612"/>
            <x v="613"/>
            <x v="620"/>
            <x v="622"/>
            <x v="623"/>
            <x v="624"/>
            <x v="625"/>
            <x v="628"/>
            <x v="630"/>
            <x v="635"/>
            <x v="637"/>
            <x v="638"/>
            <x v="639"/>
            <x v="647"/>
            <x v="648"/>
            <x v="650"/>
            <x v="654"/>
            <x v="655"/>
            <x v="657"/>
            <x v="658"/>
            <x v="659"/>
            <x v="662"/>
            <x v="666"/>
            <x v="668"/>
            <x v="670"/>
            <x v="674"/>
            <x v="676"/>
            <x v="679"/>
            <x v="680"/>
          </reference>
        </references>
      </pivotArea>
    </format>
    <format dxfId="262">
      <pivotArea dataOnly="0" labelOnly="1" fieldPosition="0">
        <references count="1">
          <reference field="6" count="50">
            <x v="681"/>
            <x v="682"/>
            <x v="688"/>
            <x v="690"/>
            <x v="692"/>
            <x v="693"/>
            <x v="694"/>
            <x v="698"/>
            <x v="699"/>
            <x v="700"/>
            <x v="702"/>
            <x v="703"/>
            <x v="705"/>
            <x v="706"/>
            <x v="709"/>
            <x v="711"/>
            <x v="713"/>
            <x v="715"/>
            <x v="716"/>
            <x v="717"/>
            <x v="720"/>
            <x v="730"/>
            <x v="732"/>
            <x v="738"/>
            <x v="739"/>
            <x v="742"/>
            <x v="743"/>
            <x v="749"/>
            <x v="750"/>
            <x v="752"/>
            <x v="758"/>
            <x v="759"/>
            <x v="760"/>
            <x v="761"/>
            <x v="763"/>
            <x v="768"/>
            <x v="773"/>
            <x v="778"/>
            <x v="781"/>
            <x v="783"/>
            <x v="787"/>
            <x v="788"/>
            <x v="793"/>
            <x v="795"/>
            <x v="799"/>
            <x v="804"/>
            <x v="811"/>
            <x v="814"/>
            <x v="815"/>
            <x v="817"/>
          </reference>
        </references>
      </pivotArea>
    </format>
    <format dxfId="261">
      <pivotArea dataOnly="0" labelOnly="1" fieldPosition="0">
        <references count="1">
          <reference field="6" count="50">
            <x v="822"/>
            <x v="823"/>
            <x v="824"/>
            <x v="829"/>
            <x v="834"/>
            <x v="837"/>
            <x v="839"/>
            <x v="840"/>
            <x v="843"/>
            <x v="845"/>
            <x v="846"/>
            <x v="851"/>
            <x v="853"/>
            <x v="855"/>
            <x v="857"/>
            <x v="863"/>
            <x v="865"/>
            <x v="866"/>
            <x v="868"/>
            <x v="871"/>
            <x v="875"/>
            <x v="877"/>
            <x v="879"/>
            <x v="882"/>
            <x v="885"/>
            <x v="887"/>
            <x v="892"/>
            <x v="893"/>
            <x v="894"/>
            <x v="898"/>
            <x v="901"/>
            <x v="906"/>
            <x v="907"/>
            <x v="909"/>
            <x v="910"/>
            <x v="911"/>
            <x v="914"/>
            <x v="915"/>
            <x v="916"/>
            <x v="918"/>
            <x v="919"/>
            <x v="920"/>
            <x v="921"/>
            <x v="922"/>
            <x v="924"/>
            <x v="927"/>
            <x v="929"/>
            <x v="930"/>
            <x v="936"/>
            <x v="941"/>
          </reference>
        </references>
      </pivotArea>
    </format>
    <format dxfId="260">
      <pivotArea dataOnly="0" labelOnly="1" fieldPosition="0">
        <references count="1">
          <reference field="6" count="50">
            <x v="942"/>
            <x v="943"/>
            <x v="945"/>
            <x v="947"/>
            <x v="953"/>
            <x v="954"/>
            <x v="956"/>
            <x v="957"/>
            <x v="962"/>
            <x v="964"/>
            <x v="965"/>
            <x v="969"/>
            <x v="970"/>
            <x v="971"/>
            <x v="973"/>
            <x v="974"/>
            <x v="975"/>
            <x v="980"/>
            <x v="981"/>
            <x v="984"/>
            <x v="989"/>
            <x v="992"/>
            <x v="994"/>
            <x v="995"/>
            <x v="997"/>
            <x v="1000"/>
            <x v="1003"/>
            <x v="1008"/>
            <x v="1011"/>
            <x v="1012"/>
            <x v="1013"/>
            <x v="1014"/>
            <x v="1016"/>
            <x v="1018"/>
            <x v="1019"/>
            <x v="1020"/>
            <x v="1022"/>
            <x v="1023"/>
            <x v="1024"/>
            <x v="1026"/>
            <x v="1034"/>
            <x v="1036"/>
            <x v="1037"/>
            <x v="1042"/>
            <x v="1043"/>
            <x v="1044"/>
            <x v="1045"/>
            <x v="1046"/>
            <x v="1048"/>
            <x v="1049"/>
          </reference>
        </references>
      </pivotArea>
    </format>
    <format dxfId="259">
      <pivotArea dataOnly="0" labelOnly="1" fieldPosition="0">
        <references count="1">
          <reference field="6" count="50">
            <x v="1054"/>
            <x v="1057"/>
            <x v="1062"/>
            <x v="1064"/>
            <x v="1069"/>
            <x v="1076"/>
            <x v="1077"/>
            <x v="1079"/>
            <x v="1081"/>
            <x v="1083"/>
            <x v="1086"/>
            <x v="1088"/>
            <x v="1092"/>
            <x v="1095"/>
            <x v="1102"/>
            <x v="1103"/>
            <x v="1106"/>
            <x v="1107"/>
            <x v="1109"/>
            <x v="1110"/>
            <x v="1111"/>
            <x v="1112"/>
            <x v="1114"/>
            <x v="1119"/>
            <x v="1120"/>
            <x v="1121"/>
            <x v="1123"/>
            <x v="1124"/>
            <x v="1125"/>
            <x v="1131"/>
            <x v="1136"/>
            <x v="1137"/>
            <x v="1142"/>
            <x v="1143"/>
            <x v="1145"/>
            <x v="1149"/>
            <x v="1153"/>
            <x v="1154"/>
            <x v="1157"/>
            <x v="1158"/>
            <x v="1163"/>
            <x v="1164"/>
            <x v="1166"/>
            <x v="1169"/>
            <x v="1173"/>
            <x v="1175"/>
            <x v="1176"/>
            <x v="1177"/>
            <x v="1178"/>
            <x v="1180"/>
          </reference>
        </references>
      </pivotArea>
    </format>
    <format dxfId="258">
      <pivotArea dataOnly="0" labelOnly="1" fieldPosition="0">
        <references count="1">
          <reference field="6" count="50">
            <x v="1182"/>
            <x v="1186"/>
            <x v="1187"/>
            <x v="1189"/>
            <x v="1191"/>
            <x v="1193"/>
            <x v="1194"/>
            <x v="1200"/>
            <x v="1210"/>
            <x v="1211"/>
            <x v="1215"/>
            <x v="1223"/>
            <x v="1224"/>
            <x v="1227"/>
            <x v="1233"/>
            <x v="1237"/>
            <x v="1240"/>
            <x v="1246"/>
            <x v="1248"/>
            <x v="1249"/>
            <x v="1252"/>
            <x v="1256"/>
            <x v="1263"/>
            <x v="1264"/>
            <x v="1270"/>
            <x v="1273"/>
            <x v="1275"/>
            <x v="1276"/>
            <x v="1277"/>
            <x v="1279"/>
            <x v="1280"/>
            <x v="1284"/>
            <x v="1286"/>
            <x v="1287"/>
            <x v="1289"/>
            <x v="1292"/>
            <x v="1295"/>
            <x v="1298"/>
            <x v="1301"/>
            <x v="1313"/>
            <x v="1314"/>
            <x v="1318"/>
            <x v="1323"/>
            <x v="1329"/>
            <x v="1331"/>
            <x v="1332"/>
            <x v="1338"/>
            <x v="1340"/>
            <x v="1341"/>
            <x v="1347"/>
          </reference>
        </references>
      </pivotArea>
    </format>
    <format dxfId="257">
      <pivotArea dataOnly="0" labelOnly="1" fieldPosition="0">
        <references count="1">
          <reference field="6" count="50">
            <x v="1350"/>
            <x v="1358"/>
            <x v="1364"/>
            <x v="1369"/>
            <x v="1373"/>
            <x v="1376"/>
            <x v="1378"/>
            <x v="1381"/>
            <x v="1387"/>
            <x v="1390"/>
            <x v="1391"/>
            <x v="1399"/>
            <x v="1402"/>
            <x v="1404"/>
            <x v="1406"/>
            <x v="1408"/>
            <x v="1409"/>
            <x v="1410"/>
            <x v="1411"/>
            <x v="1412"/>
            <x v="1415"/>
            <x v="1421"/>
            <x v="1422"/>
            <x v="1426"/>
            <x v="1429"/>
            <x v="1433"/>
            <x v="1435"/>
            <x v="1440"/>
            <x v="1441"/>
            <x v="1443"/>
            <x v="1450"/>
            <x v="1452"/>
            <x v="1453"/>
            <x v="1454"/>
            <x v="1461"/>
            <x v="1464"/>
            <x v="1467"/>
            <x v="1471"/>
            <x v="1481"/>
            <x v="1482"/>
            <x v="1483"/>
            <x v="1485"/>
            <x v="1487"/>
            <x v="1489"/>
            <x v="1499"/>
            <x v="1501"/>
            <x v="1502"/>
            <x v="1505"/>
            <x v="1508"/>
            <x v="1509"/>
          </reference>
        </references>
      </pivotArea>
    </format>
    <format dxfId="256">
      <pivotArea dataOnly="0" labelOnly="1" fieldPosition="0">
        <references count="1">
          <reference field="6" count="50">
            <x v="1512"/>
            <x v="1513"/>
            <x v="1515"/>
            <x v="1519"/>
            <x v="1522"/>
            <x v="1524"/>
            <x v="1527"/>
            <x v="1529"/>
            <x v="1530"/>
            <x v="1535"/>
            <x v="1536"/>
            <x v="1538"/>
            <x v="1539"/>
            <x v="1542"/>
            <x v="1545"/>
            <x v="1548"/>
            <x v="1549"/>
            <x v="1551"/>
            <x v="1555"/>
            <x v="1558"/>
            <x v="1559"/>
            <x v="1564"/>
            <x v="1565"/>
            <x v="1582"/>
            <x v="1583"/>
            <x v="1585"/>
            <x v="1587"/>
            <x v="1590"/>
            <x v="1591"/>
            <x v="1595"/>
            <x v="1601"/>
            <x v="1602"/>
            <x v="1603"/>
            <x v="1605"/>
            <x v="1610"/>
            <x v="1612"/>
            <x v="1618"/>
            <x v="1619"/>
            <x v="1623"/>
            <x v="1624"/>
            <x v="1626"/>
            <x v="1628"/>
            <x v="1631"/>
            <x v="1634"/>
            <x v="1638"/>
            <x v="1639"/>
            <x v="1641"/>
            <x v="1645"/>
            <x v="1646"/>
            <x v="1651"/>
          </reference>
        </references>
      </pivotArea>
    </format>
    <format dxfId="255">
      <pivotArea dataOnly="0" labelOnly="1" fieldPosition="0">
        <references count="1">
          <reference field="6" count="50">
            <x v="1653"/>
            <x v="1654"/>
            <x v="1657"/>
            <x v="1663"/>
            <x v="1667"/>
            <x v="1668"/>
            <x v="1674"/>
            <x v="1675"/>
            <x v="1676"/>
            <x v="1682"/>
            <x v="1686"/>
            <x v="1689"/>
            <x v="1690"/>
            <x v="1691"/>
            <x v="1692"/>
            <x v="1695"/>
            <x v="1703"/>
            <x v="1705"/>
            <x v="1706"/>
            <x v="1710"/>
            <x v="1717"/>
            <x v="1721"/>
            <x v="1724"/>
            <x v="1729"/>
            <x v="1732"/>
            <x v="1735"/>
            <x v="1737"/>
            <x v="1742"/>
            <x v="1745"/>
            <x v="1748"/>
            <x v="1749"/>
            <x v="1756"/>
            <x v="1760"/>
            <x v="1764"/>
            <x v="1765"/>
            <x v="1768"/>
            <x v="1774"/>
            <x v="1775"/>
            <x v="1777"/>
            <x v="1782"/>
            <x v="1785"/>
            <x v="1786"/>
            <x v="1789"/>
            <x v="1790"/>
            <x v="1792"/>
            <x v="1796"/>
            <x v="1797"/>
            <x v="1798"/>
            <x v="1801"/>
            <x v="1802"/>
          </reference>
        </references>
      </pivotArea>
    </format>
    <format dxfId="254">
      <pivotArea dataOnly="0" labelOnly="1" fieldPosition="0">
        <references count="1">
          <reference field="6" count="50">
            <x v="1808"/>
            <x v="1811"/>
            <x v="1816"/>
            <x v="1817"/>
            <x v="1819"/>
            <x v="1820"/>
            <x v="1821"/>
            <x v="1823"/>
            <x v="1825"/>
            <x v="1826"/>
            <x v="1831"/>
            <x v="1833"/>
            <x v="1834"/>
            <x v="1836"/>
            <x v="1846"/>
            <x v="1847"/>
            <x v="1850"/>
            <x v="1853"/>
            <x v="1855"/>
            <x v="1859"/>
            <x v="1861"/>
            <x v="1866"/>
            <x v="1869"/>
            <x v="1872"/>
            <x v="1873"/>
            <x v="1885"/>
            <x v="1887"/>
            <x v="1890"/>
            <x v="1894"/>
            <x v="1895"/>
            <x v="1896"/>
            <x v="1897"/>
            <x v="1898"/>
            <x v="1899"/>
            <x v="1905"/>
            <x v="1908"/>
            <x v="1911"/>
            <x v="1913"/>
            <x v="1915"/>
            <x v="1920"/>
            <x v="1921"/>
            <x v="1922"/>
            <x v="1925"/>
            <x v="1926"/>
            <x v="1931"/>
            <x v="1933"/>
            <x v="1934"/>
            <x v="1935"/>
            <x v="1939"/>
            <x v="1940"/>
          </reference>
        </references>
      </pivotArea>
    </format>
    <format dxfId="253">
      <pivotArea dataOnly="0" labelOnly="1" fieldPosition="0">
        <references count="1">
          <reference field="6" count="50">
            <x v="1946"/>
            <x v="1950"/>
            <x v="1952"/>
            <x v="1953"/>
            <x v="1954"/>
            <x v="1957"/>
            <x v="1962"/>
            <x v="1968"/>
            <x v="1970"/>
            <x v="1971"/>
            <x v="1973"/>
            <x v="1976"/>
            <x v="1977"/>
            <x v="1980"/>
            <x v="1982"/>
            <x v="1983"/>
            <x v="1984"/>
            <x v="1987"/>
            <x v="1989"/>
            <x v="1990"/>
            <x v="1991"/>
            <x v="1994"/>
            <x v="1997"/>
            <x v="1999"/>
            <x v="2005"/>
            <x v="2006"/>
            <x v="2008"/>
            <x v="2009"/>
            <x v="2010"/>
            <x v="2011"/>
            <x v="2012"/>
            <x v="2021"/>
            <x v="2023"/>
            <x v="2028"/>
            <x v="2030"/>
            <x v="2031"/>
            <x v="2032"/>
            <x v="2034"/>
            <x v="2040"/>
            <x v="2041"/>
            <x v="2042"/>
            <x v="2044"/>
            <x v="2048"/>
            <x v="2050"/>
            <x v="2052"/>
            <x v="2053"/>
            <x v="2057"/>
            <x v="2063"/>
            <x v="2065"/>
            <x v="2068"/>
          </reference>
        </references>
      </pivotArea>
    </format>
    <format dxfId="252">
      <pivotArea dataOnly="0" labelOnly="1" fieldPosition="0">
        <references count="1">
          <reference field="6" count="50">
            <x v="2070"/>
            <x v="2071"/>
            <x v="2074"/>
            <x v="2075"/>
            <x v="2076"/>
            <x v="2080"/>
            <x v="2084"/>
            <x v="2085"/>
            <x v="2087"/>
            <x v="2089"/>
            <x v="2091"/>
            <x v="2092"/>
            <x v="2095"/>
            <x v="2096"/>
            <x v="2097"/>
            <x v="2100"/>
            <x v="2103"/>
            <x v="2104"/>
            <x v="2108"/>
            <x v="2116"/>
            <x v="2117"/>
            <x v="2119"/>
            <x v="2123"/>
            <x v="2124"/>
            <x v="2125"/>
            <x v="2148"/>
            <x v="2152"/>
            <x v="2154"/>
            <x v="2156"/>
            <x v="2157"/>
            <x v="2159"/>
            <x v="2160"/>
            <x v="2162"/>
            <x v="2166"/>
            <x v="2167"/>
            <x v="2176"/>
            <x v="2180"/>
            <x v="2185"/>
            <x v="2188"/>
            <x v="2190"/>
            <x v="2191"/>
            <x v="2193"/>
            <x v="2200"/>
            <x v="2201"/>
            <x v="2203"/>
            <x v="2205"/>
            <x v="2206"/>
            <x v="2210"/>
            <x v="2215"/>
            <x v="2216"/>
          </reference>
        </references>
      </pivotArea>
    </format>
    <format dxfId="251">
      <pivotArea dataOnly="0" labelOnly="1" fieldPosition="0">
        <references count="1">
          <reference field="6" count="50">
            <x v="0"/>
            <x v="3"/>
            <x v="4"/>
            <x v="10"/>
            <x v="13"/>
            <x v="15"/>
            <x v="23"/>
            <x v="30"/>
            <x v="32"/>
            <x v="40"/>
            <x v="42"/>
            <x v="43"/>
            <x v="45"/>
            <x v="46"/>
            <x v="47"/>
            <x v="50"/>
            <x v="55"/>
            <x v="56"/>
            <x v="57"/>
            <x v="65"/>
            <x v="70"/>
            <x v="87"/>
            <x v="90"/>
            <x v="95"/>
            <x v="96"/>
            <x v="108"/>
            <x v="112"/>
            <x v="114"/>
            <x v="118"/>
            <x v="120"/>
            <x v="122"/>
            <x v="125"/>
            <x v="129"/>
            <x v="130"/>
            <x v="134"/>
            <x v="139"/>
            <x v="144"/>
            <x v="145"/>
            <x v="149"/>
            <x v="155"/>
            <x v="158"/>
            <x v="159"/>
            <x v="164"/>
            <x v="165"/>
            <x v="168"/>
            <x v="170"/>
            <x v="180"/>
            <x v="181"/>
            <x v="182"/>
            <x v="185"/>
          </reference>
        </references>
      </pivotArea>
    </format>
    <format dxfId="250">
      <pivotArea dataOnly="0" labelOnly="1" fieldPosition="0">
        <references count="1">
          <reference field="6" count="50">
            <x v="186"/>
            <x v="192"/>
            <x v="193"/>
            <x v="194"/>
            <x v="197"/>
            <x v="199"/>
            <x v="204"/>
            <x v="205"/>
            <x v="210"/>
            <x v="212"/>
            <x v="216"/>
            <x v="219"/>
            <x v="222"/>
            <x v="226"/>
            <x v="230"/>
            <x v="232"/>
            <x v="234"/>
            <x v="238"/>
            <x v="239"/>
            <x v="240"/>
            <x v="247"/>
            <x v="250"/>
            <x v="261"/>
            <x v="262"/>
            <x v="264"/>
            <x v="266"/>
            <x v="268"/>
            <x v="269"/>
            <x v="270"/>
            <x v="271"/>
            <x v="272"/>
            <x v="275"/>
            <x v="277"/>
            <x v="278"/>
            <x v="282"/>
            <x v="287"/>
            <x v="289"/>
            <x v="290"/>
            <x v="291"/>
            <x v="292"/>
            <x v="301"/>
            <x v="302"/>
            <x v="303"/>
            <x v="305"/>
            <x v="309"/>
            <x v="315"/>
            <x v="325"/>
            <x v="331"/>
            <x v="332"/>
            <x v="336"/>
          </reference>
        </references>
      </pivotArea>
    </format>
    <format dxfId="249">
      <pivotArea dataOnly="0" labelOnly="1" fieldPosition="0">
        <references count="1">
          <reference field="6" count="50">
            <x v="342"/>
            <x v="345"/>
            <x v="347"/>
            <x v="348"/>
            <x v="349"/>
            <x v="356"/>
            <x v="359"/>
            <x v="364"/>
            <x v="365"/>
            <x v="366"/>
            <x v="369"/>
            <x v="372"/>
            <x v="375"/>
            <x v="376"/>
            <x v="380"/>
            <x v="382"/>
            <x v="383"/>
            <x v="387"/>
            <x v="388"/>
            <x v="390"/>
            <x v="391"/>
            <x v="392"/>
            <x v="395"/>
            <x v="397"/>
            <x v="400"/>
            <x v="403"/>
            <x v="406"/>
            <x v="407"/>
            <x v="415"/>
            <x v="418"/>
            <x v="421"/>
            <x v="422"/>
            <x v="431"/>
            <x v="438"/>
            <x v="439"/>
            <x v="440"/>
            <x v="442"/>
            <x v="444"/>
            <x v="452"/>
            <x v="453"/>
            <x v="455"/>
            <x v="460"/>
            <x v="466"/>
            <x v="469"/>
            <x v="470"/>
            <x v="471"/>
            <x v="473"/>
            <x v="478"/>
            <x v="479"/>
            <x v="480"/>
          </reference>
        </references>
      </pivotArea>
    </format>
    <format dxfId="248">
      <pivotArea dataOnly="0" labelOnly="1" fieldPosition="0">
        <references count="1">
          <reference field="6" count="50">
            <x v="482"/>
            <x v="486"/>
            <x v="489"/>
            <x v="492"/>
            <x v="493"/>
            <x v="494"/>
            <x v="505"/>
            <x v="511"/>
            <x v="512"/>
            <x v="513"/>
            <x v="519"/>
            <x v="521"/>
            <x v="522"/>
            <x v="524"/>
            <x v="525"/>
            <x v="526"/>
            <x v="527"/>
            <x v="528"/>
            <x v="529"/>
            <x v="530"/>
            <x v="531"/>
            <x v="532"/>
            <x v="534"/>
            <x v="541"/>
            <x v="547"/>
            <x v="552"/>
            <x v="555"/>
            <x v="556"/>
            <x v="557"/>
            <x v="560"/>
            <x v="563"/>
            <x v="564"/>
            <x v="566"/>
            <x v="567"/>
            <x v="568"/>
            <x v="570"/>
            <x v="571"/>
            <x v="573"/>
            <x v="578"/>
            <x v="579"/>
            <x v="580"/>
            <x v="582"/>
            <x v="584"/>
            <x v="585"/>
            <x v="588"/>
            <x v="591"/>
            <x v="592"/>
            <x v="598"/>
            <x v="601"/>
            <x v="602"/>
          </reference>
        </references>
      </pivotArea>
    </format>
    <format dxfId="247">
      <pivotArea dataOnly="0" labelOnly="1" fieldPosition="0">
        <references count="1">
          <reference field="6" count="50">
            <x v="603"/>
            <x v="609"/>
            <x v="610"/>
            <x v="613"/>
            <x v="614"/>
            <x v="617"/>
            <x v="618"/>
            <x v="620"/>
            <x v="622"/>
            <x v="623"/>
            <x v="635"/>
            <x v="637"/>
            <x v="638"/>
            <x v="644"/>
            <x v="654"/>
            <x v="657"/>
            <x v="668"/>
            <x v="674"/>
            <x v="680"/>
            <x v="681"/>
            <x v="682"/>
            <x v="689"/>
            <x v="692"/>
            <x v="693"/>
            <x v="694"/>
            <x v="697"/>
            <x v="698"/>
            <x v="702"/>
            <x v="706"/>
            <x v="708"/>
            <x v="709"/>
            <x v="711"/>
            <x v="713"/>
            <x v="715"/>
            <x v="717"/>
            <x v="720"/>
            <x v="730"/>
            <x v="732"/>
            <x v="734"/>
            <x v="738"/>
            <x v="741"/>
            <x v="742"/>
            <x v="745"/>
            <x v="746"/>
            <x v="749"/>
            <x v="750"/>
            <x v="752"/>
            <x v="758"/>
            <x v="759"/>
            <x v="760"/>
          </reference>
        </references>
      </pivotArea>
    </format>
    <format dxfId="246">
      <pivotArea dataOnly="0" labelOnly="1" fieldPosition="0">
        <references count="1">
          <reference field="6" count="50">
            <x v="761"/>
            <x v="765"/>
            <x v="767"/>
            <x v="771"/>
            <x v="772"/>
            <x v="778"/>
            <x v="779"/>
            <x v="781"/>
            <x v="783"/>
            <x v="787"/>
            <x v="788"/>
            <x v="793"/>
            <x v="795"/>
            <x v="797"/>
            <x v="799"/>
            <x v="804"/>
            <x v="805"/>
            <x v="808"/>
            <x v="811"/>
            <x v="814"/>
            <x v="815"/>
            <x v="817"/>
            <x v="820"/>
            <x v="822"/>
            <x v="823"/>
            <x v="825"/>
            <x v="829"/>
            <x v="831"/>
            <x v="832"/>
            <x v="833"/>
            <x v="834"/>
            <x v="851"/>
            <x v="853"/>
            <x v="855"/>
            <x v="857"/>
            <x v="863"/>
            <x v="864"/>
            <x v="865"/>
            <x v="868"/>
            <x v="869"/>
            <x v="871"/>
            <x v="875"/>
            <x v="878"/>
            <x v="881"/>
            <x v="882"/>
            <x v="887"/>
            <x v="892"/>
            <x v="893"/>
            <x v="898"/>
            <x v="901"/>
          </reference>
        </references>
      </pivotArea>
    </format>
    <format dxfId="245">
      <pivotArea dataOnly="0" labelOnly="1" fieldPosition="0">
        <references count="1">
          <reference field="6" count="50">
            <x v="906"/>
            <x v="907"/>
            <x v="908"/>
            <x v="909"/>
            <x v="910"/>
            <x v="913"/>
            <x v="915"/>
            <x v="916"/>
            <x v="918"/>
            <x v="919"/>
            <x v="921"/>
            <x v="922"/>
            <x v="923"/>
            <x v="924"/>
            <x v="927"/>
            <x v="929"/>
            <x v="930"/>
            <x v="931"/>
            <x v="932"/>
            <x v="936"/>
            <x v="942"/>
            <x v="943"/>
            <x v="945"/>
            <x v="953"/>
            <x v="956"/>
            <x v="957"/>
            <x v="959"/>
            <x v="962"/>
            <x v="969"/>
            <x v="970"/>
            <x v="973"/>
            <x v="974"/>
            <x v="975"/>
            <x v="981"/>
            <x v="991"/>
            <x v="992"/>
            <x v="994"/>
            <x v="997"/>
            <x v="998"/>
            <x v="1000"/>
            <x v="1001"/>
            <x v="1002"/>
            <x v="1003"/>
            <x v="1008"/>
            <x v="1012"/>
            <x v="1013"/>
            <x v="1014"/>
            <x v="1018"/>
            <x v="1019"/>
            <x v="1020"/>
          </reference>
        </references>
      </pivotArea>
    </format>
    <format dxfId="244">
      <pivotArea dataOnly="0" labelOnly="1" fieldPosition="0">
        <references count="1">
          <reference field="6" count="50">
            <x v="1022"/>
            <x v="1026"/>
            <x v="1034"/>
            <x v="1037"/>
            <x v="1042"/>
            <x v="1043"/>
            <x v="1045"/>
            <x v="1046"/>
            <x v="1049"/>
            <x v="1051"/>
            <x v="1052"/>
            <x v="1058"/>
            <x v="1060"/>
            <x v="1064"/>
            <x v="1069"/>
            <x v="1076"/>
            <x v="1077"/>
            <x v="1079"/>
            <x v="1081"/>
            <x v="1083"/>
            <x v="1089"/>
            <x v="1091"/>
            <x v="1092"/>
            <x v="1095"/>
            <x v="1097"/>
            <x v="1098"/>
            <x v="1105"/>
            <x v="1106"/>
            <x v="1107"/>
            <x v="1109"/>
            <x v="1110"/>
            <x v="1111"/>
            <x v="1112"/>
            <x v="1113"/>
            <x v="1114"/>
            <x v="1119"/>
            <x v="1120"/>
            <x v="1123"/>
            <x v="1124"/>
            <x v="1125"/>
            <x v="1127"/>
            <x v="1129"/>
            <x v="1136"/>
            <x v="1137"/>
            <x v="1142"/>
            <x v="1143"/>
            <x v="1145"/>
            <x v="1149"/>
            <x v="1153"/>
            <x v="1154"/>
          </reference>
        </references>
      </pivotArea>
    </format>
    <format dxfId="243">
      <pivotArea dataOnly="0" labelOnly="1" fieldPosition="0">
        <references count="1">
          <reference field="6" count="50">
            <x v="1157"/>
            <x v="1158"/>
            <x v="1163"/>
            <x v="1164"/>
            <x v="1166"/>
            <x v="1169"/>
            <x v="1173"/>
            <x v="1175"/>
            <x v="1176"/>
            <x v="1177"/>
            <x v="1180"/>
            <x v="1182"/>
            <x v="1187"/>
            <x v="1191"/>
            <x v="1193"/>
            <x v="1194"/>
            <x v="1200"/>
            <x v="1211"/>
            <x v="1215"/>
            <x v="1224"/>
            <x v="1227"/>
            <x v="1233"/>
            <x v="1237"/>
            <x v="1240"/>
            <x v="1244"/>
            <x v="1246"/>
            <x v="1248"/>
            <x v="1249"/>
            <x v="1250"/>
            <x v="1251"/>
            <x v="1252"/>
            <x v="1255"/>
            <x v="1257"/>
            <x v="1264"/>
            <x v="1270"/>
            <x v="1275"/>
            <x v="1276"/>
            <x v="1277"/>
            <x v="1279"/>
            <x v="1280"/>
            <x v="1286"/>
            <x v="1287"/>
            <x v="1289"/>
            <x v="1291"/>
            <x v="1292"/>
            <x v="1295"/>
            <x v="1297"/>
            <x v="1310"/>
            <x v="1313"/>
            <x v="1318"/>
          </reference>
        </references>
      </pivotArea>
    </format>
    <format dxfId="242">
      <pivotArea dataOnly="0" labelOnly="1" fieldPosition="0">
        <references count="1">
          <reference field="6" count="50">
            <x v="1323"/>
            <x v="1325"/>
            <x v="1332"/>
            <x v="1334"/>
            <x v="1335"/>
            <x v="1338"/>
            <x v="1340"/>
            <x v="1341"/>
            <x v="1343"/>
            <x v="1350"/>
            <x v="1358"/>
            <x v="1372"/>
            <x v="1374"/>
            <x v="1377"/>
            <x v="1378"/>
            <x v="1387"/>
            <x v="1391"/>
            <x v="1399"/>
            <x v="1404"/>
            <x v="1406"/>
            <x v="1409"/>
            <x v="1410"/>
            <x v="1411"/>
            <x v="1412"/>
            <x v="1415"/>
            <x v="1419"/>
            <x v="1421"/>
            <x v="1425"/>
            <x v="1426"/>
            <x v="1427"/>
            <x v="1433"/>
            <x v="1435"/>
            <x v="1439"/>
            <x v="1440"/>
            <x v="1441"/>
            <x v="1442"/>
            <x v="1443"/>
            <x v="1447"/>
            <x v="1450"/>
            <x v="1451"/>
            <x v="1452"/>
            <x v="1453"/>
            <x v="1454"/>
            <x v="1461"/>
            <x v="1462"/>
            <x v="1467"/>
            <x v="1469"/>
            <x v="1481"/>
            <x v="1483"/>
            <x v="1485"/>
          </reference>
        </references>
      </pivotArea>
    </format>
    <format dxfId="241">
      <pivotArea dataOnly="0" labelOnly="1" fieldPosition="0">
        <references count="1">
          <reference field="6" count="50">
            <x v="1487"/>
            <x v="1489"/>
            <x v="1493"/>
            <x v="1494"/>
            <x v="1499"/>
            <x v="1501"/>
            <x v="1502"/>
            <x v="1503"/>
            <x v="1504"/>
            <x v="1505"/>
            <x v="1508"/>
            <x v="1513"/>
            <x v="1515"/>
            <x v="1522"/>
            <x v="1524"/>
            <x v="1527"/>
            <x v="1529"/>
            <x v="1530"/>
            <x v="1535"/>
            <x v="1536"/>
            <x v="1538"/>
            <x v="1542"/>
            <x v="1543"/>
            <x v="1549"/>
            <x v="1552"/>
            <x v="1558"/>
            <x v="1564"/>
            <x v="1585"/>
            <x v="1587"/>
            <x v="1590"/>
            <x v="1591"/>
            <x v="1601"/>
            <x v="1612"/>
            <x v="1613"/>
            <x v="1619"/>
            <x v="1623"/>
            <x v="1624"/>
            <x v="1626"/>
            <x v="1628"/>
            <x v="1629"/>
            <x v="1631"/>
            <x v="1634"/>
            <x v="1635"/>
            <x v="1639"/>
            <x v="1641"/>
            <x v="1642"/>
            <x v="1645"/>
            <x v="1646"/>
            <x v="1651"/>
            <x v="1653"/>
          </reference>
        </references>
      </pivotArea>
    </format>
    <format dxfId="240">
      <pivotArea dataOnly="0" labelOnly="1" fieldPosition="0">
        <references count="1">
          <reference field="6" count="50">
            <x v="1661"/>
            <x v="1663"/>
            <x v="1664"/>
            <x v="1667"/>
            <x v="1668"/>
            <x v="1674"/>
            <x v="1675"/>
            <x v="1676"/>
            <x v="1685"/>
            <x v="1686"/>
            <x v="1689"/>
            <x v="1691"/>
            <x v="1692"/>
            <x v="1693"/>
            <x v="1695"/>
            <x v="1703"/>
            <x v="1705"/>
            <x v="1706"/>
            <x v="1710"/>
            <x v="1711"/>
            <x v="1715"/>
            <x v="1717"/>
            <x v="1719"/>
            <x v="1729"/>
            <x v="1732"/>
            <x v="1742"/>
            <x v="1743"/>
            <x v="1745"/>
            <x v="1751"/>
            <x v="1756"/>
            <x v="1762"/>
            <x v="1764"/>
            <x v="1768"/>
            <x v="1774"/>
            <x v="1775"/>
            <x v="1776"/>
            <x v="1784"/>
            <x v="1786"/>
            <x v="1790"/>
            <x v="1792"/>
            <x v="1793"/>
            <x v="1796"/>
            <x v="1811"/>
            <x v="1816"/>
            <x v="1817"/>
            <x v="1820"/>
            <x v="1821"/>
            <x v="1822"/>
            <x v="1824"/>
            <x v="1825"/>
          </reference>
        </references>
      </pivotArea>
    </format>
    <format dxfId="239">
      <pivotArea dataOnly="0" labelOnly="1" fieldPosition="0">
        <references count="1">
          <reference field="6" count="50">
            <x v="1826"/>
            <x v="1831"/>
            <x v="1833"/>
            <x v="1834"/>
            <x v="1836"/>
            <x v="1846"/>
            <x v="1847"/>
            <x v="1850"/>
            <x v="1852"/>
            <x v="1853"/>
            <x v="1855"/>
            <x v="1858"/>
            <x v="1859"/>
            <x v="1866"/>
            <x v="1872"/>
            <x v="1873"/>
            <x v="1885"/>
            <x v="1887"/>
            <x v="1890"/>
            <x v="1891"/>
            <x v="1894"/>
            <x v="1895"/>
            <x v="1896"/>
            <x v="1897"/>
            <x v="1898"/>
            <x v="1899"/>
            <x v="1905"/>
            <x v="1908"/>
            <x v="1911"/>
            <x v="1913"/>
            <x v="1915"/>
            <x v="1917"/>
            <x v="1920"/>
            <x v="1922"/>
            <x v="1935"/>
            <x v="1939"/>
            <x v="1946"/>
            <x v="1949"/>
            <x v="1950"/>
            <x v="1953"/>
            <x v="1957"/>
            <x v="1962"/>
            <x v="1963"/>
            <x v="1970"/>
            <x v="1973"/>
            <x v="1976"/>
            <x v="1977"/>
            <x v="1990"/>
            <x v="2003"/>
            <x v="2006"/>
          </reference>
        </references>
      </pivotArea>
    </format>
    <format dxfId="238">
      <pivotArea dataOnly="0" labelOnly="1" fieldPosition="0">
        <references count="1">
          <reference field="6" count="50">
            <x v="2008"/>
            <x v="2009"/>
            <x v="2010"/>
            <x v="2011"/>
            <x v="2021"/>
            <x v="2023"/>
            <x v="2025"/>
            <x v="2028"/>
            <x v="2030"/>
            <x v="2031"/>
            <x v="2032"/>
            <x v="2034"/>
            <x v="2040"/>
            <x v="2041"/>
            <x v="2042"/>
            <x v="2044"/>
            <x v="2046"/>
            <x v="2051"/>
            <x v="2052"/>
            <x v="2053"/>
            <x v="2057"/>
            <x v="2061"/>
            <x v="2063"/>
            <x v="2065"/>
            <x v="2068"/>
            <x v="2070"/>
            <x v="2074"/>
            <x v="2075"/>
            <x v="2079"/>
            <x v="2084"/>
            <x v="2087"/>
            <x v="2089"/>
            <x v="2097"/>
            <x v="2100"/>
            <x v="2103"/>
            <x v="2104"/>
            <x v="2107"/>
            <x v="2108"/>
            <x v="2116"/>
            <x v="2117"/>
            <x v="2124"/>
            <x v="2148"/>
            <x v="2154"/>
            <x v="2156"/>
            <x v="2157"/>
            <x v="2158"/>
            <x v="2159"/>
            <x v="2160"/>
            <x v="2162"/>
            <x v="2163"/>
          </reference>
        </references>
      </pivotArea>
    </format>
    <format dxfId="237">
      <pivotArea dataOnly="0" labelOnly="1" fieldPosition="0">
        <references count="1">
          <reference field="6" count="17">
            <x v="2165"/>
            <x v="2166"/>
            <x v="2169"/>
            <x v="2175"/>
            <x v="2176"/>
            <x v="2177"/>
            <x v="2182"/>
            <x v="2188"/>
            <x v="2190"/>
            <x v="2191"/>
            <x v="2200"/>
            <x v="2201"/>
            <x v="2203"/>
            <x v="2210"/>
            <x v="2213"/>
            <x v="2215"/>
            <x v="2216"/>
          </reference>
        </references>
      </pivotArea>
    </format>
    <format dxfId="236">
      <pivotArea outline="0" collapsedLevelsAreSubtotals="1" fieldPosition="0"/>
    </format>
    <format dxfId="235">
      <pivotArea field="6" type="button" dataOnly="0" labelOnly="1" outline="0" axis="axisRow" fieldPosition="0"/>
    </format>
    <format dxfId="234">
      <pivotArea dataOnly="0" labelOnly="1" fieldPosition="0">
        <references count="1">
          <reference field="6" count="50">
            <x v="0"/>
            <x v="3"/>
            <x v="4"/>
            <x v="7"/>
            <x v="10"/>
            <x v="13"/>
            <x v="15"/>
            <x v="17"/>
            <x v="19"/>
            <x v="22"/>
            <x v="23"/>
            <x v="25"/>
            <x v="30"/>
            <x v="32"/>
            <x v="33"/>
            <x v="38"/>
            <x v="40"/>
            <x v="42"/>
            <x v="43"/>
            <x v="44"/>
            <x v="45"/>
            <x v="46"/>
            <x v="47"/>
            <x v="50"/>
            <x v="53"/>
            <x v="54"/>
            <x v="55"/>
            <x v="56"/>
            <x v="57"/>
            <x v="63"/>
            <x v="65"/>
            <x v="70"/>
            <x v="73"/>
            <x v="78"/>
            <x v="85"/>
            <x v="86"/>
            <x v="87"/>
            <x v="90"/>
            <x v="95"/>
            <x v="96"/>
            <x v="97"/>
            <x v="98"/>
            <x v="101"/>
            <x v="104"/>
            <x v="107"/>
            <x v="108"/>
            <x v="112"/>
            <x v="114"/>
            <x v="116"/>
            <x v="118"/>
          </reference>
        </references>
      </pivotArea>
    </format>
    <format dxfId="233">
      <pivotArea dataOnly="0" labelOnly="1" fieldPosition="0">
        <references count="1">
          <reference field="6" count="50">
            <x v="120"/>
            <x v="121"/>
            <x v="122"/>
            <x v="124"/>
            <x v="125"/>
            <x v="129"/>
            <x v="130"/>
            <x v="133"/>
            <x v="134"/>
            <x v="138"/>
            <x v="139"/>
            <x v="142"/>
            <x v="144"/>
            <x v="145"/>
            <x v="148"/>
            <x v="149"/>
            <x v="152"/>
            <x v="155"/>
            <x v="158"/>
            <x v="159"/>
            <x v="160"/>
            <x v="164"/>
            <x v="165"/>
            <x v="166"/>
            <x v="168"/>
            <x v="170"/>
            <x v="180"/>
            <x v="181"/>
            <x v="182"/>
            <x v="185"/>
            <x v="186"/>
            <x v="192"/>
            <x v="193"/>
            <x v="194"/>
            <x v="197"/>
            <x v="199"/>
            <x v="204"/>
            <x v="205"/>
            <x v="210"/>
            <x v="212"/>
            <x v="216"/>
            <x v="219"/>
            <x v="222"/>
            <x v="223"/>
            <x v="226"/>
            <x v="228"/>
            <x v="230"/>
            <x v="232"/>
            <x v="234"/>
            <x v="238"/>
          </reference>
        </references>
      </pivotArea>
    </format>
    <format dxfId="232">
      <pivotArea dataOnly="0" labelOnly="1" fieldPosition="0">
        <references count="1">
          <reference field="6" count="50">
            <x v="239"/>
            <x v="240"/>
            <x v="247"/>
            <x v="250"/>
            <x v="253"/>
            <x v="259"/>
            <x v="261"/>
            <x v="262"/>
            <x v="264"/>
            <x v="266"/>
            <x v="268"/>
            <x v="269"/>
            <x v="270"/>
            <x v="271"/>
            <x v="272"/>
            <x v="275"/>
            <x v="277"/>
            <x v="278"/>
            <x v="282"/>
            <x v="283"/>
            <x v="285"/>
            <x v="286"/>
            <x v="287"/>
            <x v="289"/>
            <x v="290"/>
            <x v="291"/>
            <x v="292"/>
            <x v="301"/>
            <x v="302"/>
            <x v="303"/>
            <x v="304"/>
            <x v="305"/>
            <x v="307"/>
            <x v="308"/>
            <x v="309"/>
            <x v="311"/>
            <x v="315"/>
            <x v="317"/>
            <x v="323"/>
            <x v="325"/>
            <x v="327"/>
            <x v="328"/>
            <x v="331"/>
            <x v="332"/>
            <x v="335"/>
            <x v="336"/>
            <x v="340"/>
            <x v="341"/>
            <x v="342"/>
            <x v="345"/>
          </reference>
        </references>
      </pivotArea>
    </format>
    <format dxfId="231">
      <pivotArea dataOnly="0" labelOnly="1" fieldPosition="0">
        <references count="1">
          <reference field="6" count="50">
            <x v="346"/>
            <x v="347"/>
            <x v="348"/>
            <x v="349"/>
            <x v="350"/>
            <x v="351"/>
            <x v="352"/>
            <x v="354"/>
            <x v="356"/>
            <x v="359"/>
            <x v="361"/>
            <x v="364"/>
            <x v="365"/>
            <x v="366"/>
            <x v="368"/>
            <x v="369"/>
            <x v="372"/>
            <x v="374"/>
            <x v="375"/>
            <x v="376"/>
            <x v="378"/>
            <x v="380"/>
            <x v="382"/>
            <x v="383"/>
            <x v="387"/>
            <x v="388"/>
            <x v="390"/>
            <x v="391"/>
            <x v="392"/>
            <x v="394"/>
            <x v="395"/>
            <x v="397"/>
            <x v="398"/>
            <x v="400"/>
            <x v="403"/>
            <x v="404"/>
            <x v="406"/>
            <x v="407"/>
            <x v="409"/>
            <x v="412"/>
            <x v="413"/>
            <x v="415"/>
            <x v="418"/>
            <x v="421"/>
            <x v="422"/>
            <x v="431"/>
            <x v="432"/>
            <x v="437"/>
            <x v="438"/>
            <x v="439"/>
          </reference>
        </references>
      </pivotArea>
    </format>
    <format dxfId="230">
      <pivotArea dataOnly="0" labelOnly="1" fieldPosition="0">
        <references count="1">
          <reference field="6" count="50">
            <x v="440"/>
            <x v="442"/>
            <x v="443"/>
            <x v="444"/>
            <x v="450"/>
            <x v="452"/>
            <x v="453"/>
            <x v="455"/>
            <x v="460"/>
            <x v="463"/>
            <x v="466"/>
            <x v="468"/>
            <x v="469"/>
            <x v="470"/>
            <x v="471"/>
            <x v="473"/>
            <x v="474"/>
            <x v="478"/>
            <x v="479"/>
            <x v="480"/>
            <x v="482"/>
            <x v="483"/>
            <x v="486"/>
            <x v="487"/>
            <x v="489"/>
            <x v="490"/>
            <x v="491"/>
            <x v="492"/>
            <x v="493"/>
            <x v="494"/>
            <x v="496"/>
            <x v="497"/>
            <x v="500"/>
            <x v="501"/>
            <x v="502"/>
            <x v="503"/>
            <x v="505"/>
            <x v="506"/>
            <x v="511"/>
            <x v="512"/>
            <x v="513"/>
            <x v="519"/>
            <x v="521"/>
            <x v="522"/>
            <x v="524"/>
            <x v="525"/>
            <x v="526"/>
            <x v="527"/>
            <x v="528"/>
            <x v="529"/>
          </reference>
        </references>
      </pivotArea>
    </format>
    <format dxfId="229">
      <pivotArea dataOnly="0" labelOnly="1" fieldPosition="0">
        <references count="1">
          <reference field="6" count="50">
            <x v="530"/>
            <x v="531"/>
            <x v="532"/>
            <x v="533"/>
            <x v="534"/>
            <x v="535"/>
            <x v="537"/>
            <x v="541"/>
            <x v="547"/>
            <x v="549"/>
            <x v="552"/>
            <x v="554"/>
            <x v="555"/>
            <x v="556"/>
            <x v="557"/>
            <x v="559"/>
            <x v="560"/>
            <x v="563"/>
            <x v="564"/>
            <x v="566"/>
            <x v="567"/>
            <x v="568"/>
            <x v="570"/>
            <x v="571"/>
            <x v="572"/>
            <x v="573"/>
            <x v="575"/>
            <x v="578"/>
            <x v="579"/>
            <x v="580"/>
            <x v="581"/>
            <x v="582"/>
            <x v="584"/>
            <x v="585"/>
            <x v="588"/>
            <x v="591"/>
            <x v="592"/>
            <x v="593"/>
            <x v="595"/>
            <x v="596"/>
            <x v="598"/>
            <x v="601"/>
            <x v="602"/>
            <x v="603"/>
            <x v="606"/>
            <x v="609"/>
            <x v="610"/>
            <x v="611"/>
            <x v="612"/>
            <x v="613"/>
          </reference>
        </references>
      </pivotArea>
    </format>
    <format dxfId="228">
      <pivotArea dataOnly="0" labelOnly="1" fieldPosition="0">
        <references count="1">
          <reference field="6" count="50">
            <x v="614"/>
            <x v="617"/>
            <x v="618"/>
            <x v="619"/>
            <x v="620"/>
            <x v="622"/>
            <x v="623"/>
            <x v="624"/>
            <x v="625"/>
            <x v="628"/>
            <x v="630"/>
            <x v="635"/>
            <x v="637"/>
            <x v="638"/>
            <x v="639"/>
            <x v="640"/>
            <x v="643"/>
            <x v="644"/>
            <x v="647"/>
            <x v="648"/>
            <x v="650"/>
            <x v="652"/>
            <x v="654"/>
            <x v="655"/>
            <x v="657"/>
            <x v="658"/>
            <x v="659"/>
            <x v="662"/>
            <x v="666"/>
            <x v="667"/>
            <x v="668"/>
            <x v="670"/>
            <x v="672"/>
            <x v="674"/>
            <x v="675"/>
            <x v="676"/>
            <x v="679"/>
            <x v="680"/>
            <x v="681"/>
            <x v="682"/>
            <x v="685"/>
            <x v="688"/>
            <x v="689"/>
            <x v="690"/>
            <x v="692"/>
            <x v="693"/>
            <x v="694"/>
            <x v="697"/>
            <x v="698"/>
            <x v="699"/>
          </reference>
        </references>
      </pivotArea>
    </format>
    <format dxfId="227">
      <pivotArea dataOnly="0" labelOnly="1" fieldPosition="0">
        <references count="1">
          <reference field="6" count="50">
            <x v="700"/>
            <x v="702"/>
            <x v="703"/>
            <x v="705"/>
            <x v="706"/>
            <x v="708"/>
            <x v="709"/>
            <x v="711"/>
            <x v="713"/>
            <x v="715"/>
            <x v="716"/>
            <x v="717"/>
            <x v="720"/>
            <x v="723"/>
            <x v="730"/>
            <x v="732"/>
            <x v="734"/>
            <x v="738"/>
            <x v="739"/>
            <x v="741"/>
            <x v="742"/>
            <x v="743"/>
            <x v="745"/>
            <x v="746"/>
            <x v="749"/>
            <x v="750"/>
            <x v="752"/>
            <x v="753"/>
            <x v="757"/>
            <x v="758"/>
            <x v="759"/>
            <x v="760"/>
            <x v="761"/>
            <x v="763"/>
            <x v="765"/>
            <x v="767"/>
            <x v="768"/>
            <x v="771"/>
            <x v="772"/>
            <x v="773"/>
            <x v="778"/>
            <x v="779"/>
            <x v="781"/>
            <x v="783"/>
            <x v="785"/>
            <x v="787"/>
            <x v="788"/>
            <x v="793"/>
            <x v="795"/>
            <x v="797"/>
          </reference>
        </references>
      </pivotArea>
    </format>
    <format dxfId="226">
      <pivotArea dataOnly="0" labelOnly="1" fieldPosition="0">
        <references count="1">
          <reference field="6" count="50">
            <x v="799"/>
            <x v="804"/>
            <x v="805"/>
            <x v="807"/>
            <x v="808"/>
            <x v="811"/>
            <x v="813"/>
            <x v="814"/>
            <x v="815"/>
            <x v="817"/>
            <x v="820"/>
            <x v="822"/>
            <x v="823"/>
            <x v="824"/>
            <x v="825"/>
            <x v="829"/>
            <x v="831"/>
            <x v="832"/>
            <x v="833"/>
            <x v="834"/>
            <x v="837"/>
            <x v="839"/>
            <x v="840"/>
            <x v="843"/>
            <x v="845"/>
            <x v="846"/>
            <x v="851"/>
            <x v="853"/>
            <x v="855"/>
            <x v="857"/>
            <x v="863"/>
            <x v="864"/>
            <x v="865"/>
            <x v="866"/>
            <x v="868"/>
            <x v="869"/>
            <x v="871"/>
            <x v="875"/>
            <x v="877"/>
            <x v="878"/>
            <x v="879"/>
            <x v="881"/>
            <x v="882"/>
            <x v="885"/>
            <x v="887"/>
            <x v="892"/>
            <x v="893"/>
            <x v="894"/>
            <x v="898"/>
            <x v="901"/>
          </reference>
        </references>
      </pivotArea>
    </format>
    <format dxfId="225">
      <pivotArea dataOnly="0" labelOnly="1" fieldPosition="0">
        <references count="1">
          <reference field="6" count="50">
            <x v="906"/>
            <x v="907"/>
            <x v="908"/>
            <x v="909"/>
            <x v="910"/>
            <x v="911"/>
            <x v="913"/>
            <x v="914"/>
            <x v="915"/>
            <x v="916"/>
            <x v="918"/>
            <x v="919"/>
            <x v="920"/>
            <x v="921"/>
            <x v="922"/>
            <x v="923"/>
            <x v="924"/>
            <x v="927"/>
            <x v="929"/>
            <x v="930"/>
            <x v="931"/>
            <x v="932"/>
            <x v="936"/>
            <x v="941"/>
            <x v="942"/>
            <x v="943"/>
            <x v="945"/>
            <x v="947"/>
            <x v="953"/>
            <x v="954"/>
            <x v="956"/>
            <x v="957"/>
            <x v="959"/>
            <x v="962"/>
            <x v="964"/>
            <x v="965"/>
            <x v="969"/>
            <x v="970"/>
            <x v="971"/>
            <x v="973"/>
            <x v="974"/>
            <x v="975"/>
            <x v="978"/>
            <x v="980"/>
            <x v="981"/>
            <x v="984"/>
            <x v="985"/>
            <x v="989"/>
            <x v="991"/>
            <x v="992"/>
          </reference>
        </references>
      </pivotArea>
    </format>
    <format dxfId="224">
      <pivotArea dataOnly="0" labelOnly="1" fieldPosition="0">
        <references count="1">
          <reference field="6" count="50">
            <x v="994"/>
            <x v="995"/>
            <x v="997"/>
            <x v="998"/>
            <x v="1000"/>
            <x v="1001"/>
            <x v="1002"/>
            <x v="1003"/>
            <x v="1008"/>
            <x v="1011"/>
            <x v="1012"/>
            <x v="1013"/>
            <x v="1014"/>
            <x v="1016"/>
            <x v="1018"/>
            <x v="1019"/>
            <x v="1020"/>
            <x v="1021"/>
            <x v="1022"/>
            <x v="1023"/>
            <x v="1024"/>
            <x v="1026"/>
            <x v="1034"/>
            <x v="1036"/>
            <x v="1037"/>
            <x v="1040"/>
            <x v="1042"/>
            <x v="1043"/>
            <x v="1044"/>
            <x v="1045"/>
            <x v="1046"/>
            <x v="1048"/>
            <x v="1049"/>
            <x v="1050"/>
            <x v="1051"/>
            <x v="1052"/>
            <x v="1054"/>
            <x v="1057"/>
            <x v="1058"/>
            <x v="1060"/>
            <x v="1062"/>
            <x v="1064"/>
            <x v="1069"/>
            <x v="1076"/>
            <x v="1077"/>
            <x v="1079"/>
            <x v="1081"/>
            <x v="1083"/>
            <x v="1086"/>
            <x v="1088"/>
          </reference>
        </references>
      </pivotArea>
    </format>
    <format dxfId="223">
      <pivotArea dataOnly="0" labelOnly="1" fieldPosition="0">
        <references count="1">
          <reference field="6" count="50">
            <x v="1089"/>
            <x v="1091"/>
            <x v="1092"/>
            <x v="1095"/>
            <x v="1097"/>
            <x v="1098"/>
            <x v="1102"/>
            <x v="1103"/>
            <x v="1104"/>
            <x v="1105"/>
            <x v="1106"/>
            <x v="1107"/>
            <x v="1109"/>
            <x v="1110"/>
            <x v="1111"/>
            <x v="1112"/>
            <x v="1113"/>
            <x v="1114"/>
            <x v="1119"/>
            <x v="1120"/>
            <x v="1121"/>
            <x v="1123"/>
            <x v="1124"/>
            <x v="1125"/>
            <x v="1127"/>
            <x v="1129"/>
            <x v="1131"/>
            <x v="1136"/>
            <x v="1137"/>
            <x v="1142"/>
            <x v="1143"/>
            <x v="1145"/>
            <x v="1149"/>
            <x v="1151"/>
            <x v="1153"/>
            <x v="1154"/>
            <x v="1155"/>
            <x v="1157"/>
            <x v="1158"/>
            <x v="1163"/>
            <x v="1164"/>
            <x v="1166"/>
            <x v="1169"/>
            <x v="1173"/>
            <x v="1175"/>
            <x v="1176"/>
            <x v="1177"/>
            <x v="1178"/>
            <x v="1180"/>
            <x v="1182"/>
          </reference>
        </references>
      </pivotArea>
    </format>
    <format dxfId="222">
      <pivotArea dataOnly="0" labelOnly="1" fieldPosition="0">
        <references count="1">
          <reference field="6" count="50">
            <x v="1185"/>
            <x v="1186"/>
            <x v="1187"/>
            <x v="1189"/>
            <x v="1191"/>
            <x v="1193"/>
            <x v="1194"/>
            <x v="1200"/>
            <x v="1210"/>
            <x v="1211"/>
            <x v="1212"/>
            <x v="1213"/>
            <x v="1215"/>
            <x v="1223"/>
            <x v="1224"/>
            <x v="1225"/>
            <x v="1227"/>
            <x v="1233"/>
            <x v="1235"/>
            <x v="1237"/>
            <x v="1240"/>
            <x v="1243"/>
            <x v="1244"/>
            <x v="1246"/>
            <x v="1248"/>
            <x v="1249"/>
            <x v="1250"/>
            <x v="1251"/>
            <x v="1252"/>
            <x v="1255"/>
            <x v="1256"/>
            <x v="1257"/>
            <x v="1258"/>
            <x v="1260"/>
            <x v="1263"/>
            <x v="1264"/>
            <x v="1270"/>
            <x v="1273"/>
            <x v="1275"/>
            <x v="1276"/>
            <x v="1277"/>
            <x v="1279"/>
            <x v="1280"/>
            <x v="1284"/>
            <x v="1286"/>
            <x v="1287"/>
            <x v="1289"/>
            <x v="1291"/>
            <x v="1292"/>
            <x v="1295"/>
          </reference>
        </references>
      </pivotArea>
    </format>
    <format dxfId="221">
      <pivotArea dataOnly="0" labelOnly="1" fieldPosition="0">
        <references count="1">
          <reference field="6" count="50">
            <x v="1297"/>
            <x v="1298"/>
            <x v="1301"/>
            <x v="1305"/>
            <x v="1310"/>
            <x v="1311"/>
            <x v="1313"/>
            <x v="1314"/>
            <x v="1318"/>
            <x v="1323"/>
            <x v="1325"/>
            <x v="1329"/>
            <x v="1331"/>
            <x v="1332"/>
            <x v="1334"/>
            <x v="1335"/>
            <x v="1338"/>
            <x v="1340"/>
            <x v="1341"/>
            <x v="1343"/>
            <x v="1347"/>
            <x v="1350"/>
            <x v="1358"/>
            <x v="1364"/>
            <x v="1366"/>
            <x v="1368"/>
            <x v="1369"/>
            <x v="1372"/>
            <x v="1373"/>
            <x v="1374"/>
            <x v="1376"/>
            <x v="1377"/>
            <x v="1378"/>
            <x v="1381"/>
            <x v="1387"/>
            <x v="1390"/>
            <x v="1391"/>
            <x v="1399"/>
            <x v="1402"/>
            <x v="1404"/>
            <x v="1405"/>
            <x v="1406"/>
            <x v="1408"/>
            <x v="1409"/>
            <x v="1410"/>
            <x v="1411"/>
            <x v="1412"/>
            <x v="1414"/>
            <x v="1415"/>
            <x v="1419"/>
          </reference>
        </references>
      </pivotArea>
    </format>
    <format dxfId="220">
      <pivotArea dataOnly="0" labelOnly="1" fieldPosition="0">
        <references count="1">
          <reference field="6" count="50">
            <x v="1421"/>
            <x v="1422"/>
            <x v="1425"/>
            <x v="1426"/>
            <x v="1427"/>
            <x v="1429"/>
            <x v="1433"/>
            <x v="1435"/>
            <x v="1439"/>
            <x v="1440"/>
            <x v="1441"/>
            <x v="1442"/>
            <x v="1443"/>
            <x v="1447"/>
            <x v="1450"/>
            <x v="1451"/>
            <x v="1452"/>
            <x v="1453"/>
            <x v="1454"/>
            <x v="1461"/>
            <x v="1462"/>
            <x v="1464"/>
            <x v="1467"/>
            <x v="1469"/>
            <x v="1471"/>
            <x v="1475"/>
            <x v="1481"/>
            <x v="1482"/>
            <x v="1483"/>
            <x v="1484"/>
            <x v="1485"/>
            <x v="1487"/>
            <x v="1489"/>
            <x v="1492"/>
            <x v="1493"/>
            <x v="1494"/>
            <x v="1499"/>
            <x v="1501"/>
            <x v="1502"/>
            <x v="1503"/>
            <x v="1504"/>
            <x v="1505"/>
            <x v="1508"/>
            <x v="1509"/>
            <x v="1512"/>
            <x v="1513"/>
            <x v="1514"/>
            <x v="1515"/>
            <x v="1519"/>
            <x v="1522"/>
          </reference>
        </references>
      </pivotArea>
    </format>
    <format dxfId="219">
      <pivotArea dataOnly="0" labelOnly="1" fieldPosition="0">
        <references count="1">
          <reference field="6" count="50">
            <x v="1524"/>
            <x v="1527"/>
            <x v="1529"/>
            <x v="1530"/>
            <x v="1531"/>
            <x v="1533"/>
            <x v="1534"/>
            <x v="1535"/>
            <x v="1536"/>
            <x v="1538"/>
            <x v="1539"/>
            <x v="1542"/>
            <x v="1543"/>
            <x v="1545"/>
            <x v="1548"/>
            <x v="1549"/>
            <x v="1550"/>
            <x v="1551"/>
            <x v="1552"/>
            <x v="1555"/>
            <x v="1558"/>
            <x v="1559"/>
            <x v="1564"/>
            <x v="1565"/>
            <x v="1582"/>
            <x v="1583"/>
            <x v="1585"/>
            <x v="1586"/>
            <x v="1587"/>
            <x v="1590"/>
            <x v="1591"/>
            <x v="1595"/>
            <x v="1596"/>
            <x v="1601"/>
            <x v="1602"/>
            <x v="1603"/>
            <x v="1605"/>
            <x v="1608"/>
            <x v="1610"/>
            <x v="1612"/>
            <x v="1613"/>
            <x v="1618"/>
            <x v="1619"/>
            <x v="1623"/>
            <x v="1624"/>
            <x v="1625"/>
            <x v="1626"/>
            <x v="1628"/>
            <x v="1629"/>
            <x v="1631"/>
          </reference>
        </references>
      </pivotArea>
    </format>
    <format dxfId="218">
      <pivotArea dataOnly="0" labelOnly="1" fieldPosition="0">
        <references count="1">
          <reference field="6" count="50">
            <x v="1634"/>
            <x v="1635"/>
            <x v="1638"/>
            <x v="1639"/>
            <x v="1641"/>
            <x v="1642"/>
            <x v="1643"/>
            <x v="1645"/>
            <x v="1646"/>
            <x v="1651"/>
            <x v="1653"/>
            <x v="1654"/>
            <x v="1657"/>
            <x v="1661"/>
            <x v="1663"/>
            <x v="1664"/>
            <x v="1667"/>
            <x v="1668"/>
            <x v="1670"/>
            <x v="1674"/>
            <x v="1675"/>
            <x v="1676"/>
            <x v="1679"/>
            <x v="1681"/>
            <x v="1682"/>
            <x v="1683"/>
            <x v="1684"/>
            <x v="1685"/>
            <x v="1686"/>
            <x v="1689"/>
            <x v="1690"/>
            <x v="1691"/>
            <x v="1692"/>
            <x v="1693"/>
            <x v="1695"/>
            <x v="1703"/>
            <x v="1705"/>
            <x v="1706"/>
            <x v="1707"/>
            <x v="1709"/>
            <x v="1710"/>
            <x v="1711"/>
            <x v="1715"/>
            <x v="1717"/>
            <x v="1719"/>
            <x v="1721"/>
            <x v="1722"/>
            <x v="1724"/>
            <x v="1726"/>
            <x v="1729"/>
          </reference>
        </references>
      </pivotArea>
    </format>
    <format dxfId="217">
      <pivotArea dataOnly="0" labelOnly="1" fieldPosition="0">
        <references count="1">
          <reference field="6" count="50">
            <x v="1732"/>
            <x v="1735"/>
            <x v="1737"/>
            <x v="1742"/>
            <x v="1743"/>
            <x v="1745"/>
            <x v="1748"/>
            <x v="1749"/>
            <x v="1751"/>
            <x v="1756"/>
            <x v="1760"/>
            <x v="1762"/>
            <x v="1764"/>
            <x v="1765"/>
            <x v="1768"/>
            <x v="1774"/>
            <x v="1775"/>
            <x v="1776"/>
            <x v="1777"/>
            <x v="1782"/>
            <x v="1784"/>
            <x v="1785"/>
            <x v="1786"/>
            <x v="1789"/>
            <x v="1790"/>
            <x v="1792"/>
            <x v="1793"/>
            <x v="1796"/>
            <x v="1797"/>
            <x v="1798"/>
            <x v="1801"/>
            <x v="1802"/>
            <x v="1808"/>
            <x v="1811"/>
            <x v="1816"/>
            <x v="1817"/>
            <x v="1819"/>
            <x v="1820"/>
            <x v="1821"/>
            <x v="1822"/>
            <x v="1823"/>
            <x v="1824"/>
            <x v="1825"/>
            <x v="1826"/>
            <x v="1831"/>
            <x v="1833"/>
            <x v="1834"/>
            <x v="1836"/>
            <x v="1846"/>
            <x v="1847"/>
          </reference>
        </references>
      </pivotArea>
    </format>
    <format dxfId="216">
      <pivotArea dataOnly="0" labelOnly="1" fieldPosition="0">
        <references count="1">
          <reference field="6" count="50">
            <x v="1850"/>
            <x v="1852"/>
            <x v="1853"/>
            <x v="1854"/>
            <x v="1855"/>
            <x v="1858"/>
            <x v="1859"/>
            <x v="1861"/>
            <x v="1866"/>
            <x v="1869"/>
            <x v="1872"/>
            <x v="1873"/>
            <x v="1875"/>
            <x v="1885"/>
            <x v="1887"/>
            <x v="1890"/>
            <x v="1891"/>
            <x v="1894"/>
            <x v="1895"/>
            <x v="1896"/>
            <x v="1897"/>
            <x v="1898"/>
            <x v="1899"/>
            <x v="1905"/>
            <x v="1908"/>
            <x v="1911"/>
            <x v="1913"/>
            <x v="1915"/>
            <x v="1917"/>
            <x v="1920"/>
            <x v="1921"/>
            <x v="1922"/>
            <x v="1925"/>
            <x v="1926"/>
            <x v="1931"/>
            <x v="1932"/>
            <x v="1933"/>
            <x v="1934"/>
            <x v="1935"/>
            <x v="1936"/>
            <x v="1939"/>
            <x v="1940"/>
            <x v="1946"/>
            <x v="1949"/>
            <x v="1950"/>
            <x v="1952"/>
            <x v="1953"/>
            <x v="1954"/>
            <x v="1955"/>
            <x v="1956"/>
          </reference>
        </references>
      </pivotArea>
    </format>
    <format dxfId="215">
      <pivotArea dataOnly="0" labelOnly="1" fieldPosition="0">
        <references count="1">
          <reference field="6" count="50">
            <x v="1957"/>
            <x v="1962"/>
            <x v="1963"/>
            <x v="1967"/>
            <x v="1968"/>
            <x v="1970"/>
            <x v="1971"/>
            <x v="1973"/>
            <x v="1974"/>
            <x v="1976"/>
            <x v="1977"/>
            <x v="1980"/>
            <x v="1982"/>
            <x v="1983"/>
            <x v="1984"/>
            <x v="1987"/>
            <x v="1988"/>
            <x v="1989"/>
            <x v="1990"/>
            <x v="1991"/>
            <x v="1993"/>
            <x v="1994"/>
            <x v="1997"/>
            <x v="1999"/>
            <x v="2003"/>
            <x v="2005"/>
            <x v="2006"/>
            <x v="2008"/>
            <x v="2009"/>
            <x v="2010"/>
            <x v="2011"/>
            <x v="2012"/>
            <x v="2015"/>
            <x v="2018"/>
            <x v="2021"/>
            <x v="2023"/>
            <x v="2025"/>
            <x v="2028"/>
            <x v="2030"/>
            <x v="2031"/>
            <x v="2032"/>
            <x v="2034"/>
            <x v="2035"/>
            <x v="2040"/>
            <x v="2041"/>
            <x v="2042"/>
            <x v="2044"/>
            <x v="2046"/>
            <x v="2048"/>
            <x v="2050"/>
          </reference>
        </references>
      </pivotArea>
    </format>
    <format dxfId="214">
      <pivotArea dataOnly="0" labelOnly="1" fieldPosition="0">
        <references count="1">
          <reference field="6" count="50">
            <x v="2051"/>
            <x v="2052"/>
            <x v="2053"/>
            <x v="2054"/>
            <x v="2057"/>
            <x v="2061"/>
            <x v="2063"/>
            <x v="2065"/>
            <x v="2068"/>
            <x v="2070"/>
            <x v="2071"/>
            <x v="2074"/>
            <x v="2075"/>
            <x v="2076"/>
            <x v="2079"/>
            <x v="2080"/>
            <x v="2081"/>
            <x v="2084"/>
            <x v="2085"/>
            <x v="2087"/>
            <x v="2089"/>
            <x v="2091"/>
            <x v="2092"/>
            <x v="2095"/>
            <x v="2096"/>
            <x v="2097"/>
            <x v="2100"/>
            <x v="2103"/>
            <x v="2104"/>
            <x v="2107"/>
            <x v="2108"/>
            <x v="2116"/>
            <x v="2117"/>
            <x v="2119"/>
            <x v="2123"/>
            <x v="2124"/>
            <x v="2125"/>
            <x v="2148"/>
            <x v="2151"/>
            <x v="2152"/>
            <x v="2154"/>
            <x v="2156"/>
            <x v="2157"/>
            <x v="2158"/>
            <x v="2159"/>
            <x v="2160"/>
            <x v="2162"/>
            <x v="2163"/>
            <x v="2164"/>
            <x v="2165"/>
          </reference>
        </references>
      </pivotArea>
    </format>
    <format dxfId="213">
      <pivotArea dataOnly="0" labelOnly="1" fieldPosition="0">
        <references count="1">
          <reference field="6" count="24">
            <x v="2166"/>
            <x v="2167"/>
            <x v="2169"/>
            <x v="2175"/>
            <x v="2176"/>
            <x v="2177"/>
            <x v="2179"/>
            <x v="2180"/>
            <x v="2182"/>
            <x v="2185"/>
            <x v="2188"/>
            <x v="2190"/>
            <x v="2191"/>
            <x v="2193"/>
            <x v="2200"/>
            <x v="2201"/>
            <x v="2203"/>
            <x v="2205"/>
            <x v="2206"/>
            <x v="2210"/>
            <x v="2213"/>
            <x v="2215"/>
            <x v="2216"/>
            <x v="2217"/>
          </reference>
        </references>
      </pivotArea>
    </format>
    <format dxfId="212">
      <pivotArea dataOnly="0" labelOnly="1" grandRow="1" outline="0" fieldPosition="0"/>
    </format>
    <format dxfId="211">
      <pivotArea dataOnly="0" labelOnly="1" fieldPosition="0">
        <references count="1">
          <reference field="19" count="0"/>
        </references>
      </pivotArea>
    </format>
    <format dxfId="210">
      <pivotArea dataOnly="0" labelOnly="1" grandCol="1" outline="0" fieldPosition="0"/>
    </format>
    <format dxfId="209">
      <pivotArea dataOnly="0" labelOnly="1" fieldPosition="0">
        <references count="1">
          <reference field="6" count="50">
            <x v="0"/>
            <x v="3"/>
            <x v="4"/>
            <x v="7"/>
            <x v="10"/>
            <x v="13"/>
            <x v="15"/>
            <x v="17"/>
            <x v="19"/>
            <x v="22"/>
            <x v="23"/>
            <x v="25"/>
            <x v="30"/>
            <x v="32"/>
            <x v="33"/>
            <x v="38"/>
            <x v="40"/>
            <x v="42"/>
            <x v="43"/>
            <x v="44"/>
            <x v="45"/>
            <x v="46"/>
            <x v="47"/>
            <x v="50"/>
            <x v="53"/>
            <x v="54"/>
            <x v="55"/>
            <x v="56"/>
            <x v="57"/>
            <x v="63"/>
            <x v="65"/>
            <x v="70"/>
            <x v="73"/>
            <x v="78"/>
            <x v="85"/>
            <x v="86"/>
            <x v="87"/>
            <x v="90"/>
            <x v="95"/>
            <x v="96"/>
            <x v="97"/>
            <x v="98"/>
            <x v="101"/>
            <x v="104"/>
            <x v="107"/>
            <x v="108"/>
            <x v="112"/>
            <x v="114"/>
            <x v="116"/>
            <x v="118"/>
          </reference>
        </references>
      </pivotArea>
    </format>
    <format dxfId="208">
      <pivotArea dataOnly="0" labelOnly="1" fieldPosition="0">
        <references count="1">
          <reference field="6" count="50">
            <x v="120"/>
            <x v="121"/>
            <x v="122"/>
            <x v="124"/>
            <x v="125"/>
            <x v="129"/>
            <x v="130"/>
            <x v="133"/>
            <x v="134"/>
            <x v="138"/>
            <x v="139"/>
            <x v="142"/>
            <x v="144"/>
            <x v="145"/>
            <x v="148"/>
            <x v="149"/>
            <x v="152"/>
            <x v="155"/>
            <x v="158"/>
            <x v="159"/>
            <x v="160"/>
            <x v="164"/>
            <x v="165"/>
            <x v="166"/>
            <x v="168"/>
            <x v="170"/>
            <x v="180"/>
            <x v="181"/>
            <x v="182"/>
            <x v="185"/>
            <x v="186"/>
            <x v="192"/>
            <x v="193"/>
            <x v="194"/>
            <x v="197"/>
            <x v="199"/>
            <x v="204"/>
            <x v="205"/>
            <x v="210"/>
            <x v="212"/>
            <x v="216"/>
            <x v="219"/>
            <x v="222"/>
            <x v="223"/>
            <x v="226"/>
            <x v="228"/>
            <x v="230"/>
            <x v="232"/>
            <x v="234"/>
            <x v="238"/>
          </reference>
        </references>
      </pivotArea>
    </format>
    <format dxfId="207">
      <pivotArea dataOnly="0" labelOnly="1" fieldPosition="0">
        <references count="1">
          <reference field="6" count="50">
            <x v="239"/>
            <x v="240"/>
            <x v="247"/>
            <x v="250"/>
            <x v="253"/>
            <x v="259"/>
            <x v="261"/>
            <x v="262"/>
            <x v="264"/>
            <x v="266"/>
            <x v="268"/>
            <x v="269"/>
            <x v="270"/>
            <x v="271"/>
            <x v="272"/>
            <x v="275"/>
            <x v="277"/>
            <x v="278"/>
            <x v="282"/>
            <x v="283"/>
            <x v="285"/>
            <x v="286"/>
            <x v="287"/>
            <x v="289"/>
            <x v="290"/>
            <x v="291"/>
            <x v="292"/>
            <x v="301"/>
            <x v="302"/>
            <x v="303"/>
            <x v="304"/>
            <x v="305"/>
            <x v="307"/>
            <x v="308"/>
            <x v="309"/>
            <x v="311"/>
            <x v="315"/>
            <x v="317"/>
            <x v="323"/>
            <x v="325"/>
            <x v="327"/>
            <x v="328"/>
            <x v="331"/>
            <x v="332"/>
            <x v="335"/>
            <x v="336"/>
            <x v="340"/>
            <x v="341"/>
            <x v="342"/>
            <x v="345"/>
          </reference>
        </references>
      </pivotArea>
    </format>
    <format dxfId="206">
      <pivotArea dataOnly="0" labelOnly="1" fieldPosition="0">
        <references count="1">
          <reference field="6" count="50">
            <x v="346"/>
            <x v="347"/>
            <x v="348"/>
            <x v="349"/>
            <x v="350"/>
            <x v="351"/>
            <x v="352"/>
            <x v="354"/>
            <x v="356"/>
            <x v="359"/>
            <x v="361"/>
            <x v="364"/>
            <x v="365"/>
            <x v="366"/>
            <x v="368"/>
            <x v="369"/>
            <x v="372"/>
            <x v="374"/>
            <x v="375"/>
            <x v="376"/>
            <x v="378"/>
            <x v="380"/>
            <x v="382"/>
            <x v="383"/>
            <x v="387"/>
            <x v="388"/>
            <x v="390"/>
            <x v="391"/>
            <x v="392"/>
            <x v="394"/>
            <x v="395"/>
            <x v="397"/>
            <x v="398"/>
            <x v="400"/>
            <x v="403"/>
            <x v="404"/>
            <x v="406"/>
            <x v="407"/>
            <x v="409"/>
            <x v="412"/>
            <x v="413"/>
            <x v="415"/>
            <x v="418"/>
            <x v="421"/>
            <x v="422"/>
            <x v="431"/>
            <x v="432"/>
            <x v="437"/>
            <x v="438"/>
            <x v="439"/>
          </reference>
        </references>
      </pivotArea>
    </format>
    <format dxfId="205">
      <pivotArea dataOnly="0" labelOnly="1" fieldPosition="0">
        <references count="1">
          <reference field="6" count="50">
            <x v="440"/>
            <x v="442"/>
            <x v="443"/>
            <x v="444"/>
            <x v="450"/>
            <x v="452"/>
            <x v="453"/>
            <x v="455"/>
            <x v="460"/>
            <x v="463"/>
            <x v="466"/>
            <x v="468"/>
            <x v="469"/>
            <x v="470"/>
            <x v="471"/>
            <x v="473"/>
            <x v="474"/>
            <x v="478"/>
            <x v="479"/>
            <x v="480"/>
            <x v="482"/>
            <x v="483"/>
            <x v="486"/>
            <x v="487"/>
            <x v="489"/>
            <x v="490"/>
            <x v="491"/>
            <x v="492"/>
            <x v="493"/>
            <x v="494"/>
            <x v="496"/>
            <x v="497"/>
            <x v="500"/>
            <x v="501"/>
            <x v="502"/>
            <x v="503"/>
            <x v="505"/>
            <x v="506"/>
            <x v="511"/>
            <x v="512"/>
            <x v="513"/>
            <x v="519"/>
            <x v="521"/>
            <x v="522"/>
            <x v="524"/>
            <x v="525"/>
            <x v="526"/>
            <x v="527"/>
            <x v="528"/>
            <x v="529"/>
          </reference>
        </references>
      </pivotArea>
    </format>
    <format dxfId="204">
      <pivotArea dataOnly="0" labelOnly="1" fieldPosition="0">
        <references count="1">
          <reference field="6" count="50">
            <x v="530"/>
            <x v="531"/>
            <x v="532"/>
            <x v="533"/>
            <x v="534"/>
            <x v="535"/>
            <x v="537"/>
            <x v="541"/>
            <x v="547"/>
            <x v="549"/>
            <x v="552"/>
            <x v="554"/>
            <x v="555"/>
            <x v="556"/>
            <x v="557"/>
            <x v="559"/>
            <x v="560"/>
            <x v="563"/>
            <x v="564"/>
            <x v="566"/>
            <x v="567"/>
            <x v="568"/>
            <x v="570"/>
            <x v="571"/>
            <x v="572"/>
            <x v="573"/>
            <x v="575"/>
            <x v="578"/>
            <x v="579"/>
            <x v="580"/>
            <x v="581"/>
            <x v="582"/>
            <x v="584"/>
            <x v="585"/>
            <x v="588"/>
            <x v="591"/>
            <x v="592"/>
            <x v="593"/>
            <x v="595"/>
            <x v="596"/>
            <x v="598"/>
            <x v="601"/>
            <x v="602"/>
            <x v="603"/>
            <x v="606"/>
            <x v="609"/>
            <x v="610"/>
            <x v="611"/>
            <x v="612"/>
            <x v="613"/>
          </reference>
        </references>
      </pivotArea>
    </format>
    <format dxfId="203">
      <pivotArea dataOnly="0" labelOnly="1" fieldPosition="0">
        <references count="1">
          <reference field="6" count="50">
            <x v="614"/>
            <x v="617"/>
            <x v="618"/>
            <x v="619"/>
            <x v="620"/>
            <x v="622"/>
            <x v="623"/>
            <x v="624"/>
            <x v="625"/>
            <x v="628"/>
            <x v="630"/>
            <x v="635"/>
            <x v="637"/>
            <x v="638"/>
            <x v="639"/>
            <x v="640"/>
            <x v="643"/>
            <x v="644"/>
            <x v="647"/>
            <x v="648"/>
            <x v="650"/>
            <x v="652"/>
            <x v="654"/>
            <x v="655"/>
            <x v="657"/>
            <x v="658"/>
            <x v="659"/>
            <x v="662"/>
            <x v="666"/>
            <x v="667"/>
            <x v="668"/>
            <x v="670"/>
            <x v="672"/>
            <x v="674"/>
            <x v="675"/>
            <x v="676"/>
            <x v="679"/>
            <x v="680"/>
            <x v="681"/>
            <x v="682"/>
            <x v="685"/>
            <x v="688"/>
            <x v="689"/>
            <x v="690"/>
            <x v="692"/>
            <x v="693"/>
            <x v="694"/>
            <x v="697"/>
            <x v="698"/>
            <x v="699"/>
          </reference>
        </references>
      </pivotArea>
    </format>
    <format dxfId="202">
      <pivotArea dataOnly="0" labelOnly="1" fieldPosition="0">
        <references count="1">
          <reference field="6" count="50">
            <x v="700"/>
            <x v="702"/>
            <x v="703"/>
            <x v="705"/>
            <x v="706"/>
            <x v="708"/>
            <x v="709"/>
            <x v="711"/>
            <x v="713"/>
            <x v="715"/>
            <x v="716"/>
            <x v="717"/>
            <x v="720"/>
            <x v="723"/>
            <x v="730"/>
            <x v="732"/>
            <x v="734"/>
            <x v="738"/>
            <x v="739"/>
            <x v="741"/>
            <x v="742"/>
            <x v="743"/>
            <x v="745"/>
            <x v="746"/>
            <x v="749"/>
            <x v="750"/>
            <x v="752"/>
            <x v="753"/>
            <x v="757"/>
            <x v="758"/>
            <x v="759"/>
            <x v="760"/>
            <x v="761"/>
            <x v="763"/>
            <x v="765"/>
            <x v="767"/>
            <x v="768"/>
            <x v="771"/>
            <x v="772"/>
            <x v="773"/>
            <x v="778"/>
            <x v="779"/>
            <x v="781"/>
            <x v="783"/>
            <x v="785"/>
            <x v="787"/>
            <x v="788"/>
            <x v="793"/>
            <x v="795"/>
            <x v="797"/>
          </reference>
        </references>
      </pivotArea>
    </format>
    <format dxfId="201">
      <pivotArea dataOnly="0" labelOnly="1" fieldPosition="0">
        <references count="1">
          <reference field="6" count="50">
            <x v="799"/>
            <x v="804"/>
            <x v="805"/>
            <x v="807"/>
            <x v="808"/>
            <x v="811"/>
            <x v="813"/>
            <x v="814"/>
            <x v="815"/>
            <x v="817"/>
            <x v="820"/>
            <x v="822"/>
            <x v="823"/>
            <x v="824"/>
            <x v="825"/>
            <x v="829"/>
            <x v="831"/>
            <x v="832"/>
            <x v="833"/>
            <x v="834"/>
            <x v="837"/>
            <x v="839"/>
            <x v="840"/>
            <x v="843"/>
            <x v="845"/>
            <x v="846"/>
            <x v="851"/>
            <x v="853"/>
            <x v="855"/>
            <x v="857"/>
            <x v="863"/>
            <x v="864"/>
            <x v="865"/>
            <x v="866"/>
            <x v="868"/>
            <x v="869"/>
            <x v="871"/>
            <x v="875"/>
            <x v="877"/>
            <x v="878"/>
            <x v="879"/>
            <x v="881"/>
            <x v="882"/>
            <x v="885"/>
            <x v="887"/>
            <x v="892"/>
            <x v="893"/>
            <x v="894"/>
            <x v="898"/>
            <x v="901"/>
          </reference>
        </references>
      </pivotArea>
    </format>
    <format dxfId="200">
      <pivotArea dataOnly="0" labelOnly="1" fieldPosition="0">
        <references count="1">
          <reference field="6" count="50">
            <x v="906"/>
            <x v="907"/>
            <x v="908"/>
            <x v="909"/>
            <x v="910"/>
            <x v="911"/>
            <x v="913"/>
            <x v="914"/>
            <x v="915"/>
            <x v="916"/>
            <x v="918"/>
            <x v="919"/>
            <x v="920"/>
            <x v="921"/>
            <x v="922"/>
            <x v="923"/>
            <x v="924"/>
            <x v="927"/>
            <x v="929"/>
            <x v="930"/>
            <x v="931"/>
            <x v="932"/>
            <x v="936"/>
            <x v="941"/>
            <x v="942"/>
            <x v="943"/>
            <x v="945"/>
            <x v="947"/>
            <x v="953"/>
            <x v="954"/>
            <x v="956"/>
            <x v="957"/>
            <x v="959"/>
            <x v="962"/>
            <x v="964"/>
            <x v="965"/>
            <x v="969"/>
            <x v="970"/>
            <x v="971"/>
            <x v="973"/>
            <x v="974"/>
            <x v="975"/>
            <x v="978"/>
            <x v="980"/>
            <x v="981"/>
            <x v="984"/>
            <x v="985"/>
            <x v="989"/>
            <x v="991"/>
            <x v="992"/>
          </reference>
        </references>
      </pivotArea>
    </format>
    <format dxfId="199">
      <pivotArea dataOnly="0" labelOnly="1" fieldPosition="0">
        <references count="1">
          <reference field="6" count="50">
            <x v="994"/>
            <x v="995"/>
            <x v="997"/>
            <x v="998"/>
            <x v="1000"/>
            <x v="1001"/>
            <x v="1002"/>
            <x v="1003"/>
            <x v="1008"/>
            <x v="1011"/>
            <x v="1012"/>
            <x v="1013"/>
            <x v="1014"/>
            <x v="1016"/>
            <x v="1018"/>
            <x v="1019"/>
            <x v="1020"/>
            <x v="1021"/>
            <x v="1022"/>
            <x v="1023"/>
            <x v="1024"/>
            <x v="1026"/>
            <x v="1034"/>
            <x v="1036"/>
            <x v="1037"/>
            <x v="1040"/>
            <x v="1042"/>
            <x v="1043"/>
            <x v="1044"/>
            <x v="1045"/>
            <x v="1046"/>
            <x v="1048"/>
            <x v="1049"/>
            <x v="1050"/>
            <x v="1051"/>
            <x v="1052"/>
            <x v="1054"/>
            <x v="1057"/>
            <x v="1058"/>
            <x v="1060"/>
            <x v="1062"/>
            <x v="1064"/>
            <x v="1069"/>
            <x v="1076"/>
            <x v="1077"/>
            <x v="1079"/>
            <x v="1081"/>
            <x v="1083"/>
            <x v="1086"/>
            <x v="1088"/>
          </reference>
        </references>
      </pivotArea>
    </format>
    <format dxfId="198">
      <pivotArea dataOnly="0" labelOnly="1" fieldPosition="0">
        <references count="1">
          <reference field="6" count="50">
            <x v="1089"/>
            <x v="1091"/>
            <x v="1092"/>
            <x v="1095"/>
            <x v="1097"/>
            <x v="1098"/>
            <x v="1102"/>
            <x v="1103"/>
            <x v="1104"/>
            <x v="1105"/>
            <x v="1106"/>
            <x v="1107"/>
            <x v="1109"/>
            <x v="1110"/>
            <x v="1111"/>
            <x v="1112"/>
            <x v="1113"/>
            <x v="1114"/>
            <x v="1119"/>
            <x v="1120"/>
            <x v="1121"/>
            <x v="1123"/>
            <x v="1124"/>
            <x v="1125"/>
            <x v="1127"/>
            <x v="1129"/>
            <x v="1131"/>
            <x v="1136"/>
            <x v="1137"/>
            <x v="1142"/>
            <x v="1143"/>
            <x v="1145"/>
            <x v="1149"/>
            <x v="1151"/>
            <x v="1153"/>
            <x v="1154"/>
            <x v="1155"/>
            <x v="1157"/>
            <x v="1158"/>
            <x v="1163"/>
            <x v="1164"/>
            <x v="1166"/>
            <x v="1169"/>
            <x v="1173"/>
            <x v="1175"/>
            <x v="1176"/>
            <x v="1177"/>
            <x v="1178"/>
            <x v="1180"/>
            <x v="1182"/>
          </reference>
        </references>
      </pivotArea>
    </format>
    <format dxfId="197">
      <pivotArea dataOnly="0" labelOnly="1" fieldPosition="0">
        <references count="1">
          <reference field="6" count="50">
            <x v="1185"/>
            <x v="1186"/>
            <x v="1187"/>
            <x v="1189"/>
            <x v="1191"/>
            <x v="1193"/>
            <x v="1194"/>
            <x v="1200"/>
            <x v="1210"/>
            <x v="1211"/>
            <x v="1212"/>
            <x v="1213"/>
            <x v="1215"/>
            <x v="1223"/>
            <x v="1224"/>
            <x v="1225"/>
            <x v="1227"/>
            <x v="1233"/>
            <x v="1235"/>
            <x v="1237"/>
            <x v="1240"/>
            <x v="1243"/>
            <x v="1244"/>
            <x v="1246"/>
            <x v="1248"/>
            <x v="1249"/>
            <x v="1250"/>
            <x v="1251"/>
            <x v="1252"/>
            <x v="1255"/>
            <x v="1256"/>
            <x v="1257"/>
            <x v="1258"/>
            <x v="1260"/>
            <x v="1263"/>
            <x v="1264"/>
            <x v="1270"/>
            <x v="1273"/>
            <x v="1275"/>
            <x v="1276"/>
            <x v="1277"/>
            <x v="1279"/>
            <x v="1280"/>
            <x v="1284"/>
            <x v="1286"/>
            <x v="1287"/>
            <x v="1289"/>
            <x v="1291"/>
            <x v="1292"/>
            <x v="1295"/>
          </reference>
        </references>
      </pivotArea>
    </format>
    <format dxfId="196">
      <pivotArea dataOnly="0" labelOnly="1" fieldPosition="0">
        <references count="1">
          <reference field="6" count="50">
            <x v="1297"/>
            <x v="1298"/>
            <x v="1301"/>
            <x v="1305"/>
            <x v="1310"/>
            <x v="1311"/>
            <x v="1313"/>
            <x v="1314"/>
            <x v="1318"/>
            <x v="1323"/>
            <x v="1325"/>
            <x v="1329"/>
            <x v="1331"/>
            <x v="1332"/>
            <x v="1334"/>
            <x v="1335"/>
            <x v="1338"/>
            <x v="1340"/>
            <x v="1341"/>
            <x v="1343"/>
            <x v="1347"/>
            <x v="1350"/>
            <x v="1358"/>
            <x v="1364"/>
            <x v="1366"/>
            <x v="1368"/>
            <x v="1369"/>
            <x v="1372"/>
            <x v="1373"/>
            <x v="1374"/>
            <x v="1376"/>
            <x v="1377"/>
            <x v="1378"/>
            <x v="1381"/>
            <x v="1387"/>
            <x v="1390"/>
            <x v="1391"/>
            <x v="1399"/>
            <x v="1402"/>
            <x v="1404"/>
            <x v="1405"/>
            <x v="1406"/>
            <x v="1408"/>
            <x v="1409"/>
            <x v="1410"/>
            <x v="1411"/>
            <x v="1412"/>
            <x v="1414"/>
            <x v="1415"/>
            <x v="1419"/>
          </reference>
        </references>
      </pivotArea>
    </format>
    <format dxfId="195">
      <pivotArea dataOnly="0" labelOnly="1" fieldPosition="0">
        <references count="1">
          <reference field="6" count="50">
            <x v="1421"/>
            <x v="1422"/>
            <x v="1425"/>
            <x v="1426"/>
            <x v="1427"/>
            <x v="1429"/>
            <x v="1433"/>
            <x v="1435"/>
            <x v="1439"/>
            <x v="1440"/>
            <x v="1441"/>
            <x v="1442"/>
            <x v="1443"/>
            <x v="1447"/>
            <x v="1450"/>
            <x v="1451"/>
            <x v="1452"/>
            <x v="1453"/>
            <x v="1454"/>
            <x v="1461"/>
            <x v="1462"/>
            <x v="1464"/>
            <x v="1467"/>
            <x v="1469"/>
            <x v="1471"/>
            <x v="1475"/>
            <x v="1481"/>
            <x v="1482"/>
            <x v="1483"/>
            <x v="1484"/>
            <x v="1485"/>
            <x v="1487"/>
            <x v="1489"/>
            <x v="1492"/>
            <x v="1493"/>
            <x v="1494"/>
            <x v="1499"/>
            <x v="1501"/>
            <x v="1502"/>
            <x v="1503"/>
            <x v="1504"/>
            <x v="1505"/>
            <x v="1508"/>
            <x v="1509"/>
            <x v="1512"/>
            <x v="1513"/>
            <x v="1514"/>
            <x v="1515"/>
            <x v="1519"/>
            <x v="1522"/>
          </reference>
        </references>
      </pivotArea>
    </format>
    <format dxfId="194">
      <pivotArea dataOnly="0" labelOnly="1" fieldPosition="0">
        <references count="1">
          <reference field="6" count="50">
            <x v="1524"/>
            <x v="1527"/>
            <x v="1529"/>
            <x v="1530"/>
            <x v="1531"/>
            <x v="1533"/>
            <x v="1534"/>
            <x v="1535"/>
            <x v="1536"/>
            <x v="1538"/>
            <x v="1539"/>
            <x v="1542"/>
            <x v="1543"/>
            <x v="1545"/>
            <x v="1548"/>
            <x v="1549"/>
            <x v="1550"/>
            <x v="1551"/>
            <x v="1552"/>
            <x v="1555"/>
            <x v="1558"/>
            <x v="1559"/>
            <x v="1564"/>
            <x v="1565"/>
            <x v="1582"/>
            <x v="1583"/>
            <x v="1585"/>
            <x v="1586"/>
            <x v="1587"/>
            <x v="1590"/>
            <x v="1591"/>
            <x v="1595"/>
            <x v="1596"/>
            <x v="1601"/>
            <x v="1602"/>
            <x v="1603"/>
            <x v="1605"/>
            <x v="1608"/>
            <x v="1610"/>
            <x v="1612"/>
            <x v="1613"/>
            <x v="1618"/>
            <x v="1619"/>
            <x v="1623"/>
            <x v="1624"/>
            <x v="1625"/>
            <x v="1626"/>
            <x v="1628"/>
            <x v="1629"/>
            <x v="1631"/>
          </reference>
        </references>
      </pivotArea>
    </format>
    <format dxfId="193">
      <pivotArea dataOnly="0" labelOnly="1" fieldPosition="0">
        <references count="1">
          <reference field="6" count="50">
            <x v="1634"/>
            <x v="1635"/>
            <x v="1638"/>
            <x v="1639"/>
            <x v="1641"/>
            <x v="1642"/>
            <x v="1643"/>
            <x v="1645"/>
            <x v="1646"/>
            <x v="1651"/>
            <x v="1653"/>
            <x v="1654"/>
            <x v="1657"/>
            <x v="1661"/>
            <x v="1663"/>
            <x v="1664"/>
            <x v="1667"/>
            <x v="1668"/>
            <x v="1670"/>
            <x v="1674"/>
            <x v="1675"/>
            <x v="1676"/>
            <x v="1679"/>
            <x v="1681"/>
            <x v="1682"/>
            <x v="1683"/>
            <x v="1684"/>
            <x v="1685"/>
            <x v="1686"/>
            <x v="1689"/>
            <x v="1690"/>
            <x v="1691"/>
            <x v="1692"/>
            <x v="1693"/>
            <x v="1695"/>
            <x v="1703"/>
            <x v="1705"/>
            <x v="1706"/>
            <x v="1707"/>
            <x v="1709"/>
            <x v="1710"/>
            <x v="1711"/>
            <x v="1715"/>
            <x v="1717"/>
            <x v="1719"/>
            <x v="1721"/>
            <x v="1722"/>
            <x v="1724"/>
            <x v="1726"/>
            <x v="1729"/>
          </reference>
        </references>
      </pivotArea>
    </format>
    <format dxfId="192">
      <pivotArea dataOnly="0" labelOnly="1" fieldPosition="0">
        <references count="1">
          <reference field="6" count="50">
            <x v="1732"/>
            <x v="1735"/>
            <x v="1737"/>
            <x v="1742"/>
            <x v="1743"/>
            <x v="1745"/>
            <x v="1748"/>
            <x v="1749"/>
            <x v="1751"/>
            <x v="1756"/>
            <x v="1760"/>
            <x v="1762"/>
            <x v="1764"/>
            <x v="1765"/>
            <x v="1768"/>
            <x v="1774"/>
            <x v="1775"/>
            <x v="1776"/>
            <x v="1777"/>
            <x v="1782"/>
            <x v="1784"/>
            <x v="1785"/>
            <x v="1786"/>
            <x v="1789"/>
            <x v="1790"/>
            <x v="1792"/>
            <x v="1793"/>
            <x v="1796"/>
            <x v="1797"/>
            <x v="1798"/>
            <x v="1801"/>
            <x v="1802"/>
            <x v="1808"/>
            <x v="1811"/>
            <x v="1816"/>
            <x v="1817"/>
            <x v="1819"/>
            <x v="1820"/>
            <x v="1821"/>
            <x v="1822"/>
            <x v="1823"/>
            <x v="1824"/>
            <x v="1825"/>
            <x v="1826"/>
            <x v="1831"/>
            <x v="1833"/>
            <x v="1834"/>
            <x v="1836"/>
            <x v="1846"/>
            <x v="1847"/>
          </reference>
        </references>
      </pivotArea>
    </format>
    <format dxfId="191">
      <pivotArea dataOnly="0" labelOnly="1" fieldPosition="0">
        <references count="1">
          <reference field="6" count="50">
            <x v="1850"/>
            <x v="1852"/>
            <x v="1853"/>
            <x v="1854"/>
            <x v="1855"/>
            <x v="1858"/>
            <x v="1859"/>
            <x v="1861"/>
            <x v="1866"/>
            <x v="1869"/>
            <x v="1872"/>
            <x v="1873"/>
            <x v="1875"/>
            <x v="1885"/>
            <x v="1887"/>
            <x v="1890"/>
            <x v="1891"/>
            <x v="1894"/>
            <x v="1895"/>
            <x v="1896"/>
            <x v="1897"/>
            <x v="1898"/>
            <x v="1899"/>
            <x v="1905"/>
            <x v="1908"/>
            <x v="1911"/>
            <x v="1913"/>
            <x v="1915"/>
            <x v="1917"/>
            <x v="1920"/>
            <x v="1921"/>
            <x v="1922"/>
            <x v="1925"/>
            <x v="1926"/>
            <x v="1931"/>
            <x v="1932"/>
            <x v="1933"/>
            <x v="1934"/>
            <x v="1935"/>
            <x v="1936"/>
            <x v="1939"/>
            <x v="1940"/>
            <x v="1946"/>
            <x v="1949"/>
            <x v="1950"/>
            <x v="1952"/>
            <x v="1953"/>
            <x v="1954"/>
            <x v="1955"/>
            <x v="1956"/>
          </reference>
        </references>
      </pivotArea>
    </format>
    <format dxfId="190">
      <pivotArea dataOnly="0" labelOnly="1" fieldPosition="0">
        <references count="1">
          <reference field="6" count="50">
            <x v="1957"/>
            <x v="1962"/>
            <x v="1963"/>
            <x v="1967"/>
            <x v="1968"/>
            <x v="1970"/>
            <x v="1971"/>
            <x v="1973"/>
            <x v="1974"/>
            <x v="1976"/>
            <x v="1977"/>
            <x v="1980"/>
            <x v="1982"/>
            <x v="1983"/>
            <x v="1984"/>
            <x v="1987"/>
            <x v="1988"/>
            <x v="1989"/>
            <x v="1990"/>
            <x v="1991"/>
            <x v="1993"/>
            <x v="1994"/>
            <x v="1997"/>
            <x v="1999"/>
            <x v="2003"/>
            <x v="2005"/>
            <x v="2006"/>
            <x v="2008"/>
            <x v="2009"/>
            <x v="2010"/>
            <x v="2011"/>
            <x v="2012"/>
            <x v="2015"/>
            <x v="2018"/>
            <x v="2021"/>
            <x v="2023"/>
            <x v="2025"/>
            <x v="2028"/>
            <x v="2030"/>
            <x v="2031"/>
            <x v="2032"/>
            <x v="2034"/>
            <x v="2035"/>
            <x v="2040"/>
            <x v="2041"/>
            <x v="2042"/>
            <x v="2044"/>
            <x v="2046"/>
            <x v="2048"/>
            <x v="2050"/>
          </reference>
        </references>
      </pivotArea>
    </format>
    <format dxfId="189">
      <pivotArea dataOnly="0" labelOnly="1" fieldPosition="0">
        <references count="1">
          <reference field="6" count="50">
            <x v="2051"/>
            <x v="2052"/>
            <x v="2053"/>
            <x v="2054"/>
            <x v="2057"/>
            <x v="2061"/>
            <x v="2063"/>
            <x v="2065"/>
            <x v="2068"/>
            <x v="2070"/>
            <x v="2071"/>
            <x v="2074"/>
            <x v="2075"/>
            <x v="2076"/>
            <x v="2079"/>
            <x v="2080"/>
            <x v="2081"/>
            <x v="2084"/>
            <x v="2085"/>
            <x v="2087"/>
            <x v="2089"/>
            <x v="2091"/>
            <x v="2092"/>
            <x v="2095"/>
            <x v="2096"/>
            <x v="2097"/>
            <x v="2100"/>
            <x v="2103"/>
            <x v="2104"/>
            <x v="2107"/>
            <x v="2108"/>
            <x v="2116"/>
            <x v="2117"/>
            <x v="2119"/>
            <x v="2123"/>
            <x v="2124"/>
            <x v="2125"/>
            <x v="2148"/>
            <x v="2151"/>
            <x v="2152"/>
            <x v="2154"/>
            <x v="2156"/>
            <x v="2157"/>
            <x v="2158"/>
            <x v="2159"/>
            <x v="2160"/>
            <x v="2162"/>
            <x v="2163"/>
            <x v="2164"/>
            <x v="2165"/>
          </reference>
        </references>
      </pivotArea>
    </format>
    <format dxfId="188">
      <pivotArea dataOnly="0" labelOnly="1" fieldPosition="0">
        <references count="1">
          <reference field="6" count="24">
            <x v="2166"/>
            <x v="2167"/>
            <x v="2169"/>
            <x v="2175"/>
            <x v="2176"/>
            <x v="2177"/>
            <x v="2179"/>
            <x v="2180"/>
            <x v="2182"/>
            <x v="2185"/>
            <x v="2188"/>
            <x v="2190"/>
            <x v="2191"/>
            <x v="2193"/>
            <x v="2200"/>
            <x v="2201"/>
            <x v="2203"/>
            <x v="2205"/>
            <x v="2206"/>
            <x v="2210"/>
            <x v="2213"/>
            <x v="2215"/>
            <x v="2216"/>
            <x v="2217"/>
          </reference>
        </references>
      </pivotArea>
    </format>
    <format dxfId="187">
      <pivotArea outline="0" collapsedLevelsAreSubtotals="1" fieldPosition="0"/>
    </format>
    <format dxfId="186">
      <pivotArea dataOnly="0" labelOnly="1" fieldPosition="0">
        <references count="1">
          <reference field="6" count="50">
            <x v="0"/>
            <x v="10"/>
            <x v="14"/>
            <x v="15"/>
            <x v="24"/>
            <x v="28"/>
            <x v="33"/>
            <x v="38"/>
            <x v="45"/>
            <x v="47"/>
            <x v="50"/>
            <x v="53"/>
            <x v="54"/>
            <x v="57"/>
            <x v="65"/>
            <x v="70"/>
            <x v="78"/>
            <x v="85"/>
            <x v="90"/>
            <x v="92"/>
            <x v="98"/>
            <x v="101"/>
            <x v="106"/>
            <x v="107"/>
            <x v="108"/>
            <x v="111"/>
            <x v="120"/>
            <x v="121"/>
            <x v="122"/>
            <x v="135"/>
            <x v="139"/>
            <x v="144"/>
            <x v="148"/>
            <x v="152"/>
            <x v="155"/>
            <x v="157"/>
            <x v="168"/>
            <x v="170"/>
            <x v="172"/>
            <x v="175"/>
            <x v="190"/>
            <x v="192"/>
            <x v="194"/>
            <x v="195"/>
            <x v="197"/>
            <x v="204"/>
            <x v="228"/>
            <x v="238"/>
            <x v="251"/>
            <x v="267"/>
          </reference>
        </references>
      </pivotArea>
    </format>
    <format dxfId="185">
      <pivotArea dataOnly="0" labelOnly="1" fieldPosition="0">
        <references count="1">
          <reference field="6" count="50">
            <x v="268"/>
            <x v="270"/>
            <x v="275"/>
            <x v="278"/>
            <x v="289"/>
            <x v="302"/>
            <x v="303"/>
            <x v="307"/>
            <x v="308"/>
            <x v="311"/>
            <x v="326"/>
            <x v="332"/>
            <x v="336"/>
            <x v="340"/>
            <x v="341"/>
            <x v="342"/>
            <x v="346"/>
            <x v="348"/>
            <x v="349"/>
            <x v="350"/>
            <x v="353"/>
            <x v="359"/>
            <x v="364"/>
            <x v="366"/>
            <x v="368"/>
            <x v="372"/>
            <x v="374"/>
            <x v="375"/>
            <x v="376"/>
            <x v="385"/>
            <x v="387"/>
            <x v="394"/>
            <x v="406"/>
            <x v="409"/>
            <x v="418"/>
            <x v="434"/>
            <x v="438"/>
            <x v="440"/>
            <x v="443"/>
            <x v="452"/>
            <x v="468"/>
            <x v="471"/>
            <x v="474"/>
            <x v="478"/>
            <x v="490"/>
            <x v="491"/>
            <x v="501"/>
            <x v="502"/>
            <x v="503"/>
            <x v="507"/>
          </reference>
        </references>
      </pivotArea>
    </format>
    <format dxfId="184">
      <pivotArea dataOnly="0" labelOnly="1" fieldPosition="0">
        <references count="1">
          <reference field="6" count="50">
            <x v="513"/>
            <x v="521"/>
            <x v="522"/>
            <x v="532"/>
            <x v="533"/>
            <x v="540"/>
            <x v="546"/>
            <x v="547"/>
            <x v="564"/>
            <x v="571"/>
            <x v="589"/>
            <x v="592"/>
            <x v="593"/>
            <x v="596"/>
            <x v="603"/>
            <x v="608"/>
            <x v="609"/>
            <x v="614"/>
            <x v="622"/>
            <x v="623"/>
            <x v="628"/>
            <x v="635"/>
            <x v="644"/>
            <x v="648"/>
            <x v="654"/>
            <x v="655"/>
            <x v="657"/>
            <x v="661"/>
            <x v="670"/>
            <x v="688"/>
            <x v="690"/>
            <x v="698"/>
            <x v="700"/>
            <x v="705"/>
            <x v="706"/>
            <x v="708"/>
            <x v="709"/>
            <x v="711"/>
            <x v="713"/>
            <x v="715"/>
            <x v="717"/>
            <x v="724"/>
            <x v="732"/>
            <x v="733"/>
            <x v="749"/>
            <x v="750"/>
            <x v="752"/>
            <x v="761"/>
            <x v="766"/>
            <x v="773"/>
          </reference>
        </references>
      </pivotArea>
    </format>
    <format dxfId="183">
      <pivotArea dataOnly="0" labelOnly="1" fieldPosition="0">
        <references count="1">
          <reference field="6" count="50">
            <x v="778"/>
            <x v="779"/>
            <x v="781"/>
            <x v="783"/>
            <x v="787"/>
            <x v="795"/>
            <x v="797"/>
            <x v="804"/>
            <x v="823"/>
            <x v="825"/>
            <x v="828"/>
            <x v="841"/>
            <x v="844"/>
            <x v="846"/>
            <x v="855"/>
            <x v="863"/>
            <x v="864"/>
            <x v="865"/>
            <x v="878"/>
            <x v="879"/>
            <x v="883"/>
            <x v="892"/>
            <x v="894"/>
            <x v="902"/>
            <x v="904"/>
            <x v="908"/>
            <x v="911"/>
            <x v="913"/>
            <x v="916"/>
            <x v="919"/>
            <x v="921"/>
            <x v="924"/>
            <x v="927"/>
            <x v="936"/>
            <x v="942"/>
            <x v="947"/>
            <x v="953"/>
            <x v="955"/>
            <x v="956"/>
            <x v="962"/>
            <x v="964"/>
            <x v="965"/>
            <x v="971"/>
            <x v="974"/>
            <x v="978"/>
            <x v="982"/>
            <x v="994"/>
            <x v="1000"/>
            <x v="1002"/>
            <x v="1012"/>
          </reference>
        </references>
      </pivotArea>
    </format>
    <format dxfId="182">
      <pivotArea dataOnly="0" labelOnly="1" fieldPosition="0">
        <references count="1">
          <reference field="6" count="50">
            <x v="1016"/>
            <x v="1023"/>
            <x v="1024"/>
            <x v="1036"/>
            <x v="1037"/>
            <x v="1038"/>
            <x v="1043"/>
            <x v="1048"/>
            <x v="1064"/>
            <x v="1074"/>
            <x v="1077"/>
            <x v="1083"/>
            <x v="1089"/>
            <x v="1105"/>
            <x v="1110"/>
            <x v="1112"/>
            <x v="1114"/>
            <x v="1117"/>
            <x v="1120"/>
            <x v="1122"/>
            <x v="1135"/>
            <x v="1137"/>
            <x v="1150"/>
            <x v="1153"/>
            <x v="1158"/>
            <x v="1169"/>
            <x v="1173"/>
            <x v="1177"/>
            <x v="1180"/>
            <x v="1186"/>
            <x v="1191"/>
            <x v="1208"/>
            <x v="1211"/>
            <x v="1212"/>
            <x v="1217"/>
            <x v="1225"/>
            <x v="1227"/>
            <x v="1230"/>
            <x v="1236"/>
            <x v="1240"/>
            <x v="1248"/>
            <x v="1250"/>
            <x v="1252"/>
            <x v="1263"/>
            <x v="1264"/>
            <x v="1268"/>
            <x v="1270"/>
            <x v="1276"/>
            <x v="1280"/>
            <x v="1298"/>
          </reference>
        </references>
      </pivotArea>
    </format>
    <format dxfId="181">
      <pivotArea dataOnly="0" labelOnly="1" fieldPosition="0">
        <references count="1">
          <reference field="6" count="50">
            <x v="1300"/>
            <x v="1303"/>
            <x v="1305"/>
            <x v="1313"/>
            <x v="1315"/>
            <x v="1317"/>
            <x v="1327"/>
            <x v="1329"/>
            <x v="1340"/>
            <x v="1352"/>
            <x v="1358"/>
            <x v="1361"/>
            <x v="1364"/>
            <x v="1388"/>
            <x v="1390"/>
            <x v="1391"/>
            <x v="1402"/>
            <x v="1403"/>
            <x v="1415"/>
            <x v="1437"/>
            <x v="1439"/>
            <x v="1441"/>
            <x v="1447"/>
            <x v="1450"/>
            <x v="1453"/>
            <x v="1454"/>
            <x v="1456"/>
            <x v="1461"/>
            <x v="1471"/>
            <x v="1476"/>
            <x v="1478"/>
            <x v="1485"/>
            <x v="1488"/>
            <x v="1492"/>
            <x v="1499"/>
            <x v="1501"/>
            <x v="1503"/>
            <x v="1505"/>
            <x v="1507"/>
            <x v="1509"/>
            <x v="1512"/>
            <x v="1521"/>
            <x v="1524"/>
            <x v="1529"/>
            <x v="1532"/>
            <x v="1533"/>
            <x v="1535"/>
            <x v="1536"/>
            <x v="1540"/>
            <x v="1542"/>
          </reference>
        </references>
      </pivotArea>
    </format>
    <format dxfId="180">
      <pivotArea dataOnly="0" labelOnly="1" fieldPosition="0">
        <references count="1">
          <reference field="6" count="50">
            <x v="1543"/>
            <x v="1552"/>
            <x v="1565"/>
            <x v="1583"/>
            <x v="1590"/>
            <x v="1591"/>
            <x v="1596"/>
            <x v="1597"/>
            <x v="1602"/>
            <x v="1603"/>
            <x v="1610"/>
            <x v="1612"/>
            <x v="1625"/>
            <x v="1628"/>
            <x v="1631"/>
            <x v="1635"/>
            <x v="1641"/>
            <x v="1643"/>
            <x v="1646"/>
            <x v="1654"/>
            <x v="1659"/>
            <x v="1668"/>
            <x v="1679"/>
            <x v="1681"/>
            <x v="1684"/>
            <x v="1686"/>
            <x v="1691"/>
            <x v="1695"/>
            <x v="1696"/>
            <x v="1717"/>
            <x v="1719"/>
            <x v="1721"/>
            <x v="1730"/>
            <x v="1731"/>
            <x v="1732"/>
            <x v="1742"/>
            <x v="1749"/>
            <x v="1751"/>
            <x v="1764"/>
            <x v="1765"/>
            <x v="1777"/>
            <x v="1784"/>
            <x v="1786"/>
            <x v="1789"/>
            <x v="1790"/>
            <x v="1796"/>
            <x v="1797"/>
            <x v="1798"/>
            <x v="1808"/>
            <x v="1812"/>
          </reference>
        </references>
      </pivotArea>
    </format>
    <format dxfId="179">
      <pivotArea dataOnly="0" labelOnly="1" fieldPosition="0">
        <references count="1">
          <reference field="6" count="50">
            <x v="1820"/>
            <x v="1821"/>
            <x v="1823"/>
            <x v="1824"/>
            <x v="1826"/>
            <x v="1833"/>
            <x v="1834"/>
            <x v="1844"/>
            <x v="1848"/>
            <x v="1850"/>
            <x v="1852"/>
            <x v="1859"/>
            <x v="1861"/>
            <x v="1869"/>
            <x v="1872"/>
            <x v="1874"/>
            <x v="1887"/>
            <x v="1890"/>
            <x v="1894"/>
            <x v="1895"/>
            <x v="1897"/>
            <x v="1899"/>
            <x v="1910"/>
            <x v="1932"/>
            <x v="1934"/>
            <x v="1935"/>
            <x v="1939"/>
            <x v="1946"/>
            <x v="1950"/>
            <x v="1952"/>
            <x v="1957"/>
            <x v="1962"/>
            <x v="1971"/>
            <x v="1984"/>
            <x v="1985"/>
            <x v="1988"/>
            <x v="1989"/>
            <x v="1990"/>
            <x v="1999"/>
            <x v="2009"/>
            <x v="2015"/>
            <x v="2018"/>
            <x v="2019"/>
            <x v="2021"/>
            <x v="2031"/>
            <x v="2034"/>
            <x v="2041"/>
            <x v="2046"/>
            <x v="2048"/>
            <x v="2052"/>
          </reference>
        </references>
      </pivotArea>
    </format>
    <format dxfId="178">
      <pivotArea dataOnly="0" labelOnly="1" fieldPosition="0">
        <references count="1">
          <reference field="6" count="33">
            <x v="2054"/>
            <x v="2061"/>
            <x v="2068"/>
            <x v="2070"/>
            <x v="2071"/>
            <x v="2078"/>
            <x v="2082"/>
            <x v="2088"/>
            <x v="2091"/>
            <x v="2092"/>
            <x v="2095"/>
            <x v="2097"/>
            <x v="2100"/>
            <x v="2103"/>
            <x v="2104"/>
            <x v="2109"/>
            <x v="2120"/>
            <x v="2123"/>
            <x v="2124"/>
            <x v="2125"/>
            <x v="2126"/>
            <x v="2152"/>
            <x v="2154"/>
            <x v="2156"/>
            <x v="2180"/>
            <x v="2185"/>
            <x v="2188"/>
            <x v="2193"/>
            <x v="2200"/>
            <x v="2211"/>
            <x v="2215"/>
            <x v="2216"/>
            <x v="2217"/>
          </reference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1">
          <reference field="6" count="50">
            <x v="0"/>
            <x v="10"/>
            <x v="14"/>
            <x v="15"/>
            <x v="24"/>
            <x v="28"/>
            <x v="33"/>
            <x v="38"/>
            <x v="45"/>
            <x v="47"/>
            <x v="50"/>
            <x v="53"/>
            <x v="54"/>
            <x v="57"/>
            <x v="65"/>
            <x v="70"/>
            <x v="78"/>
            <x v="85"/>
            <x v="90"/>
            <x v="92"/>
            <x v="98"/>
            <x v="101"/>
            <x v="106"/>
            <x v="107"/>
            <x v="108"/>
            <x v="111"/>
            <x v="120"/>
            <x v="121"/>
            <x v="122"/>
            <x v="135"/>
            <x v="139"/>
            <x v="144"/>
            <x v="148"/>
            <x v="152"/>
            <x v="155"/>
            <x v="157"/>
            <x v="168"/>
            <x v="170"/>
            <x v="172"/>
            <x v="175"/>
            <x v="190"/>
            <x v="192"/>
            <x v="194"/>
            <x v="195"/>
            <x v="197"/>
            <x v="204"/>
            <x v="228"/>
            <x v="238"/>
            <x v="251"/>
            <x v="267"/>
          </reference>
        </references>
      </pivotArea>
    </format>
    <format dxfId="175">
      <pivotArea dataOnly="0" labelOnly="1" fieldPosition="0">
        <references count="1">
          <reference field="6" count="50">
            <x v="268"/>
            <x v="270"/>
            <x v="275"/>
            <x v="278"/>
            <x v="289"/>
            <x v="302"/>
            <x v="303"/>
            <x v="307"/>
            <x v="308"/>
            <x v="311"/>
            <x v="326"/>
            <x v="332"/>
            <x v="336"/>
            <x v="340"/>
            <x v="341"/>
            <x v="342"/>
            <x v="346"/>
            <x v="348"/>
            <x v="349"/>
            <x v="350"/>
            <x v="353"/>
            <x v="359"/>
            <x v="364"/>
            <x v="366"/>
            <x v="368"/>
            <x v="372"/>
            <x v="374"/>
            <x v="375"/>
            <x v="376"/>
            <x v="385"/>
            <x v="387"/>
            <x v="394"/>
            <x v="406"/>
            <x v="409"/>
            <x v="418"/>
            <x v="434"/>
            <x v="438"/>
            <x v="440"/>
            <x v="443"/>
            <x v="452"/>
            <x v="468"/>
            <x v="471"/>
            <x v="474"/>
            <x v="478"/>
            <x v="490"/>
            <x v="491"/>
            <x v="501"/>
            <x v="502"/>
            <x v="503"/>
            <x v="507"/>
          </reference>
        </references>
      </pivotArea>
    </format>
    <format dxfId="174">
      <pivotArea dataOnly="0" labelOnly="1" fieldPosition="0">
        <references count="1">
          <reference field="6" count="50">
            <x v="513"/>
            <x v="521"/>
            <x v="522"/>
            <x v="532"/>
            <x v="533"/>
            <x v="540"/>
            <x v="546"/>
            <x v="547"/>
            <x v="564"/>
            <x v="571"/>
            <x v="589"/>
            <x v="592"/>
            <x v="593"/>
            <x v="596"/>
            <x v="603"/>
            <x v="608"/>
            <x v="609"/>
            <x v="614"/>
            <x v="622"/>
            <x v="623"/>
            <x v="628"/>
            <x v="635"/>
            <x v="644"/>
            <x v="648"/>
            <x v="654"/>
            <x v="655"/>
            <x v="657"/>
            <x v="661"/>
            <x v="670"/>
            <x v="688"/>
            <x v="690"/>
            <x v="698"/>
            <x v="700"/>
            <x v="705"/>
            <x v="706"/>
            <x v="708"/>
            <x v="709"/>
            <x v="711"/>
            <x v="713"/>
            <x v="715"/>
            <x v="717"/>
            <x v="724"/>
            <x v="732"/>
            <x v="733"/>
            <x v="749"/>
            <x v="750"/>
            <x v="752"/>
            <x v="761"/>
            <x v="766"/>
            <x v="773"/>
          </reference>
        </references>
      </pivotArea>
    </format>
    <format dxfId="173">
      <pivotArea dataOnly="0" labelOnly="1" fieldPosition="0">
        <references count="1">
          <reference field="6" count="50">
            <x v="778"/>
            <x v="779"/>
            <x v="781"/>
            <x v="783"/>
            <x v="787"/>
            <x v="795"/>
            <x v="797"/>
            <x v="804"/>
            <x v="823"/>
            <x v="825"/>
            <x v="828"/>
            <x v="841"/>
            <x v="844"/>
            <x v="846"/>
            <x v="855"/>
            <x v="863"/>
            <x v="864"/>
            <x v="865"/>
            <x v="878"/>
            <x v="879"/>
            <x v="883"/>
            <x v="892"/>
            <x v="894"/>
            <x v="902"/>
            <x v="904"/>
            <x v="908"/>
            <x v="911"/>
            <x v="913"/>
            <x v="916"/>
            <x v="919"/>
            <x v="921"/>
            <x v="924"/>
            <x v="927"/>
            <x v="936"/>
            <x v="942"/>
            <x v="947"/>
            <x v="953"/>
            <x v="955"/>
            <x v="956"/>
            <x v="962"/>
            <x v="964"/>
            <x v="965"/>
            <x v="971"/>
            <x v="974"/>
            <x v="978"/>
            <x v="982"/>
            <x v="994"/>
            <x v="1000"/>
            <x v="1002"/>
            <x v="1012"/>
          </reference>
        </references>
      </pivotArea>
    </format>
    <format dxfId="172">
      <pivotArea dataOnly="0" labelOnly="1" fieldPosition="0">
        <references count="1">
          <reference field="6" count="50">
            <x v="1016"/>
            <x v="1023"/>
            <x v="1024"/>
            <x v="1036"/>
            <x v="1037"/>
            <x v="1038"/>
            <x v="1043"/>
            <x v="1048"/>
            <x v="1064"/>
            <x v="1074"/>
            <x v="1077"/>
            <x v="1083"/>
            <x v="1089"/>
            <x v="1105"/>
            <x v="1110"/>
            <x v="1112"/>
            <x v="1114"/>
            <x v="1117"/>
            <x v="1120"/>
            <x v="1122"/>
            <x v="1135"/>
            <x v="1137"/>
            <x v="1150"/>
            <x v="1153"/>
            <x v="1158"/>
            <x v="1169"/>
            <x v="1173"/>
            <x v="1177"/>
            <x v="1180"/>
            <x v="1186"/>
            <x v="1191"/>
            <x v="1208"/>
            <x v="1211"/>
            <x v="1212"/>
            <x v="1217"/>
            <x v="1225"/>
            <x v="1227"/>
            <x v="1230"/>
            <x v="1236"/>
            <x v="1240"/>
            <x v="1248"/>
            <x v="1250"/>
            <x v="1252"/>
            <x v="1263"/>
            <x v="1264"/>
            <x v="1268"/>
            <x v="1270"/>
            <x v="1276"/>
            <x v="1280"/>
            <x v="1298"/>
          </reference>
        </references>
      </pivotArea>
    </format>
    <format dxfId="171">
      <pivotArea dataOnly="0" labelOnly="1" fieldPosition="0">
        <references count="1">
          <reference field="6" count="50">
            <x v="1300"/>
            <x v="1303"/>
            <x v="1305"/>
            <x v="1313"/>
            <x v="1315"/>
            <x v="1317"/>
            <x v="1327"/>
            <x v="1329"/>
            <x v="1340"/>
            <x v="1352"/>
            <x v="1358"/>
            <x v="1361"/>
            <x v="1364"/>
            <x v="1388"/>
            <x v="1390"/>
            <x v="1391"/>
            <x v="1402"/>
            <x v="1403"/>
            <x v="1415"/>
            <x v="1437"/>
            <x v="1439"/>
            <x v="1441"/>
            <x v="1447"/>
            <x v="1450"/>
            <x v="1453"/>
            <x v="1454"/>
            <x v="1456"/>
            <x v="1461"/>
            <x v="1471"/>
            <x v="1476"/>
            <x v="1478"/>
            <x v="1485"/>
            <x v="1488"/>
            <x v="1492"/>
            <x v="1499"/>
            <x v="1501"/>
            <x v="1503"/>
            <x v="1505"/>
            <x v="1507"/>
            <x v="1509"/>
            <x v="1512"/>
            <x v="1521"/>
            <x v="1524"/>
            <x v="1529"/>
            <x v="1532"/>
            <x v="1533"/>
            <x v="1535"/>
            <x v="1536"/>
            <x v="1540"/>
            <x v="1542"/>
          </reference>
        </references>
      </pivotArea>
    </format>
    <format dxfId="170">
      <pivotArea dataOnly="0" labelOnly="1" fieldPosition="0">
        <references count="1">
          <reference field="6" count="50">
            <x v="1543"/>
            <x v="1552"/>
            <x v="1565"/>
            <x v="1583"/>
            <x v="1590"/>
            <x v="1591"/>
            <x v="1596"/>
            <x v="1597"/>
            <x v="1602"/>
            <x v="1603"/>
            <x v="1610"/>
            <x v="1612"/>
            <x v="1625"/>
            <x v="1628"/>
            <x v="1631"/>
            <x v="1635"/>
            <x v="1641"/>
            <x v="1643"/>
            <x v="1646"/>
            <x v="1654"/>
            <x v="1659"/>
            <x v="1668"/>
            <x v="1679"/>
            <x v="1681"/>
            <x v="1684"/>
            <x v="1686"/>
            <x v="1691"/>
            <x v="1695"/>
            <x v="1696"/>
            <x v="1717"/>
            <x v="1719"/>
            <x v="1721"/>
            <x v="1730"/>
            <x v="1731"/>
            <x v="1732"/>
            <x v="1742"/>
            <x v="1749"/>
            <x v="1751"/>
            <x v="1764"/>
            <x v="1765"/>
            <x v="1777"/>
            <x v="1784"/>
            <x v="1786"/>
            <x v="1789"/>
            <x v="1790"/>
            <x v="1796"/>
            <x v="1797"/>
            <x v="1798"/>
            <x v="1808"/>
            <x v="1812"/>
          </reference>
        </references>
      </pivotArea>
    </format>
    <format dxfId="169">
      <pivotArea dataOnly="0" labelOnly="1" fieldPosition="0">
        <references count="1">
          <reference field="6" count="50">
            <x v="1820"/>
            <x v="1821"/>
            <x v="1823"/>
            <x v="1824"/>
            <x v="1826"/>
            <x v="1833"/>
            <x v="1834"/>
            <x v="1844"/>
            <x v="1848"/>
            <x v="1850"/>
            <x v="1852"/>
            <x v="1859"/>
            <x v="1861"/>
            <x v="1869"/>
            <x v="1872"/>
            <x v="1874"/>
            <x v="1887"/>
            <x v="1890"/>
            <x v="1894"/>
            <x v="1895"/>
            <x v="1897"/>
            <x v="1899"/>
            <x v="1910"/>
            <x v="1932"/>
            <x v="1934"/>
            <x v="1935"/>
            <x v="1939"/>
            <x v="1946"/>
            <x v="1950"/>
            <x v="1952"/>
            <x v="1957"/>
            <x v="1962"/>
            <x v="1971"/>
            <x v="1984"/>
            <x v="1985"/>
            <x v="1988"/>
            <x v="1989"/>
            <x v="1990"/>
            <x v="1999"/>
            <x v="2009"/>
            <x v="2015"/>
            <x v="2018"/>
            <x v="2019"/>
            <x v="2021"/>
            <x v="2031"/>
            <x v="2034"/>
            <x v="2041"/>
            <x v="2046"/>
            <x v="2048"/>
            <x v="2052"/>
          </reference>
        </references>
      </pivotArea>
    </format>
    <format dxfId="168">
      <pivotArea dataOnly="0" labelOnly="1" fieldPosition="0">
        <references count="1">
          <reference field="6" count="33">
            <x v="2054"/>
            <x v="2061"/>
            <x v="2068"/>
            <x v="2070"/>
            <x v="2071"/>
            <x v="2078"/>
            <x v="2082"/>
            <x v="2088"/>
            <x v="2091"/>
            <x v="2092"/>
            <x v="2095"/>
            <x v="2097"/>
            <x v="2100"/>
            <x v="2103"/>
            <x v="2104"/>
            <x v="2109"/>
            <x v="2120"/>
            <x v="2123"/>
            <x v="2124"/>
            <x v="2125"/>
            <x v="2126"/>
            <x v="2152"/>
            <x v="2154"/>
            <x v="2156"/>
            <x v="2180"/>
            <x v="2185"/>
            <x v="2188"/>
            <x v="2193"/>
            <x v="2200"/>
            <x v="2211"/>
            <x v="2215"/>
            <x v="2216"/>
            <x v="2217"/>
          </reference>
        </references>
      </pivotArea>
    </format>
    <format dxfId="167">
      <pivotArea outline="0" collapsedLevelsAreSubtotals="1" fieldPosition="0"/>
    </format>
    <format dxfId="166">
      <pivotArea dataOnly="0" labelOnly="1" fieldPosition="0">
        <references count="1">
          <reference field="6" count="50">
            <x v="0"/>
            <x v="9"/>
            <x v="12"/>
            <x v="32"/>
            <x v="33"/>
            <x v="34"/>
            <x v="36"/>
            <x v="45"/>
            <x v="47"/>
            <x v="50"/>
            <x v="57"/>
            <x v="59"/>
            <x v="61"/>
            <x v="66"/>
            <x v="70"/>
            <x v="76"/>
            <x v="78"/>
            <x v="81"/>
            <x v="85"/>
            <x v="86"/>
            <x v="87"/>
            <x v="89"/>
            <x v="90"/>
            <x v="92"/>
            <x v="95"/>
            <x v="98"/>
            <x v="101"/>
            <x v="104"/>
            <x v="107"/>
            <x v="108"/>
            <x v="116"/>
            <x v="120"/>
            <x v="121"/>
            <x v="124"/>
            <x v="126"/>
            <x v="130"/>
            <x v="135"/>
            <x v="144"/>
            <x v="148"/>
            <x v="150"/>
            <x v="172"/>
            <x v="181"/>
            <x v="187"/>
            <x v="192"/>
            <x v="194"/>
            <x v="198"/>
            <x v="204"/>
            <x v="205"/>
            <x v="206"/>
            <x v="209"/>
          </reference>
        </references>
      </pivotArea>
    </format>
    <format dxfId="165">
      <pivotArea dataOnly="0" labelOnly="1" fieldPosition="0">
        <references count="1">
          <reference field="6" count="50">
            <x v="211"/>
            <x v="213"/>
            <x v="214"/>
            <x v="220"/>
            <x v="227"/>
            <x v="228"/>
            <x v="240"/>
            <x v="243"/>
            <x v="245"/>
            <x v="249"/>
            <x v="252"/>
            <x v="270"/>
            <x v="274"/>
            <x v="287"/>
            <x v="289"/>
            <x v="291"/>
            <x v="299"/>
            <x v="302"/>
            <x v="303"/>
            <x v="305"/>
            <x v="308"/>
            <x v="309"/>
            <x v="311"/>
            <x v="316"/>
            <x v="319"/>
            <x v="323"/>
            <x v="324"/>
            <x v="326"/>
            <x v="332"/>
            <x v="335"/>
            <x v="336"/>
            <x v="338"/>
            <x v="341"/>
            <x v="342"/>
            <x v="344"/>
            <x v="348"/>
            <x v="349"/>
            <x v="350"/>
            <x v="351"/>
            <x v="353"/>
            <x v="359"/>
            <x v="366"/>
            <x v="369"/>
            <x v="375"/>
            <x v="376"/>
            <x v="377"/>
            <x v="387"/>
            <x v="388"/>
            <x v="393"/>
            <x v="394"/>
          </reference>
        </references>
      </pivotArea>
    </format>
    <format dxfId="164">
      <pivotArea dataOnly="0" labelOnly="1" fieldPosition="0">
        <references count="1">
          <reference field="6" count="50">
            <x v="405"/>
            <x v="406"/>
            <x v="409"/>
            <x v="415"/>
            <x v="418"/>
            <x v="419"/>
            <x v="424"/>
            <x v="426"/>
            <x v="440"/>
            <x v="443"/>
            <x v="449"/>
            <x v="451"/>
            <x v="452"/>
            <x v="460"/>
            <x v="487"/>
            <x v="489"/>
            <x v="490"/>
            <x v="491"/>
            <x v="501"/>
            <x v="502"/>
            <x v="503"/>
            <x v="518"/>
            <x v="521"/>
            <x v="522"/>
            <x v="532"/>
            <x v="533"/>
            <x v="547"/>
            <x v="550"/>
            <x v="553"/>
            <x v="562"/>
            <x v="564"/>
            <x v="569"/>
            <x v="571"/>
            <x v="583"/>
            <x v="587"/>
            <x v="588"/>
            <x v="591"/>
            <x v="593"/>
            <x v="596"/>
            <x v="603"/>
            <x v="608"/>
            <x v="609"/>
            <x v="610"/>
            <x v="611"/>
            <x v="614"/>
            <x v="622"/>
            <x v="623"/>
            <x v="627"/>
            <x v="628"/>
            <x v="635"/>
          </reference>
        </references>
      </pivotArea>
    </format>
    <format dxfId="163">
      <pivotArea dataOnly="0" labelOnly="1" fieldPosition="0">
        <references count="1">
          <reference field="6" count="50">
            <x v="641"/>
            <x v="644"/>
            <x v="656"/>
            <x v="657"/>
            <x v="659"/>
            <x v="660"/>
            <x v="663"/>
            <x v="667"/>
            <x v="670"/>
            <x v="677"/>
            <x v="681"/>
            <x v="683"/>
            <x v="688"/>
            <x v="690"/>
            <x v="695"/>
            <x v="697"/>
            <x v="698"/>
            <x v="699"/>
            <x v="700"/>
            <x v="705"/>
            <x v="706"/>
            <x v="708"/>
            <x v="711"/>
            <x v="713"/>
            <x v="715"/>
            <x v="717"/>
            <x v="720"/>
            <x v="731"/>
            <x v="732"/>
            <x v="738"/>
            <x v="746"/>
            <x v="748"/>
            <x v="750"/>
            <x v="755"/>
            <x v="759"/>
            <x v="764"/>
            <x v="765"/>
            <x v="773"/>
            <x v="781"/>
            <x v="783"/>
            <x v="785"/>
            <x v="787"/>
            <x v="795"/>
            <x v="799"/>
            <x v="804"/>
            <x v="806"/>
            <x v="819"/>
            <x v="823"/>
            <x v="825"/>
            <x v="828"/>
          </reference>
        </references>
      </pivotArea>
    </format>
    <format dxfId="162">
      <pivotArea dataOnly="0" labelOnly="1" fieldPosition="0">
        <references count="1">
          <reference field="6" count="50">
            <x v="838"/>
            <x v="841"/>
            <x v="844"/>
            <x v="847"/>
            <x v="855"/>
            <x v="857"/>
            <x v="859"/>
            <x v="861"/>
            <x v="863"/>
            <x v="871"/>
            <x v="873"/>
            <x v="878"/>
            <x v="889"/>
            <x v="894"/>
            <x v="895"/>
            <x v="897"/>
            <x v="900"/>
            <x v="903"/>
            <x v="905"/>
            <x v="912"/>
            <x v="919"/>
            <x v="922"/>
            <x v="923"/>
            <x v="924"/>
            <x v="931"/>
            <x v="932"/>
            <x v="936"/>
            <x v="940"/>
            <x v="942"/>
            <x v="943"/>
            <x v="947"/>
            <x v="948"/>
            <x v="953"/>
            <x v="956"/>
            <x v="962"/>
            <x v="964"/>
            <x v="965"/>
            <x v="974"/>
            <x v="975"/>
            <x v="978"/>
            <x v="979"/>
            <x v="981"/>
            <x v="987"/>
            <x v="994"/>
            <x v="999"/>
            <x v="1000"/>
            <x v="1001"/>
            <x v="1002"/>
            <x v="1008"/>
            <x v="1011"/>
          </reference>
        </references>
      </pivotArea>
    </format>
    <format dxfId="161">
      <pivotArea dataOnly="0" labelOnly="1" fieldPosition="0">
        <references count="1">
          <reference field="6" count="50">
            <x v="1012"/>
            <x v="1017"/>
            <x v="1025"/>
            <x v="1026"/>
            <x v="1031"/>
            <x v="1037"/>
            <x v="1044"/>
            <x v="1048"/>
            <x v="1053"/>
            <x v="1061"/>
            <x v="1064"/>
            <x v="1078"/>
            <x v="1082"/>
            <x v="1083"/>
            <x v="1085"/>
            <x v="1087"/>
            <x v="1088"/>
            <x v="1092"/>
            <x v="1104"/>
            <x v="1107"/>
            <x v="1109"/>
            <x v="1110"/>
            <x v="1114"/>
            <x v="1120"/>
            <x v="1145"/>
            <x v="1147"/>
            <x v="1149"/>
            <x v="1152"/>
            <x v="1153"/>
            <x v="1158"/>
            <x v="1160"/>
            <x v="1169"/>
            <x v="1173"/>
            <x v="1180"/>
            <x v="1187"/>
            <x v="1191"/>
            <x v="1200"/>
            <x v="1202"/>
            <x v="1213"/>
            <x v="1222"/>
            <x v="1227"/>
            <x v="1230"/>
            <x v="1234"/>
            <x v="1238"/>
            <x v="1248"/>
            <x v="1252"/>
            <x v="1263"/>
            <x v="1270"/>
            <x v="1286"/>
            <x v="1288"/>
          </reference>
        </references>
      </pivotArea>
    </format>
    <format dxfId="160">
      <pivotArea dataOnly="0" labelOnly="1" fieldPosition="0">
        <references count="1">
          <reference field="6" count="50">
            <x v="1294"/>
            <x v="1299"/>
            <x v="1313"/>
            <x v="1315"/>
            <x v="1327"/>
            <x v="1335"/>
            <x v="1336"/>
            <x v="1339"/>
            <x v="1351"/>
            <x v="1353"/>
            <x v="1356"/>
            <x v="1357"/>
            <x v="1358"/>
            <x v="1362"/>
            <x v="1364"/>
            <x v="1371"/>
            <x v="1379"/>
            <x v="1386"/>
            <x v="1388"/>
            <x v="1390"/>
            <x v="1392"/>
            <x v="1393"/>
            <x v="1394"/>
            <x v="1402"/>
            <x v="1403"/>
            <x v="1406"/>
            <x v="1408"/>
            <x v="1411"/>
            <x v="1412"/>
            <x v="1418"/>
            <x v="1426"/>
            <x v="1431"/>
            <x v="1436"/>
            <x v="1438"/>
            <x v="1440"/>
            <x v="1441"/>
            <x v="1443"/>
            <x v="1444"/>
            <x v="1447"/>
            <x v="1450"/>
            <x v="1453"/>
            <x v="1457"/>
            <x v="1461"/>
            <x v="1475"/>
            <x v="1476"/>
            <x v="1479"/>
            <x v="1480"/>
            <x v="1485"/>
            <x v="1503"/>
            <x v="1509"/>
          </reference>
        </references>
      </pivotArea>
    </format>
    <format dxfId="159">
      <pivotArea dataOnly="0" labelOnly="1" fieldPosition="0">
        <references count="1">
          <reference field="6" count="50">
            <x v="1512"/>
            <x v="1519"/>
            <x v="1524"/>
            <x v="1528"/>
            <x v="1532"/>
            <x v="1533"/>
            <x v="1536"/>
            <x v="1537"/>
            <x v="1541"/>
            <x v="1542"/>
            <x v="1547"/>
            <x v="1551"/>
            <x v="1558"/>
            <x v="1565"/>
            <x v="1569"/>
            <x v="1573"/>
            <x v="1584"/>
            <x v="1585"/>
            <x v="1590"/>
            <x v="1591"/>
            <x v="1596"/>
            <x v="1601"/>
            <x v="1603"/>
            <x v="1605"/>
            <x v="1619"/>
            <x v="1628"/>
            <x v="1629"/>
            <x v="1631"/>
            <x v="1635"/>
            <x v="1640"/>
            <x v="1641"/>
            <x v="1642"/>
            <x v="1645"/>
            <x v="1646"/>
            <x v="1649"/>
            <x v="1677"/>
            <x v="1685"/>
            <x v="1686"/>
            <x v="1692"/>
            <x v="1695"/>
            <x v="1716"/>
            <x v="1721"/>
            <x v="1722"/>
            <x v="1723"/>
            <x v="1731"/>
            <x v="1733"/>
            <x v="1738"/>
            <x v="1741"/>
            <x v="1744"/>
            <x v="1747"/>
          </reference>
        </references>
      </pivotArea>
    </format>
    <format dxfId="158">
      <pivotArea dataOnly="0" labelOnly="1" fieldPosition="0">
        <references count="1">
          <reference field="6" count="50">
            <x v="1751"/>
            <x v="1757"/>
            <x v="1764"/>
            <x v="1765"/>
            <x v="1777"/>
            <x v="1784"/>
            <x v="1786"/>
            <x v="1789"/>
            <x v="1790"/>
            <x v="1796"/>
            <x v="1797"/>
            <x v="1798"/>
            <x v="1801"/>
            <x v="1803"/>
            <x v="1806"/>
            <x v="1808"/>
            <x v="1810"/>
            <x v="1816"/>
            <x v="1817"/>
            <x v="1820"/>
            <x v="1823"/>
            <x v="1825"/>
            <x v="1826"/>
            <x v="1828"/>
            <x v="1833"/>
            <x v="1834"/>
            <x v="1838"/>
            <x v="1840"/>
            <x v="1842"/>
            <x v="1848"/>
            <x v="1849"/>
            <x v="1852"/>
            <x v="1857"/>
            <x v="1859"/>
            <x v="1861"/>
            <x v="1869"/>
            <x v="1870"/>
            <x v="1871"/>
            <x v="1872"/>
            <x v="1874"/>
            <x v="1878"/>
            <x v="1881"/>
            <x v="1883"/>
            <x v="1887"/>
            <x v="1890"/>
            <x v="1894"/>
            <x v="1897"/>
            <x v="1898"/>
            <x v="1906"/>
            <x v="1913"/>
          </reference>
        </references>
      </pivotArea>
    </format>
    <format dxfId="157">
      <pivotArea dataOnly="0" labelOnly="1" fieldPosition="0">
        <references count="1">
          <reference field="6" count="50">
            <x v="1921"/>
            <x v="1922"/>
            <x v="1923"/>
            <x v="1929"/>
            <x v="1935"/>
            <x v="1939"/>
            <x v="1940"/>
            <x v="1946"/>
            <x v="1950"/>
            <x v="1952"/>
            <x v="1953"/>
            <x v="1958"/>
            <x v="1962"/>
            <x v="1970"/>
            <x v="1971"/>
            <x v="1980"/>
            <x v="1984"/>
            <x v="1990"/>
            <x v="2000"/>
            <x v="2004"/>
            <x v="2009"/>
            <x v="2011"/>
            <x v="2014"/>
            <x v="2019"/>
            <x v="2020"/>
            <x v="2021"/>
            <x v="2031"/>
            <x v="2034"/>
            <x v="2041"/>
            <x v="2048"/>
            <x v="2053"/>
            <x v="2068"/>
            <x v="2071"/>
            <x v="2078"/>
            <x v="2087"/>
            <x v="2089"/>
            <x v="2091"/>
            <x v="2094"/>
            <x v="2096"/>
            <x v="2097"/>
            <x v="2100"/>
            <x v="2101"/>
            <x v="2108"/>
            <x v="2109"/>
            <x v="2117"/>
            <x v="2119"/>
            <x v="2120"/>
            <x v="2124"/>
            <x v="2127"/>
            <x v="2130"/>
          </reference>
        </references>
      </pivotArea>
    </format>
    <format dxfId="156">
      <pivotArea dataOnly="0" labelOnly="1" grandRow="1" outline="0" fieldPosition="0"/>
    </format>
    <format dxfId="155">
      <pivotArea collapsedLevelsAreSubtotals="1" fieldPosition="0">
        <references count="1">
          <reference field="6" count="736">
            <x v="0"/>
            <x v="9"/>
            <x v="12"/>
            <x v="15"/>
            <x v="29"/>
            <x v="31"/>
            <x v="32"/>
            <x v="33"/>
            <x v="34"/>
            <x v="36"/>
            <x v="45"/>
            <x v="47"/>
            <x v="48"/>
            <x v="49"/>
            <x v="50"/>
            <x v="54"/>
            <x v="57"/>
            <x v="58"/>
            <x v="59"/>
            <x v="61"/>
            <x v="62"/>
            <x v="63"/>
            <x v="66"/>
            <x v="67"/>
            <x v="68"/>
            <x v="70"/>
            <x v="76"/>
            <x v="78"/>
            <x v="81"/>
            <x v="82"/>
            <x v="84"/>
            <x v="85"/>
            <x v="86"/>
            <x v="87"/>
            <x v="89"/>
            <x v="90"/>
            <x v="92"/>
            <x v="95"/>
            <x v="98"/>
            <x v="101"/>
            <x v="104"/>
            <x v="107"/>
            <x v="108"/>
            <x v="116"/>
            <x v="120"/>
            <x v="121"/>
            <x v="123"/>
            <x v="124"/>
            <x v="126"/>
            <x v="128"/>
            <x v="130"/>
            <x v="135"/>
            <x v="136"/>
            <x v="137"/>
            <x v="139"/>
            <x v="144"/>
            <x v="146"/>
            <x v="148"/>
            <x v="150"/>
            <x v="151"/>
            <x v="166"/>
            <x v="167"/>
            <x v="172"/>
            <x v="173"/>
            <x v="181"/>
            <x v="187"/>
            <x v="192"/>
            <x v="194"/>
            <x v="198"/>
            <x v="203"/>
            <x v="204"/>
            <x v="205"/>
            <x v="206"/>
            <x v="207"/>
            <x v="209"/>
            <x v="211"/>
            <x v="212"/>
            <x v="213"/>
            <x v="214"/>
            <x v="220"/>
            <x v="223"/>
            <x v="225"/>
            <x v="227"/>
            <x v="228"/>
            <x v="240"/>
            <x v="243"/>
            <x v="245"/>
            <x v="249"/>
            <x v="252"/>
            <x v="257"/>
            <x v="263"/>
            <x v="265"/>
            <x v="270"/>
            <x v="274"/>
            <x v="278"/>
            <x v="280"/>
            <x v="284"/>
            <x v="287"/>
            <x v="289"/>
            <x v="291"/>
            <x v="292"/>
            <x v="294"/>
            <x v="299"/>
            <x v="300"/>
            <x v="302"/>
            <x v="303"/>
            <x v="305"/>
            <x v="307"/>
            <x v="308"/>
            <x v="309"/>
            <x v="310"/>
            <x v="311"/>
            <x v="312"/>
            <x v="316"/>
            <x v="319"/>
            <x v="323"/>
            <x v="324"/>
            <x v="326"/>
            <x v="332"/>
            <x v="335"/>
            <x v="336"/>
            <x v="338"/>
            <x v="341"/>
            <x v="342"/>
            <x v="344"/>
            <x v="348"/>
            <x v="349"/>
            <x v="350"/>
            <x v="351"/>
            <x v="353"/>
            <x v="359"/>
            <x v="360"/>
            <x v="361"/>
            <x v="363"/>
            <x v="365"/>
            <x v="366"/>
            <x v="369"/>
            <x v="375"/>
            <x v="376"/>
            <x v="377"/>
            <x v="379"/>
            <x v="380"/>
            <x v="384"/>
            <x v="387"/>
            <x v="388"/>
            <x v="393"/>
            <x v="394"/>
            <x v="405"/>
            <x v="406"/>
            <x v="409"/>
            <x v="414"/>
            <x v="415"/>
            <x v="418"/>
            <x v="419"/>
            <x v="424"/>
            <x v="425"/>
            <x v="426"/>
            <x v="429"/>
            <x v="440"/>
            <x v="443"/>
            <x v="449"/>
            <x v="451"/>
            <x v="452"/>
            <x v="459"/>
            <x v="460"/>
            <x v="467"/>
            <x v="471"/>
            <x v="474"/>
            <x v="487"/>
            <x v="489"/>
            <x v="490"/>
            <x v="491"/>
            <x v="492"/>
            <x v="501"/>
            <x v="502"/>
            <x v="503"/>
            <x v="518"/>
            <x v="521"/>
            <x v="522"/>
            <x v="532"/>
            <x v="533"/>
            <x v="540"/>
            <x v="542"/>
            <x v="547"/>
            <x v="550"/>
            <x v="553"/>
            <x v="562"/>
            <x v="564"/>
            <x v="569"/>
            <x v="571"/>
            <x v="583"/>
            <x v="587"/>
            <x v="588"/>
            <x v="591"/>
            <x v="593"/>
            <x v="596"/>
            <x v="603"/>
            <x v="605"/>
            <x v="608"/>
            <x v="609"/>
            <x v="610"/>
            <x v="611"/>
            <x v="614"/>
            <x v="622"/>
            <x v="623"/>
            <x v="627"/>
            <x v="628"/>
            <x v="635"/>
            <x v="639"/>
            <x v="641"/>
            <x v="644"/>
            <x v="646"/>
            <x v="647"/>
            <x v="653"/>
            <x v="656"/>
            <x v="657"/>
            <x v="659"/>
            <x v="660"/>
            <x v="662"/>
            <x v="663"/>
            <x v="667"/>
            <x v="670"/>
            <x v="677"/>
            <x v="680"/>
            <x v="681"/>
            <x v="683"/>
            <x v="687"/>
            <x v="688"/>
            <x v="690"/>
            <x v="695"/>
            <x v="697"/>
            <x v="698"/>
            <x v="699"/>
            <x v="700"/>
            <x v="703"/>
            <x v="705"/>
            <x v="706"/>
            <x v="707"/>
            <x v="708"/>
            <x v="711"/>
            <x v="713"/>
            <x v="715"/>
            <x v="716"/>
            <x v="717"/>
            <x v="718"/>
            <x v="720"/>
            <x v="721"/>
            <x v="722"/>
            <x v="731"/>
            <x v="732"/>
            <x v="733"/>
            <x v="738"/>
            <x v="742"/>
            <x v="746"/>
            <x v="748"/>
            <x v="750"/>
            <x v="755"/>
            <x v="759"/>
            <x v="764"/>
            <x v="765"/>
            <x v="773"/>
            <x v="781"/>
            <x v="783"/>
            <x v="785"/>
            <x v="786"/>
            <x v="787"/>
            <x v="795"/>
            <x v="799"/>
            <x v="801"/>
            <x v="802"/>
            <x v="804"/>
            <x v="806"/>
            <x v="811"/>
            <x v="814"/>
            <x v="818"/>
            <x v="819"/>
            <x v="821"/>
            <x v="823"/>
            <x v="825"/>
            <x v="828"/>
            <x v="832"/>
            <x v="834"/>
            <x v="838"/>
            <x v="841"/>
            <x v="842"/>
            <x v="843"/>
            <x v="844"/>
            <x v="847"/>
            <x v="854"/>
            <x v="855"/>
            <x v="857"/>
            <x v="859"/>
            <x v="861"/>
            <x v="863"/>
            <x v="866"/>
            <x v="869"/>
            <x v="871"/>
            <x v="873"/>
            <x v="874"/>
            <x v="878"/>
            <x v="885"/>
            <x v="889"/>
            <x v="894"/>
            <x v="895"/>
            <x v="897"/>
            <x v="899"/>
            <x v="900"/>
            <x v="903"/>
            <x v="905"/>
            <x v="906"/>
            <x v="909"/>
            <x v="912"/>
            <x v="915"/>
            <x v="919"/>
            <x v="922"/>
            <x v="923"/>
            <x v="924"/>
            <x v="931"/>
            <x v="932"/>
            <x v="936"/>
            <x v="940"/>
            <x v="942"/>
            <x v="943"/>
            <x v="947"/>
            <x v="948"/>
            <x v="953"/>
            <x v="956"/>
            <x v="962"/>
            <x v="964"/>
            <x v="965"/>
            <x v="973"/>
            <x v="974"/>
            <x v="975"/>
            <x v="978"/>
            <x v="979"/>
            <x v="981"/>
            <x v="987"/>
            <x v="990"/>
            <x v="994"/>
            <x v="999"/>
            <x v="1000"/>
            <x v="1001"/>
            <x v="1002"/>
            <x v="1003"/>
            <x v="1008"/>
            <x v="1011"/>
            <x v="1012"/>
            <x v="1017"/>
            <x v="1023"/>
            <x v="1024"/>
            <x v="1025"/>
            <x v="1026"/>
            <x v="1029"/>
            <x v="1031"/>
            <x v="1037"/>
            <x v="1038"/>
            <x v="1041"/>
            <x v="1044"/>
            <x v="1048"/>
            <x v="1053"/>
            <x v="1058"/>
            <x v="1061"/>
            <x v="1064"/>
            <x v="1074"/>
            <x v="1075"/>
            <x v="1078"/>
            <x v="1079"/>
            <x v="1080"/>
            <x v="1081"/>
            <x v="1082"/>
            <x v="1083"/>
            <x v="1085"/>
            <x v="1087"/>
            <x v="1088"/>
            <x v="1092"/>
            <x v="1099"/>
            <x v="1104"/>
            <x v="1107"/>
            <x v="1109"/>
            <x v="1110"/>
            <x v="1114"/>
            <x v="1120"/>
            <x v="1129"/>
            <x v="1145"/>
            <x v="1147"/>
            <x v="1149"/>
            <x v="1151"/>
            <x v="1152"/>
            <x v="1153"/>
            <x v="1158"/>
            <x v="1159"/>
            <x v="1160"/>
            <x v="1163"/>
            <x v="1169"/>
            <x v="1173"/>
            <x v="1177"/>
            <x v="1179"/>
            <x v="1180"/>
            <x v="1187"/>
            <x v="1191"/>
            <x v="1197"/>
            <x v="1199"/>
            <x v="1200"/>
            <x v="1202"/>
            <x v="1212"/>
            <x v="1213"/>
            <x v="1222"/>
            <x v="1226"/>
            <x v="1227"/>
            <x v="1230"/>
            <x v="1234"/>
            <x v="1238"/>
            <x v="1241"/>
            <x v="1248"/>
            <x v="1249"/>
            <x v="1252"/>
            <x v="1263"/>
            <x v="1269"/>
            <x v="1270"/>
            <x v="1273"/>
            <x v="1277"/>
            <x v="1280"/>
            <x v="1286"/>
            <x v="1288"/>
            <x v="1291"/>
            <x v="1294"/>
            <x v="1299"/>
            <x v="1300"/>
            <x v="1313"/>
            <x v="1314"/>
            <x v="1315"/>
            <x v="1319"/>
            <x v="1320"/>
            <x v="1324"/>
            <x v="1327"/>
            <x v="1335"/>
            <x v="1336"/>
            <x v="1339"/>
            <x v="1341"/>
            <x v="1351"/>
            <x v="1352"/>
            <x v="1353"/>
            <x v="1355"/>
            <x v="1356"/>
            <x v="1357"/>
            <x v="1358"/>
            <x v="1362"/>
            <x v="1364"/>
            <x v="1371"/>
            <x v="1373"/>
            <x v="1379"/>
            <x v="1386"/>
            <x v="1388"/>
            <x v="1390"/>
            <x v="1391"/>
            <x v="1392"/>
            <x v="1393"/>
            <x v="1394"/>
            <x v="1398"/>
            <x v="1399"/>
            <x v="1402"/>
            <x v="1403"/>
            <x v="1406"/>
            <x v="1408"/>
            <x v="1411"/>
            <x v="1412"/>
            <x v="1413"/>
            <x v="1418"/>
            <x v="1426"/>
            <x v="1431"/>
            <x v="1436"/>
            <x v="1438"/>
            <x v="1440"/>
            <x v="1441"/>
            <x v="1443"/>
            <x v="1444"/>
            <x v="1445"/>
            <x v="1447"/>
            <x v="1450"/>
            <x v="1453"/>
            <x v="1457"/>
            <x v="1459"/>
            <x v="1461"/>
            <x v="1462"/>
            <x v="1468"/>
            <x v="1475"/>
            <x v="1476"/>
            <x v="1479"/>
            <x v="1480"/>
            <x v="1481"/>
            <x v="1482"/>
            <x v="1485"/>
            <x v="1495"/>
            <x v="1498"/>
            <x v="1503"/>
            <x v="1506"/>
            <x v="1509"/>
            <x v="1512"/>
            <x v="1514"/>
            <x v="1519"/>
            <x v="1523"/>
            <x v="1524"/>
            <x v="1528"/>
            <x v="1532"/>
            <x v="1533"/>
            <x v="1536"/>
            <x v="1537"/>
            <x v="1541"/>
            <x v="1542"/>
            <x v="1547"/>
            <x v="1551"/>
            <x v="1557"/>
            <x v="1558"/>
            <x v="1565"/>
            <x v="1569"/>
            <x v="1573"/>
            <x v="1578"/>
            <x v="1584"/>
            <x v="1585"/>
            <x v="1590"/>
            <x v="1591"/>
            <x v="1596"/>
            <x v="1601"/>
            <x v="1602"/>
            <x v="1603"/>
            <x v="1605"/>
            <x v="1619"/>
            <x v="1628"/>
            <x v="1629"/>
            <x v="1631"/>
            <x v="1635"/>
            <x v="1637"/>
            <x v="1640"/>
            <x v="1641"/>
            <x v="1642"/>
            <x v="1645"/>
            <x v="1646"/>
            <x v="1647"/>
            <x v="1649"/>
            <x v="1654"/>
            <x v="1663"/>
            <x v="1673"/>
            <x v="1674"/>
            <x v="1675"/>
            <x v="1677"/>
            <x v="1685"/>
            <x v="1686"/>
            <x v="1692"/>
            <x v="1695"/>
            <x v="1707"/>
            <x v="1708"/>
            <x v="1713"/>
            <x v="1716"/>
            <x v="1717"/>
            <x v="1720"/>
            <x v="1721"/>
            <x v="1722"/>
            <x v="1723"/>
            <x v="1727"/>
            <x v="1729"/>
            <x v="1730"/>
            <x v="1731"/>
            <x v="1732"/>
            <x v="1733"/>
            <x v="1734"/>
            <x v="1738"/>
            <x v="1741"/>
            <x v="1744"/>
            <x v="1746"/>
            <x v="1747"/>
            <x v="1751"/>
            <x v="1757"/>
            <x v="1764"/>
            <x v="1765"/>
            <x v="1777"/>
            <x v="1778"/>
            <x v="1784"/>
            <x v="1786"/>
            <x v="1789"/>
            <x v="1790"/>
            <x v="1796"/>
            <x v="1797"/>
            <x v="1798"/>
            <x v="1801"/>
            <x v="1803"/>
            <x v="1806"/>
            <x v="1808"/>
            <x v="1810"/>
            <x v="1814"/>
            <x v="1816"/>
            <x v="1817"/>
            <x v="1820"/>
            <x v="1823"/>
            <x v="1825"/>
            <x v="1826"/>
            <x v="1828"/>
            <x v="1833"/>
            <x v="1834"/>
            <x v="1838"/>
            <x v="1840"/>
            <x v="1842"/>
            <x v="1848"/>
            <x v="1849"/>
            <x v="1852"/>
            <x v="1854"/>
            <x v="1857"/>
            <x v="1859"/>
            <x v="1861"/>
            <x v="1869"/>
            <x v="1870"/>
            <x v="1871"/>
            <x v="1872"/>
            <x v="1874"/>
            <x v="1878"/>
            <x v="1881"/>
            <x v="1883"/>
            <x v="1885"/>
            <x v="1886"/>
            <x v="1887"/>
            <x v="1889"/>
            <x v="1890"/>
            <x v="1894"/>
            <x v="1895"/>
            <x v="1897"/>
            <x v="1898"/>
            <x v="1899"/>
            <x v="1903"/>
            <x v="1904"/>
            <x v="1906"/>
            <x v="1913"/>
            <x v="1914"/>
            <x v="1921"/>
            <x v="1922"/>
            <x v="1923"/>
            <x v="1929"/>
            <x v="1935"/>
            <x v="1936"/>
            <x v="1938"/>
            <x v="1939"/>
            <x v="1940"/>
            <x v="1941"/>
            <x v="1946"/>
            <x v="1950"/>
            <x v="1952"/>
            <x v="1953"/>
            <x v="1958"/>
            <x v="1961"/>
            <x v="1962"/>
            <x v="1970"/>
            <x v="1971"/>
            <x v="1972"/>
            <x v="1975"/>
            <x v="1976"/>
            <x v="1980"/>
            <x v="1983"/>
            <x v="1984"/>
            <x v="1990"/>
            <x v="1991"/>
            <x v="2000"/>
            <x v="2004"/>
            <x v="2009"/>
            <x v="2011"/>
            <x v="2014"/>
            <x v="2015"/>
            <x v="2018"/>
            <x v="2019"/>
            <x v="2020"/>
            <x v="2021"/>
            <x v="2024"/>
            <x v="2025"/>
            <x v="2031"/>
            <x v="2034"/>
            <x v="2041"/>
            <x v="2048"/>
            <x v="2051"/>
            <x v="2053"/>
            <x v="2054"/>
            <x v="2059"/>
            <x v="2068"/>
            <x v="2071"/>
            <x v="2077"/>
            <x v="2078"/>
            <x v="2082"/>
            <x v="2083"/>
            <x v="2084"/>
            <x v="2087"/>
            <x v="2088"/>
            <x v="2089"/>
            <x v="2091"/>
            <x v="2094"/>
            <x v="2096"/>
            <x v="2097"/>
            <x v="2100"/>
            <x v="2101"/>
            <x v="2108"/>
            <x v="2109"/>
            <x v="2113"/>
            <x v="2117"/>
            <x v="2119"/>
            <x v="2120"/>
            <x v="2124"/>
            <x v="2125"/>
            <x v="2127"/>
            <x v="2130"/>
            <x v="2147"/>
            <x v="2152"/>
            <x v="2153"/>
            <x v="2154"/>
            <x v="2156"/>
            <x v="2157"/>
            <x v="2158"/>
            <x v="2160"/>
            <x v="2167"/>
            <x v="2169"/>
            <x v="2171"/>
            <x v="2173"/>
            <x v="2175"/>
            <x v="2176"/>
            <x v="2180"/>
            <x v="2183"/>
            <x v="2185"/>
            <x v="2188"/>
            <x v="2193"/>
            <x v="2194"/>
            <x v="2195"/>
            <x v="2199"/>
            <x v="2200"/>
            <x v="2203"/>
            <x v="2205"/>
            <x v="2208"/>
            <x v="2210"/>
            <x v="2212"/>
            <x v="2213"/>
            <x v="2216"/>
            <x v="2217"/>
            <x v="2219"/>
          </reference>
        </references>
      </pivotArea>
    </format>
    <format dxfId="154">
      <pivotArea dataOnly="0" labelOnly="1" fieldPosition="0">
        <references count="1">
          <reference field="6" count="50">
            <x v="0"/>
            <x v="9"/>
            <x v="12"/>
            <x v="15"/>
            <x v="29"/>
            <x v="31"/>
            <x v="32"/>
            <x v="33"/>
            <x v="34"/>
            <x v="36"/>
            <x v="45"/>
            <x v="47"/>
            <x v="48"/>
            <x v="49"/>
            <x v="50"/>
            <x v="54"/>
            <x v="57"/>
            <x v="58"/>
            <x v="59"/>
            <x v="61"/>
            <x v="62"/>
            <x v="63"/>
            <x v="66"/>
            <x v="67"/>
            <x v="68"/>
            <x v="70"/>
            <x v="76"/>
            <x v="78"/>
            <x v="81"/>
            <x v="82"/>
            <x v="84"/>
            <x v="85"/>
            <x v="86"/>
            <x v="87"/>
            <x v="89"/>
            <x v="90"/>
            <x v="92"/>
            <x v="95"/>
            <x v="98"/>
            <x v="101"/>
            <x v="104"/>
            <x v="107"/>
            <x v="108"/>
            <x v="116"/>
            <x v="120"/>
            <x v="121"/>
            <x v="123"/>
            <x v="124"/>
            <x v="126"/>
            <x v="128"/>
          </reference>
        </references>
      </pivotArea>
    </format>
    <format dxfId="153">
      <pivotArea dataOnly="0" labelOnly="1" fieldPosition="0">
        <references count="1">
          <reference field="6" count="50">
            <x v="130"/>
            <x v="135"/>
            <x v="136"/>
            <x v="137"/>
            <x v="139"/>
            <x v="144"/>
            <x v="146"/>
            <x v="148"/>
            <x v="150"/>
            <x v="151"/>
            <x v="166"/>
            <x v="167"/>
            <x v="172"/>
            <x v="173"/>
            <x v="181"/>
            <x v="187"/>
            <x v="192"/>
            <x v="194"/>
            <x v="198"/>
            <x v="203"/>
            <x v="204"/>
            <x v="205"/>
            <x v="206"/>
            <x v="207"/>
            <x v="209"/>
            <x v="211"/>
            <x v="212"/>
            <x v="213"/>
            <x v="214"/>
            <x v="220"/>
            <x v="223"/>
            <x v="225"/>
            <x v="227"/>
            <x v="228"/>
            <x v="240"/>
            <x v="243"/>
            <x v="245"/>
            <x v="249"/>
            <x v="252"/>
            <x v="257"/>
            <x v="263"/>
            <x v="265"/>
            <x v="270"/>
            <x v="274"/>
            <x v="278"/>
            <x v="280"/>
            <x v="284"/>
            <x v="287"/>
            <x v="289"/>
            <x v="291"/>
          </reference>
        </references>
      </pivotArea>
    </format>
    <format dxfId="152">
      <pivotArea dataOnly="0" labelOnly="1" fieldPosition="0">
        <references count="1">
          <reference field="6" count="50">
            <x v="292"/>
            <x v="294"/>
            <x v="299"/>
            <x v="300"/>
            <x v="302"/>
            <x v="303"/>
            <x v="305"/>
            <x v="307"/>
            <x v="308"/>
            <x v="309"/>
            <x v="310"/>
            <x v="311"/>
            <x v="312"/>
            <x v="316"/>
            <x v="319"/>
            <x v="323"/>
            <x v="324"/>
            <x v="326"/>
            <x v="332"/>
            <x v="335"/>
            <x v="336"/>
            <x v="338"/>
            <x v="341"/>
            <x v="342"/>
            <x v="344"/>
            <x v="348"/>
            <x v="349"/>
            <x v="350"/>
            <x v="351"/>
            <x v="353"/>
            <x v="359"/>
            <x v="360"/>
            <x v="361"/>
            <x v="363"/>
            <x v="365"/>
            <x v="366"/>
            <x v="369"/>
            <x v="375"/>
            <x v="376"/>
            <x v="377"/>
            <x v="379"/>
            <x v="380"/>
            <x v="384"/>
            <x v="387"/>
            <x v="388"/>
            <x v="393"/>
            <x v="394"/>
            <x v="405"/>
            <x v="406"/>
            <x v="409"/>
          </reference>
        </references>
      </pivotArea>
    </format>
    <format dxfId="151">
      <pivotArea dataOnly="0" labelOnly="1" fieldPosition="0">
        <references count="1">
          <reference field="6" count="50">
            <x v="414"/>
            <x v="415"/>
            <x v="418"/>
            <x v="419"/>
            <x v="424"/>
            <x v="425"/>
            <x v="426"/>
            <x v="429"/>
            <x v="440"/>
            <x v="443"/>
            <x v="449"/>
            <x v="451"/>
            <x v="452"/>
            <x v="459"/>
            <x v="460"/>
            <x v="467"/>
            <x v="471"/>
            <x v="474"/>
            <x v="487"/>
            <x v="489"/>
            <x v="490"/>
            <x v="491"/>
            <x v="492"/>
            <x v="501"/>
            <x v="502"/>
            <x v="503"/>
            <x v="518"/>
            <x v="521"/>
            <x v="522"/>
            <x v="532"/>
            <x v="533"/>
            <x v="540"/>
            <x v="542"/>
            <x v="547"/>
            <x v="550"/>
            <x v="553"/>
            <x v="562"/>
            <x v="564"/>
            <x v="569"/>
            <x v="571"/>
            <x v="583"/>
            <x v="587"/>
            <x v="588"/>
            <x v="591"/>
            <x v="593"/>
            <x v="596"/>
            <x v="603"/>
            <x v="605"/>
            <x v="608"/>
            <x v="609"/>
          </reference>
        </references>
      </pivotArea>
    </format>
    <format dxfId="150">
      <pivotArea dataOnly="0" labelOnly="1" fieldPosition="0">
        <references count="1">
          <reference field="6" count="50">
            <x v="610"/>
            <x v="611"/>
            <x v="614"/>
            <x v="622"/>
            <x v="623"/>
            <x v="627"/>
            <x v="628"/>
            <x v="635"/>
            <x v="639"/>
            <x v="641"/>
            <x v="644"/>
            <x v="646"/>
            <x v="647"/>
            <x v="653"/>
            <x v="656"/>
            <x v="657"/>
            <x v="659"/>
            <x v="660"/>
            <x v="662"/>
            <x v="663"/>
            <x v="667"/>
            <x v="670"/>
            <x v="677"/>
            <x v="680"/>
            <x v="681"/>
            <x v="683"/>
            <x v="687"/>
            <x v="688"/>
            <x v="690"/>
            <x v="695"/>
            <x v="697"/>
            <x v="698"/>
            <x v="699"/>
            <x v="700"/>
            <x v="703"/>
            <x v="705"/>
            <x v="706"/>
            <x v="707"/>
            <x v="708"/>
            <x v="711"/>
            <x v="713"/>
            <x v="715"/>
            <x v="716"/>
            <x v="717"/>
            <x v="718"/>
            <x v="720"/>
            <x v="721"/>
            <x v="722"/>
            <x v="731"/>
            <x v="732"/>
          </reference>
        </references>
      </pivotArea>
    </format>
    <format dxfId="149">
      <pivotArea dataOnly="0" labelOnly="1" fieldPosition="0">
        <references count="1">
          <reference field="6" count="50">
            <x v="733"/>
            <x v="738"/>
            <x v="742"/>
            <x v="746"/>
            <x v="748"/>
            <x v="750"/>
            <x v="755"/>
            <x v="759"/>
            <x v="764"/>
            <x v="765"/>
            <x v="773"/>
            <x v="781"/>
            <x v="783"/>
            <x v="785"/>
            <x v="786"/>
            <x v="787"/>
            <x v="795"/>
            <x v="799"/>
            <x v="801"/>
            <x v="802"/>
            <x v="804"/>
            <x v="806"/>
            <x v="811"/>
            <x v="814"/>
            <x v="818"/>
            <x v="819"/>
            <x v="821"/>
            <x v="823"/>
            <x v="825"/>
            <x v="828"/>
            <x v="832"/>
            <x v="834"/>
            <x v="838"/>
            <x v="841"/>
            <x v="842"/>
            <x v="843"/>
            <x v="844"/>
            <x v="847"/>
            <x v="854"/>
            <x v="855"/>
            <x v="857"/>
            <x v="859"/>
            <x v="861"/>
            <x v="863"/>
            <x v="866"/>
            <x v="869"/>
            <x v="871"/>
            <x v="873"/>
            <x v="874"/>
            <x v="878"/>
          </reference>
        </references>
      </pivotArea>
    </format>
    <format dxfId="148">
      <pivotArea dataOnly="0" labelOnly="1" fieldPosition="0">
        <references count="1">
          <reference field="6" count="50">
            <x v="885"/>
            <x v="889"/>
            <x v="894"/>
            <x v="895"/>
            <x v="897"/>
            <x v="899"/>
            <x v="900"/>
            <x v="903"/>
            <x v="905"/>
            <x v="906"/>
            <x v="909"/>
            <x v="912"/>
            <x v="915"/>
            <x v="919"/>
            <x v="922"/>
            <x v="923"/>
            <x v="924"/>
            <x v="931"/>
            <x v="932"/>
            <x v="936"/>
            <x v="940"/>
            <x v="942"/>
            <x v="943"/>
            <x v="947"/>
            <x v="948"/>
            <x v="953"/>
            <x v="956"/>
            <x v="962"/>
            <x v="964"/>
            <x v="965"/>
            <x v="973"/>
            <x v="974"/>
            <x v="975"/>
            <x v="978"/>
            <x v="979"/>
            <x v="981"/>
            <x v="987"/>
            <x v="990"/>
            <x v="994"/>
            <x v="999"/>
            <x v="1000"/>
            <x v="1001"/>
            <x v="1002"/>
            <x v="1003"/>
            <x v="1008"/>
            <x v="1011"/>
            <x v="1012"/>
            <x v="1017"/>
            <x v="1023"/>
            <x v="1024"/>
          </reference>
        </references>
      </pivotArea>
    </format>
    <format dxfId="147">
      <pivotArea dataOnly="0" labelOnly="1" fieldPosition="0">
        <references count="1">
          <reference field="6" count="50">
            <x v="1025"/>
            <x v="1026"/>
            <x v="1029"/>
            <x v="1031"/>
            <x v="1037"/>
            <x v="1038"/>
            <x v="1041"/>
            <x v="1044"/>
            <x v="1048"/>
            <x v="1053"/>
            <x v="1058"/>
            <x v="1061"/>
            <x v="1064"/>
            <x v="1074"/>
            <x v="1075"/>
            <x v="1078"/>
            <x v="1079"/>
            <x v="1080"/>
            <x v="1081"/>
            <x v="1082"/>
            <x v="1083"/>
            <x v="1085"/>
            <x v="1087"/>
            <x v="1088"/>
            <x v="1092"/>
            <x v="1099"/>
            <x v="1104"/>
            <x v="1107"/>
            <x v="1109"/>
            <x v="1110"/>
            <x v="1114"/>
            <x v="1120"/>
            <x v="1129"/>
            <x v="1145"/>
            <x v="1147"/>
            <x v="1149"/>
            <x v="1151"/>
            <x v="1152"/>
            <x v="1153"/>
            <x v="1158"/>
            <x v="1159"/>
            <x v="1160"/>
            <x v="1163"/>
            <x v="1169"/>
            <x v="1173"/>
            <x v="1177"/>
            <x v="1179"/>
            <x v="1180"/>
            <x v="1187"/>
            <x v="1191"/>
          </reference>
        </references>
      </pivotArea>
    </format>
    <format dxfId="146">
      <pivotArea dataOnly="0" labelOnly="1" fieldPosition="0">
        <references count="1">
          <reference field="6" count="50">
            <x v="1197"/>
            <x v="1199"/>
            <x v="1200"/>
            <x v="1202"/>
            <x v="1212"/>
            <x v="1213"/>
            <x v="1222"/>
            <x v="1226"/>
            <x v="1227"/>
            <x v="1230"/>
            <x v="1234"/>
            <x v="1238"/>
            <x v="1241"/>
            <x v="1248"/>
            <x v="1249"/>
            <x v="1252"/>
            <x v="1263"/>
            <x v="1269"/>
            <x v="1270"/>
            <x v="1273"/>
            <x v="1277"/>
            <x v="1280"/>
            <x v="1286"/>
            <x v="1288"/>
            <x v="1291"/>
            <x v="1294"/>
            <x v="1299"/>
            <x v="1300"/>
            <x v="1313"/>
            <x v="1314"/>
            <x v="1315"/>
            <x v="1319"/>
            <x v="1320"/>
            <x v="1324"/>
            <x v="1327"/>
            <x v="1335"/>
            <x v="1336"/>
            <x v="1339"/>
            <x v="1341"/>
            <x v="1351"/>
            <x v="1352"/>
            <x v="1353"/>
            <x v="1355"/>
            <x v="1356"/>
            <x v="1357"/>
            <x v="1358"/>
            <x v="1362"/>
            <x v="1364"/>
            <x v="1371"/>
            <x v="1373"/>
          </reference>
        </references>
      </pivotArea>
    </format>
    <format dxfId="145">
      <pivotArea dataOnly="0" labelOnly="1" fieldPosition="0">
        <references count="1">
          <reference field="6" count="50">
            <x v="1379"/>
            <x v="1386"/>
            <x v="1388"/>
            <x v="1390"/>
            <x v="1391"/>
            <x v="1392"/>
            <x v="1393"/>
            <x v="1394"/>
            <x v="1398"/>
            <x v="1399"/>
            <x v="1402"/>
            <x v="1403"/>
            <x v="1406"/>
            <x v="1408"/>
            <x v="1411"/>
            <x v="1412"/>
            <x v="1413"/>
            <x v="1418"/>
            <x v="1426"/>
            <x v="1431"/>
            <x v="1436"/>
            <x v="1438"/>
            <x v="1440"/>
            <x v="1441"/>
            <x v="1443"/>
            <x v="1444"/>
            <x v="1445"/>
            <x v="1447"/>
            <x v="1450"/>
            <x v="1453"/>
            <x v="1457"/>
            <x v="1459"/>
            <x v="1461"/>
            <x v="1462"/>
            <x v="1468"/>
            <x v="1475"/>
            <x v="1476"/>
            <x v="1479"/>
            <x v="1480"/>
            <x v="1481"/>
            <x v="1482"/>
            <x v="1485"/>
            <x v="1495"/>
            <x v="1498"/>
            <x v="1503"/>
            <x v="1506"/>
            <x v="1509"/>
            <x v="1512"/>
            <x v="1514"/>
            <x v="1519"/>
          </reference>
        </references>
      </pivotArea>
    </format>
    <format dxfId="144">
      <pivotArea dataOnly="0" labelOnly="1" fieldPosition="0">
        <references count="1">
          <reference field="6" count="50">
            <x v="1523"/>
            <x v="1524"/>
            <x v="1528"/>
            <x v="1532"/>
            <x v="1533"/>
            <x v="1536"/>
            <x v="1537"/>
            <x v="1541"/>
            <x v="1542"/>
            <x v="1547"/>
            <x v="1551"/>
            <x v="1557"/>
            <x v="1558"/>
            <x v="1565"/>
            <x v="1569"/>
            <x v="1573"/>
            <x v="1578"/>
            <x v="1584"/>
            <x v="1585"/>
            <x v="1590"/>
            <x v="1591"/>
            <x v="1596"/>
            <x v="1601"/>
            <x v="1602"/>
            <x v="1603"/>
            <x v="1605"/>
            <x v="1619"/>
            <x v="1628"/>
            <x v="1629"/>
            <x v="1631"/>
            <x v="1635"/>
            <x v="1637"/>
            <x v="1640"/>
            <x v="1641"/>
            <x v="1642"/>
            <x v="1645"/>
            <x v="1646"/>
            <x v="1647"/>
            <x v="1649"/>
            <x v="1654"/>
            <x v="1663"/>
            <x v="1673"/>
            <x v="1674"/>
            <x v="1675"/>
            <x v="1677"/>
            <x v="1685"/>
            <x v="1686"/>
            <x v="1692"/>
            <x v="1695"/>
            <x v="1707"/>
          </reference>
        </references>
      </pivotArea>
    </format>
    <format dxfId="143">
      <pivotArea dataOnly="0" labelOnly="1" fieldPosition="0">
        <references count="1">
          <reference field="6" count="50">
            <x v="1708"/>
            <x v="1713"/>
            <x v="1716"/>
            <x v="1717"/>
            <x v="1720"/>
            <x v="1721"/>
            <x v="1722"/>
            <x v="1723"/>
            <x v="1727"/>
            <x v="1729"/>
            <x v="1730"/>
            <x v="1731"/>
            <x v="1732"/>
            <x v="1733"/>
            <x v="1734"/>
            <x v="1738"/>
            <x v="1741"/>
            <x v="1744"/>
            <x v="1746"/>
            <x v="1747"/>
            <x v="1751"/>
            <x v="1757"/>
            <x v="1764"/>
            <x v="1765"/>
            <x v="1777"/>
            <x v="1778"/>
            <x v="1784"/>
            <x v="1786"/>
            <x v="1789"/>
            <x v="1790"/>
            <x v="1796"/>
            <x v="1797"/>
            <x v="1798"/>
            <x v="1801"/>
            <x v="1803"/>
            <x v="1806"/>
            <x v="1808"/>
            <x v="1810"/>
            <x v="1814"/>
            <x v="1816"/>
            <x v="1817"/>
            <x v="1820"/>
            <x v="1823"/>
            <x v="1825"/>
            <x v="1826"/>
            <x v="1828"/>
            <x v="1833"/>
            <x v="1834"/>
            <x v="1838"/>
            <x v="1840"/>
          </reference>
        </references>
      </pivotArea>
    </format>
    <format dxfId="142">
      <pivotArea dataOnly="0" labelOnly="1" fieldPosition="0">
        <references count="1">
          <reference field="6" count="50">
            <x v="1842"/>
            <x v="1848"/>
            <x v="1849"/>
            <x v="1852"/>
            <x v="1854"/>
            <x v="1857"/>
            <x v="1859"/>
            <x v="1861"/>
            <x v="1869"/>
            <x v="1870"/>
            <x v="1871"/>
            <x v="1872"/>
            <x v="1874"/>
            <x v="1878"/>
            <x v="1881"/>
            <x v="1883"/>
            <x v="1885"/>
            <x v="1886"/>
            <x v="1887"/>
            <x v="1889"/>
            <x v="1890"/>
            <x v="1894"/>
            <x v="1895"/>
            <x v="1897"/>
            <x v="1898"/>
            <x v="1899"/>
            <x v="1903"/>
            <x v="1904"/>
            <x v="1906"/>
            <x v="1913"/>
            <x v="1914"/>
            <x v="1921"/>
            <x v="1922"/>
            <x v="1923"/>
            <x v="1929"/>
            <x v="1935"/>
            <x v="1936"/>
            <x v="1938"/>
            <x v="1939"/>
            <x v="1940"/>
            <x v="1941"/>
            <x v="1946"/>
            <x v="1950"/>
            <x v="1952"/>
            <x v="1953"/>
            <x v="1958"/>
            <x v="1961"/>
            <x v="1962"/>
            <x v="1970"/>
            <x v="1971"/>
          </reference>
        </references>
      </pivotArea>
    </format>
    <format dxfId="141">
      <pivotArea dataOnly="0" labelOnly="1" fieldPosition="0">
        <references count="1">
          <reference field="6" count="50">
            <x v="1972"/>
            <x v="1975"/>
            <x v="1976"/>
            <x v="1980"/>
            <x v="1983"/>
            <x v="1984"/>
            <x v="1990"/>
            <x v="1991"/>
            <x v="2000"/>
            <x v="2004"/>
            <x v="2009"/>
            <x v="2011"/>
            <x v="2014"/>
            <x v="2015"/>
            <x v="2018"/>
            <x v="2019"/>
            <x v="2020"/>
            <x v="2021"/>
            <x v="2024"/>
            <x v="2025"/>
            <x v="2031"/>
            <x v="2034"/>
            <x v="2041"/>
            <x v="2048"/>
            <x v="2051"/>
            <x v="2053"/>
            <x v="2054"/>
            <x v="2059"/>
            <x v="2068"/>
            <x v="2071"/>
            <x v="2077"/>
            <x v="2078"/>
            <x v="2082"/>
            <x v="2083"/>
            <x v="2084"/>
            <x v="2087"/>
            <x v="2088"/>
            <x v="2089"/>
            <x v="2091"/>
            <x v="2094"/>
            <x v="2096"/>
            <x v="2097"/>
            <x v="2100"/>
            <x v="2101"/>
            <x v="2108"/>
            <x v="2109"/>
            <x v="2113"/>
            <x v="2117"/>
            <x v="2119"/>
            <x v="2120"/>
          </reference>
        </references>
      </pivotArea>
    </format>
    <format dxfId="140">
      <pivotArea dataOnly="0" labelOnly="1" fieldPosition="0">
        <references count="1">
          <reference field="6" count="36">
            <x v="2124"/>
            <x v="2125"/>
            <x v="2127"/>
            <x v="2130"/>
            <x v="2147"/>
            <x v="2152"/>
            <x v="2153"/>
            <x v="2154"/>
            <x v="2156"/>
            <x v="2157"/>
            <x v="2158"/>
            <x v="2160"/>
            <x v="2167"/>
            <x v="2169"/>
            <x v="2171"/>
            <x v="2173"/>
            <x v="2175"/>
            <x v="2176"/>
            <x v="2180"/>
            <x v="2183"/>
            <x v="2185"/>
            <x v="2188"/>
            <x v="2193"/>
            <x v="2194"/>
            <x v="2195"/>
            <x v="2199"/>
            <x v="2200"/>
            <x v="2203"/>
            <x v="2205"/>
            <x v="2208"/>
            <x v="2210"/>
            <x v="2212"/>
            <x v="2213"/>
            <x v="2216"/>
            <x v="2217"/>
            <x v="2219"/>
          </reference>
        </references>
      </pivotArea>
    </format>
    <format dxfId="20">
      <pivotArea outline="0" collapsedLevelsAreSubtotals="1" fieldPosition="0"/>
    </format>
    <format dxfId="17">
      <pivotArea dataOnly="0" labelOnly="1" fieldPosition="0">
        <references count="1">
          <reference field="6" count="50">
            <x v="0"/>
            <x v="9"/>
            <x v="12"/>
            <x v="15"/>
            <x v="29"/>
            <x v="31"/>
            <x v="32"/>
            <x v="33"/>
            <x v="34"/>
            <x v="36"/>
            <x v="45"/>
            <x v="47"/>
            <x v="48"/>
            <x v="49"/>
            <x v="50"/>
            <x v="54"/>
            <x v="57"/>
            <x v="58"/>
            <x v="59"/>
            <x v="61"/>
            <x v="62"/>
            <x v="63"/>
            <x v="66"/>
            <x v="67"/>
            <x v="68"/>
            <x v="70"/>
            <x v="76"/>
            <x v="78"/>
            <x v="81"/>
            <x v="82"/>
            <x v="84"/>
            <x v="85"/>
            <x v="86"/>
            <x v="87"/>
            <x v="89"/>
            <x v="90"/>
            <x v="92"/>
            <x v="95"/>
            <x v="98"/>
            <x v="101"/>
            <x v="104"/>
            <x v="107"/>
            <x v="108"/>
            <x v="116"/>
            <x v="120"/>
            <x v="121"/>
            <x v="123"/>
            <x v="124"/>
            <x v="126"/>
            <x v="128"/>
          </reference>
        </references>
      </pivotArea>
    </format>
    <format dxfId="16">
      <pivotArea dataOnly="0" labelOnly="1" fieldPosition="0">
        <references count="1">
          <reference field="6" count="50">
            <x v="130"/>
            <x v="135"/>
            <x v="136"/>
            <x v="137"/>
            <x v="139"/>
            <x v="144"/>
            <x v="146"/>
            <x v="148"/>
            <x v="150"/>
            <x v="151"/>
            <x v="166"/>
            <x v="167"/>
            <x v="172"/>
            <x v="173"/>
            <x v="181"/>
            <x v="187"/>
            <x v="192"/>
            <x v="194"/>
            <x v="198"/>
            <x v="203"/>
            <x v="204"/>
            <x v="205"/>
            <x v="206"/>
            <x v="207"/>
            <x v="209"/>
            <x v="211"/>
            <x v="212"/>
            <x v="213"/>
            <x v="214"/>
            <x v="220"/>
            <x v="223"/>
            <x v="225"/>
            <x v="227"/>
            <x v="228"/>
            <x v="240"/>
            <x v="243"/>
            <x v="245"/>
            <x v="249"/>
            <x v="252"/>
            <x v="257"/>
            <x v="263"/>
            <x v="265"/>
            <x v="270"/>
            <x v="274"/>
            <x v="278"/>
            <x v="280"/>
            <x v="284"/>
            <x v="287"/>
            <x v="289"/>
            <x v="291"/>
          </reference>
        </references>
      </pivotArea>
    </format>
    <format dxfId="15">
      <pivotArea dataOnly="0" labelOnly="1" fieldPosition="0">
        <references count="1">
          <reference field="6" count="50">
            <x v="292"/>
            <x v="294"/>
            <x v="299"/>
            <x v="300"/>
            <x v="302"/>
            <x v="303"/>
            <x v="305"/>
            <x v="307"/>
            <x v="308"/>
            <x v="309"/>
            <x v="310"/>
            <x v="311"/>
            <x v="312"/>
            <x v="316"/>
            <x v="319"/>
            <x v="323"/>
            <x v="324"/>
            <x v="326"/>
            <x v="332"/>
            <x v="335"/>
            <x v="336"/>
            <x v="338"/>
            <x v="341"/>
            <x v="342"/>
            <x v="344"/>
            <x v="348"/>
            <x v="349"/>
            <x v="350"/>
            <x v="351"/>
            <x v="353"/>
            <x v="359"/>
            <x v="360"/>
            <x v="361"/>
            <x v="363"/>
            <x v="365"/>
            <x v="366"/>
            <x v="369"/>
            <x v="375"/>
            <x v="376"/>
            <x v="377"/>
            <x v="379"/>
            <x v="380"/>
            <x v="384"/>
            <x v="387"/>
            <x v="388"/>
            <x v="393"/>
            <x v="394"/>
            <x v="405"/>
            <x v="406"/>
            <x v="409"/>
          </reference>
        </references>
      </pivotArea>
    </format>
    <format dxfId="14">
      <pivotArea dataOnly="0" labelOnly="1" fieldPosition="0">
        <references count="1">
          <reference field="6" count="50">
            <x v="414"/>
            <x v="415"/>
            <x v="418"/>
            <x v="419"/>
            <x v="424"/>
            <x v="425"/>
            <x v="426"/>
            <x v="429"/>
            <x v="440"/>
            <x v="443"/>
            <x v="449"/>
            <x v="451"/>
            <x v="452"/>
            <x v="459"/>
            <x v="460"/>
            <x v="467"/>
            <x v="471"/>
            <x v="474"/>
            <x v="487"/>
            <x v="489"/>
            <x v="490"/>
            <x v="491"/>
            <x v="492"/>
            <x v="501"/>
            <x v="502"/>
            <x v="503"/>
            <x v="518"/>
            <x v="521"/>
            <x v="522"/>
            <x v="532"/>
            <x v="533"/>
            <x v="540"/>
            <x v="542"/>
            <x v="547"/>
            <x v="550"/>
            <x v="553"/>
            <x v="562"/>
            <x v="564"/>
            <x v="569"/>
            <x v="571"/>
            <x v="583"/>
            <x v="587"/>
            <x v="588"/>
            <x v="591"/>
            <x v="593"/>
            <x v="596"/>
            <x v="603"/>
            <x v="605"/>
            <x v="608"/>
            <x v="609"/>
          </reference>
        </references>
      </pivotArea>
    </format>
    <format dxfId="13">
      <pivotArea dataOnly="0" labelOnly="1" fieldPosition="0">
        <references count="1">
          <reference field="6" count="50">
            <x v="610"/>
            <x v="611"/>
            <x v="614"/>
            <x v="622"/>
            <x v="623"/>
            <x v="627"/>
            <x v="628"/>
            <x v="635"/>
            <x v="639"/>
            <x v="641"/>
            <x v="644"/>
            <x v="646"/>
            <x v="647"/>
            <x v="653"/>
            <x v="656"/>
            <x v="657"/>
            <x v="659"/>
            <x v="660"/>
            <x v="662"/>
            <x v="663"/>
            <x v="667"/>
            <x v="670"/>
            <x v="677"/>
            <x v="680"/>
            <x v="681"/>
            <x v="683"/>
            <x v="687"/>
            <x v="688"/>
            <x v="690"/>
            <x v="695"/>
            <x v="697"/>
            <x v="698"/>
            <x v="699"/>
            <x v="700"/>
            <x v="703"/>
            <x v="705"/>
            <x v="706"/>
            <x v="707"/>
            <x v="708"/>
            <x v="711"/>
            <x v="713"/>
            <x v="715"/>
            <x v="716"/>
            <x v="717"/>
            <x v="718"/>
            <x v="720"/>
            <x v="721"/>
            <x v="722"/>
            <x v="731"/>
            <x v="732"/>
          </reference>
        </references>
      </pivotArea>
    </format>
    <format dxfId="12">
      <pivotArea dataOnly="0" labelOnly="1" fieldPosition="0">
        <references count="1">
          <reference field="6" count="50">
            <x v="733"/>
            <x v="738"/>
            <x v="742"/>
            <x v="746"/>
            <x v="748"/>
            <x v="750"/>
            <x v="755"/>
            <x v="759"/>
            <x v="764"/>
            <x v="765"/>
            <x v="773"/>
            <x v="781"/>
            <x v="783"/>
            <x v="785"/>
            <x v="786"/>
            <x v="787"/>
            <x v="795"/>
            <x v="799"/>
            <x v="801"/>
            <x v="802"/>
            <x v="804"/>
            <x v="806"/>
            <x v="811"/>
            <x v="814"/>
            <x v="818"/>
            <x v="819"/>
            <x v="821"/>
            <x v="823"/>
            <x v="825"/>
            <x v="828"/>
            <x v="832"/>
            <x v="834"/>
            <x v="838"/>
            <x v="841"/>
            <x v="842"/>
            <x v="843"/>
            <x v="844"/>
            <x v="847"/>
            <x v="854"/>
            <x v="855"/>
            <x v="857"/>
            <x v="859"/>
            <x v="861"/>
            <x v="863"/>
            <x v="866"/>
            <x v="869"/>
            <x v="871"/>
            <x v="873"/>
            <x v="874"/>
            <x v="878"/>
          </reference>
        </references>
      </pivotArea>
    </format>
    <format dxfId="11">
      <pivotArea dataOnly="0" labelOnly="1" fieldPosition="0">
        <references count="1">
          <reference field="6" count="50">
            <x v="885"/>
            <x v="889"/>
            <x v="894"/>
            <x v="895"/>
            <x v="897"/>
            <x v="899"/>
            <x v="900"/>
            <x v="903"/>
            <x v="905"/>
            <x v="906"/>
            <x v="909"/>
            <x v="912"/>
            <x v="915"/>
            <x v="919"/>
            <x v="922"/>
            <x v="923"/>
            <x v="924"/>
            <x v="931"/>
            <x v="932"/>
            <x v="936"/>
            <x v="940"/>
            <x v="942"/>
            <x v="943"/>
            <x v="947"/>
            <x v="948"/>
            <x v="953"/>
            <x v="956"/>
            <x v="962"/>
            <x v="964"/>
            <x v="965"/>
            <x v="973"/>
            <x v="974"/>
            <x v="975"/>
            <x v="978"/>
            <x v="979"/>
            <x v="981"/>
            <x v="987"/>
            <x v="990"/>
            <x v="994"/>
            <x v="999"/>
            <x v="1000"/>
            <x v="1001"/>
            <x v="1002"/>
            <x v="1003"/>
            <x v="1008"/>
            <x v="1011"/>
            <x v="1012"/>
            <x v="1017"/>
            <x v="1023"/>
            <x v="1024"/>
          </reference>
        </references>
      </pivotArea>
    </format>
    <format dxfId="10">
      <pivotArea dataOnly="0" labelOnly="1" fieldPosition="0">
        <references count="1">
          <reference field="6" count="50">
            <x v="1025"/>
            <x v="1026"/>
            <x v="1029"/>
            <x v="1031"/>
            <x v="1037"/>
            <x v="1038"/>
            <x v="1041"/>
            <x v="1044"/>
            <x v="1048"/>
            <x v="1053"/>
            <x v="1058"/>
            <x v="1061"/>
            <x v="1064"/>
            <x v="1074"/>
            <x v="1075"/>
            <x v="1078"/>
            <x v="1079"/>
            <x v="1080"/>
            <x v="1081"/>
            <x v="1082"/>
            <x v="1083"/>
            <x v="1085"/>
            <x v="1087"/>
            <x v="1088"/>
            <x v="1092"/>
            <x v="1099"/>
            <x v="1104"/>
            <x v="1107"/>
            <x v="1109"/>
            <x v="1110"/>
            <x v="1114"/>
            <x v="1120"/>
            <x v="1129"/>
            <x v="1145"/>
            <x v="1147"/>
            <x v="1149"/>
            <x v="1151"/>
            <x v="1152"/>
            <x v="1153"/>
            <x v="1158"/>
            <x v="1159"/>
            <x v="1160"/>
            <x v="1163"/>
            <x v="1169"/>
            <x v="1173"/>
            <x v="1177"/>
            <x v="1179"/>
            <x v="1180"/>
            <x v="1187"/>
            <x v="1191"/>
          </reference>
        </references>
      </pivotArea>
    </format>
    <format dxfId="9">
      <pivotArea dataOnly="0" labelOnly="1" fieldPosition="0">
        <references count="1">
          <reference field="6" count="50">
            <x v="1197"/>
            <x v="1199"/>
            <x v="1200"/>
            <x v="1202"/>
            <x v="1212"/>
            <x v="1213"/>
            <x v="1222"/>
            <x v="1226"/>
            <x v="1227"/>
            <x v="1230"/>
            <x v="1234"/>
            <x v="1238"/>
            <x v="1241"/>
            <x v="1248"/>
            <x v="1249"/>
            <x v="1252"/>
            <x v="1263"/>
            <x v="1269"/>
            <x v="1270"/>
            <x v="1273"/>
            <x v="1277"/>
            <x v="1280"/>
            <x v="1286"/>
            <x v="1288"/>
            <x v="1291"/>
            <x v="1294"/>
            <x v="1299"/>
            <x v="1300"/>
            <x v="1313"/>
            <x v="1314"/>
            <x v="1315"/>
            <x v="1319"/>
            <x v="1320"/>
            <x v="1324"/>
            <x v="1327"/>
            <x v="1335"/>
            <x v="1336"/>
            <x v="1339"/>
            <x v="1341"/>
            <x v="1351"/>
            <x v="1352"/>
            <x v="1353"/>
            <x v="1355"/>
            <x v="1356"/>
            <x v="1357"/>
            <x v="1358"/>
            <x v="1362"/>
            <x v="1364"/>
            <x v="1371"/>
            <x v="1373"/>
          </reference>
        </references>
      </pivotArea>
    </format>
    <format dxfId="8">
      <pivotArea dataOnly="0" labelOnly="1" fieldPosition="0">
        <references count="1">
          <reference field="6" count="50">
            <x v="1379"/>
            <x v="1386"/>
            <x v="1388"/>
            <x v="1390"/>
            <x v="1391"/>
            <x v="1392"/>
            <x v="1393"/>
            <x v="1394"/>
            <x v="1398"/>
            <x v="1399"/>
            <x v="1402"/>
            <x v="1403"/>
            <x v="1406"/>
            <x v="1408"/>
            <x v="1411"/>
            <x v="1412"/>
            <x v="1413"/>
            <x v="1418"/>
            <x v="1426"/>
            <x v="1431"/>
            <x v="1436"/>
            <x v="1438"/>
            <x v="1440"/>
            <x v="1441"/>
            <x v="1443"/>
            <x v="1444"/>
            <x v="1445"/>
            <x v="1447"/>
            <x v="1450"/>
            <x v="1453"/>
            <x v="1457"/>
            <x v="1459"/>
            <x v="1461"/>
            <x v="1462"/>
            <x v="1468"/>
            <x v="1475"/>
            <x v="1476"/>
            <x v="1479"/>
            <x v="1480"/>
            <x v="1481"/>
            <x v="1482"/>
            <x v="1485"/>
            <x v="1495"/>
            <x v="1498"/>
            <x v="1503"/>
            <x v="1506"/>
            <x v="1509"/>
            <x v="1512"/>
            <x v="1514"/>
            <x v="1519"/>
          </reference>
        </references>
      </pivotArea>
    </format>
    <format dxfId="7">
      <pivotArea dataOnly="0" labelOnly="1" fieldPosition="0">
        <references count="1">
          <reference field="6" count="50">
            <x v="1523"/>
            <x v="1524"/>
            <x v="1528"/>
            <x v="1532"/>
            <x v="1533"/>
            <x v="1536"/>
            <x v="1537"/>
            <x v="1541"/>
            <x v="1542"/>
            <x v="1547"/>
            <x v="1551"/>
            <x v="1557"/>
            <x v="1558"/>
            <x v="1565"/>
            <x v="1569"/>
            <x v="1573"/>
            <x v="1578"/>
            <x v="1584"/>
            <x v="1585"/>
            <x v="1590"/>
            <x v="1591"/>
            <x v="1596"/>
            <x v="1601"/>
            <x v="1602"/>
            <x v="1603"/>
            <x v="1605"/>
            <x v="1619"/>
            <x v="1628"/>
            <x v="1629"/>
            <x v="1631"/>
            <x v="1635"/>
            <x v="1637"/>
            <x v="1640"/>
            <x v="1641"/>
            <x v="1642"/>
            <x v="1645"/>
            <x v="1646"/>
            <x v="1647"/>
            <x v="1649"/>
            <x v="1654"/>
            <x v="1663"/>
            <x v="1673"/>
            <x v="1674"/>
            <x v="1675"/>
            <x v="1677"/>
            <x v="1685"/>
            <x v="1686"/>
            <x v="1692"/>
            <x v="1695"/>
            <x v="1707"/>
          </reference>
        </references>
      </pivotArea>
    </format>
    <format dxfId="6">
      <pivotArea dataOnly="0" labelOnly="1" fieldPosition="0">
        <references count="1">
          <reference field="6" count="50">
            <x v="1708"/>
            <x v="1713"/>
            <x v="1716"/>
            <x v="1717"/>
            <x v="1720"/>
            <x v="1721"/>
            <x v="1722"/>
            <x v="1723"/>
            <x v="1727"/>
            <x v="1729"/>
            <x v="1730"/>
            <x v="1731"/>
            <x v="1732"/>
            <x v="1733"/>
            <x v="1734"/>
            <x v="1738"/>
            <x v="1741"/>
            <x v="1744"/>
            <x v="1746"/>
            <x v="1747"/>
            <x v="1751"/>
            <x v="1757"/>
            <x v="1764"/>
            <x v="1765"/>
            <x v="1777"/>
            <x v="1778"/>
            <x v="1784"/>
            <x v="1786"/>
            <x v="1789"/>
            <x v="1790"/>
            <x v="1796"/>
            <x v="1797"/>
            <x v="1798"/>
            <x v="1801"/>
            <x v="1803"/>
            <x v="1806"/>
            <x v="1808"/>
            <x v="1810"/>
            <x v="1814"/>
            <x v="1816"/>
            <x v="1817"/>
            <x v="1820"/>
            <x v="1823"/>
            <x v="1825"/>
            <x v="1826"/>
            <x v="1828"/>
            <x v="1833"/>
            <x v="1834"/>
            <x v="1838"/>
            <x v="1840"/>
          </reference>
        </references>
      </pivotArea>
    </format>
    <format dxfId="5">
      <pivotArea dataOnly="0" labelOnly="1" fieldPosition="0">
        <references count="1">
          <reference field="6" count="50">
            <x v="1842"/>
            <x v="1848"/>
            <x v="1849"/>
            <x v="1852"/>
            <x v="1854"/>
            <x v="1857"/>
            <x v="1859"/>
            <x v="1861"/>
            <x v="1869"/>
            <x v="1870"/>
            <x v="1871"/>
            <x v="1872"/>
            <x v="1874"/>
            <x v="1878"/>
            <x v="1881"/>
            <x v="1883"/>
            <x v="1885"/>
            <x v="1886"/>
            <x v="1887"/>
            <x v="1889"/>
            <x v="1890"/>
            <x v="1894"/>
            <x v="1895"/>
            <x v="1897"/>
            <x v="1898"/>
            <x v="1899"/>
            <x v="1903"/>
            <x v="1904"/>
            <x v="1906"/>
            <x v="1913"/>
            <x v="1914"/>
            <x v="1921"/>
            <x v="1922"/>
            <x v="1923"/>
            <x v="1929"/>
            <x v="1935"/>
            <x v="1936"/>
            <x v="1938"/>
            <x v="1939"/>
            <x v="1940"/>
            <x v="1941"/>
            <x v="1946"/>
            <x v="1950"/>
            <x v="1952"/>
            <x v="1953"/>
            <x v="1958"/>
            <x v="1961"/>
            <x v="1962"/>
            <x v="1970"/>
            <x v="1971"/>
          </reference>
        </references>
      </pivotArea>
    </format>
    <format dxfId="4">
      <pivotArea dataOnly="0" labelOnly="1" fieldPosition="0">
        <references count="1">
          <reference field="6" count="50">
            <x v="1972"/>
            <x v="1975"/>
            <x v="1976"/>
            <x v="1980"/>
            <x v="1983"/>
            <x v="1984"/>
            <x v="1990"/>
            <x v="1991"/>
            <x v="2000"/>
            <x v="2004"/>
            <x v="2009"/>
            <x v="2011"/>
            <x v="2014"/>
            <x v="2015"/>
            <x v="2018"/>
            <x v="2019"/>
            <x v="2020"/>
            <x v="2021"/>
            <x v="2024"/>
            <x v="2025"/>
            <x v="2031"/>
            <x v="2034"/>
            <x v="2041"/>
            <x v="2048"/>
            <x v="2051"/>
            <x v="2053"/>
            <x v="2054"/>
            <x v="2059"/>
            <x v="2068"/>
            <x v="2071"/>
            <x v="2077"/>
            <x v="2078"/>
            <x v="2082"/>
            <x v="2083"/>
            <x v="2084"/>
            <x v="2087"/>
            <x v="2088"/>
            <x v="2089"/>
            <x v="2091"/>
            <x v="2094"/>
            <x v="2096"/>
            <x v="2097"/>
            <x v="2100"/>
            <x v="2101"/>
            <x v="2108"/>
            <x v="2109"/>
            <x v="2113"/>
            <x v="2117"/>
            <x v="2119"/>
            <x v="2120"/>
          </reference>
        </references>
      </pivotArea>
    </format>
    <format dxfId="3">
      <pivotArea dataOnly="0" labelOnly="1" fieldPosition="0">
        <references count="1">
          <reference field="6" count="36">
            <x v="2124"/>
            <x v="2125"/>
            <x v="2127"/>
            <x v="2130"/>
            <x v="2147"/>
            <x v="2152"/>
            <x v="2153"/>
            <x v="2154"/>
            <x v="2156"/>
            <x v="2157"/>
            <x v="2158"/>
            <x v="2160"/>
            <x v="2167"/>
            <x v="2169"/>
            <x v="2171"/>
            <x v="2173"/>
            <x v="2175"/>
            <x v="2176"/>
            <x v="2180"/>
            <x v="2183"/>
            <x v="2185"/>
            <x v="2188"/>
            <x v="2193"/>
            <x v="2194"/>
            <x v="2195"/>
            <x v="2199"/>
            <x v="2200"/>
            <x v="2203"/>
            <x v="2205"/>
            <x v="2208"/>
            <x v="2210"/>
            <x v="2212"/>
            <x v="2213"/>
            <x v="2216"/>
            <x v="2217"/>
            <x v="2219"/>
          </reference>
        </references>
      </pivotArea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3766" totalsRowShown="0" headerRowDxfId="1695" dataDxfId="1694">
  <autoFilter ref="A1:X3766" xr:uid="{00000000-0009-0000-0100-000001000000}"/>
  <sortState ref="A105:X359">
    <sortCondition ref="E1:E2242"/>
  </sortState>
  <tableColumns count="24">
    <tableColumn id="1" xr3:uid="{00000000-0010-0000-0000-000001000000}" name="Nº Operación" dataDxfId="1693"/>
    <tableColumn id="2" xr3:uid="{00000000-0010-0000-0000-000002000000}" name="Fase" dataDxfId="1692"/>
    <tableColumn id="3" xr3:uid="{00000000-0010-0000-0000-000003000000}" name="Fecha" dataDxfId="1691"/>
    <tableColumn id="4" xr3:uid="{00000000-0010-0000-0000-000004000000}" name="Referencia" dataDxfId="1690"/>
    <tableColumn id="5" xr3:uid="{00000000-0010-0000-0000-000005000000}" name="Aplicación" dataDxfId="1689"/>
    <tableColumn id="6" xr3:uid="{00000000-0010-0000-0000-000006000000}" name="Importe" dataDxfId="1688"/>
    <tableColumn id="8" xr3:uid="{00000000-0010-0000-0000-000008000000}" name="Nombre Ter." dataDxfId="1687"/>
    <tableColumn id="9" xr3:uid="{00000000-0010-0000-0000-000009000000}" name="Texto Libre" dataDxfId="1686"/>
    <tableColumn id="10" xr3:uid="{00000000-0010-0000-0000-00000A000000}" name="Oper." dataDxfId="1685"/>
    <tableColumn id="11" xr3:uid="{00000000-0010-0000-0000-00000B000000}" name="Localidad" dataDxfId="1684"/>
    <tableColumn id="12" xr3:uid="{00000000-0010-0000-0000-00000C000000}" name="Provincia" dataDxfId="1683"/>
    <tableColumn id="13" xr3:uid="{00000000-0010-0000-0000-00000D000000}" name="Tipo Contrato" dataDxfId="1682"/>
    <tableColumn id="14" xr3:uid="{00000000-0010-0000-0000-00000E000000}" name="Procedim. Contrato" dataDxfId="1681"/>
    <tableColumn id="15" xr3:uid="{00000000-0010-0000-0000-00000F000000}" name="Criterio Contrato" dataDxfId="1680"/>
    <tableColumn id="27" xr3:uid="{00000000-0010-0000-0000-00001B000000}" name="PROCEDIMIENTO" dataDxfId="1679"/>
    <tableColumn id="21" xr3:uid="{00000000-0010-0000-0000-000015000000}" name="TRIMESTRE" dataDxfId="1678"/>
    <tableColumn id="24" xr3:uid="{00000000-0010-0000-0000-000018000000}" name="CAPITULO" dataDxfId="1677">
      <calculatedColumnFormula>MID(Tabla1[[#This Row],[Aplicación]],14,1)</calculatedColumnFormula>
    </tableColumn>
    <tableColumn id="23" xr3:uid="{00000000-0010-0000-0000-000017000000}" name="CAPITULO EN TEXTO" dataDxfId="1676">
      <calculatedColumnFormula>VLOOKUP(Tabla1[[#This Row],[CAPITULO]],Hoja1!A1:B11,2,FALSE)</calculatedColumnFormula>
    </tableColumn>
    <tableColumn id="16" xr3:uid="{00000000-0010-0000-0000-000010000000}" name="AREA" dataDxfId="1675">
      <calculatedColumnFormula>MID(Tabla1[[#This Row],[Aplicación]],6,2)</calculatedColumnFormula>
    </tableColumn>
    <tableColumn id="17" xr3:uid="{00000000-0010-0000-0000-000011000000}" name="AREA EN TEXTO" dataDxfId="1674" totalsRowDxfId="1673">
      <calculatedColumnFormula>VLOOKUP(Tabla1[[#This Row],[AREA]],Hoja1!A:B,2,FALSE)</calculatedColumnFormula>
    </tableColumn>
    <tableColumn id="18" xr3:uid="{00000000-0010-0000-0000-000012000000}" name="PROGRAMA" dataDxfId="1672" totalsRowDxfId="1671">
      <calculatedColumnFormula>MID(Tabla1[[#This Row],[Aplicación]],9,4)</calculatedColumnFormula>
    </tableColumn>
    <tableColumn id="19" xr3:uid="{00000000-0010-0000-0000-000013000000}" name="PROGRAMA EN TEXTO" dataDxfId="1670" totalsRowDxfId="1669">
      <calculatedColumnFormula>VLOOKUP(Tabla1[[#This Row],[PROGRAMA]],Hoja1!A:B,2,FALSE)</calculatedColumnFormula>
    </tableColumn>
    <tableColumn id="25" xr3:uid="{00000000-0010-0000-0000-000019000000}" name="ARTICULO" dataDxfId="1668" totalsRowDxfId="1667">
      <calculatedColumnFormula>MID(Tabla1[[#This Row],[Aplicación]],14,2)</calculatedColumnFormula>
    </tableColumn>
    <tableColumn id="20" xr3:uid="{00000000-0010-0000-0000-000014000000}" name="CONCEPTO" dataDxfId="1666" totalsRowDxfId="1665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499" totalsRowShown="0" headerRowDxfId="139" dataDxfId="137" totalsRowDxfId="135" headerRowBorderDxfId="138" tableBorderDxfId="136" totalsRowBorderDxfId="134">
  <autoFilter ref="A1:M499" xr:uid="{00000000-0009-0000-0100-000002000000}"/>
  <sortState ref="A2:M499">
    <sortCondition ref="A1:A499"/>
  </sortState>
  <tableColumns count="13">
    <tableColumn id="1" xr3:uid="{00000000-0010-0000-0100-000001000000}" name="CONTRATACION MENOR / SERVICIOS / PRIMER SEMESTRE 2023" dataDxfId="133"/>
    <tableColumn id="2" xr3:uid="{00000000-0010-0000-0100-000002000000}" name="01. Alcaldía" dataDxfId="132"/>
    <tableColumn id="3" xr3:uid="{00000000-0010-0000-0100-000003000000}" name="02. Planeamiento urbanístico y vivienda" dataDxfId="131"/>
    <tableColumn id="4" xr3:uid="{00000000-0010-0000-0100-000004000000}" name="03. Participación ciudadana y deportes" dataDxfId="130"/>
    <tableColumn id="5" xr3:uid="{00000000-0010-0000-0100-000005000000}" name="04. Planificación y recursos" dataDxfId="129"/>
    <tableColumn id="6" xr3:uid="{00000000-0010-0000-0100-000006000000}" name="05. Innovación, desarrollo económico, empleo y comercio" dataDxfId="128"/>
    <tableColumn id="7" xr3:uid="{00000000-0010-0000-0100-000007000000}" name="06. Educación, infancia, juventud e igualdad" dataDxfId="127"/>
    <tableColumn id="8" xr3:uid="{00000000-0010-0000-0100-000008000000}" name="07. Medio ambiente y desarrollo sostenible" dataDxfId="126"/>
    <tableColumn id="9" xr3:uid="{00000000-0010-0000-0100-000009000000}" name="08. Movilidad y espacio urbano" dataDxfId="125"/>
    <tableColumn id="10" xr3:uid="{00000000-0010-0000-0100-00000A000000}" name="09. Cultura y turismo" dataDxfId="124"/>
    <tableColumn id="11" xr3:uid="{00000000-0010-0000-0100-00000B000000}" name="10. Servicios sociales y mediación comunitaria" dataDxfId="123"/>
    <tableColumn id="12" xr3:uid="{00000000-0010-0000-0100-00000C000000}" name="11. Salud pública y seguridad ciudadana" dataDxfId="122"/>
    <tableColumn id="13" xr3:uid="{00000000-0010-0000-0100-00000D000000}" name="Total general" dataDxfId="121" totalsRowDxfId="120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63" totalsRowShown="0" headerRowDxfId="119" dataDxfId="117" totalsRowDxfId="115" headerRowBorderDxfId="118" tableBorderDxfId="116" totalsRowBorderDxfId="114">
  <autoFilter ref="A1:M263" xr:uid="{00000000-0009-0000-0100-000003000000}"/>
  <sortState ref="A2:M263">
    <sortCondition ref="A1:A263"/>
  </sortState>
  <tableColumns count="13">
    <tableColumn id="1" xr3:uid="{00000000-0010-0000-0200-000001000000}" name="CONTRATACION MENOR / SUMINISTROS / PRIMER SEMESTRE 2023" dataDxfId="113"/>
    <tableColumn id="2" xr3:uid="{00000000-0010-0000-0200-000002000000}" name="01. Alcaldía" dataDxfId="112"/>
    <tableColumn id="3" xr3:uid="{00000000-0010-0000-0200-000003000000}" name="02. Planeamiento urbanístico y vivienda" dataDxfId="111"/>
    <tableColumn id="4" xr3:uid="{00000000-0010-0000-0200-000004000000}" name="03. Participación ciudadana y deportes" dataDxfId="110"/>
    <tableColumn id="5" xr3:uid="{00000000-0010-0000-0200-000005000000}" name="04. Planificación y recursos" dataDxfId="109"/>
    <tableColumn id="6" xr3:uid="{00000000-0010-0000-0200-000006000000}" name="05. Innovación, desarrollo económico, empleo y comercio" dataDxfId="108"/>
    <tableColumn id="7" xr3:uid="{00000000-0010-0000-0200-000007000000}" name="06. Educación, infancia, juventud e igualdad" dataDxfId="107"/>
    <tableColumn id="8" xr3:uid="{00000000-0010-0000-0200-000008000000}" name="07. Medio ambiente y desarrollo sostenible" dataDxfId="106"/>
    <tableColumn id="9" xr3:uid="{00000000-0010-0000-0200-000009000000}" name="08. Movilidad y espacio urbano" dataDxfId="105"/>
    <tableColumn id="10" xr3:uid="{00000000-0010-0000-0200-00000A000000}" name="09. Cultura y turismo" dataDxfId="104"/>
    <tableColumn id="11" xr3:uid="{00000000-0010-0000-0200-00000B000000}" name="10. Servicios sociales y mediación comunitaria" dataDxfId="103"/>
    <tableColumn id="12" xr3:uid="{00000000-0010-0000-0200-00000C000000}" name="11. Salud pública y seguridad ciudadana" dataDxfId="102"/>
    <tableColumn id="13" xr3:uid="{00000000-0010-0000-0200-00000D000000}" name="Total general" dataDxfId="101" totalsRowDxfId="100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24" totalsRowShown="0" headerRowDxfId="99" dataDxfId="97" totalsRowDxfId="95" headerRowBorderDxfId="98" tableBorderDxfId="96" totalsRowBorderDxfId="94">
  <autoFilter ref="A1:M24" xr:uid="{00000000-0009-0000-0100-000004000000}"/>
  <sortState ref="A2:M24">
    <sortCondition ref="A1:A24"/>
  </sortState>
  <tableColumns count="13">
    <tableColumn id="1" xr3:uid="{00000000-0010-0000-0300-000001000000}" name="CONTRATACION MENOR / OBRAS / PRIMER SEMESTRE 2023" dataDxfId="93"/>
    <tableColumn id="2" xr3:uid="{00000000-0010-0000-0300-000002000000}" name="01. Alcaldía" dataDxfId="92"/>
    <tableColumn id="3" xr3:uid="{00000000-0010-0000-0300-000003000000}" name="02. Planeamiento urbanístico y vivienda" dataDxfId="91"/>
    <tableColumn id="4" xr3:uid="{00000000-0010-0000-0300-000004000000}" name="03. Participación ciudadana y deportes" dataDxfId="90" totalsRowDxfId="89"/>
    <tableColumn id="5" xr3:uid="{00000000-0010-0000-0300-000005000000}" name="04. Planificación y recursos" dataDxfId="88" totalsRowDxfId="87"/>
    <tableColumn id="6" xr3:uid="{00000000-0010-0000-0300-000006000000}" name="05. Innovación, desarrollo económico, empleo y comercio" dataDxfId="86"/>
    <tableColumn id="7" xr3:uid="{00000000-0010-0000-0300-000007000000}" name="06. Educación, infancia, juventud e igualdad" dataDxfId="85"/>
    <tableColumn id="8" xr3:uid="{00000000-0010-0000-0300-000008000000}" name="07. Medio ambiente y desarrollo sostenible" dataDxfId="84"/>
    <tableColumn id="9" xr3:uid="{00000000-0010-0000-0300-000009000000}" name="08. Movilidad y espacio urbano" dataDxfId="83"/>
    <tableColumn id="10" xr3:uid="{00000000-0010-0000-0300-00000A000000}" name="09. Cultura y turismo" dataDxfId="82"/>
    <tableColumn id="11" xr3:uid="{00000000-0010-0000-0300-00000B000000}" name="10. Servicios sociales y mediación comunitaria" dataDxfId="81"/>
    <tableColumn id="12" xr3:uid="{00000000-0010-0000-0300-00000C000000}" name="11. Salud pública y seguridad ciudadana" dataDxfId="80"/>
    <tableColumn id="13" xr3:uid="{00000000-0010-0000-0300-00000D000000}" name="Total general" dataDxfId="79" totalsRowDxfId="78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2" totalsRowShown="0" headerRowDxfId="77" dataDxfId="75" totalsRowDxfId="73" headerRowBorderDxfId="76" tableBorderDxfId="74" totalsRowBorderDxfId="72">
  <autoFilter ref="A1:M2" xr:uid="{00000000-0009-0000-0100-000006000000}"/>
  <sortState ref="A2:M4">
    <sortCondition ref="A1:A4"/>
  </sortState>
  <tableColumns count="13">
    <tableColumn id="1" xr3:uid="{00000000-0010-0000-0400-000001000000}" name="CONTRATACION MENOR / MIXTOS / PRIMR SEMESTRE 2023" dataDxfId="71" totalsRowDxfId="70"/>
    <tableColumn id="2" xr3:uid="{00000000-0010-0000-0400-000002000000}" name="01. Alcaldía" dataDxfId="69" totalsRowDxfId="68"/>
    <tableColumn id="3" xr3:uid="{00000000-0010-0000-0400-000003000000}" name="02. Planeamiento urbanístico y vivienda" dataDxfId="67" totalsRowDxfId="66"/>
    <tableColumn id="4" xr3:uid="{00000000-0010-0000-0400-000004000000}" name="03. Participación ciudadana y deportes" dataDxfId="65" totalsRowDxfId="64"/>
    <tableColumn id="5" xr3:uid="{00000000-0010-0000-0400-000005000000}" name="04. Planificación y recursos" dataDxfId="63" totalsRowDxfId="62"/>
    <tableColumn id="6" xr3:uid="{00000000-0010-0000-0400-000006000000}" name="05. Innovación, desarrollo económico, empleo y comercio" dataDxfId="61" totalsRowDxfId="60"/>
    <tableColumn id="7" xr3:uid="{00000000-0010-0000-0400-000007000000}" name="06. Educación, infancia, juventud e igualdad" dataDxfId="59" totalsRowDxfId="58"/>
    <tableColumn id="8" xr3:uid="{00000000-0010-0000-0400-000008000000}" name="07. Medio ambiente y desarrollo sostenible" dataDxfId="57" totalsRowDxfId="56"/>
    <tableColumn id="9" xr3:uid="{00000000-0010-0000-0400-000009000000}" name="08. Movilidad y espacio urbano" dataDxfId="55" totalsRowDxfId="54"/>
    <tableColumn id="10" xr3:uid="{00000000-0010-0000-0400-00000A000000}" name="09. Cultura y turismo" dataDxfId="53" totalsRowDxfId="52"/>
    <tableColumn id="11" xr3:uid="{00000000-0010-0000-0400-00000B000000}" name="10. Servicios sociales y mediación comunitaria" dataDxfId="51" totalsRowDxfId="50"/>
    <tableColumn id="12" xr3:uid="{00000000-0010-0000-0400-00000C000000}" name="11. Salud pública y seguridad ciudadana" dataDxfId="49" totalsRowDxfId="48"/>
    <tableColumn id="13" xr3:uid="{00000000-0010-0000-0400-00000D000000}" name="Total general" dataDxfId="47" totalsRowDxfId="46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29" totalsRowShown="0" headerRowDxfId="45" dataDxfId="43" totalsRowDxfId="41" headerRowBorderDxfId="44" tableBorderDxfId="42" totalsRowBorderDxfId="40">
  <autoFilter ref="A1:M29" xr:uid="{00000000-0009-0000-0100-000005000000}"/>
  <sortState ref="A2:M29">
    <sortCondition ref="A1:A29"/>
  </sortState>
  <tableColumns count="13">
    <tableColumn id="1" xr3:uid="{00000000-0010-0000-0500-000001000000}" name="CONTRATACION MENOR / OTROS / PRIMER SEMESTRE 2023" dataDxfId="39"/>
    <tableColumn id="2" xr3:uid="{00000000-0010-0000-0500-000002000000}" name="01. Alcaldía" dataDxfId="38"/>
    <tableColumn id="3" xr3:uid="{00000000-0010-0000-0500-000003000000}" name="02. Planeamiento urbanístico y vivienda" dataDxfId="37"/>
    <tableColumn id="4" xr3:uid="{00000000-0010-0000-0500-000004000000}" name="03. Participación ciudadana y deportes" dataDxfId="36"/>
    <tableColumn id="5" xr3:uid="{00000000-0010-0000-0500-000005000000}" name="04. Planificación y recursos" dataDxfId="35"/>
    <tableColumn id="6" xr3:uid="{00000000-0010-0000-0500-000006000000}" name="05. Innovación, desarrollo económico, empleo y comercio" dataDxfId="34"/>
    <tableColumn id="7" xr3:uid="{00000000-0010-0000-0500-000007000000}" name="06. Educación, infancia, juventud e igualdad" dataDxfId="33"/>
    <tableColumn id="8" xr3:uid="{00000000-0010-0000-0500-000008000000}" name="07. Medio ambiente y desarrollo sostenible" dataDxfId="32" totalsRowDxfId="31"/>
    <tableColumn id="9" xr3:uid="{00000000-0010-0000-0500-000009000000}" name="08. Movilidad y espacio urbano" dataDxfId="30" totalsRowDxfId="29"/>
    <tableColumn id="10" xr3:uid="{00000000-0010-0000-0500-00000A000000}" name="09. Cultura y turismo" dataDxfId="28" totalsRowDxfId="27"/>
    <tableColumn id="11" xr3:uid="{00000000-0010-0000-0500-00000B000000}" name="10. Servicios sociales y mediación comunitaria" dataDxfId="26" totalsRowDxfId="25"/>
    <tableColumn id="12" xr3:uid="{00000000-0010-0000-0500-00000C000000}" name="11. Salud pública y seguridad ciudadana" dataDxfId="24" totalsRowDxfId="23"/>
    <tableColumn id="13" xr3:uid="{00000000-0010-0000-0500-00000D000000}" name="Total general" dataDxfId="22" totalsRowDxfId="21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46"/>
  <sheetViews>
    <sheetView topLeftCell="A74" workbookViewId="0">
      <selection activeCell="B112" sqref="B112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1" spans="1:2" x14ac:dyDescent="0.25">
      <c r="A1" s="1" t="s">
        <v>123</v>
      </c>
      <c r="B1" s="2" t="s">
        <v>124</v>
      </c>
    </row>
    <row r="2" spans="1:2" x14ac:dyDescent="0.25">
      <c r="A2" s="1" t="s">
        <v>125</v>
      </c>
      <c r="B2" s="2" t="s">
        <v>375</v>
      </c>
    </row>
    <row r="3" spans="1:2" x14ac:dyDescent="0.25">
      <c r="A3" s="1" t="s">
        <v>126</v>
      </c>
      <c r="B3" s="2" t="s">
        <v>376</v>
      </c>
    </row>
    <row r="4" spans="1:2" x14ac:dyDescent="0.25">
      <c r="A4" s="1" t="s">
        <v>127</v>
      </c>
      <c r="B4" s="2" t="s">
        <v>377</v>
      </c>
    </row>
    <row r="5" spans="1:2" x14ac:dyDescent="0.25">
      <c r="A5" s="1" t="s">
        <v>354</v>
      </c>
      <c r="B5" s="2" t="s">
        <v>355</v>
      </c>
    </row>
    <row r="6" spans="1:2" x14ac:dyDescent="0.25">
      <c r="A6" s="1" t="s">
        <v>128</v>
      </c>
      <c r="B6" s="2" t="s">
        <v>378</v>
      </c>
    </row>
    <row r="7" spans="1:2" x14ac:dyDescent="0.25">
      <c r="A7" s="1" t="s">
        <v>129</v>
      </c>
      <c r="B7" s="2" t="s">
        <v>379</v>
      </c>
    </row>
    <row r="8" spans="1:2" x14ac:dyDescent="0.25">
      <c r="A8" s="1" t="s">
        <v>130</v>
      </c>
      <c r="B8" s="2" t="s">
        <v>380</v>
      </c>
    </row>
    <row r="9" spans="1:2" x14ac:dyDescent="0.25">
      <c r="A9" s="1" t="s">
        <v>131</v>
      </c>
      <c r="B9" s="2" t="s">
        <v>132</v>
      </c>
    </row>
    <row r="10" spans="1:2" x14ac:dyDescent="0.25">
      <c r="A10" s="1" t="s">
        <v>133</v>
      </c>
      <c r="B10" s="2" t="s">
        <v>381</v>
      </c>
    </row>
    <row r="11" spans="1:2" x14ac:dyDescent="0.25">
      <c r="A11" s="1" t="s">
        <v>356</v>
      </c>
      <c r="B11" s="2" t="s">
        <v>353</v>
      </c>
    </row>
    <row r="12" spans="1:2" x14ac:dyDescent="0.25">
      <c r="A12" s="1">
        <v>1501</v>
      </c>
      <c r="B12" s="2" t="s">
        <v>134</v>
      </c>
    </row>
    <row r="13" spans="1:2" x14ac:dyDescent="0.25">
      <c r="A13" s="1">
        <v>1511</v>
      </c>
      <c r="B13" s="2" t="s">
        <v>135</v>
      </c>
    </row>
    <row r="14" spans="1:2" x14ac:dyDescent="0.25">
      <c r="A14" s="1">
        <v>1512</v>
      </c>
      <c r="B14" s="2" t="s">
        <v>136</v>
      </c>
    </row>
    <row r="15" spans="1:2" x14ac:dyDescent="0.25">
      <c r="A15" s="1" t="s">
        <v>361</v>
      </c>
      <c r="B15" s="2" t="s">
        <v>360</v>
      </c>
    </row>
    <row r="16" spans="1:2" x14ac:dyDescent="0.25">
      <c r="A16" s="1">
        <v>1532</v>
      </c>
      <c r="B16" s="2" t="s">
        <v>137</v>
      </c>
    </row>
    <row r="17" spans="1:2" x14ac:dyDescent="0.25">
      <c r="A17" s="1">
        <v>1651</v>
      </c>
      <c r="B17" s="2" t="s">
        <v>138</v>
      </c>
    </row>
    <row r="18" spans="1:2" x14ac:dyDescent="0.25">
      <c r="A18" s="1">
        <v>2314</v>
      </c>
      <c r="B18" s="2" t="s">
        <v>139</v>
      </c>
    </row>
    <row r="19" spans="1:2" x14ac:dyDescent="0.25">
      <c r="A19" s="1" t="s">
        <v>363</v>
      </c>
      <c r="B19" s="2" t="s">
        <v>362</v>
      </c>
    </row>
    <row r="20" spans="1:2" x14ac:dyDescent="0.25">
      <c r="A20" s="1">
        <v>2411</v>
      </c>
      <c r="B20" s="2" t="s">
        <v>140</v>
      </c>
    </row>
    <row r="21" spans="1:2" x14ac:dyDescent="0.25">
      <c r="A21" s="1">
        <v>3121</v>
      </c>
      <c r="B21" s="2" t="s">
        <v>141</v>
      </c>
    </row>
    <row r="22" spans="1:2" x14ac:dyDescent="0.25">
      <c r="A22" s="1">
        <v>3411</v>
      </c>
      <c r="B22" s="2" t="s">
        <v>142</v>
      </c>
    </row>
    <row r="23" spans="1:2" x14ac:dyDescent="0.25">
      <c r="A23" s="1" t="s">
        <v>365</v>
      </c>
      <c r="B23" s="2" t="s">
        <v>364</v>
      </c>
    </row>
    <row r="24" spans="1:2" x14ac:dyDescent="0.25">
      <c r="A24" s="1">
        <v>4314</v>
      </c>
      <c r="B24" s="2" t="s">
        <v>143</v>
      </c>
    </row>
    <row r="25" spans="1:2" x14ac:dyDescent="0.25">
      <c r="A25" s="1" t="s">
        <v>367</v>
      </c>
      <c r="B25" s="2" t="s">
        <v>366</v>
      </c>
    </row>
    <row r="26" spans="1:2" x14ac:dyDescent="0.25">
      <c r="A26" s="1" t="s">
        <v>359</v>
      </c>
      <c r="B26" s="2" t="s">
        <v>358</v>
      </c>
    </row>
    <row r="27" spans="1:2" x14ac:dyDescent="0.25">
      <c r="A27" s="1">
        <v>4911</v>
      </c>
      <c r="B27" s="2" t="s">
        <v>144</v>
      </c>
    </row>
    <row r="28" spans="1:2" x14ac:dyDescent="0.25">
      <c r="A28" s="1">
        <v>9121</v>
      </c>
      <c r="B28" s="2" t="s">
        <v>145</v>
      </c>
    </row>
    <row r="29" spans="1:2" x14ac:dyDescent="0.25">
      <c r="A29" s="1">
        <v>9200</v>
      </c>
      <c r="B29" s="2" t="s">
        <v>146</v>
      </c>
    </row>
    <row r="30" spans="1:2" x14ac:dyDescent="0.25">
      <c r="A30" s="1">
        <v>9201</v>
      </c>
      <c r="B30" s="2" t="s">
        <v>147</v>
      </c>
    </row>
    <row r="31" spans="1:2" x14ac:dyDescent="0.25">
      <c r="A31" s="1">
        <v>9202</v>
      </c>
      <c r="B31" s="2" t="s">
        <v>148</v>
      </c>
    </row>
    <row r="32" spans="1:2" x14ac:dyDescent="0.25">
      <c r="A32" s="1">
        <v>9203</v>
      </c>
      <c r="B32" s="2" t="s">
        <v>149</v>
      </c>
    </row>
    <row r="33" spans="1:2" x14ac:dyDescent="0.25">
      <c r="A33" s="1">
        <v>9204</v>
      </c>
      <c r="B33" s="2" t="s">
        <v>150</v>
      </c>
    </row>
    <row r="34" spans="1:2" x14ac:dyDescent="0.25">
      <c r="A34" s="1">
        <v>9205</v>
      </c>
      <c r="B34" s="2" t="s">
        <v>151</v>
      </c>
    </row>
    <row r="35" spans="1:2" x14ac:dyDescent="0.25">
      <c r="A35" s="1">
        <v>9206</v>
      </c>
      <c r="B35" s="2" t="s">
        <v>152</v>
      </c>
    </row>
    <row r="36" spans="1:2" x14ac:dyDescent="0.25">
      <c r="A36" s="1">
        <v>9207</v>
      </c>
      <c r="B36" s="2" t="s">
        <v>153</v>
      </c>
    </row>
    <row r="37" spans="1:2" x14ac:dyDescent="0.25">
      <c r="A37" s="1">
        <v>9209</v>
      </c>
      <c r="B37" s="2" t="s">
        <v>154</v>
      </c>
    </row>
    <row r="38" spans="1:2" x14ac:dyDescent="0.25">
      <c r="A38" s="1">
        <v>9231</v>
      </c>
      <c r="B38" s="2" t="s">
        <v>155</v>
      </c>
    </row>
    <row r="39" spans="1:2" x14ac:dyDescent="0.25">
      <c r="A39" s="1">
        <v>9241</v>
      </c>
      <c r="B39" s="2" t="s">
        <v>156</v>
      </c>
    </row>
    <row r="40" spans="1:2" x14ac:dyDescent="0.25">
      <c r="A40" s="1">
        <v>9291</v>
      </c>
      <c r="B40" s="2" t="s">
        <v>157</v>
      </c>
    </row>
    <row r="41" spans="1:2" x14ac:dyDescent="0.25">
      <c r="A41" s="1">
        <v>9311</v>
      </c>
      <c r="B41" s="2" t="s">
        <v>158</v>
      </c>
    </row>
    <row r="42" spans="1:2" x14ac:dyDescent="0.25">
      <c r="A42" s="1" t="s">
        <v>357</v>
      </c>
      <c r="B42" s="2" t="s">
        <v>159</v>
      </c>
    </row>
    <row r="43" spans="1:2" x14ac:dyDescent="0.25">
      <c r="A43" s="1">
        <v>9321</v>
      </c>
      <c r="B43" s="2" t="s">
        <v>160</v>
      </c>
    </row>
    <row r="44" spans="1:2" x14ac:dyDescent="0.25">
      <c r="A44" s="1">
        <v>9331</v>
      </c>
      <c r="B44" s="2" t="s">
        <v>161</v>
      </c>
    </row>
    <row r="45" spans="1:2" x14ac:dyDescent="0.25">
      <c r="A45" s="1">
        <v>9332</v>
      </c>
      <c r="B45" s="2" t="s">
        <v>162</v>
      </c>
    </row>
    <row r="46" spans="1:2" x14ac:dyDescent="0.25">
      <c r="A46" s="1">
        <v>9333</v>
      </c>
      <c r="B46" s="2" t="s">
        <v>370</v>
      </c>
    </row>
    <row r="47" spans="1:2" x14ac:dyDescent="0.25">
      <c r="A47" s="1" t="s">
        <v>368</v>
      </c>
      <c r="B47" s="2" t="s">
        <v>369</v>
      </c>
    </row>
    <row r="48" spans="1:2" x14ac:dyDescent="0.25">
      <c r="A48" s="1">
        <v>9341</v>
      </c>
      <c r="B48" s="2" t="s">
        <v>164</v>
      </c>
    </row>
    <row r="49" spans="1:2" x14ac:dyDescent="0.25">
      <c r="A49" s="1" t="s">
        <v>165</v>
      </c>
      <c r="B49" s="2" t="s">
        <v>166</v>
      </c>
    </row>
    <row r="50" spans="1:2" x14ac:dyDescent="0.25">
      <c r="A50" s="1" t="s">
        <v>167</v>
      </c>
      <c r="B50" s="2" t="s">
        <v>168</v>
      </c>
    </row>
    <row r="51" spans="1:2" x14ac:dyDescent="0.25">
      <c r="A51" s="1" t="s">
        <v>169</v>
      </c>
      <c r="B51" s="2" t="s">
        <v>170</v>
      </c>
    </row>
    <row r="52" spans="1:2" x14ac:dyDescent="0.25">
      <c r="A52" s="60" t="s">
        <v>171</v>
      </c>
      <c r="B52" s="2" t="s">
        <v>172</v>
      </c>
    </row>
    <row r="53" spans="1:2" x14ac:dyDescent="0.25">
      <c r="A53" s="61">
        <v>1341</v>
      </c>
      <c r="B53" s="2" t="s">
        <v>172</v>
      </c>
    </row>
    <row r="54" spans="1:2" x14ac:dyDescent="0.25">
      <c r="A54" s="1" t="s">
        <v>173</v>
      </c>
      <c r="B54" s="2" t="s">
        <v>174</v>
      </c>
    </row>
    <row r="55" spans="1:2" x14ac:dyDescent="0.25">
      <c r="A55" s="1" t="s">
        <v>175</v>
      </c>
      <c r="B55" s="2" t="s">
        <v>176</v>
      </c>
    </row>
    <row r="56" spans="1:2" x14ac:dyDescent="0.25">
      <c r="A56" s="1" t="s">
        <v>177</v>
      </c>
      <c r="B56" s="2" t="s">
        <v>134</v>
      </c>
    </row>
    <row r="57" spans="1:2" x14ac:dyDescent="0.25">
      <c r="A57" s="1" t="s">
        <v>178</v>
      </c>
      <c r="B57" s="2" t="s">
        <v>135</v>
      </c>
    </row>
    <row r="58" spans="1:2" x14ac:dyDescent="0.25">
      <c r="A58" s="1" t="s">
        <v>179</v>
      </c>
      <c r="B58" s="2" t="s">
        <v>136</v>
      </c>
    </row>
    <row r="59" spans="1:2" x14ac:dyDescent="0.25">
      <c r="A59" s="1" t="s">
        <v>180</v>
      </c>
      <c r="B59" s="2" t="s">
        <v>137</v>
      </c>
    </row>
    <row r="60" spans="1:2" x14ac:dyDescent="0.25">
      <c r="A60" s="1" t="s">
        <v>181</v>
      </c>
      <c r="B60" s="2" t="s">
        <v>182</v>
      </c>
    </row>
    <row r="61" spans="1:2" x14ac:dyDescent="0.25">
      <c r="A61" s="1" t="s">
        <v>183</v>
      </c>
      <c r="B61" s="2" t="s">
        <v>184</v>
      </c>
    </row>
    <row r="62" spans="1:2" x14ac:dyDescent="0.25">
      <c r="A62" s="1" t="s">
        <v>185</v>
      </c>
      <c r="B62" s="2" t="s">
        <v>186</v>
      </c>
    </row>
    <row r="63" spans="1:2" x14ac:dyDescent="0.25">
      <c r="A63" s="1" t="s">
        <v>187</v>
      </c>
      <c r="B63" s="2" t="s">
        <v>138</v>
      </c>
    </row>
    <row r="64" spans="1:2" x14ac:dyDescent="0.25">
      <c r="A64" s="1" t="s">
        <v>188</v>
      </c>
      <c r="B64" s="2" t="s">
        <v>189</v>
      </c>
    </row>
    <row r="65" spans="1:2" x14ac:dyDescent="0.25">
      <c r="A65" s="1" t="s">
        <v>190</v>
      </c>
      <c r="B65" s="2" t="s">
        <v>191</v>
      </c>
    </row>
    <row r="66" spans="1:2" x14ac:dyDescent="0.25">
      <c r="A66" s="1" t="s">
        <v>192</v>
      </c>
      <c r="B66" s="2" t="s">
        <v>193</v>
      </c>
    </row>
    <row r="67" spans="1:2" x14ac:dyDescent="0.25">
      <c r="A67" s="1">
        <v>1721</v>
      </c>
      <c r="B67" s="2" t="s">
        <v>193</v>
      </c>
    </row>
    <row r="68" spans="1:2" x14ac:dyDescent="0.25">
      <c r="A68" s="1" t="s">
        <v>194</v>
      </c>
      <c r="B68" s="2" t="s">
        <v>195</v>
      </c>
    </row>
    <row r="69" spans="1:2" x14ac:dyDescent="0.25">
      <c r="A69" s="1" t="s">
        <v>196</v>
      </c>
      <c r="B69" s="2" t="s">
        <v>197</v>
      </c>
    </row>
    <row r="70" spans="1:2" x14ac:dyDescent="0.25">
      <c r="A70" s="1">
        <v>2312</v>
      </c>
      <c r="B70" s="2" t="s">
        <v>197</v>
      </c>
    </row>
    <row r="71" spans="1:2" x14ac:dyDescent="0.25">
      <c r="A71" s="1" t="s">
        <v>198</v>
      </c>
      <c r="B71" s="2" t="s">
        <v>199</v>
      </c>
    </row>
    <row r="72" spans="1:2" x14ac:dyDescent="0.25">
      <c r="A72" s="1">
        <v>2313</v>
      </c>
      <c r="B72" s="2" t="s">
        <v>199</v>
      </c>
    </row>
    <row r="73" spans="1:2" x14ac:dyDescent="0.25">
      <c r="A73" s="1" t="s">
        <v>200</v>
      </c>
      <c r="B73" s="2" t="s">
        <v>139</v>
      </c>
    </row>
    <row r="74" spans="1:2" x14ac:dyDescent="0.25">
      <c r="A74" s="1" t="s">
        <v>201</v>
      </c>
      <c r="B74" s="2" t="s">
        <v>202</v>
      </c>
    </row>
    <row r="75" spans="1:2" x14ac:dyDescent="0.25">
      <c r="A75" s="1" t="s">
        <v>203</v>
      </c>
      <c r="B75" s="2" t="s">
        <v>140</v>
      </c>
    </row>
    <row r="76" spans="1:2" x14ac:dyDescent="0.25">
      <c r="A76" s="1" t="s">
        <v>204</v>
      </c>
      <c r="B76" s="2" t="s">
        <v>205</v>
      </c>
    </row>
    <row r="77" spans="1:2" x14ac:dyDescent="0.25">
      <c r="A77" s="1" t="s">
        <v>206</v>
      </c>
      <c r="B77" s="2" t="s">
        <v>207</v>
      </c>
    </row>
    <row r="78" spans="1:2" x14ac:dyDescent="0.25">
      <c r="A78" s="1" t="s">
        <v>208</v>
      </c>
      <c r="B78" s="2" t="s">
        <v>141</v>
      </c>
    </row>
    <row r="79" spans="1:2" x14ac:dyDescent="0.25">
      <c r="A79" s="1" t="s">
        <v>209</v>
      </c>
      <c r="B79" s="2" t="s">
        <v>210</v>
      </c>
    </row>
    <row r="80" spans="1:2" x14ac:dyDescent="0.25">
      <c r="A80" s="1" t="s">
        <v>211</v>
      </c>
      <c r="B80" s="2" t="s">
        <v>212</v>
      </c>
    </row>
    <row r="81" spans="1:2" x14ac:dyDescent="0.25">
      <c r="A81" s="1" t="s">
        <v>213</v>
      </c>
      <c r="B81" s="2" t="s">
        <v>214</v>
      </c>
    </row>
    <row r="82" spans="1:2" x14ac:dyDescent="0.25">
      <c r="A82" s="1" t="s">
        <v>215</v>
      </c>
      <c r="B82" s="2" t="s">
        <v>216</v>
      </c>
    </row>
    <row r="83" spans="1:2" x14ac:dyDescent="0.25">
      <c r="A83" s="1" t="s">
        <v>217</v>
      </c>
      <c r="B83" s="2" t="s">
        <v>218</v>
      </c>
    </row>
    <row r="84" spans="1:2" x14ac:dyDescent="0.25">
      <c r="A84" s="1" t="s">
        <v>219</v>
      </c>
      <c r="B84" s="2" t="s">
        <v>220</v>
      </c>
    </row>
    <row r="85" spans="1:2" x14ac:dyDescent="0.25">
      <c r="A85" s="1" t="s">
        <v>221</v>
      </c>
      <c r="B85" s="2" t="s">
        <v>222</v>
      </c>
    </row>
    <row r="86" spans="1:2" x14ac:dyDescent="0.25">
      <c r="A86" s="1" t="s">
        <v>223</v>
      </c>
      <c r="B86" s="2" t="s">
        <v>224</v>
      </c>
    </row>
    <row r="87" spans="1:2" x14ac:dyDescent="0.25">
      <c r="A87" s="1" t="s">
        <v>225</v>
      </c>
      <c r="B87" s="2" t="s">
        <v>226</v>
      </c>
    </row>
    <row r="88" spans="1:2" x14ac:dyDescent="0.25">
      <c r="A88" s="1" t="s">
        <v>227</v>
      </c>
      <c r="B88" s="2" t="s">
        <v>228</v>
      </c>
    </row>
    <row r="89" spans="1:2" x14ac:dyDescent="0.25">
      <c r="A89" s="1" t="s">
        <v>229</v>
      </c>
      <c r="B89" s="2" t="s">
        <v>230</v>
      </c>
    </row>
    <row r="90" spans="1:2" x14ac:dyDescent="0.25">
      <c r="A90" s="1" t="s">
        <v>231</v>
      </c>
      <c r="B90" s="2" t="s">
        <v>142</v>
      </c>
    </row>
    <row r="91" spans="1:2" x14ac:dyDescent="0.25">
      <c r="A91" s="1" t="s">
        <v>232</v>
      </c>
      <c r="B91" s="2" t="s">
        <v>233</v>
      </c>
    </row>
    <row r="92" spans="1:2" x14ac:dyDescent="0.25">
      <c r="A92" s="1" t="s">
        <v>234</v>
      </c>
      <c r="B92" s="2" t="s">
        <v>235</v>
      </c>
    </row>
    <row r="93" spans="1:2" x14ac:dyDescent="0.25">
      <c r="A93" s="1" t="s">
        <v>236</v>
      </c>
      <c r="B93" s="2" t="s">
        <v>237</v>
      </c>
    </row>
    <row r="94" spans="1:2" x14ac:dyDescent="0.25">
      <c r="A94" s="1" t="s">
        <v>238</v>
      </c>
      <c r="B94" s="2" t="s">
        <v>239</v>
      </c>
    </row>
    <row r="95" spans="1:2" x14ac:dyDescent="0.25">
      <c r="A95" s="1" t="s">
        <v>240</v>
      </c>
      <c r="B95" s="2" t="s">
        <v>241</v>
      </c>
    </row>
    <row r="96" spans="1:2" x14ac:dyDescent="0.25">
      <c r="A96" s="1">
        <v>4312</v>
      </c>
      <c r="B96" s="2" t="s">
        <v>241</v>
      </c>
    </row>
    <row r="97" spans="1:2" x14ac:dyDescent="0.25">
      <c r="A97" s="1" t="s">
        <v>242</v>
      </c>
      <c r="B97" s="2" t="s">
        <v>143</v>
      </c>
    </row>
    <row r="98" spans="1:2" x14ac:dyDescent="0.25">
      <c r="A98" s="1" t="s">
        <v>243</v>
      </c>
      <c r="B98" s="2" t="s">
        <v>244</v>
      </c>
    </row>
    <row r="99" spans="1:2" x14ac:dyDescent="0.25">
      <c r="A99" s="1" t="s">
        <v>245</v>
      </c>
      <c r="B99" s="2" t="s">
        <v>246</v>
      </c>
    </row>
    <row r="100" spans="1:2" x14ac:dyDescent="0.25">
      <c r="A100" s="1" t="s">
        <v>247</v>
      </c>
      <c r="B100" s="2" t="s">
        <v>144</v>
      </c>
    </row>
    <row r="101" spans="1:2" x14ac:dyDescent="0.25">
      <c r="A101" s="1" t="s">
        <v>248</v>
      </c>
      <c r="B101" s="2" t="s">
        <v>145</v>
      </c>
    </row>
    <row r="102" spans="1:2" x14ac:dyDescent="0.25">
      <c r="A102" s="1" t="s">
        <v>249</v>
      </c>
      <c r="B102" s="2" t="s">
        <v>146</v>
      </c>
    </row>
    <row r="103" spans="1:2" x14ac:dyDescent="0.25">
      <c r="A103" s="1" t="s">
        <v>250</v>
      </c>
      <c r="B103" s="2" t="s">
        <v>147</v>
      </c>
    </row>
    <row r="104" spans="1:2" x14ac:dyDescent="0.25">
      <c r="A104" s="1" t="s">
        <v>251</v>
      </c>
      <c r="B104" s="2" t="s">
        <v>148</v>
      </c>
    </row>
    <row r="105" spans="1:2" x14ac:dyDescent="0.25">
      <c r="A105" s="1" t="s">
        <v>252</v>
      </c>
      <c r="B105" s="2" t="s">
        <v>149</v>
      </c>
    </row>
    <row r="106" spans="1:2" x14ac:dyDescent="0.25">
      <c r="A106" s="1" t="s">
        <v>253</v>
      </c>
      <c r="B106" s="2" t="s">
        <v>150</v>
      </c>
    </row>
    <row r="107" spans="1:2" x14ac:dyDescent="0.25">
      <c r="A107" s="1" t="s">
        <v>254</v>
      </c>
      <c r="B107" s="2" t="s">
        <v>151</v>
      </c>
    </row>
    <row r="108" spans="1:2" x14ac:dyDescent="0.25">
      <c r="A108" s="1" t="s">
        <v>255</v>
      </c>
      <c r="B108" s="2" t="s">
        <v>152</v>
      </c>
    </row>
    <row r="109" spans="1:2" x14ac:dyDescent="0.25">
      <c r="A109" s="1" t="s">
        <v>256</v>
      </c>
      <c r="B109" s="2" t="s">
        <v>153</v>
      </c>
    </row>
    <row r="110" spans="1:2" x14ac:dyDescent="0.25">
      <c r="A110" s="1" t="s">
        <v>257</v>
      </c>
      <c r="B110" s="2" t="s">
        <v>154</v>
      </c>
    </row>
    <row r="111" spans="1:2" x14ac:dyDescent="0.25">
      <c r="A111" s="1" t="s">
        <v>258</v>
      </c>
      <c r="B111" s="2" t="s">
        <v>155</v>
      </c>
    </row>
    <row r="112" spans="1:2" x14ac:dyDescent="0.25">
      <c r="A112" s="1" t="s">
        <v>259</v>
      </c>
      <c r="B112" s="2" t="s">
        <v>156</v>
      </c>
    </row>
    <row r="113" spans="1:2" x14ac:dyDescent="0.25">
      <c r="A113" s="1" t="s">
        <v>260</v>
      </c>
      <c r="B113" s="2" t="s">
        <v>157</v>
      </c>
    </row>
    <row r="114" spans="1:2" x14ac:dyDescent="0.25">
      <c r="A114" s="1" t="s">
        <v>261</v>
      </c>
      <c r="B114" s="2" t="s">
        <v>158</v>
      </c>
    </row>
    <row r="115" spans="1:2" x14ac:dyDescent="0.25">
      <c r="A115" s="1" t="s">
        <v>262</v>
      </c>
      <c r="B115" s="2" t="s">
        <v>160</v>
      </c>
    </row>
    <row r="116" spans="1:2" x14ac:dyDescent="0.25">
      <c r="A116" s="1" t="s">
        <v>263</v>
      </c>
      <c r="B116" s="2" t="s">
        <v>161</v>
      </c>
    </row>
    <row r="117" spans="1:2" x14ac:dyDescent="0.25">
      <c r="A117" s="1" t="s">
        <v>264</v>
      </c>
      <c r="B117" s="2" t="s">
        <v>162</v>
      </c>
    </row>
    <row r="118" spans="1:2" x14ac:dyDescent="0.25">
      <c r="A118" s="1" t="s">
        <v>265</v>
      </c>
      <c r="B118" s="2" t="s">
        <v>163</v>
      </c>
    </row>
    <row r="119" spans="1:2" x14ac:dyDescent="0.25">
      <c r="A119" s="1" t="s">
        <v>266</v>
      </c>
      <c r="B119" s="2" t="s">
        <v>267</v>
      </c>
    </row>
    <row r="120" spans="1:2" x14ac:dyDescent="0.25">
      <c r="A120" s="1" t="s">
        <v>268</v>
      </c>
      <c r="B120" s="2" t="s">
        <v>269</v>
      </c>
    </row>
    <row r="121" spans="1:2" x14ac:dyDescent="0.25">
      <c r="A121" s="1" t="s">
        <v>270</v>
      </c>
      <c r="B121" s="2" t="s">
        <v>271</v>
      </c>
    </row>
    <row r="122" spans="1:2" x14ac:dyDescent="0.25">
      <c r="A122" s="1" t="s">
        <v>272</v>
      </c>
      <c r="B122" s="2" t="s">
        <v>273</v>
      </c>
    </row>
    <row r="123" spans="1:2" x14ac:dyDescent="0.25">
      <c r="A123" s="1" t="s">
        <v>274</v>
      </c>
      <c r="B123" s="2" t="s">
        <v>275</v>
      </c>
    </row>
    <row r="124" spans="1:2" x14ac:dyDescent="0.25">
      <c r="A124" s="1" t="s">
        <v>276</v>
      </c>
      <c r="B124" s="2" t="s">
        <v>164</v>
      </c>
    </row>
    <row r="125" spans="1:2" x14ac:dyDescent="0.25">
      <c r="A125" s="1">
        <v>1331</v>
      </c>
      <c r="B125" s="2" t="s">
        <v>277</v>
      </c>
    </row>
    <row r="126" spans="1:2" x14ac:dyDescent="0.25">
      <c r="A126" s="1" t="s">
        <v>278</v>
      </c>
      <c r="B126" s="2" t="s">
        <v>279</v>
      </c>
    </row>
    <row r="127" spans="1:2" x14ac:dyDescent="0.25">
      <c r="A127" s="1" t="s">
        <v>280</v>
      </c>
      <c r="B127" s="3" t="s">
        <v>281</v>
      </c>
    </row>
    <row r="128" spans="1:2" x14ac:dyDescent="0.25">
      <c r="A128" s="1" t="s">
        <v>282</v>
      </c>
      <c r="B128" s="3" t="s">
        <v>283</v>
      </c>
    </row>
    <row r="129" spans="1:2" x14ac:dyDescent="0.25">
      <c r="A129" s="1" t="s">
        <v>284</v>
      </c>
      <c r="B129" s="3" t="s">
        <v>285</v>
      </c>
    </row>
    <row r="130" spans="1:2" x14ac:dyDescent="0.25">
      <c r="A130" s="1" t="s">
        <v>286</v>
      </c>
      <c r="B130" s="3" t="s">
        <v>287</v>
      </c>
    </row>
    <row r="131" spans="1:2" x14ac:dyDescent="0.25">
      <c r="A131" s="1" t="s">
        <v>288</v>
      </c>
      <c r="B131" s="3" t="s">
        <v>289</v>
      </c>
    </row>
    <row r="132" spans="1:2" x14ac:dyDescent="0.25">
      <c r="A132" s="1" t="s">
        <v>290</v>
      </c>
      <c r="B132" s="3" t="s">
        <v>291</v>
      </c>
    </row>
    <row r="133" spans="1:2" x14ac:dyDescent="0.25">
      <c r="A133" s="1" t="s">
        <v>292</v>
      </c>
      <c r="B133" s="3" t="s">
        <v>293</v>
      </c>
    </row>
    <row r="134" spans="1:2" x14ac:dyDescent="0.25">
      <c r="A134" s="1" t="s">
        <v>294</v>
      </c>
      <c r="B134" s="3" t="s">
        <v>295</v>
      </c>
    </row>
    <row r="135" spans="1:2" x14ac:dyDescent="0.25">
      <c r="A135" s="1" t="s">
        <v>296</v>
      </c>
      <c r="B135" s="3" t="s">
        <v>297</v>
      </c>
    </row>
    <row r="136" spans="1:2" x14ac:dyDescent="0.25">
      <c r="A136" s="4">
        <v>2</v>
      </c>
      <c r="B136" s="3" t="s">
        <v>298</v>
      </c>
    </row>
    <row r="137" spans="1:2" x14ac:dyDescent="0.25">
      <c r="A137" s="4">
        <v>6</v>
      </c>
      <c r="B137" s="3" t="s">
        <v>299</v>
      </c>
    </row>
    <row r="138" spans="1:2" x14ac:dyDescent="0.25">
      <c r="A138" s="4">
        <v>8</v>
      </c>
      <c r="B138" s="3" t="s">
        <v>300</v>
      </c>
    </row>
    <row r="139" spans="1:2" x14ac:dyDescent="0.25">
      <c r="A139" s="4">
        <v>1</v>
      </c>
      <c r="B139" s="3" t="s">
        <v>306</v>
      </c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</row>
    <row r="182" spans="1:2" x14ac:dyDescent="0.25">
      <c r="A182" s="5"/>
    </row>
    <row r="183" spans="1:2" x14ac:dyDescent="0.25">
      <c r="A183" s="5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</row>
    <row r="225" spans="1:1" x14ac:dyDescent="0.25">
      <c r="A225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41"/>
  <sheetViews>
    <sheetView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5509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x14ac:dyDescent="0.25">
      <c r="A2" s="21" t="s">
        <v>3875</v>
      </c>
      <c r="B2" s="19"/>
      <c r="C2" s="19"/>
      <c r="D2" s="19"/>
      <c r="E2" s="19"/>
      <c r="F2" s="19"/>
      <c r="G2" s="19"/>
      <c r="H2" s="19"/>
      <c r="I2" s="19"/>
      <c r="J2" s="19">
        <v>1500</v>
      </c>
      <c r="K2" s="19"/>
      <c r="L2" s="19"/>
      <c r="M2" s="23">
        <f>SUM(Tabla2456[[#This Row],[01. Alcaldía]:[11. Salud pública y seguridad ciudadana]])</f>
        <v>1500</v>
      </c>
    </row>
    <row r="3" spans="1:13" x14ac:dyDescent="0.25">
      <c r="A3" s="21" t="s">
        <v>3049</v>
      </c>
      <c r="B3" s="19"/>
      <c r="C3" s="19"/>
      <c r="D3" s="19"/>
      <c r="E3" s="19"/>
      <c r="F3" s="19"/>
      <c r="G3" s="19"/>
      <c r="H3" s="19"/>
      <c r="I3" s="19"/>
      <c r="J3" s="19"/>
      <c r="K3" s="19">
        <v>300</v>
      </c>
      <c r="L3" s="19"/>
      <c r="M3" s="23">
        <f>SUM(Tabla2456[[#This Row],[01. Alcaldía]:[11. Salud pública y seguridad ciudadana]])</f>
        <v>300</v>
      </c>
    </row>
    <row r="4" spans="1:13" x14ac:dyDescent="0.25">
      <c r="A4" s="21" t="s">
        <v>1689</v>
      </c>
      <c r="B4" s="19"/>
      <c r="C4" s="19"/>
      <c r="D4" s="19"/>
      <c r="E4" s="19"/>
      <c r="F4" s="19"/>
      <c r="G4" s="19">
        <v>2925</v>
      </c>
      <c r="H4" s="19"/>
      <c r="I4" s="19"/>
      <c r="J4" s="19"/>
      <c r="K4" s="19"/>
      <c r="L4" s="19"/>
      <c r="M4" s="23">
        <f>SUM(Tabla2456[[#This Row],[01. Alcaldía]:[11. Salud pública y seguridad ciudadana]])</f>
        <v>2925</v>
      </c>
    </row>
    <row r="5" spans="1:13" x14ac:dyDescent="0.25">
      <c r="A5" s="21" t="s">
        <v>419</v>
      </c>
      <c r="B5" s="19"/>
      <c r="C5" s="19"/>
      <c r="D5" s="19"/>
      <c r="E5" s="19"/>
      <c r="F5" s="19"/>
      <c r="G5" s="19"/>
      <c r="H5" s="19"/>
      <c r="I5" s="19"/>
      <c r="J5" s="19">
        <v>742.87</v>
      </c>
      <c r="K5" s="19"/>
      <c r="L5" s="19"/>
      <c r="M5" s="23">
        <f>SUM(Tabla2456[[#This Row],[01. Alcaldía]:[11. Salud pública y seguridad ciudadana]])</f>
        <v>742.87</v>
      </c>
    </row>
    <row r="6" spans="1:13" x14ac:dyDescent="0.25">
      <c r="A6" s="21" t="s">
        <v>416</v>
      </c>
      <c r="B6" s="19"/>
      <c r="C6" s="19"/>
      <c r="D6" s="19"/>
      <c r="E6" s="19">
        <v>3225</v>
      </c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3225</v>
      </c>
    </row>
    <row r="7" spans="1:13" x14ac:dyDescent="0.25">
      <c r="A7" s="21" t="s">
        <v>1706</v>
      </c>
      <c r="B7" s="19"/>
      <c r="C7" s="19"/>
      <c r="D7" s="19"/>
      <c r="E7" s="19"/>
      <c r="F7" s="19"/>
      <c r="G7" s="19"/>
      <c r="H7" s="19"/>
      <c r="I7" s="19"/>
      <c r="J7" s="19">
        <v>4869.68</v>
      </c>
      <c r="K7" s="19"/>
      <c r="L7" s="19"/>
      <c r="M7" s="23">
        <f>SUM(Tabla2456[[#This Row],[01. Alcaldía]:[11. Salud pública y seguridad ciudadana]])</f>
        <v>4869.68</v>
      </c>
    </row>
    <row r="8" spans="1:13" x14ac:dyDescent="0.25">
      <c r="A8" s="21" t="s">
        <v>3995</v>
      </c>
      <c r="B8" s="19"/>
      <c r="C8" s="19"/>
      <c r="D8" s="19"/>
      <c r="E8" s="19"/>
      <c r="F8" s="19"/>
      <c r="G8" s="19"/>
      <c r="H8" s="19"/>
      <c r="I8" s="19"/>
      <c r="J8" s="19"/>
      <c r="K8" s="19">
        <v>363</v>
      </c>
      <c r="L8" s="19"/>
      <c r="M8" s="23">
        <f>SUM(Tabla2456[[#This Row],[01. Alcaldía]:[11. Salud pública y seguridad ciudadana]])</f>
        <v>363</v>
      </c>
    </row>
    <row r="9" spans="1:13" x14ac:dyDescent="0.25">
      <c r="A9" s="21" t="s">
        <v>1712</v>
      </c>
      <c r="B9" s="19"/>
      <c r="C9" s="19"/>
      <c r="D9" s="19"/>
      <c r="E9" s="19"/>
      <c r="F9" s="19"/>
      <c r="G9" s="19"/>
      <c r="H9" s="19"/>
      <c r="I9" s="19"/>
      <c r="J9" s="19">
        <v>3291.2</v>
      </c>
      <c r="K9" s="19"/>
      <c r="L9" s="19"/>
      <c r="M9" s="23">
        <f>SUM(Tabla2456[[#This Row],[01. Alcaldía]:[11. Salud pública y seguridad ciudadana]])</f>
        <v>3291.2</v>
      </c>
    </row>
    <row r="10" spans="1:13" ht="25.5" x14ac:dyDescent="0.25">
      <c r="A10" s="21" t="s">
        <v>4008</v>
      </c>
      <c r="B10" s="19"/>
      <c r="C10" s="19"/>
      <c r="D10" s="19"/>
      <c r="E10" s="19"/>
      <c r="F10" s="19">
        <v>18150</v>
      </c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18150</v>
      </c>
    </row>
    <row r="11" spans="1:13" x14ac:dyDescent="0.25">
      <c r="A11" s="21" t="s">
        <v>70</v>
      </c>
      <c r="B11" s="19"/>
      <c r="C11" s="19"/>
      <c r="D11" s="19"/>
      <c r="E11" s="19">
        <v>1829.52</v>
      </c>
      <c r="F11" s="19"/>
      <c r="G11" s="19"/>
      <c r="H11" s="19"/>
      <c r="I11" s="19"/>
      <c r="J11" s="19"/>
      <c r="K11" s="19"/>
      <c r="L11" s="19"/>
      <c r="M11" s="23">
        <f>SUM(Tabla2456[[#This Row],[01. Alcaldía]:[11. Salud pública y seguridad ciudadana]])</f>
        <v>1829.52</v>
      </c>
    </row>
    <row r="12" spans="1:13" ht="25.5" x14ac:dyDescent="0.25">
      <c r="A12" s="21" t="s">
        <v>2103</v>
      </c>
      <c r="B12" s="19"/>
      <c r="C12" s="19"/>
      <c r="D12" s="19"/>
      <c r="E12" s="19"/>
      <c r="F12" s="19"/>
      <c r="G12" s="19"/>
      <c r="H12" s="19">
        <v>150.81</v>
      </c>
      <c r="I12" s="19"/>
      <c r="J12" s="19"/>
      <c r="K12" s="19"/>
      <c r="L12" s="19"/>
      <c r="M12" s="23">
        <f>SUM(Tabla2456[[#This Row],[01. Alcaldía]:[11. Salud pública y seguridad ciudadana]])</f>
        <v>150.81</v>
      </c>
    </row>
    <row r="13" spans="1:13" x14ac:dyDescent="0.25">
      <c r="A13" s="21" t="s">
        <v>75</v>
      </c>
      <c r="B13" s="19"/>
      <c r="C13" s="19"/>
      <c r="D13" s="19"/>
      <c r="E13" s="19"/>
      <c r="F13" s="19"/>
      <c r="G13" s="19"/>
      <c r="H13" s="19"/>
      <c r="I13" s="19"/>
      <c r="J13" s="19">
        <v>2073.14</v>
      </c>
      <c r="K13" s="19"/>
      <c r="L13" s="19"/>
      <c r="M13" s="23">
        <f>SUM(Tabla2456[[#This Row],[01. Alcaldía]:[11. Salud pública y seguridad ciudadana]])</f>
        <v>2073.14</v>
      </c>
    </row>
    <row r="14" spans="1:13" x14ac:dyDescent="0.25">
      <c r="A14" s="21" t="s">
        <v>1437</v>
      </c>
      <c r="B14" s="19"/>
      <c r="C14" s="19"/>
      <c r="D14" s="19"/>
      <c r="E14" s="19">
        <v>1548.8</v>
      </c>
      <c r="F14" s="19"/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1548.8</v>
      </c>
    </row>
    <row r="15" spans="1:13" x14ac:dyDescent="0.25">
      <c r="A15" s="21" t="s">
        <v>121</v>
      </c>
      <c r="B15" s="19"/>
      <c r="C15" s="19"/>
      <c r="D15" s="19"/>
      <c r="E15" s="19">
        <v>497.5</v>
      </c>
      <c r="F15" s="19"/>
      <c r="G15" s="19"/>
      <c r="H15" s="19"/>
      <c r="I15" s="19"/>
      <c r="J15" s="19"/>
      <c r="K15" s="19"/>
      <c r="L15" s="19"/>
      <c r="M15" s="23">
        <f>SUM(Tabla2456[[#This Row],[01. Alcaldía]:[11. Salud pública y seguridad ciudadana]])</f>
        <v>497.5</v>
      </c>
    </row>
    <row r="16" spans="1:13" x14ac:dyDescent="0.25">
      <c r="A16" s="21" t="s">
        <v>439</v>
      </c>
      <c r="B16" s="19"/>
      <c r="C16" s="19"/>
      <c r="D16" s="19"/>
      <c r="E16" s="19"/>
      <c r="F16" s="19"/>
      <c r="G16" s="19"/>
      <c r="H16" s="19"/>
      <c r="I16" s="19"/>
      <c r="J16" s="19">
        <v>1075.6199999999999</v>
      </c>
      <c r="K16" s="19"/>
      <c r="L16" s="19"/>
      <c r="M16" s="23">
        <f>SUM(Tabla2456[[#This Row],[01. Alcaldía]:[11. Salud pública y seguridad ciudadana]])</f>
        <v>1075.6199999999999</v>
      </c>
    </row>
    <row r="17" spans="1:13" x14ac:dyDescent="0.25">
      <c r="A17" s="21" t="s">
        <v>30</v>
      </c>
      <c r="B17" s="19"/>
      <c r="C17" s="19"/>
      <c r="D17" s="19">
        <v>363</v>
      </c>
      <c r="E17" s="19"/>
      <c r="F17" s="19"/>
      <c r="G17" s="19"/>
      <c r="H17" s="19"/>
      <c r="I17" s="19"/>
      <c r="J17" s="19"/>
      <c r="K17" s="19"/>
      <c r="L17" s="19"/>
      <c r="M17" s="23">
        <f>SUM(Tabla2456[[#This Row],[01. Alcaldía]:[11. Salud pública y seguridad ciudadana]])</f>
        <v>363</v>
      </c>
    </row>
    <row r="18" spans="1:13" x14ac:dyDescent="0.25">
      <c r="A18" s="21" t="s">
        <v>5026</v>
      </c>
      <c r="B18" s="19">
        <v>13455.2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SUM(Tabla2456[[#This Row],[01. Alcaldía]:[11. Salud pública y seguridad ciudadana]])</f>
        <v>13455.2</v>
      </c>
    </row>
    <row r="19" spans="1:13" x14ac:dyDescent="0.25">
      <c r="A19" s="21" t="s">
        <v>4389</v>
      </c>
      <c r="B19" s="19"/>
      <c r="C19" s="19"/>
      <c r="D19" s="19"/>
      <c r="E19" s="19"/>
      <c r="F19" s="19"/>
      <c r="G19" s="19"/>
      <c r="H19" s="19"/>
      <c r="I19" s="19"/>
      <c r="J19" s="19">
        <v>306.13</v>
      </c>
      <c r="K19" s="19"/>
      <c r="L19" s="19"/>
      <c r="M19" s="23">
        <f>SUM(Tabla2456[[#This Row],[01. Alcaldía]:[11. Salud pública y seguridad ciudadana]])</f>
        <v>306.13</v>
      </c>
    </row>
    <row r="20" spans="1:13" x14ac:dyDescent="0.25">
      <c r="A20" s="21" t="s">
        <v>2464</v>
      </c>
      <c r="B20" s="19"/>
      <c r="C20" s="19"/>
      <c r="D20" s="19"/>
      <c r="E20" s="19"/>
      <c r="F20" s="19"/>
      <c r="G20" s="19"/>
      <c r="H20" s="19"/>
      <c r="I20" s="19"/>
      <c r="J20" s="19">
        <v>9493.66</v>
      </c>
      <c r="K20" s="19"/>
      <c r="L20" s="19"/>
      <c r="M20" s="23">
        <f>SUM(Tabla2456[[#This Row],[01. Alcaldía]:[11. Salud pública y seguridad ciudadana]])</f>
        <v>9493.66</v>
      </c>
    </row>
    <row r="21" spans="1:13" x14ac:dyDescent="0.25">
      <c r="A21" s="21" t="s">
        <v>2480</v>
      </c>
      <c r="B21" s="19"/>
      <c r="C21" s="19"/>
      <c r="D21" s="19"/>
      <c r="E21" s="19">
        <v>338.8</v>
      </c>
      <c r="F21" s="19"/>
      <c r="G21" s="19"/>
      <c r="H21" s="19"/>
      <c r="I21" s="19"/>
      <c r="J21" s="19"/>
      <c r="K21" s="19"/>
      <c r="L21" s="19"/>
      <c r="M21" s="23">
        <f>SUM(Tabla2456[[#This Row],[01. Alcaldía]:[11. Salud pública y seguridad ciudadana]])</f>
        <v>338.8</v>
      </c>
    </row>
    <row r="22" spans="1:13" x14ac:dyDescent="0.25">
      <c r="A22" s="21" t="s">
        <v>4547</v>
      </c>
      <c r="B22" s="19"/>
      <c r="C22" s="19"/>
      <c r="D22" s="19"/>
      <c r="E22" s="19"/>
      <c r="F22" s="19"/>
      <c r="G22" s="19"/>
      <c r="H22" s="19"/>
      <c r="I22" s="19"/>
      <c r="J22" s="19">
        <v>4000</v>
      </c>
      <c r="K22" s="19"/>
      <c r="L22" s="19"/>
      <c r="M22" s="23">
        <f>SUM(Tabla2456[[#This Row],[01. Alcaldía]:[11. Salud pública y seguridad ciudadana]])</f>
        <v>4000</v>
      </c>
    </row>
    <row r="23" spans="1:13" x14ac:dyDescent="0.25">
      <c r="A23" s="21" t="s">
        <v>2746</v>
      </c>
      <c r="B23" s="19"/>
      <c r="C23" s="19"/>
      <c r="D23" s="19"/>
      <c r="E23" s="19">
        <v>22.91</v>
      </c>
      <c r="F23" s="19"/>
      <c r="G23" s="19"/>
      <c r="H23" s="19"/>
      <c r="I23" s="19"/>
      <c r="J23" s="19"/>
      <c r="K23" s="19"/>
      <c r="L23" s="19"/>
      <c r="M23" s="23">
        <f>SUM(Tabla2456[[#This Row],[01. Alcaldía]:[11. Salud pública y seguridad ciudadana]])</f>
        <v>22.91</v>
      </c>
    </row>
    <row r="24" spans="1:13" x14ac:dyDescent="0.25">
      <c r="A24" s="21" t="s">
        <v>2844</v>
      </c>
      <c r="B24" s="19"/>
      <c r="C24" s="19"/>
      <c r="D24" s="19"/>
      <c r="E24" s="19"/>
      <c r="F24" s="19">
        <v>6759.42</v>
      </c>
      <c r="G24" s="19"/>
      <c r="H24" s="19"/>
      <c r="I24" s="19"/>
      <c r="J24" s="19"/>
      <c r="K24" s="19"/>
      <c r="L24" s="19"/>
      <c r="M24" s="23">
        <f>SUM(Tabla2456[[#This Row],[01. Alcaldía]:[11. Salud pública y seguridad ciudadana]])</f>
        <v>6759.42</v>
      </c>
    </row>
    <row r="25" spans="1:13" x14ac:dyDescent="0.25">
      <c r="A25" s="21" t="s">
        <v>4600</v>
      </c>
      <c r="B25" s="19"/>
      <c r="C25" s="19"/>
      <c r="D25" s="19"/>
      <c r="E25" s="19"/>
      <c r="F25" s="19"/>
      <c r="G25" s="19"/>
      <c r="H25" s="19"/>
      <c r="I25" s="19"/>
      <c r="J25" s="19">
        <v>4235</v>
      </c>
      <c r="K25" s="19"/>
      <c r="L25" s="19"/>
      <c r="M25" s="23">
        <f>SUM(Tabla2456[[#This Row],[01. Alcaldía]:[11. Salud pública y seguridad ciudadana]])</f>
        <v>4235</v>
      </c>
    </row>
    <row r="26" spans="1:13" x14ac:dyDescent="0.25">
      <c r="A26" s="21" t="s">
        <v>2927</v>
      </c>
      <c r="B26" s="19"/>
      <c r="C26" s="19"/>
      <c r="D26" s="19"/>
      <c r="E26" s="19"/>
      <c r="F26" s="19"/>
      <c r="G26" s="19"/>
      <c r="H26" s="19"/>
      <c r="I26" s="19"/>
      <c r="J26" s="19">
        <v>3025</v>
      </c>
      <c r="K26" s="19"/>
      <c r="L26" s="19"/>
      <c r="M26" s="23">
        <f>SUM(Tabla2456[[#This Row],[01. Alcaldía]:[11. Salud pública y seguridad ciudadana]])</f>
        <v>3025</v>
      </c>
    </row>
    <row r="27" spans="1:13" x14ac:dyDescent="0.25">
      <c r="A27" s="21" t="s">
        <v>3628</v>
      </c>
      <c r="B27" s="19"/>
      <c r="C27" s="19"/>
      <c r="D27" s="19"/>
      <c r="E27" s="19"/>
      <c r="F27" s="19"/>
      <c r="G27" s="19"/>
      <c r="H27" s="19"/>
      <c r="I27" s="19"/>
      <c r="J27" s="19">
        <v>363</v>
      </c>
      <c r="K27" s="19"/>
      <c r="L27" s="19"/>
      <c r="M27" s="23">
        <f>SUM(Tabla2456[[#This Row],[01. Alcaldía]:[11. Salud pública y seguridad ciudadana]])</f>
        <v>363</v>
      </c>
    </row>
    <row r="28" spans="1:13" x14ac:dyDescent="0.25">
      <c r="A28" s="21" t="s">
        <v>3672</v>
      </c>
      <c r="B28" s="19"/>
      <c r="C28" s="19"/>
      <c r="D28" s="19"/>
      <c r="E28" s="19"/>
      <c r="F28" s="19"/>
      <c r="G28" s="19"/>
      <c r="H28" s="19"/>
      <c r="I28" s="19"/>
      <c r="J28" s="19">
        <v>1149.5</v>
      </c>
      <c r="K28" s="19"/>
      <c r="L28" s="19"/>
      <c r="M28" s="23">
        <f>SUM(Tabla2456[[#This Row],[01. Alcaldía]:[11. Salud pública y seguridad ciudadana]])</f>
        <v>1149.5</v>
      </c>
    </row>
    <row r="29" spans="1:13" ht="25.5" x14ac:dyDescent="0.25">
      <c r="A29" s="21" t="s">
        <v>409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688.26</v>
      </c>
      <c r="M29" s="23">
        <f>SUM(Tabla2456[[#This Row],[01. Alcaldía]:[11. Salud pública y seguridad ciudadana]])</f>
        <v>688.26</v>
      </c>
    </row>
    <row r="30" spans="1:13" s="24" customFormat="1" x14ac:dyDescent="0.25">
      <c r="A30" s="25" t="s">
        <v>339</v>
      </c>
      <c r="B30" s="23">
        <f>SUBTOTAL(109,Tabla2456[01. Alcaldía])</f>
        <v>13455.2</v>
      </c>
      <c r="C30" s="23">
        <f>SUBTOTAL(109,Tabla2456[02. Planeamiento urbanístico y vivienda])</f>
        <v>0</v>
      </c>
      <c r="D30" s="23">
        <f>SUBTOTAL(109,Tabla2456[03. Participación ciudadana y deportes])</f>
        <v>363</v>
      </c>
      <c r="E30" s="23">
        <f>SUBTOTAL(109,Tabla2456[04. Planificación y recursos])</f>
        <v>7462.5300000000007</v>
      </c>
      <c r="F30" s="23">
        <f>SUBTOTAL(109,Tabla2456[05. Innovación, desarrollo económico, empleo y comercio])</f>
        <v>24909.42</v>
      </c>
      <c r="G30" s="23">
        <f>SUBTOTAL(109,Tabla2456[06. Educación, infancia, juventud e igualdad])</f>
        <v>2925</v>
      </c>
      <c r="H30" s="23">
        <f>SUBTOTAL(109,Tabla2456[07. Medio ambiente y desarrollo sostenible])</f>
        <v>150.81</v>
      </c>
      <c r="I30" s="23">
        <f>SUBTOTAL(109,Tabla2456[08. Movilidad y espacio urbano])</f>
        <v>0</v>
      </c>
      <c r="J30" s="23">
        <f>SUBTOTAL(109,Tabla2456[09. Cultura y turismo])</f>
        <v>36124.799999999996</v>
      </c>
      <c r="K30" s="23">
        <f>SUBTOTAL(109,Tabla2456[10. Servicios sociales y mediación comunitaria])</f>
        <v>663</v>
      </c>
      <c r="L30" s="23">
        <f>SUBTOTAL(109,Tabla2456[11. Salud pública y seguridad ciudadana])</f>
        <v>688.26</v>
      </c>
      <c r="M30" s="23">
        <f>SUBTOTAL(109,Tabla2456[Total general])</f>
        <v>86742.01999999999</v>
      </c>
    </row>
    <row r="36" spans="7:9" x14ac:dyDescent="0.25">
      <c r="I36" s="43"/>
    </row>
    <row r="37" spans="7:9" x14ac:dyDescent="0.25">
      <c r="G37" s="43"/>
      <c r="I37" s="43"/>
    </row>
    <row r="38" spans="7:9" x14ac:dyDescent="0.25">
      <c r="I38" s="43"/>
    </row>
    <row r="39" spans="7:9" x14ac:dyDescent="0.25">
      <c r="I39" s="43"/>
    </row>
    <row r="40" spans="7:9" x14ac:dyDescent="0.25">
      <c r="I40" s="43"/>
    </row>
    <row r="41" spans="7:9" x14ac:dyDescent="0.25">
      <c r="I41" s="43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 SEMESTRE 2023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741"/>
  <sheetViews>
    <sheetView workbookViewId="0">
      <selection activeCell="A651" sqref="A651"/>
    </sheetView>
  </sheetViews>
  <sheetFormatPr baseColWidth="10" defaultRowHeight="15" x14ac:dyDescent="0.25"/>
  <cols>
    <col min="1" max="1" width="79.42578125" bestFit="1" customWidth="1"/>
    <col min="2" max="2" width="21" bestFit="1" customWidth="1"/>
  </cols>
  <sheetData>
    <row r="2" spans="1:2" x14ac:dyDescent="0.25">
      <c r="A2" s="39" t="s">
        <v>85</v>
      </c>
      <c r="B2" s="40" t="s">
        <v>383</v>
      </c>
    </row>
    <row r="4" spans="1:2" x14ac:dyDescent="0.25">
      <c r="A4" s="29" t="s">
        <v>310</v>
      </c>
      <c r="B4" s="30" t="s">
        <v>313</v>
      </c>
    </row>
    <row r="5" spans="1:2" x14ac:dyDescent="0.25">
      <c r="A5" s="27" t="s">
        <v>103</v>
      </c>
      <c r="B5" s="28">
        <v>653.4</v>
      </c>
    </row>
    <row r="6" spans="1:2" x14ac:dyDescent="0.25">
      <c r="A6" s="27" t="s">
        <v>1658</v>
      </c>
      <c r="B6" s="28">
        <v>4432.0999999999995</v>
      </c>
    </row>
    <row r="7" spans="1:2" x14ac:dyDescent="0.25">
      <c r="A7" s="27" t="s">
        <v>328</v>
      </c>
      <c r="B7" s="28">
        <v>1462.98</v>
      </c>
    </row>
    <row r="8" spans="1:2" x14ac:dyDescent="0.25">
      <c r="A8" s="27" t="s">
        <v>3120</v>
      </c>
      <c r="B8" s="28">
        <v>2651.3</v>
      </c>
    </row>
    <row r="9" spans="1:2" x14ac:dyDescent="0.25">
      <c r="A9" s="27" t="s">
        <v>1634</v>
      </c>
      <c r="B9" s="28">
        <v>7139</v>
      </c>
    </row>
    <row r="10" spans="1:2" x14ac:dyDescent="0.25">
      <c r="A10" s="27" t="s">
        <v>28</v>
      </c>
      <c r="B10" s="28">
        <v>9922</v>
      </c>
    </row>
    <row r="11" spans="1:2" x14ac:dyDescent="0.25">
      <c r="A11" s="27" t="s">
        <v>27</v>
      </c>
      <c r="B11" s="28">
        <v>11750.25</v>
      </c>
    </row>
    <row r="12" spans="1:2" x14ac:dyDescent="0.25">
      <c r="A12" s="27" t="s">
        <v>5091</v>
      </c>
      <c r="B12" s="28">
        <v>3000</v>
      </c>
    </row>
    <row r="13" spans="1:2" x14ac:dyDescent="0.25">
      <c r="A13" s="27" t="s">
        <v>51</v>
      </c>
      <c r="B13" s="28">
        <v>517.52</v>
      </c>
    </row>
    <row r="14" spans="1:2" x14ac:dyDescent="0.25">
      <c r="A14" s="27" t="s">
        <v>981</v>
      </c>
      <c r="B14" s="28">
        <v>34094.26</v>
      </c>
    </row>
    <row r="15" spans="1:2" x14ac:dyDescent="0.25">
      <c r="A15" s="27" t="s">
        <v>5362</v>
      </c>
      <c r="B15" s="28">
        <v>300.41000000000003</v>
      </c>
    </row>
    <row r="16" spans="1:2" x14ac:dyDescent="0.25">
      <c r="A16" s="27" t="s">
        <v>104</v>
      </c>
      <c r="B16" s="28">
        <v>5285.0899999999992</v>
      </c>
    </row>
    <row r="17" spans="1:2" x14ac:dyDescent="0.25">
      <c r="A17" s="27" t="s">
        <v>464</v>
      </c>
      <c r="B17" s="28">
        <v>1311.15</v>
      </c>
    </row>
    <row r="18" spans="1:2" x14ac:dyDescent="0.25">
      <c r="A18" s="27" t="s">
        <v>31</v>
      </c>
      <c r="B18" s="28">
        <v>935</v>
      </c>
    </row>
    <row r="19" spans="1:2" x14ac:dyDescent="0.25">
      <c r="A19" s="27" t="s">
        <v>116</v>
      </c>
      <c r="B19" s="28">
        <v>1100</v>
      </c>
    </row>
    <row r="20" spans="1:2" x14ac:dyDescent="0.25">
      <c r="A20" s="27" t="s">
        <v>763</v>
      </c>
      <c r="B20" s="28">
        <v>13207.56</v>
      </c>
    </row>
    <row r="21" spans="1:2" x14ac:dyDescent="0.25">
      <c r="A21" s="27" t="s">
        <v>44</v>
      </c>
      <c r="B21" s="28">
        <v>7247.9</v>
      </c>
    </row>
    <row r="22" spans="1:2" x14ac:dyDescent="0.25">
      <c r="A22" s="27" t="s">
        <v>3500</v>
      </c>
      <c r="B22" s="28">
        <v>1415.7</v>
      </c>
    </row>
    <row r="23" spans="1:2" x14ac:dyDescent="0.25">
      <c r="A23" s="27" t="s">
        <v>457</v>
      </c>
      <c r="B23" s="28">
        <v>1075.5</v>
      </c>
    </row>
    <row r="24" spans="1:2" x14ac:dyDescent="0.25">
      <c r="A24" s="27" t="s">
        <v>94</v>
      </c>
      <c r="B24" s="28">
        <v>2420</v>
      </c>
    </row>
    <row r="25" spans="1:2" x14ac:dyDescent="0.25">
      <c r="A25" s="27" t="s">
        <v>2214</v>
      </c>
      <c r="B25" s="28">
        <v>7895.9000000000005</v>
      </c>
    </row>
    <row r="26" spans="1:2" x14ac:dyDescent="0.25">
      <c r="A26" s="27" t="s">
        <v>487</v>
      </c>
      <c r="B26" s="28">
        <v>1183.3800000000001</v>
      </c>
    </row>
    <row r="27" spans="1:2" x14ac:dyDescent="0.25">
      <c r="A27" s="27" t="s">
        <v>3830</v>
      </c>
      <c r="B27" s="28">
        <v>100</v>
      </c>
    </row>
    <row r="28" spans="1:2" x14ac:dyDescent="0.25">
      <c r="A28" s="27" t="s">
        <v>5487</v>
      </c>
      <c r="B28" s="28">
        <v>48.4</v>
      </c>
    </row>
    <row r="29" spans="1:2" x14ac:dyDescent="0.25">
      <c r="A29" s="27" t="s">
        <v>32</v>
      </c>
      <c r="B29" s="28">
        <v>550</v>
      </c>
    </row>
    <row r="30" spans="1:2" x14ac:dyDescent="0.25">
      <c r="A30" s="27" t="s">
        <v>105</v>
      </c>
      <c r="B30" s="28">
        <v>7211.6</v>
      </c>
    </row>
    <row r="31" spans="1:2" x14ac:dyDescent="0.25">
      <c r="A31" s="27" t="s">
        <v>3835</v>
      </c>
      <c r="B31" s="28">
        <v>508.81</v>
      </c>
    </row>
    <row r="32" spans="1:2" x14ac:dyDescent="0.25">
      <c r="A32" s="27" t="s">
        <v>3837</v>
      </c>
      <c r="B32" s="28">
        <v>3972.43</v>
      </c>
    </row>
    <row r="33" spans="1:2" x14ac:dyDescent="0.25">
      <c r="A33" s="27" t="s">
        <v>1094</v>
      </c>
      <c r="B33" s="28">
        <v>18150</v>
      </c>
    </row>
    <row r="34" spans="1:2" x14ac:dyDescent="0.25">
      <c r="A34" s="27" t="s">
        <v>39</v>
      </c>
      <c r="B34" s="28">
        <v>22253.41</v>
      </c>
    </row>
    <row r="35" spans="1:2" x14ac:dyDescent="0.25">
      <c r="A35" s="27" t="s">
        <v>15</v>
      </c>
      <c r="B35" s="28">
        <v>10243.17</v>
      </c>
    </row>
    <row r="36" spans="1:2" x14ac:dyDescent="0.25">
      <c r="A36" s="27" t="s">
        <v>2222</v>
      </c>
      <c r="B36" s="28">
        <v>200</v>
      </c>
    </row>
    <row r="37" spans="1:2" x14ac:dyDescent="0.25">
      <c r="A37" s="27" t="s">
        <v>3045</v>
      </c>
      <c r="B37" s="28">
        <v>300</v>
      </c>
    </row>
    <row r="38" spans="1:2" x14ac:dyDescent="0.25">
      <c r="A38" s="27" t="s">
        <v>3880</v>
      </c>
      <c r="B38" s="28">
        <v>450</v>
      </c>
    </row>
    <row r="39" spans="1:2" x14ac:dyDescent="0.25">
      <c r="A39" s="27" t="s">
        <v>110</v>
      </c>
      <c r="B39" s="28">
        <v>136</v>
      </c>
    </row>
    <row r="40" spans="1:2" x14ac:dyDescent="0.25">
      <c r="A40" s="27" t="s">
        <v>3047</v>
      </c>
      <c r="B40" s="28">
        <v>500</v>
      </c>
    </row>
    <row r="41" spans="1:2" x14ac:dyDescent="0.25">
      <c r="A41" s="27" t="s">
        <v>2948</v>
      </c>
      <c r="B41" s="28">
        <v>0</v>
      </c>
    </row>
    <row r="42" spans="1:2" x14ac:dyDescent="0.25">
      <c r="A42" s="27" t="s">
        <v>3886</v>
      </c>
      <c r="B42" s="28">
        <v>1000</v>
      </c>
    </row>
    <row r="43" spans="1:2" x14ac:dyDescent="0.25">
      <c r="A43" s="27" t="s">
        <v>458</v>
      </c>
      <c r="B43" s="28">
        <v>3626</v>
      </c>
    </row>
    <row r="44" spans="1:2" x14ac:dyDescent="0.25">
      <c r="A44" s="27" t="s">
        <v>3900</v>
      </c>
      <c r="B44" s="28">
        <v>193.44</v>
      </c>
    </row>
    <row r="45" spans="1:2" x14ac:dyDescent="0.25">
      <c r="A45" s="27" t="s">
        <v>991</v>
      </c>
      <c r="B45" s="28">
        <v>7590.83</v>
      </c>
    </row>
    <row r="46" spans="1:2" x14ac:dyDescent="0.25">
      <c r="A46" s="27" t="s">
        <v>386</v>
      </c>
      <c r="B46" s="28">
        <v>7937</v>
      </c>
    </row>
    <row r="47" spans="1:2" x14ac:dyDescent="0.25">
      <c r="A47" s="27" t="s">
        <v>2873</v>
      </c>
      <c r="B47" s="28">
        <v>620</v>
      </c>
    </row>
    <row r="48" spans="1:2" x14ac:dyDescent="0.25">
      <c r="A48" s="27" t="s">
        <v>3913</v>
      </c>
      <c r="B48" s="28">
        <v>4697</v>
      </c>
    </row>
    <row r="49" spans="1:2" x14ac:dyDescent="0.25">
      <c r="A49" s="27" t="s">
        <v>420</v>
      </c>
      <c r="B49" s="28">
        <v>2634.77</v>
      </c>
    </row>
    <row r="50" spans="1:2" x14ac:dyDescent="0.25">
      <c r="A50" s="27" t="s">
        <v>119</v>
      </c>
      <c r="B50" s="28">
        <v>4000</v>
      </c>
    </row>
    <row r="51" spans="1:2" x14ac:dyDescent="0.25">
      <c r="A51" s="27" t="s">
        <v>1686</v>
      </c>
      <c r="B51" s="28">
        <v>1385.45</v>
      </c>
    </row>
    <row r="52" spans="1:2" x14ac:dyDescent="0.25">
      <c r="A52" s="27" t="s">
        <v>468</v>
      </c>
      <c r="B52" s="28">
        <v>8355.0499999999993</v>
      </c>
    </row>
    <row r="53" spans="1:2" x14ac:dyDescent="0.25">
      <c r="A53" s="27" t="s">
        <v>460</v>
      </c>
      <c r="B53" s="28">
        <v>401</v>
      </c>
    </row>
    <row r="54" spans="1:2" x14ac:dyDescent="0.25">
      <c r="A54" s="27" t="s">
        <v>2216</v>
      </c>
      <c r="B54" s="28">
        <v>5460.45</v>
      </c>
    </row>
    <row r="55" spans="1:2" x14ac:dyDescent="0.25">
      <c r="A55" s="27" t="s">
        <v>1019</v>
      </c>
      <c r="B55" s="28">
        <v>7246.69</v>
      </c>
    </row>
    <row r="56" spans="1:2" x14ac:dyDescent="0.25">
      <c r="A56" s="27" t="s">
        <v>387</v>
      </c>
      <c r="B56" s="28">
        <v>18000</v>
      </c>
    </row>
    <row r="57" spans="1:2" x14ac:dyDescent="0.25">
      <c r="A57" s="27" t="s">
        <v>2266</v>
      </c>
      <c r="B57" s="28">
        <v>4010.47</v>
      </c>
    </row>
    <row r="58" spans="1:2" x14ac:dyDescent="0.25">
      <c r="A58" s="27" t="s">
        <v>1689</v>
      </c>
      <c r="B58" s="28">
        <v>6225</v>
      </c>
    </row>
    <row r="59" spans="1:2" x14ac:dyDescent="0.25">
      <c r="A59" s="27" t="s">
        <v>489</v>
      </c>
      <c r="B59" s="28">
        <v>705.43</v>
      </c>
    </row>
    <row r="60" spans="1:2" x14ac:dyDescent="0.25">
      <c r="A60" s="27" t="s">
        <v>113</v>
      </c>
      <c r="B60" s="28">
        <v>746.66000000000008</v>
      </c>
    </row>
    <row r="61" spans="1:2" x14ac:dyDescent="0.25">
      <c r="A61" s="27" t="s">
        <v>120</v>
      </c>
      <c r="B61" s="28">
        <v>9193.52</v>
      </c>
    </row>
    <row r="62" spans="1:2" x14ac:dyDescent="0.25">
      <c r="A62" s="27" t="s">
        <v>118</v>
      </c>
      <c r="B62" s="28">
        <v>20917.919999999998</v>
      </c>
    </row>
    <row r="63" spans="1:2" x14ac:dyDescent="0.25">
      <c r="A63" s="27" t="s">
        <v>102</v>
      </c>
      <c r="B63" s="28">
        <v>7196.68</v>
      </c>
    </row>
    <row r="64" spans="1:2" x14ac:dyDescent="0.25">
      <c r="A64" s="27" t="s">
        <v>2443</v>
      </c>
      <c r="B64" s="28">
        <v>2832.18</v>
      </c>
    </row>
    <row r="65" spans="1:2" x14ac:dyDescent="0.25">
      <c r="A65" s="27" t="s">
        <v>315</v>
      </c>
      <c r="B65" s="28">
        <v>4235</v>
      </c>
    </row>
    <row r="66" spans="1:2" x14ac:dyDescent="0.25">
      <c r="A66" s="27" t="s">
        <v>419</v>
      </c>
      <c r="B66" s="28">
        <v>9295.24</v>
      </c>
    </row>
    <row r="67" spans="1:2" x14ac:dyDescent="0.25">
      <c r="A67" s="27" t="s">
        <v>4042</v>
      </c>
      <c r="B67" s="28">
        <v>47161.27</v>
      </c>
    </row>
    <row r="68" spans="1:2" x14ac:dyDescent="0.25">
      <c r="A68" s="27" t="s">
        <v>45</v>
      </c>
      <c r="B68" s="28">
        <v>1500</v>
      </c>
    </row>
    <row r="69" spans="1:2" x14ac:dyDescent="0.25">
      <c r="A69" s="27" t="s">
        <v>3514</v>
      </c>
      <c r="B69" s="28">
        <v>17545</v>
      </c>
    </row>
    <row r="70" spans="1:2" x14ac:dyDescent="0.25">
      <c r="A70" s="27" t="s">
        <v>1210</v>
      </c>
      <c r="B70" s="28">
        <v>17879.560000000001</v>
      </c>
    </row>
    <row r="71" spans="1:2" x14ac:dyDescent="0.25">
      <c r="A71" s="27" t="s">
        <v>1706</v>
      </c>
      <c r="B71" s="28">
        <v>8958.68</v>
      </c>
    </row>
    <row r="72" spans="1:2" x14ac:dyDescent="0.25">
      <c r="A72" s="27" t="s">
        <v>17</v>
      </c>
      <c r="B72" s="28">
        <v>20728.419999999998</v>
      </c>
    </row>
    <row r="73" spans="1:2" x14ac:dyDescent="0.25">
      <c r="A73" s="27" t="s">
        <v>99</v>
      </c>
      <c r="B73" s="28">
        <v>8322.880000000001</v>
      </c>
    </row>
    <row r="74" spans="1:2" x14ac:dyDescent="0.25">
      <c r="A74" s="27" t="s">
        <v>78</v>
      </c>
      <c r="B74" s="28">
        <v>9628.7900000000009</v>
      </c>
    </row>
    <row r="75" spans="1:2" x14ac:dyDescent="0.25">
      <c r="A75" s="27" t="s">
        <v>37</v>
      </c>
      <c r="B75" s="28">
        <v>14335.3</v>
      </c>
    </row>
    <row r="76" spans="1:2" x14ac:dyDescent="0.25">
      <c r="A76" s="27" t="s">
        <v>1712</v>
      </c>
      <c r="B76" s="28">
        <v>3291.2</v>
      </c>
    </row>
    <row r="77" spans="1:2" x14ac:dyDescent="0.25">
      <c r="A77" s="27" t="s">
        <v>5056</v>
      </c>
      <c r="B77" s="28">
        <v>5324</v>
      </c>
    </row>
    <row r="78" spans="1:2" x14ac:dyDescent="0.25">
      <c r="A78" s="27" t="s">
        <v>321</v>
      </c>
      <c r="B78" s="28">
        <v>529.53</v>
      </c>
    </row>
    <row r="79" spans="1:2" x14ac:dyDescent="0.25">
      <c r="A79" s="27" t="s">
        <v>117</v>
      </c>
      <c r="B79" s="28">
        <v>6425.12</v>
      </c>
    </row>
    <row r="80" spans="1:2" x14ac:dyDescent="0.25">
      <c r="A80" s="27" t="s">
        <v>3958</v>
      </c>
      <c r="B80" s="28">
        <v>3630</v>
      </c>
    </row>
    <row r="81" spans="1:2" x14ac:dyDescent="0.25">
      <c r="A81" s="27" t="s">
        <v>4006</v>
      </c>
      <c r="B81" s="28">
        <v>170</v>
      </c>
    </row>
    <row r="82" spans="1:2" x14ac:dyDescent="0.25">
      <c r="A82" s="27" t="s">
        <v>1900</v>
      </c>
      <c r="B82" s="28">
        <v>4840</v>
      </c>
    </row>
    <row r="83" spans="1:2" x14ac:dyDescent="0.25">
      <c r="A83" s="27" t="s">
        <v>391</v>
      </c>
      <c r="B83" s="28">
        <v>752</v>
      </c>
    </row>
    <row r="84" spans="1:2" x14ac:dyDescent="0.25">
      <c r="A84" s="27" t="s">
        <v>43</v>
      </c>
      <c r="B84" s="28">
        <v>3000</v>
      </c>
    </row>
    <row r="85" spans="1:2" x14ac:dyDescent="0.25">
      <c r="A85" s="27" t="s">
        <v>70</v>
      </c>
      <c r="B85" s="28">
        <v>13968.289999999999</v>
      </c>
    </row>
    <row r="86" spans="1:2" x14ac:dyDescent="0.25">
      <c r="A86" s="27" t="s">
        <v>413</v>
      </c>
      <c r="B86" s="28">
        <v>533.61</v>
      </c>
    </row>
    <row r="87" spans="1:2" x14ac:dyDescent="0.25">
      <c r="A87" s="27" t="s">
        <v>21</v>
      </c>
      <c r="B87" s="28">
        <v>5072.34</v>
      </c>
    </row>
    <row r="88" spans="1:2" x14ac:dyDescent="0.25">
      <c r="A88" s="27" t="s">
        <v>329</v>
      </c>
      <c r="B88" s="28">
        <v>102975.29000000001</v>
      </c>
    </row>
    <row r="89" spans="1:2" x14ac:dyDescent="0.25">
      <c r="A89" s="27" t="s">
        <v>115</v>
      </c>
      <c r="B89" s="28">
        <v>12593.9</v>
      </c>
    </row>
    <row r="90" spans="1:2" x14ac:dyDescent="0.25">
      <c r="A90" s="27" t="s">
        <v>58</v>
      </c>
      <c r="B90" s="28">
        <v>1542.6399999999999</v>
      </c>
    </row>
    <row r="91" spans="1:2" x14ac:dyDescent="0.25">
      <c r="A91" s="27" t="s">
        <v>4012</v>
      </c>
      <c r="B91" s="28">
        <v>1540</v>
      </c>
    </row>
    <row r="92" spans="1:2" x14ac:dyDescent="0.25">
      <c r="A92" s="27" t="s">
        <v>18</v>
      </c>
      <c r="B92" s="28">
        <v>22805.170000000002</v>
      </c>
    </row>
    <row r="93" spans="1:2" x14ac:dyDescent="0.25">
      <c r="A93" s="27" t="s">
        <v>435</v>
      </c>
      <c r="B93" s="28">
        <v>8116.7999999999993</v>
      </c>
    </row>
    <row r="94" spans="1:2" x14ac:dyDescent="0.25">
      <c r="A94" s="27" t="s">
        <v>477</v>
      </c>
      <c r="B94" s="28">
        <v>440</v>
      </c>
    </row>
    <row r="95" spans="1:2" x14ac:dyDescent="0.25">
      <c r="A95" s="27" t="s">
        <v>1255</v>
      </c>
      <c r="B95" s="28">
        <v>9616.17</v>
      </c>
    </row>
    <row r="96" spans="1:2" x14ac:dyDescent="0.25">
      <c r="A96" s="27" t="s">
        <v>1972</v>
      </c>
      <c r="B96" s="28">
        <v>10333.4</v>
      </c>
    </row>
    <row r="97" spans="1:2" x14ac:dyDescent="0.25">
      <c r="A97" s="27" t="s">
        <v>48</v>
      </c>
      <c r="B97" s="28">
        <v>7260</v>
      </c>
    </row>
    <row r="98" spans="1:2" x14ac:dyDescent="0.25">
      <c r="A98" s="27" t="s">
        <v>19</v>
      </c>
      <c r="B98" s="28">
        <v>17666</v>
      </c>
    </row>
    <row r="99" spans="1:2" x14ac:dyDescent="0.25">
      <c r="A99" s="27" t="s">
        <v>490</v>
      </c>
      <c r="B99" s="28">
        <v>550</v>
      </c>
    </row>
    <row r="100" spans="1:2" x14ac:dyDescent="0.25">
      <c r="A100" s="27" t="s">
        <v>393</v>
      </c>
      <c r="B100" s="28">
        <v>14750</v>
      </c>
    </row>
    <row r="101" spans="1:2" x14ac:dyDescent="0.25">
      <c r="A101" s="27" t="s">
        <v>2056</v>
      </c>
      <c r="B101" s="28">
        <v>4704.95</v>
      </c>
    </row>
    <row r="102" spans="1:2" x14ac:dyDescent="0.25">
      <c r="A102" s="27" t="s">
        <v>24</v>
      </c>
      <c r="B102" s="28">
        <v>4582.07</v>
      </c>
    </row>
    <row r="103" spans="1:2" x14ac:dyDescent="0.25">
      <c r="A103" s="27" t="s">
        <v>90</v>
      </c>
      <c r="B103" s="28">
        <v>2661.2200000000003</v>
      </c>
    </row>
    <row r="104" spans="1:2" x14ac:dyDescent="0.25">
      <c r="A104" s="27" t="s">
        <v>35</v>
      </c>
      <c r="B104" s="28">
        <v>10944.4</v>
      </c>
    </row>
    <row r="105" spans="1:2" x14ac:dyDescent="0.25">
      <c r="A105" s="27" t="s">
        <v>478</v>
      </c>
      <c r="B105" s="28">
        <v>1106.19</v>
      </c>
    </row>
    <row r="106" spans="1:2" x14ac:dyDescent="0.25">
      <c r="A106" s="27" t="s">
        <v>4060</v>
      </c>
      <c r="B106" s="28">
        <v>338.16</v>
      </c>
    </row>
    <row r="107" spans="1:2" x14ac:dyDescent="0.25">
      <c r="A107" s="27" t="s">
        <v>1310</v>
      </c>
      <c r="B107" s="28">
        <v>7472.36</v>
      </c>
    </row>
    <row r="108" spans="1:2" x14ac:dyDescent="0.25">
      <c r="A108" s="27" t="s">
        <v>4948</v>
      </c>
      <c r="B108" s="28">
        <v>45939.28</v>
      </c>
    </row>
    <row r="109" spans="1:2" x14ac:dyDescent="0.25">
      <c r="A109" s="27" t="s">
        <v>1319</v>
      </c>
      <c r="B109" s="28">
        <v>3751</v>
      </c>
    </row>
    <row r="110" spans="1:2" x14ac:dyDescent="0.25">
      <c r="A110" s="27" t="s">
        <v>108</v>
      </c>
      <c r="B110" s="28">
        <v>84.01</v>
      </c>
    </row>
    <row r="111" spans="1:2" x14ac:dyDescent="0.25">
      <c r="A111" s="27" t="s">
        <v>4063</v>
      </c>
      <c r="B111" s="28">
        <v>7477</v>
      </c>
    </row>
    <row r="112" spans="1:2" x14ac:dyDescent="0.25">
      <c r="A112" s="27" t="s">
        <v>1342</v>
      </c>
      <c r="B112" s="28">
        <v>3763.1</v>
      </c>
    </row>
    <row r="113" spans="1:2" x14ac:dyDescent="0.25">
      <c r="A113" s="27" t="s">
        <v>1764</v>
      </c>
      <c r="B113" s="28">
        <v>605</v>
      </c>
    </row>
    <row r="114" spans="1:2" x14ac:dyDescent="0.25">
      <c r="A114" s="27" t="s">
        <v>465</v>
      </c>
      <c r="B114" s="28">
        <v>501.9</v>
      </c>
    </row>
    <row r="115" spans="1:2" x14ac:dyDescent="0.25">
      <c r="A115" s="27" t="s">
        <v>87</v>
      </c>
      <c r="B115" s="28">
        <v>300.02</v>
      </c>
    </row>
    <row r="116" spans="1:2" x14ac:dyDescent="0.25">
      <c r="A116" s="27" t="s">
        <v>75</v>
      </c>
      <c r="B116" s="28">
        <v>5613.9800000000005</v>
      </c>
    </row>
    <row r="117" spans="1:2" x14ac:dyDescent="0.25">
      <c r="A117" s="27" t="s">
        <v>1372</v>
      </c>
      <c r="B117" s="28">
        <v>8671.7900000000009</v>
      </c>
    </row>
    <row r="118" spans="1:2" x14ac:dyDescent="0.25">
      <c r="A118" s="27" t="s">
        <v>68</v>
      </c>
      <c r="B118" s="28">
        <v>18475.93</v>
      </c>
    </row>
    <row r="119" spans="1:2" x14ac:dyDescent="0.25">
      <c r="A119" s="27" t="s">
        <v>95</v>
      </c>
      <c r="B119" s="28">
        <v>16360.689999999999</v>
      </c>
    </row>
    <row r="120" spans="1:2" x14ac:dyDescent="0.25">
      <c r="A120" s="27" t="s">
        <v>29</v>
      </c>
      <c r="B120" s="28">
        <v>49361.240000000005</v>
      </c>
    </row>
    <row r="121" spans="1:2" x14ac:dyDescent="0.25">
      <c r="A121" s="27" t="s">
        <v>84</v>
      </c>
      <c r="B121" s="28">
        <v>522.95000000000005</v>
      </c>
    </row>
    <row r="122" spans="1:2" x14ac:dyDescent="0.25">
      <c r="A122" s="27" t="s">
        <v>320</v>
      </c>
      <c r="B122" s="28">
        <v>15183.92</v>
      </c>
    </row>
    <row r="123" spans="1:2" x14ac:dyDescent="0.25">
      <c r="A123" s="27" t="s">
        <v>4073</v>
      </c>
      <c r="B123" s="28">
        <v>17914.8</v>
      </c>
    </row>
    <row r="124" spans="1:2" x14ac:dyDescent="0.25">
      <c r="A124" s="27" t="s">
        <v>1351</v>
      </c>
      <c r="B124" s="28">
        <v>4210.8</v>
      </c>
    </row>
    <row r="125" spans="1:2" x14ac:dyDescent="0.25">
      <c r="A125" s="27" t="s">
        <v>5169</v>
      </c>
      <c r="B125" s="28">
        <v>1500</v>
      </c>
    </row>
    <row r="126" spans="1:2" x14ac:dyDescent="0.25">
      <c r="A126" s="27" t="s">
        <v>334</v>
      </c>
      <c r="B126" s="28">
        <v>220</v>
      </c>
    </row>
    <row r="127" spans="1:2" x14ac:dyDescent="0.25">
      <c r="A127" s="27" t="s">
        <v>1434</v>
      </c>
      <c r="B127" s="28">
        <v>70.75</v>
      </c>
    </row>
    <row r="128" spans="1:2" x14ac:dyDescent="0.25">
      <c r="A128" s="27" t="s">
        <v>1437</v>
      </c>
      <c r="B128" s="28">
        <v>1548.8</v>
      </c>
    </row>
    <row r="129" spans="1:2" x14ac:dyDescent="0.25">
      <c r="A129" s="27" t="s">
        <v>442</v>
      </c>
      <c r="B129" s="28">
        <v>1436.02</v>
      </c>
    </row>
    <row r="130" spans="1:2" x14ac:dyDescent="0.25">
      <c r="A130" s="27" t="s">
        <v>65</v>
      </c>
      <c r="B130" s="28">
        <v>13271.119999999999</v>
      </c>
    </row>
    <row r="131" spans="1:2" x14ac:dyDescent="0.25">
      <c r="A131" s="27" t="s">
        <v>26</v>
      </c>
      <c r="B131" s="28">
        <v>18897.12</v>
      </c>
    </row>
    <row r="132" spans="1:2" x14ac:dyDescent="0.25">
      <c r="A132" s="27" t="s">
        <v>42</v>
      </c>
      <c r="B132" s="28">
        <v>5203</v>
      </c>
    </row>
    <row r="133" spans="1:2" x14ac:dyDescent="0.25">
      <c r="A133" s="27" t="s">
        <v>1485</v>
      </c>
      <c r="B133" s="28">
        <v>7861.35</v>
      </c>
    </row>
    <row r="134" spans="1:2" x14ac:dyDescent="0.25">
      <c r="A134" s="27" t="s">
        <v>2115</v>
      </c>
      <c r="B134" s="28">
        <v>752.64</v>
      </c>
    </row>
    <row r="135" spans="1:2" x14ac:dyDescent="0.25">
      <c r="A135" s="27" t="s">
        <v>773</v>
      </c>
      <c r="B135" s="28">
        <v>4277.3500000000004</v>
      </c>
    </row>
    <row r="136" spans="1:2" x14ac:dyDescent="0.25">
      <c r="A136" s="27" t="s">
        <v>737</v>
      </c>
      <c r="B136" s="28">
        <v>5994</v>
      </c>
    </row>
    <row r="137" spans="1:2" x14ac:dyDescent="0.25">
      <c r="A137" s="27" t="s">
        <v>4105</v>
      </c>
      <c r="B137" s="28">
        <v>1754.5</v>
      </c>
    </row>
    <row r="138" spans="1:2" x14ac:dyDescent="0.25">
      <c r="A138" s="27" t="s">
        <v>1507</v>
      </c>
      <c r="B138" s="28">
        <v>413.57</v>
      </c>
    </row>
    <row r="139" spans="1:2" x14ac:dyDescent="0.25">
      <c r="A139" s="27" t="s">
        <v>92</v>
      </c>
      <c r="B139" s="28">
        <v>473.2</v>
      </c>
    </row>
    <row r="140" spans="1:2" x14ac:dyDescent="0.25">
      <c r="A140" s="27" t="s">
        <v>4118</v>
      </c>
      <c r="B140" s="28">
        <v>2874.72</v>
      </c>
    </row>
    <row r="141" spans="1:2" x14ac:dyDescent="0.25">
      <c r="A141" s="27" t="s">
        <v>479</v>
      </c>
      <c r="B141" s="28">
        <v>605</v>
      </c>
    </row>
    <row r="142" spans="1:2" x14ac:dyDescent="0.25">
      <c r="A142" s="27" t="s">
        <v>111</v>
      </c>
      <c r="B142" s="28">
        <v>728.63</v>
      </c>
    </row>
    <row r="143" spans="1:2" x14ac:dyDescent="0.25">
      <c r="A143" s="27" t="s">
        <v>1559</v>
      </c>
      <c r="B143" s="28">
        <v>178.86</v>
      </c>
    </row>
    <row r="144" spans="1:2" x14ac:dyDescent="0.25">
      <c r="A144" s="27" t="s">
        <v>4125</v>
      </c>
      <c r="B144" s="28">
        <v>10127.700000000001</v>
      </c>
    </row>
    <row r="145" spans="1:2" x14ac:dyDescent="0.25">
      <c r="A145" s="27" t="s">
        <v>4128</v>
      </c>
      <c r="B145" s="28">
        <v>14175</v>
      </c>
    </row>
    <row r="146" spans="1:2" x14ac:dyDescent="0.25">
      <c r="A146" s="27" t="s">
        <v>426</v>
      </c>
      <c r="B146" s="28">
        <v>34963.279999999999</v>
      </c>
    </row>
    <row r="147" spans="1:2" x14ac:dyDescent="0.25">
      <c r="A147" s="27" t="s">
        <v>1579</v>
      </c>
      <c r="B147" s="28">
        <v>1273.25</v>
      </c>
    </row>
    <row r="148" spans="1:2" x14ac:dyDescent="0.25">
      <c r="A148" s="27" t="s">
        <v>1581</v>
      </c>
      <c r="B148" s="28">
        <v>3765.52</v>
      </c>
    </row>
    <row r="149" spans="1:2" x14ac:dyDescent="0.25">
      <c r="A149" s="27" t="s">
        <v>121</v>
      </c>
      <c r="B149" s="28">
        <v>958.5</v>
      </c>
    </row>
    <row r="150" spans="1:2" x14ac:dyDescent="0.25">
      <c r="A150" s="27" t="s">
        <v>16</v>
      </c>
      <c r="B150" s="28">
        <v>1050</v>
      </c>
    </row>
    <row r="151" spans="1:2" x14ac:dyDescent="0.25">
      <c r="A151" s="27" t="s">
        <v>1599</v>
      </c>
      <c r="B151" s="28">
        <v>5315.82</v>
      </c>
    </row>
    <row r="152" spans="1:2" x14ac:dyDescent="0.25">
      <c r="A152" s="27" t="s">
        <v>60</v>
      </c>
      <c r="B152" s="28">
        <v>4000</v>
      </c>
    </row>
    <row r="153" spans="1:2" x14ac:dyDescent="0.25">
      <c r="A153" s="27" t="s">
        <v>14</v>
      </c>
      <c r="B153" s="28">
        <v>13485.57</v>
      </c>
    </row>
    <row r="154" spans="1:2" x14ac:dyDescent="0.25">
      <c r="A154" s="27" t="s">
        <v>319</v>
      </c>
      <c r="B154" s="28">
        <v>4500</v>
      </c>
    </row>
    <row r="155" spans="1:2" x14ac:dyDescent="0.25">
      <c r="A155" s="27" t="s">
        <v>106</v>
      </c>
      <c r="B155" s="28">
        <v>1020.03</v>
      </c>
    </row>
    <row r="156" spans="1:2" x14ac:dyDescent="0.25">
      <c r="A156" s="27" t="s">
        <v>446</v>
      </c>
      <c r="B156" s="28">
        <v>966.63</v>
      </c>
    </row>
    <row r="157" spans="1:2" x14ac:dyDescent="0.25">
      <c r="A157" s="27" t="s">
        <v>1743</v>
      </c>
      <c r="B157" s="28">
        <v>847</v>
      </c>
    </row>
    <row r="158" spans="1:2" x14ac:dyDescent="0.25">
      <c r="A158" s="27" t="s">
        <v>480</v>
      </c>
      <c r="B158" s="28">
        <v>136.47</v>
      </c>
    </row>
    <row r="159" spans="1:2" x14ac:dyDescent="0.25">
      <c r="A159" s="27" t="s">
        <v>450</v>
      </c>
      <c r="B159" s="28">
        <v>1150</v>
      </c>
    </row>
    <row r="160" spans="1:2" x14ac:dyDescent="0.25">
      <c r="A160" s="27" t="s">
        <v>53</v>
      </c>
      <c r="B160" s="28">
        <v>20860.75</v>
      </c>
    </row>
    <row r="161" spans="1:2" x14ac:dyDescent="0.25">
      <c r="A161" s="27" t="s">
        <v>1794</v>
      </c>
      <c r="B161" s="28">
        <v>400</v>
      </c>
    </row>
    <row r="162" spans="1:2" x14ac:dyDescent="0.25">
      <c r="A162" s="27" t="s">
        <v>1807</v>
      </c>
      <c r="B162" s="28">
        <v>114.66</v>
      </c>
    </row>
    <row r="163" spans="1:2" x14ac:dyDescent="0.25">
      <c r="A163" s="27" t="s">
        <v>25</v>
      </c>
      <c r="B163" s="28">
        <v>1089</v>
      </c>
    </row>
    <row r="164" spans="1:2" x14ac:dyDescent="0.25">
      <c r="A164" s="27" t="s">
        <v>4292</v>
      </c>
      <c r="B164" s="28">
        <v>2669.14</v>
      </c>
    </row>
    <row r="165" spans="1:2" x14ac:dyDescent="0.25">
      <c r="A165" s="27" t="s">
        <v>4294</v>
      </c>
      <c r="B165" s="28">
        <v>450.01</v>
      </c>
    </row>
    <row r="166" spans="1:2" x14ac:dyDescent="0.25">
      <c r="A166" s="27" t="s">
        <v>1825</v>
      </c>
      <c r="B166" s="28">
        <v>12939.6</v>
      </c>
    </row>
    <row r="167" spans="1:2" x14ac:dyDescent="0.25">
      <c r="A167" s="27" t="s">
        <v>1842</v>
      </c>
      <c r="B167" s="28">
        <v>13722.5</v>
      </c>
    </row>
    <row r="168" spans="1:2" x14ac:dyDescent="0.25">
      <c r="A168" s="27" t="s">
        <v>397</v>
      </c>
      <c r="B168" s="28">
        <v>2113.85</v>
      </c>
    </row>
    <row r="169" spans="1:2" x14ac:dyDescent="0.25">
      <c r="A169" s="27" t="s">
        <v>1854</v>
      </c>
      <c r="B169" s="28">
        <v>7260</v>
      </c>
    </row>
    <row r="170" spans="1:2" x14ac:dyDescent="0.25">
      <c r="A170" s="27" t="s">
        <v>4306</v>
      </c>
      <c r="B170" s="28">
        <v>531.86</v>
      </c>
    </row>
    <row r="171" spans="1:2" x14ac:dyDescent="0.25">
      <c r="A171" s="27" t="s">
        <v>2082</v>
      </c>
      <c r="B171" s="28">
        <v>2117.5</v>
      </c>
    </row>
    <row r="172" spans="1:2" x14ac:dyDescent="0.25">
      <c r="A172" s="27" t="s">
        <v>428</v>
      </c>
      <c r="B172" s="28">
        <v>10648</v>
      </c>
    </row>
    <row r="173" spans="1:2" x14ac:dyDescent="0.25">
      <c r="A173" s="27" t="s">
        <v>1871</v>
      </c>
      <c r="B173" s="28">
        <v>1136.26</v>
      </c>
    </row>
    <row r="174" spans="1:2" x14ac:dyDescent="0.25">
      <c r="A174" s="27" t="s">
        <v>522</v>
      </c>
      <c r="B174" s="28">
        <v>4022.04</v>
      </c>
    </row>
    <row r="175" spans="1:2" x14ac:dyDescent="0.25">
      <c r="A175" s="27" t="s">
        <v>3152</v>
      </c>
      <c r="B175" s="28">
        <v>6290.5</v>
      </c>
    </row>
    <row r="176" spans="1:2" x14ac:dyDescent="0.25">
      <c r="A176" s="27" t="s">
        <v>1885</v>
      </c>
      <c r="B176" s="28">
        <v>1512.5</v>
      </c>
    </row>
    <row r="177" spans="1:2" x14ac:dyDescent="0.25">
      <c r="A177" s="27" t="s">
        <v>1050</v>
      </c>
      <c r="B177" s="28">
        <v>7731.9</v>
      </c>
    </row>
    <row r="178" spans="1:2" x14ac:dyDescent="0.25">
      <c r="A178" s="27" t="s">
        <v>67</v>
      </c>
      <c r="B178" s="28">
        <v>11083.62</v>
      </c>
    </row>
    <row r="179" spans="1:2" x14ac:dyDescent="0.25">
      <c r="A179" s="27" t="s">
        <v>417</v>
      </c>
      <c r="B179" s="28">
        <v>7676.24</v>
      </c>
    </row>
    <row r="180" spans="1:2" x14ac:dyDescent="0.25">
      <c r="A180" s="27" t="s">
        <v>107</v>
      </c>
      <c r="B180" s="28">
        <v>1049.0700000000002</v>
      </c>
    </row>
    <row r="181" spans="1:2" x14ac:dyDescent="0.25">
      <c r="A181" s="27" t="s">
        <v>786</v>
      </c>
      <c r="B181" s="28">
        <v>48311.67</v>
      </c>
    </row>
    <row r="182" spans="1:2" x14ac:dyDescent="0.25">
      <c r="A182" s="27" t="s">
        <v>1928</v>
      </c>
      <c r="B182" s="28">
        <v>1512.52</v>
      </c>
    </row>
    <row r="183" spans="1:2" x14ac:dyDescent="0.25">
      <c r="A183" s="27" t="s">
        <v>1932</v>
      </c>
      <c r="B183" s="28">
        <v>544.5</v>
      </c>
    </row>
    <row r="184" spans="1:2" x14ac:dyDescent="0.25">
      <c r="A184" s="27" t="s">
        <v>327</v>
      </c>
      <c r="B184" s="28">
        <v>1633.5</v>
      </c>
    </row>
    <row r="185" spans="1:2" x14ac:dyDescent="0.25">
      <c r="A185" s="27" t="s">
        <v>30</v>
      </c>
      <c r="B185" s="28">
        <v>14038.72</v>
      </c>
    </row>
    <row r="186" spans="1:2" x14ac:dyDescent="0.25">
      <c r="A186" s="27" t="s">
        <v>4337</v>
      </c>
      <c r="B186" s="28">
        <v>7260</v>
      </c>
    </row>
    <row r="187" spans="1:2" x14ac:dyDescent="0.25">
      <c r="A187" s="27" t="s">
        <v>438</v>
      </c>
      <c r="B187" s="28">
        <v>2149.46</v>
      </c>
    </row>
    <row r="188" spans="1:2" x14ac:dyDescent="0.25">
      <c r="A188" s="27" t="s">
        <v>20</v>
      </c>
      <c r="B188" s="28">
        <v>47566.380000000012</v>
      </c>
    </row>
    <row r="189" spans="1:2" x14ac:dyDescent="0.25">
      <c r="A189" s="27" t="s">
        <v>400</v>
      </c>
      <c r="B189" s="28">
        <v>69.25</v>
      </c>
    </row>
    <row r="190" spans="1:2" x14ac:dyDescent="0.25">
      <c r="A190" s="27" t="s">
        <v>5337</v>
      </c>
      <c r="B190" s="28">
        <v>435.6</v>
      </c>
    </row>
    <row r="191" spans="1:2" x14ac:dyDescent="0.25">
      <c r="A191" s="27" t="s">
        <v>55</v>
      </c>
      <c r="B191" s="28">
        <v>4809.2</v>
      </c>
    </row>
    <row r="192" spans="1:2" x14ac:dyDescent="0.25">
      <c r="A192" s="27" t="s">
        <v>2022</v>
      </c>
      <c r="B192" s="28">
        <v>471.9</v>
      </c>
    </row>
    <row r="193" spans="1:2" x14ac:dyDescent="0.25">
      <c r="A193" s="27" t="s">
        <v>5026</v>
      </c>
      <c r="B193" s="28">
        <v>13455.2</v>
      </c>
    </row>
    <row r="194" spans="1:2" x14ac:dyDescent="0.25">
      <c r="A194" s="27" t="s">
        <v>2161</v>
      </c>
      <c r="B194" s="28">
        <v>1887.1200000000001</v>
      </c>
    </row>
    <row r="195" spans="1:2" x14ac:dyDescent="0.25">
      <c r="A195" s="27" t="s">
        <v>2166</v>
      </c>
      <c r="B195" s="28">
        <v>31641.5</v>
      </c>
    </row>
    <row r="196" spans="1:2" x14ac:dyDescent="0.25">
      <c r="A196" s="27" t="s">
        <v>2424</v>
      </c>
      <c r="B196" s="28">
        <v>8772.5</v>
      </c>
    </row>
    <row r="197" spans="1:2" x14ac:dyDescent="0.25">
      <c r="A197" s="27" t="s">
        <v>50</v>
      </c>
      <c r="B197" s="28">
        <v>3960</v>
      </c>
    </row>
    <row r="198" spans="1:2" x14ac:dyDescent="0.25">
      <c r="A198" s="27" t="s">
        <v>54</v>
      </c>
      <c r="B198" s="28">
        <v>7533.9400000000005</v>
      </c>
    </row>
    <row r="199" spans="1:2" x14ac:dyDescent="0.25">
      <c r="A199" s="27" t="s">
        <v>332</v>
      </c>
      <c r="B199" s="28">
        <v>491.64</v>
      </c>
    </row>
    <row r="200" spans="1:2" x14ac:dyDescent="0.25">
      <c r="A200" s="27" t="s">
        <v>4785</v>
      </c>
      <c r="B200" s="28">
        <v>6190.0300000000007</v>
      </c>
    </row>
    <row r="201" spans="1:2" x14ac:dyDescent="0.25">
      <c r="A201" s="27" t="s">
        <v>4377</v>
      </c>
      <c r="B201" s="28">
        <v>1437.01</v>
      </c>
    </row>
    <row r="202" spans="1:2" x14ac:dyDescent="0.25">
      <c r="A202" s="27" t="s">
        <v>4381</v>
      </c>
      <c r="B202" s="28">
        <v>946.26</v>
      </c>
    </row>
    <row r="203" spans="1:2" x14ac:dyDescent="0.25">
      <c r="A203" s="27" t="s">
        <v>466</v>
      </c>
      <c r="B203" s="28">
        <v>14000</v>
      </c>
    </row>
    <row r="204" spans="1:2" x14ac:dyDescent="0.25">
      <c r="A204" s="27" t="s">
        <v>506</v>
      </c>
      <c r="B204" s="28">
        <v>38</v>
      </c>
    </row>
    <row r="205" spans="1:2" x14ac:dyDescent="0.25">
      <c r="A205" s="27" t="s">
        <v>2316</v>
      </c>
      <c r="B205" s="28">
        <v>500</v>
      </c>
    </row>
    <row r="206" spans="1:2" x14ac:dyDescent="0.25">
      <c r="A206" s="27" t="s">
        <v>2318</v>
      </c>
      <c r="B206" s="28">
        <v>412.5</v>
      </c>
    </row>
    <row r="207" spans="1:2" x14ac:dyDescent="0.25">
      <c r="A207" s="27" t="s">
        <v>4392</v>
      </c>
      <c r="B207" s="28">
        <v>2268.7800000000002</v>
      </c>
    </row>
    <row r="208" spans="1:2" x14ac:dyDescent="0.25">
      <c r="A208" s="27" t="s">
        <v>77</v>
      </c>
      <c r="B208" s="28">
        <v>8605.06</v>
      </c>
    </row>
    <row r="209" spans="1:2" x14ac:dyDescent="0.25">
      <c r="A209" s="27" t="s">
        <v>114</v>
      </c>
      <c r="B209" s="28">
        <v>600</v>
      </c>
    </row>
    <row r="210" spans="1:2" x14ac:dyDescent="0.25">
      <c r="A210" s="27" t="s">
        <v>2347</v>
      </c>
      <c r="B210" s="28">
        <v>605</v>
      </c>
    </row>
    <row r="211" spans="1:2" x14ac:dyDescent="0.25">
      <c r="A211" s="27" t="s">
        <v>4396</v>
      </c>
      <c r="B211" s="28">
        <v>2028</v>
      </c>
    </row>
    <row r="212" spans="1:2" x14ac:dyDescent="0.25">
      <c r="A212" s="27" t="s">
        <v>93</v>
      </c>
      <c r="B212" s="28">
        <v>2064.5299999999997</v>
      </c>
    </row>
    <row r="213" spans="1:2" x14ac:dyDescent="0.25">
      <c r="A213" s="27" t="s">
        <v>4402</v>
      </c>
      <c r="B213" s="28">
        <v>16225</v>
      </c>
    </row>
    <row r="214" spans="1:2" x14ac:dyDescent="0.25">
      <c r="A214" s="27" t="s">
        <v>2370</v>
      </c>
      <c r="B214" s="28">
        <v>1452</v>
      </c>
    </row>
    <row r="215" spans="1:2" x14ac:dyDescent="0.25">
      <c r="A215" s="27" t="s">
        <v>4405</v>
      </c>
      <c r="B215" s="28">
        <v>332.97</v>
      </c>
    </row>
    <row r="216" spans="1:2" x14ac:dyDescent="0.25">
      <c r="A216" s="27" t="s">
        <v>63</v>
      </c>
      <c r="B216" s="28">
        <v>4911</v>
      </c>
    </row>
    <row r="217" spans="1:2" x14ac:dyDescent="0.25">
      <c r="A217" s="27" t="s">
        <v>4408</v>
      </c>
      <c r="B217" s="28">
        <v>7260</v>
      </c>
    </row>
    <row r="218" spans="1:2" x14ac:dyDescent="0.25">
      <c r="A218" s="27" t="s">
        <v>1648</v>
      </c>
      <c r="B218" s="28">
        <v>1650</v>
      </c>
    </row>
    <row r="219" spans="1:2" x14ac:dyDescent="0.25">
      <c r="A219" s="27" t="s">
        <v>443</v>
      </c>
      <c r="B219" s="28">
        <v>1300</v>
      </c>
    </row>
    <row r="220" spans="1:2" x14ac:dyDescent="0.25">
      <c r="A220" s="27" t="s">
        <v>483</v>
      </c>
      <c r="B220" s="28">
        <v>2917.63</v>
      </c>
    </row>
    <row r="221" spans="1:2" x14ac:dyDescent="0.25">
      <c r="A221" s="27" t="s">
        <v>40</v>
      </c>
      <c r="B221" s="28">
        <v>9150.0199999999986</v>
      </c>
    </row>
    <row r="222" spans="1:2" x14ac:dyDescent="0.25">
      <c r="A222" s="27" t="s">
        <v>406</v>
      </c>
      <c r="B222" s="28">
        <v>246.97000000000003</v>
      </c>
    </row>
    <row r="223" spans="1:2" x14ac:dyDescent="0.25">
      <c r="A223" s="27" t="s">
        <v>5322</v>
      </c>
      <c r="B223" s="28">
        <v>6534</v>
      </c>
    </row>
    <row r="224" spans="1:2" x14ac:dyDescent="0.25">
      <c r="A224" s="27" t="s">
        <v>2576</v>
      </c>
      <c r="B224" s="28">
        <v>200</v>
      </c>
    </row>
    <row r="225" spans="1:2" x14ac:dyDescent="0.25">
      <c r="A225" s="27" t="s">
        <v>2579</v>
      </c>
      <c r="B225" s="28">
        <v>500</v>
      </c>
    </row>
    <row r="226" spans="1:2" x14ac:dyDescent="0.25">
      <c r="A226" s="27" t="s">
        <v>4534</v>
      </c>
      <c r="B226" s="28">
        <v>324.16000000000003</v>
      </c>
    </row>
    <row r="227" spans="1:2" x14ac:dyDescent="0.25">
      <c r="A227" s="27" t="s">
        <v>5035</v>
      </c>
      <c r="B227" s="28">
        <v>8345.9</v>
      </c>
    </row>
    <row r="228" spans="1:2" x14ac:dyDescent="0.25">
      <c r="A228" s="27" t="s">
        <v>112</v>
      </c>
      <c r="B228" s="28">
        <v>12300.33</v>
      </c>
    </row>
    <row r="229" spans="1:2" x14ac:dyDescent="0.25">
      <c r="A229" s="27" t="s">
        <v>79</v>
      </c>
      <c r="B229" s="28">
        <v>22578</v>
      </c>
    </row>
    <row r="230" spans="1:2" x14ac:dyDescent="0.25">
      <c r="A230" s="27" t="s">
        <v>91</v>
      </c>
      <c r="B230" s="28">
        <v>7253.95</v>
      </c>
    </row>
    <row r="231" spans="1:2" x14ac:dyDescent="0.25">
      <c r="A231" s="27" t="s">
        <v>73</v>
      </c>
      <c r="B231" s="28">
        <v>17478.71</v>
      </c>
    </row>
    <row r="232" spans="1:2" x14ac:dyDescent="0.25">
      <c r="A232" s="27" t="s">
        <v>2965</v>
      </c>
      <c r="B232" s="28">
        <v>691.76</v>
      </c>
    </row>
    <row r="233" spans="1:2" x14ac:dyDescent="0.25">
      <c r="A233" s="27" t="s">
        <v>505</v>
      </c>
      <c r="B233" s="28">
        <v>312.82</v>
      </c>
    </row>
    <row r="234" spans="1:2" x14ac:dyDescent="0.25">
      <c r="A234" s="27" t="s">
        <v>13</v>
      </c>
      <c r="B234" s="28">
        <v>4860</v>
      </c>
    </row>
    <row r="235" spans="1:2" x14ac:dyDescent="0.25">
      <c r="A235" s="27" t="s">
        <v>2746</v>
      </c>
      <c r="B235" s="28">
        <v>2547.86</v>
      </c>
    </row>
    <row r="236" spans="1:2" x14ac:dyDescent="0.25">
      <c r="A236" s="27" t="s">
        <v>64</v>
      </c>
      <c r="B236" s="28">
        <v>1500</v>
      </c>
    </row>
    <row r="237" spans="1:2" x14ac:dyDescent="0.25">
      <c r="A237" s="27" t="s">
        <v>986</v>
      </c>
      <c r="B237" s="28">
        <v>7822.43</v>
      </c>
    </row>
    <row r="238" spans="1:2" x14ac:dyDescent="0.25">
      <c r="A238" s="27" t="s">
        <v>448</v>
      </c>
      <c r="B238" s="28">
        <v>605</v>
      </c>
    </row>
    <row r="239" spans="1:2" x14ac:dyDescent="0.25">
      <c r="A239" s="27" t="s">
        <v>2769</v>
      </c>
      <c r="B239" s="28">
        <v>2375.59</v>
      </c>
    </row>
    <row r="240" spans="1:2" x14ac:dyDescent="0.25">
      <c r="A240" s="27" t="s">
        <v>4576</v>
      </c>
      <c r="B240" s="28">
        <v>2750</v>
      </c>
    </row>
    <row r="241" spans="1:2" x14ac:dyDescent="0.25">
      <c r="A241" s="27" t="s">
        <v>567</v>
      </c>
      <c r="B241" s="28">
        <v>2316.3000000000002</v>
      </c>
    </row>
    <row r="242" spans="1:2" x14ac:dyDescent="0.25">
      <c r="A242" s="27" t="s">
        <v>33</v>
      </c>
      <c r="B242" s="28">
        <v>7419.12</v>
      </c>
    </row>
    <row r="243" spans="1:2" x14ac:dyDescent="0.25">
      <c r="A243" s="27" t="s">
        <v>336</v>
      </c>
      <c r="B243" s="28">
        <v>2698.3</v>
      </c>
    </row>
    <row r="244" spans="1:2" x14ac:dyDescent="0.25">
      <c r="A244" s="27" t="s">
        <v>474</v>
      </c>
      <c r="B244" s="28">
        <v>665.5</v>
      </c>
    </row>
    <row r="245" spans="1:2" x14ac:dyDescent="0.25">
      <c r="A245" s="27" t="s">
        <v>56</v>
      </c>
      <c r="B245" s="28">
        <v>5000</v>
      </c>
    </row>
    <row r="246" spans="1:2" x14ac:dyDescent="0.25">
      <c r="A246" s="27" t="s">
        <v>49</v>
      </c>
      <c r="B246" s="28">
        <v>1512.5</v>
      </c>
    </row>
    <row r="247" spans="1:2" x14ac:dyDescent="0.25">
      <c r="A247" s="27" t="s">
        <v>3683</v>
      </c>
      <c r="B247" s="28">
        <v>15700</v>
      </c>
    </row>
    <row r="248" spans="1:2" x14ac:dyDescent="0.25">
      <c r="A248" s="27" t="s">
        <v>5463</v>
      </c>
      <c r="B248" s="28">
        <v>64.13</v>
      </c>
    </row>
    <row r="249" spans="1:2" x14ac:dyDescent="0.25">
      <c r="A249" s="27" t="s">
        <v>4583</v>
      </c>
      <c r="B249" s="28">
        <v>1080</v>
      </c>
    </row>
    <row r="250" spans="1:2" x14ac:dyDescent="0.25">
      <c r="A250" s="27" t="s">
        <v>5138</v>
      </c>
      <c r="B250" s="28">
        <v>2480.5</v>
      </c>
    </row>
    <row r="251" spans="1:2" x14ac:dyDescent="0.25">
      <c r="A251" s="27" t="s">
        <v>1650</v>
      </c>
      <c r="B251" s="28">
        <v>1265</v>
      </c>
    </row>
    <row r="252" spans="1:2" x14ac:dyDescent="0.25">
      <c r="A252" s="27" t="s">
        <v>425</v>
      </c>
      <c r="B252" s="28">
        <v>462.71</v>
      </c>
    </row>
    <row r="253" spans="1:2" x14ac:dyDescent="0.25">
      <c r="A253" s="27" t="s">
        <v>2848</v>
      </c>
      <c r="B253" s="28">
        <v>1497.13</v>
      </c>
    </row>
    <row r="254" spans="1:2" x14ac:dyDescent="0.25">
      <c r="A254" s="27" t="s">
        <v>5306</v>
      </c>
      <c r="B254" s="28">
        <v>758.7</v>
      </c>
    </row>
    <row r="255" spans="1:2" x14ac:dyDescent="0.25">
      <c r="A255" s="27" t="s">
        <v>4600</v>
      </c>
      <c r="B255" s="28">
        <v>4235</v>
      </c>
    </row>
    <row r="256" spans="1:2" x14ac:dyDescent="0.25">
      <c r="A256" s="27" t="s">
        <v>100</v>
      </c>
      <c r="B256" s="28">
        <v>1860</v>
      </c>
    </row>
    <row r="257" spans="1:2" x14ac:dyDescent="0.25">
      <c r="A257" s="27" t="s">
        <v>4653</v>
      </c>
      <c r="B257" s="28">
        <v>350</v>
      </c>
    </row>
    <row r="258" spans="1:2" x14ac:dyDescent="0.25">
      <c r="A258" s="27" t="s">
        <v>429</v>
      </c>
      <c r="B258" s="28">
        <v>5617.79</v>
      </c>
    </row>
    <row r="259" spans="1:2" x14ac:dyDescent="0.25">
      <c r="A259" s="27" t="s">
        <v>5136</v>
      </c>
      <c r="B259" s="28">
        <v>2500</v>
      </c>
    </row>
    <row r="260" spans="1:2" x14ac:dyDescent="0.25">
      <c r="A260" s="27" t="s">
        <v>2916</v>
      </c>
      <c r="B260" s="28">
        <v>300</v>
      </c>
    </row>
    <row r="261" spans="1:2" x14ac:dyDescent="0.25">
      <c r="A261" s="27" t="s">
        <v>2919</v>
      </c>
      <c r="B261" s="28">
        <v>2199.1799999999998</v>
      </c>
    </row>
    <row r="262" spans="1:2" x14ac:dyDescent="0.25">
      <c r="A262" s="27" t="s">
        <v>2924</v>
      </c>
      <c r="B262" s="28">
        <v>611.04999999999995</v>
      </c>
    </row>
    <row r="263" spans="1:2" x14ac:dyDescent="0.25">
      <c r="A263" s="27" t="s">
        <v>333</v>
      </c>
      <c r="B263" s="28">
        <v>9950</v>
      </c>
    </row>
    <row r="264" spans="1:2" x14ac:dyDescent="0.25">
      <c r="A264" s="27" t="s">
        <v>481</v>
      </c>
      <c r="B264" s="28">
        <v>429.55</v>
      </c>
    </row>
    <row r="265" spans="1:2" x14ac:dyDescent="0.25">
      <c r="A265" s="27" t="s">
        <v>461</v>
      </c>
      <c r="B265" s="28">
        <v>35175.519999999997</v>
      </c>
    </row>
    <row r="266" spans="1:2" x14ac:dyDescent="0.25">
      <c r="A266" s="27" t="s">
        <v>405</v>
      </c>
      <c r="B266" s="28">
        <v>912</v>
      </c>
    </row>
    <row r="267" spans="1:2" x14ac:dyDescent="0.25">
      <c r="A267" s="27" t="s">
        <v>52</v>
      </c>
      <c r="B267" s="28">
        <v>481.56</v>
      </c>
    </row>
    <row r="268" spans="1:2" x14ac:dyDescent="0.25">
      <c r="A268" s="27" t="s">
        <v>411</v>
      </c>
      <c r="B268" s="28">
        <v>5082</v>
      </c>
    </row>
    <row r="269" spans="1:2" x14ac:dyDescent="0.25">
      <c r="A269" s="27" t="s">
        <v>401</v>
      </c>
      <c r="B269" s="28">
        <v>305.76</v>
      </c>
    </row>
    <row r="270" spans="1:2" x14ac:dyDescent="0.25">
      <c r="A270" s="27" t="s">
        <v>3005</v>
      </c>
      <c r="B270" s="28">
        <v>105.27</v>
      </c>
    </row>
    <row r="271" spans="1:2" x14ac:dyDescent="0.25">
      <c r="A271" s="27" t="s">
        <v>62</v>
      </c>
      <c r="B271" s="28">
        <v>6226.25</v>
      </c>
    </row>
    <row r="272" spans="1:2" x14ac:dyDescent="0.25">
      <c r="A272" s="27" t="s">
        <v>452</v>
      </c>
      <c r="B272" s="28">
        <v>15657.4</v>
      </c>
    </row>
    <row r="273" spans="1:2" x14ac:dyDescent="0.25">
      <c r="A273" s="27" t="s">
        <v>34</v>
      </c>
      <c r="B273" s="28">
        <v>3242.91</v>
      </c>
    </row>
    <row r="274" spans="1:2" x14ac:dyDescent="0.25">
      <c r="A274" s="27" t="s">
        <v>3071</v>
      </c>
      <c r="B274" s="28">
        <v>2107.9500000000003</v>
      </c>
    </row>
    <row r="275" spans="1:2" x14ac:dyDescent="0.25">
      <c r="A275" s="27" t="s">
        <v>41</v>
      </c>
      <c r="B275" s="28">
        <v>17650.5</v>
      </c>
    </row>
    <row r="276" spans="1:2" x14ac:dyDescent="0.25">
      <c r="A276" s="27" t="s">
        <v>38</v>
      </c>
      <c r="B276" s="28">
        <v>1720</v>
      </c>
    </row>
    <row r="277" spans="1:2" x14ac:dyDescent="0.25">
      <c r="A277" s="27" t="s">
        <v>496</v>
      </c>
      <c r="B277" s="28">
        <v>6110.5</v>
      </c>
    </row>
    <row r="278" spans="1:2" x14ac:dyDescent="0.25">
      <c r="A278" s="27" t="s">
        <v>72</v>
      </c>
      <c r="B278" s="28">
        <v>8392.9399999999987</v>
      </c>
    </row>
    <row r="279" spans="1:2" x14ac:dyDescent="0.25">
      <c r="A279" s="27" t="s">
        <v>89</v>
      </c>
      <c r="B279" s="28">
        <v>1609.1299999999999</v>
      </c>
    </row>
    <row r="280" spans="1:2" x14ac:dyDescent="0.25">
      <c r="A280" s="27" t="s">
        <v>46</v>
      </c>
      <c r="B280" s="28">
        <v>18343.990000000002</v>
      </c>
    </row>
    <row r="281" spans="1:2" x14ac:dyDescent="0.25">
      <c r="A281" s="27" t="s">
        <v>22</v>
      </c>
      <c r="B281" s="28">
        <v>6126.1100000000006</v>
      </c>
    </row>
    <row r="282" spans="1:2" x14ac:dyDescent="0.25">
      <c r="A282" s="27" t="s">
        <v>4715</v>
      </c>
      <c r="B282" s="28">
        <v>1441.11</v>
      </c>
    </row>
    <row r="283" spans="1:2" x14ac:dyDescent="0.25">
      <c r="A283" s="27" t="s">
        <v>3288</v>
      </c>
      <c r="B283" s="28">
        <v>217.8</v>
      </c>
    </row>
    <row r="284" spans="1:2" x14ac:dyDescent="0.25">
      <c r="A284" s="27" t="s">
        <v>74</v>
      </c>
      <c r="B284" s="28">
        <v>15967.56</v>
      </c>
    </row>
    <row r="285" spans="1:2" x14ac:dyDescent="0.25">
      <c r="A285" s="27" t="s">
        <v>850</v>
      </c>
      <c r="B285" s="28">
        <v>351.38</v>
      </c>
    </row>
    <row r="286" spans="1:2" x14ac:dyDescent="0.25">
      <c r="A286" s="27" t="s">
        <v>3327</v>
      </c>
      <c r="B286" s="28">
        <v>846.76</v>
      </c>
    </row>
    <row r="287" spans="1:2" x14ac:dyDescent="0.25">
      <c r="A287" s="27" t="s">
        <v>59</v>
      </c>
      <c r="B287" s="28">
        <v>6220.5</v>
      </c>
    </row>
    <row r="288" spans="1:2" x14ac:dyDescent="0.25">
      <c r="A288" s="27" t="s">
        <v>12</v>
      </c>
      <c r="B288" s="28">
        <v>250</v>
      </c>
    </row>
    <row r="289" spans="1:2" x14ac:dyDescent="0.25">
      <c r="A289" s="27" t="s">
        <v>3396</v>
      </c>
      <c r="B289" s="28">
        <v>6267.7999999999993</v>
      </c>
    </row>
    <row r="290" spans="1:2" x14ac:dyDescent="0.25">
      <c r="A290" s="27" t="s">
        <v>4757</v>
      </c>
      <c r="B290" s="28">
        <v>17871.7</v>
      </c>
    </row>
    <row r="291" spans="1:2" x14ac:dyDescent="0.25">
      <c r="A291" s="27" t="s">
        <v>1631</v>
      </c>
      <c r="B291" s="28">
        <v>16054.400000000001</v>
      </c>
    </row>
    <row r="292" spans="1:2" x14ac:dyDescent="0.25">
      <c r="A292" s="27" t="s">
        <v>318</v>
      </c>
      <c r="B292" s="28">
        <v>4302.2199999999993</v>
      </c>
    </row>
    <row r="293" spans="1:2" x14ac:dyDescent="0.25">
      <c r="A293" s="27" t="s">
        <v>4762</v>
      </c>
      <c r="B293" s="28">
        <v>1149.5</v>
      </c>
    </row>
    <row r="294" spans="1:2" x14ac:dyDescent="0.25">
      <c r="A294" s="27" t="s">
        <v>3405</v>
      </c>
      <c r="B294" s="28">
        <v>341.31</v>
      </c>
    </row>
    <row r="295" spans="1:2" x14ac:dyDescent="0.25">
      <c r="A295" s="27" t="s">
        <v>2436</v>
      </c>
      <c r="B295" s="28">
        <v>10044.209999999999</v>
      </c>
    </row>
    <row r="296" spans="1:2" x14ac:dyDescent="0.25">
      <c r="A296" s="27" t="s">
        <v>323</v>
      </c>
      <c r="B296" s="28">
        <v>6322.25</v>
      </c>
    </row>
    <row r="297" spans="1:2" x14ac:dyDescent="0.25">
      <c r="A297" s="27" t="s">
        <v>36</v>
      </c>
      <c r="B297" s="28">
        <v>15776.95</v>
      </c>
    </row>
    <row r="298" spans="1:2" x14ac:dyDescent="0.25">
      <c r="A298" s="27" t="s">
        <v>4766</v>
      </c>
      <c r="B298" s="28">
        <v>1000</v>
      </c>
    </row>
    <row r="299" spans="1:2" x14ac:dyDescent="0.25">
      <c r="A299" s="27" t="s">
        <v>3464</v>
      </c>
      <c r="B299" s="28">
        <v>5989.5</v>
      </c>
    </row>
    <row r="300" spans="1:2" x14ac:dyDescent="0.25">
      <c r="A300" s="27" t="s">
        <v>57</v>
      </c>
      <c r="B300" s="28">
        <v>3000</v>
      </c>
    </row>
    <row r="301" spans="1:2" x14ac:dyDescent="0.25">
      <c r="A301" s="27" t="s">
        <v>3479</v>
      </c>
      <c r="B301" s="28">
        <v>1331</v>
      </c>
    </row>
    <row r="302" spans="1:2" x14ac:dyDescent="0.25">
      <c r="A302" s="27" t="s">
        <v>4491</v>
      </c>
      <c r="B302" s="28">
        <v>4686.8</v>
      </c>
    </row>
    <row r="303" spans="1:2" x14ac:dyDescent="0.25">
      <c r="A303" s="27" t="s">
        <v>4771</v>
      </c>
      <c r="B303" s="28">
        <v>1353.32</v>
      </c>
    </row>
    <row r="304" spans="1:2" x14ac:dyDescent="0.25">
      <c r="A304" s="27" t="s">
        <v>335</v>
      </c>
      <c r="B304" s="28">
        <v>3400.1</v>
      </c>
    </row>
    <row r="305" spans="1:2" x14ac:dyDescent="0.25">
      <c r="A305" s="27" t="s">
        <v>4778</v>
      </c>
      <c r="B305" s="28">
        <v>7139</v>
      </c>
    </row>
    <row r="306" spans="1:2" x14ac:dyDescent="0.25">
      <c r="A306" s="27" t="s">
        <v>23</v>
      </c>
      <c r="B306" s="28">
        <v>13155.12</v>
      </c>
    </row>
    <row r="307" spans="1:2" x14ac:dyDescent="0.25">
      <c r="A307" s="27" t="s">
        <v>445</v>
      </c>
      <c r="B307" s="28">
        <v>1304.79</v>
      </c>
    </row>
    <row r="308" spans="1:2" x14ac:dyDescent="0.25">
      <c r="A308" s="27" t="s">
        <v>410</v>
      </c>
      <c r="B308" s="28">
        <v>994.62</v>
      </c>
    </row>
    <row r="309" spans="1:2" x14ac:dyDescent="0.25">
      <c r="A309" s="27" t="s">
        <v>4780</v>
      </c>
      <c r="B309" s="28">
        <v>33911.160000000003</v>
      </c>
    </row>
    <row r="310" spans="1:2" x14ac:dyDescent="0.25">
      <c r="A310" s="27" t="s">
        <v>316</v>
      </c>
      <c r="B310" s="28">
        <v>854.41000000000008</v>
      </c>
    </row>
    <row r="311" spans="1:2" x14ac:dyDescent="0.25">
      <c r="A311" s="27" t="s">
        <v>4792</v>
      </c>
      <c r="B311" s="28">
        <v>38236</v>
      </c>
    </row>
    <row r="312" spans="1:2" x14ac:dyDescent="0.25">
      <c r="A312" s="27" t="s">
        <v>584</v>
      </c>
      <c r="B312" s="28">
        <v>16494.5</v>
      </c>
    </row>
    <row r="313" spans="1:2" x14ac:dyDescent="0.25">
      <c r="A313" s="27" t="s">
        <v>3566</v>
      </c>
      <c r="B313" s="28">
        <v>2359.5</v>
      </c>
    </row>
    <row r="314" spans="1:2" x14ac:dyDescent="0.25">
      <c r="A314" s="27" t="s">
        <v>3568</v>
      </c>
      <c r="B314" s="28">
        <v>2377.65</v>
      </c>
    </row>
    <row r="315" spans="1:2" x14ac:dyDescent="0.25">
      <c r="A315" s="27" t="s">
        <v>61</v>
      </c>
      <c r="B315" s="28">
        <v>3500</v>
      </c>
    </row>
    <row r="316" spans="1:2" x14ac:dyDescent="0.25">
      <c r="A316" s="27" t="s">
        <v>3581</v>
      </c>
      <c r="B316" s="28">
        <v>1089</v>
      </c>
    </row>
    <row r="317" spans="1:2" x14ac:dyDescent="0.25">
      <c r="A317" s="27" t="s">
        <v>3588</v>
      </c>
      <c r="B317" s="28">
        <v>7200</v>
      </c>
    </row>
    <row r="318" spans="1:2" x14ac:dyDescent="0.25">
      <c r="A318" s="27" t="s">
        <v>88</v>
      </c>
      <c r="B318" s="28">
        <v>1484.73</v>
      </c>
    </row>
    <row r="319" spans="1:2" x14ac:dyDescent="0.25">
      <c r="A319" s="27" t="s">
        <v>449</v>
      </c>
      <c r="B319" s="28">
        <v>500</v>
      </c>
    </row>
    <row r="320" spans="1:2" x14ac:dyDescent="0.25">
      <c r="A320" s="27" t="s">
        <v>1879</v>
      </c>
      <c r="B320" s="28">
        <v>3751</v>
      </c>
    </row>
    <row r="321" spans="1:2" x14ac:dyDescent="0.25">
      <c r="A321" s="27" t="s">
        <v>3602</v>
      </c>
      <c r="B321" s="28">
        <v>100</v>
      </c>
    </row>
    <row r="322" spans="1:2" x14ac:dyDescent="0.25">
      <c r="A322" s="27" t="s">
        <v>3656</v>
      </c>
      <c r="B322" s="28">
        <v>176.39</v>
      </c>
    </row>
    <row r="323" spans="1:2" x14ac:dyDescent="0.25">
      <c r="A323" s="27" t="s">
        <v>492</v>
      </c>
      <c r="B323" s="28">
        <v>1452.02</v>
      </c>
    </row>
    <row r="324" spans="1:2" x14ac:dyDescent="0.25">
      <c r="A324" s="27" t="s">
        <v>402</v>
      </c>
      <c r="B324" s="28">
        <v>14565.550000000001</v>
      </c>
    </row>
    <row r="325" spans="1:2" x14ac:dyDescent="0.25">
      <c r="A325" s="27" t="s">
        <v>575</v>
      </c>
      <c r="B325" s="28">
        <v>5280</v>
      </c>
    </row>
    <row r="326" spans="1:2" x14ac:dyDescent="0.25">
      <c r="A326" s="27" t="s">
        <v>5388</v>
      </c>
      <c r="B326" s="28">
        <v>225</v>
      </c>
    </row>
    <row r="327" spans="1:2" x14ac:dyDescent="0.25">
      <c r="A327" s="27" t="s">
        <v>317</v>
      </c>
      <c r="B327" s="28">
        <v>676.36</v>
      </c>
    </row>
    <row r="328" spans="1:2" x14ac:dyDescent="0.25">
      <c r="A328" s="27" t="s">
        <v>96</v>
      </c>
      <c r="B328" s="28">
        <v>15716.55</v>
      </c>
    </row>
    <row r="329" spans="1:2" x14ac:dyDescent="0.25">
      <c r="A329" s="27" t="s">
        <v>3643</v>
      </c>
      <c r="B329" s="28">
        <v>6292</v>
      </c>
    </row>
    <row r="330" spans="1:2" x14ac:dyDescent="0.25">
      <c r="A330" s="27" t="s">
        <v>4814</v>
      </c>
      <c r="B330" s="28">
        <v>163.58000000000001</v>
      </c>
    </row>
    <row r="331" spans="1:2" x14ac:dyDescent="0.25">
      <c r="A331" s="27" t="s">
        <v>3648</v>
      </c>
      <c r="B331" s="28">
        <v>150</v>
      </c>
    </row>
    <row r="332" spans="1:2" x14ac:dyDescent="0.25">
      <c r="A332" s="27" t="s">
        <v>3650</v>
      </c>
      <c r="B332" s="28">
        <v>2100.4</v>
      </c>
    </row>
    <row r="333" spans="1:2" x14ac:dyDescent="0.25">
      <c r="A333" s="27" t="s">
        <v>415</v>
      </c>
      <c r="B333" s="28">
        <v>7030.32</v>
      </c>
    </row>
    <row r="334" spans="1:2" x14ac:dyDescent="0.25">
      <c r="A334" s="27" t="s">
        <v>322</v>
      </c>
      <c r="B334" s="28">
        <v>2000</v>
      </c>
    </row>
    <row r="335" spans="1:2" x14ac:dyDescent="0.25">
      <c r="A335" s="27" t="s">
        <v>409</v>
      </c>
      <c r="B335" s="28">
        <v>2136.0100000000002</v>
      </c>
    </row>
    <row r="336" spans="1:2" x14ac:dyDescent="0.25">
      <c r="A336" s="27" t="s">
        <v>3739</v>
      </c>
      <c r="B336" s="28">
        <v>32474.47</v>
      </c>
    </row>
    <row r="337" spans="1:2" x14ac:dyDescent="0.25">
      <c r="A337" s="27" t="s">
        <v>109</v>
      </c>
      <c r="B337" s="28">
        <v>1000</v>
      </c>
    </row>
    <row r="338" spans="1:2" x14ac:dyDescent="0.25">
      <c r="A338" s="27" t="s">
        <v>86</v>
      </c>
      <c r="B338" s="28">
        <v>1004.4</v>
      </c>
    </row>
    <row r="339" spans="1:2" x14ac:dyDescent="0.25">
      <c r="A339" s="27" t="s">
        <v>3750</v>
      </c>
      <c r="B339" s="28">
        <v>8640</v>
      </c>
    </row>
    <row r="340" spans="1:2" x14ac:dyDescent="0.25">
      <c r="A340" s="27" t="s">
        <v>1819</v>
      </c>
      <c r="B340" s="28">
        <v>605</v>
      </c>
    </row>
    <row r="341" spans="1:2" x14ac:dyDescent="0.25">
      <c r="A341" s="27" t="s">
        <v>4108</v>
      </c>
      <c r="B341" s="28">
        <v>3025</v>
      </c>
    </row>
    <row r="342" spans="1:2" x14ac:dyDescent="0.25">
      <c r="A342" s="27" t="s">
        <v>3312</v>
      </c>
      <c r="B342" s="28">
        <v>7724.6399999999994</v>
      </c>
    </row>
    <row r="343" spans="1:2" x14ac:dyDescent="0.25">
      <c r="A343" s="27" t="s">
        <v>2224</v>
      </c>
      <c r="B343" s="28">
        <v>1150</v>
      </c>
    </row>
    <row r="344" spans="1:2" x14ac:dyDescent="0.25">
      <c r="A344" s="27" t="s">
        <v>484</v>
      </c>
      <c r="B344" s="28">
        <v>550</v>
      </c>
    </row>
    <row r="345" spans="1:2" x14ac:dyDescent="0.25">
      <c r="A345" s="27" t="s">
        <v>503</v>
      </c>
      <c r="B345" s="28">
        <v>665.5</v>
      </c>
    </row>
    <row r="346" spans="1:2" x14ac:dyDescent="0.25">
      <c r="A346" s="27" t="s">
        <v>349</v>
      </c>
      <c r="B346" s="28">
        <v>13431</v>
      </c>
    </row>
    <row r="347" spans="1:2" x14ac:dyDescent="0.25">
      <c r="A347" s="27" t="s">
        <v>4029</v>
      </c>
      <c r="B347" s="28">
        <v>10769</v>
      </c>
    </row>
    <row r="348" spans="1:2" x14ac:dyDescent="0.25">
      <c r="A348" s="27" t="s">
        <v>3561</v>
      </c>
      <c r="B348" s="28">
        <v>350</v>
      </c>
    </row>
    <row r="349" spans="1:2" x14ac:dyDescent="0.25">
      <c r="A349" s="27" t="s">
        <v>423</v>
      </c>
      <c r="B349" s="28">
        <v>18</v>
      </c>
    </row>
    <row r="350" spans="1:2" x14ac:dyDescent="0.25">
      <c r="A350" s="27" t="s">
        <v>341</v>
      </c>
      <c r="B350" s="28">
        <v>108.16</v>
      </c>
    </row>
    <row r="351" spans="1:2" x14ac:dyDescent="0.25">
      <c r="A351" s="27" t="s">
        <v>1930</v>
      </c>
      <c r="B351" s="28">
        <v>2000</v>
      </c>
    </row>
    <row r="352" spans="1:2" x14ac:dyDescent="0.25">
      <c r="A352" s="27" t="s">
        <v>342</v>
      </c>
      <c r="B352" s="28">
        <v>196</v>
      </c>
    </row>
    <row r="353" spans="1:2" x14ac:dyDescent="0.25">
      <c r="A353" s="27" t="s">
        <v>431</v>
      </c>
      <c r="B353" s="28">
        <v>6217.13</v>
      </c>
    </row>
    <row r="354" spans="1:2" x14ac:dyDescent="0.25">
      <c r="A354" s="27" t="s">
        <v>1407</v>
      </c>
      <c r="B354" s="28">
        <v>2880</v>
      </c>
    </row>
    <row r="355" spans="1:2" x14ac:dyDescent="0.25">
      <c r="A355" s="27" t="s">
        <v>1614</v>
      </c>
      <c r="B355" s="28">
        <v>400</v>
      </c>
    </row>
    <row r="356" spans="1:2" x14ac:dyDescent="0.25">
      <c r="A356" s="27" t="s">
        <v>346</v>
      </c>
      <c r="B356" s="28">
        <v>6822.88</v>
      </c>
    </row>
    <row r="357" spans="1:2" x14ac:dyDescent="0.25">
      <c r="A357" s="27" t="s">
        <v>472</v>
      </c>
      <c r="B357" s="28">
        <v>40.5</v>
      </c>
    </row>
    <row r="358" spans="1:2" x14ac:dyDescent="0.25">
      <c r="A358" s="27" t="s">
        <v>351</v>
      </c>
      <c r="B358" s="28">
        <v>1658.68</v>
      </c>
    </row>
    <row r="359" spans="1:2" x14ac:dyDescent="0.25">
      <c r="A359" s="27" t="s">
        <v>1701</v>
      </c>
      <c r="B359" s="28">
        <v>3000</v>
      </c>
    </row>
    <row r="360" spans="1:2" x14ac:dyDescent="0.25">
      <c r="A360" s="27" t="s">
        <v>343</v>
      </c>
      <c r="B360" s="28">
        <v>7260</v>
      </c>
    </row>
    <row r="361" spans="1:2" x14ac:dyDescent="0.25">
      <c r="A361" s="27" t="s">
        <v>344</v>
      </c>
      <c r="B361" s="28">
        <v>7260</v>
      </c>
    </row>
    <row r="362" spans="1:2" x14ac:dyDescent="0.25">
      <c r="A362" s="27" t="s">
        <v>345</v>
      </c>
      <c r="B362" s="28">
        <v>3000</v>
      </c>
    </row>
    <row r="363" spans="1:2" x14ac:dyDescent="0.25">
      <c r="A363" s="27" t="s">
        <v>347</v>
      </c>
      <c r="B363" s="28">
        <v>4890.57</v>
      </c>
    </row>
    <row r="364" spans="1:2" x14ac:dyDescent="0.25">
      <c r="A364" s="27" t="s">
        <v>348</v>
      </c>
      <c r="B364" s="28">
        <v>1028.5</v>
      </c>
    </row>
    <row r="365" spans="1:2" x14ac:dyDescent="0.25">
      <c r="A365" s="27" t="s">
        <v>340</v>
      </c>
      <c r="B365" s="28">
        <v>5420.8</v>
      </c>
    </row>
    <row r="366" spans="1:2" x14ac:dyDescent="0.25">
      <c r="A366" s="27" t="s">
        <v>1757</v>
      </c>
      <c r="B366" s="28">
        <v>300.08</v>
      </c>
    </row>
    <row r="367" spans="1:2" x14ac:dyDescent="0.25">
      <c r="A367" s="27" t="s">
        <v>4121</v>
      </c>
      <c r="B367" s="28">
        <v>1161.5999999999999</v>
      </c>
    </row>
    <row r="368" spans="1:2" x14ac:dyDescent="0.25">
      <c r="A368" s="27" t="s">
        <v>1881</v>
      </c>
      <c r="B368" s="28">
        <v>498</v>
      </c>
    </row>
    <row r="369" spans="1:2" x14ac:dyDescent="0.25">
      <c r="A369" s="27" t="s">
        <v>2340</v>
      </c>
      <c r="B369" s="28">
        <v>411.4</v>
      </c>
    </row>
    <row r="370" spans="1:2" x14ac:dyDescent="0.25">
      <c r="A370" s="27" t="s">
        <v>4111</v>
      </c>
      <c r="B370" s="28">
        <v>500</v>
      </c>
    </row>
    <row r="371" spans="1:2" x14ac:dyDescent="0.25">
      <c r="A371" s="27" t="s">
        <v>3243</v>
      </c>
      <c r="B371" s="28">
        <v>300</v>
      </c>
    </row>
    <row r="372" spans="1:2" x14ac:dyDescent="0.25">
      <c r="A372" s="27" t="s">
        <v>3744</v>
      </c>
      <c r="B372" s="28">
        <v>2301</v>
      </c>
    </row>
    <row r="373" spans="1:2" x14ac:dyDescent="0.25">
      <c r="A373" s="27" t="s">
        <v>4705</v>
      </c>
      <c r="B373" s="28">
        <v>617.1</v>
      </c>
    </row>
    <row r="374" spans="1:2" x14ac:dyDescent="0.25">
      <c r="A374" s="27" t="s">
        <v>384</v>
      </c>
      <c r="B374" s="28">
        <v>7260</v>
      </c>
    </row>
    <row r="375" spans="1:2" x14ac:dyDescent="0.25">
      <c r="A375" s="27" t="s">
        <v>1184</v>
      </c>
      <c r="B375" s="28">
        <v>4627.04</v>
      </c>
    </row>
    <row r="376" spans="1:2" x14ac:dyDescent="0.25">
      <c r="A376" s="27" t="s">
        <v>388</v>
      </c>
      <c r="B376" s="28">
        <v>7260</v>
      </c>
    </row>
    <row r="377" spans="1:2" x14ac:dyDescent="0.25">
      <c r="A377" s="27" t="s">
        <v>389</v>
      </c>
      <c r="B377" s="28">
        <v>5445</v>
      </c>
    </row>
    <row r="378" spans="1:2" x14ac:dyDescent="0.25">
      <c r="A378" s="27" t="s">
        <v>5364</v>
      </c>
      <c r="B378" s="28">
        <v>300</v>
      </c>
    </row>
    <row r="379" spans="1:2" x14ac:dyDescent="0.25">
      <c r="A379" s="27" t="s">
        <v>390</v>
      </c>
      <c r="B379" s="28">
        <v>673.09</v>
      </c>
    </row>
    <row r="380" spans="1:2" x14ac:dyDescent="0.25">
      <c r="A380" s="27" t="s">
        <v>2477</v>
      </c>
      <c r="B380" s="28">
        <v>8313.1</v>
      </c>
    </row>
    <row r="381" spans="1:2" x14ac:dyDescent="0.25">
      <c r="A381" s="27" t="s">
        <v>392</v>
      </c>
      <c r="B381" s="28">
        <v>2770.9</v>
      </c>
    </row>
    <row r="382" spans="1:2" x14ac:dyDescent="0.25">
      <c r="A382" s="27" t="s">
        <v>2366</v>
      </c>
      <c r="B382" s="28">
        <v>2612.5</v>
      </c>
    </row>
    <row r="383" spans="1:2" x14ac:dyDescent="0.25">
      <c r="A383" s="27" t="s">
        <v>394</v>
      </c>
      <c r="B383" s="28">
        <v>20099.48</v>
      </c>
    </row>
    <row r="384" spans="1:2" x14ac:dyDescent="0.25">
      <c r="A384" s="27" t="s">
        <v>395</v>
      </c>
      <c r="B384" s="28">
        <v>6495.0599999999995</v>
      </c>
    </row>
    <row r="385" spans="1:2" x14ac:dyDescent="0.25">
      <c r="A385" s="27" t="s">
        <v>396</v>
      </c>
      <c r="B385" s="28">
        <v>160</v>
      </c>
    </row>
    <row r="386" spans="1:2" x14ac:dyDescent="0.25">
      <c r="A386" s="27" t="s">
        <v>3457</v>
      </c>
      <c r="B386" s="28">
        <v>48237.86</v>
      </c>
    </row>
    <row r="387" spans="1:2" x14ac:dyDescent="0.25">
      <c r="A387" s="27" t="s">
        <v>4956</v>
      </c>
      <c r="B387" s="28">
        <v>45361.31</v>
      </c>
    </row>
    <row r="388" spans="1:2" x14ac:dyDescent="0.25">
      <c r="A388" s="27" t="s">
        <v>5503</v>
      </c>
      <c r="B388" s="28">
        <v>330</v>
      </c>
    </row>
    <row r="389" spans="1:2" x14ac:dyDescent="0.25">
      <c r="A389" s="27" t="s">
        <v>398</v>
      </c>
      <c r="B389" s="28">
        <v>78.650000000000006</v>
      </c>
    </row>
    <row r="390" spans="1:2" x14ac:dyDescent="0.25">
      <c r="A390" s="27" t="s">
        <v>399</v>
      </c>
      <c r="B390" s="28">
        <v>89</v>
      </c>
    </row>
    <row r="391" spans="1:2" x14ac:dyDescent="0.25">
      <c r="A391" s="27" t="s">
        <v>983</v>
      </c>
      <c r="B391" s="28">
        <v>180</v>
      </c>
    </row>
    <row r="392" spans="1:2" x14ac:dyDescent="0.25">
      <c r="A392" s="27" t="s">
        <v>2473</v>
      </c>
      <c r="B392" s="28">
        <v>270.70999999999998</v>
      </c>
    </row>
    <row r="393" spans="1:2" x14ac:dyDescent="0.25">
      <c r="A393" s="27" t="s">
        <v>2385</v>
      </c>
      <c r="B393" s="28">
        <v>5916.9</v>
      </c>
    </row>
    <row r="394" spans="1:2" x14ac:dyDescent="0.25">
      <c r="A394" s="27" t="s">
        <v>1800</v>
      </c>
      <c r="B394" s="28">
        <v>6380.04</v>
      </c>
    </row>
    <row r="395" spans="1:2" x14ac:dyDescent="0.25">
      <c r="A395" s="27" t="s">
        <v>403</v>
      </c>
      <c r="B395" s="28">
        <v>665.5</v>
      </c>
    </row>
    <row r="396" spans="1:2" x14ac:dyDescent="0.25">
      <c r="A396" s="27" t="s">
        <v>4711</v>
      </c>
      <c r="B396" s="28">
        <v>1936</v>
      </c>
    </row>
    <row r="397" spans="1:2" x14ac:dyDescent="0.25">
      <c r="A397" s="27" t="s">
        <v>404</v>
      </c>
      <c r="B397" s="28">
        <v>626.36</v>
      </c>
    </row>
    <row r="398" spans="1:2" x14ac:dyDescent="0.25">
      <c r="A398" s="27" t="s">
        <v>797</v>
      </c>
      <c r="B398" s="28">
        <v>290.39999999999998</v>
      </c>
    </row>
    <row r="399" spans="1:2" x14ac:dyDescent="0.25">
      <c r="A399" s="27" t="s">
        <v>4808</v>
      </c>
      <c r="B399" s="28">
        <v>4393.3900000000003</v>
      </c>
    </row>
    <row r="400" spans="1:2" x14ac:dyDescent="0.25">
      <c r="A400" s="27" t="s">
        <v>407</v>
      </c>
      <c r="B400" s="28">
        <v>1996.5</v>
      </c>
    </row>
    <row r="401" spans="1:2" x14ac:dyDescent="0.25">
      <c r="A401" s="27" t="s">
        <v>2748</v>
      </c>
      <c r="B401" s="28">
        <v>453.40000000000003</v>
      </c>
    </row>
    <row r="402" spans="1:2" x14ac:dyDescent="0.25">
      <c r="A402" s="27" t="s">
        <v>3609</v>
      </c>
      <c r="B402" s="28">
        <v>169.4</v>
      </c>
    </row>
    <row r="403" spans="1:2" x14ac:dyDescent="0.25">
      <c r="A403" s="27" t="s">
        <v>5383</v>
      </c>
      <c r="B403" s="28">
        <v>1149.5</v>
      </c>
    </row>
    <row r="404" spans="1:2" x14ac:dyDescent="0.25">
      <c r="A404" s="27" t="s">
        <v>2836</v>
      </c>
      <c r="B404" s="28">
        <v>1185.8</v>
      </c>
    </row>
    <row r="405" spans="1:2" x14ac:dyDescent="0.25">
      <c r="A405" s="27" t="s">
        <v>408</v>
      </c>
      <c r="B405" s="28">
        <v>1464.2</v>
      </c>
    </row>
    <row r="406" spans="1:2" x14ac:dyDescent="0.25">
      <c r="A406" s="27" t="s">
        <v>2187</v>
      </c>
      <c r="B406" s="28">
        <v>476.21</v>
      </c>
    </row>
    <row r="407" spans="1:2" x14ac:dyDescent="0.25">
      <c r="A407" s="27" t="s">
        <v>2394</v>
      </c>
      <c r="B407" s="28">
        <v>3439.86</v>
      </c>
    </row>
    <row r="408" spans="1:2" x14ac:dyDescent="0.25">
      <c r="A408" s="27" t="s">
        <v>3672</v>
      </c>
      <c r="B408" s="28">
        <v>1149.5</v>
      </c>
    </row>
    <row r="409" spans="1:2" x14ac:dyDescent="0.25">
      <c r="A409" s="27" t="s">
        <v>1816</v>
      </c>
      <c r="B409" s="28">
        <v>8394.3799999999992</v>
      </c>
    </row>
    <row r="410" spans="1:2" x14ac:dyDescent="0.25">
      <c r="A410" s="27" t="s">
        <v>412</v>
      </c>
      <c r="B410" s="28">
        <v>3746.16</v>
      </c>
    </row>
    <row r="411" spans="1:2" x14ac:dyDescent="0.25">
      <c r="A411" s="27" t="s">
        <v>4271</v>
      </c>
      <c r="B411" s="28">
        <v>4931.68</v>
      </c>
    </row>
    <row r="412" spans="1:2" x14ac:dyDescent="0.25">
      <c r="A412" s="27" t="s">
        <v>416</v>
      </c>
      <c r="B412" s="28">
        <v>3925</v>
      </c>
    </row>
    <row r="413" spans="1:2" x14ac:dyDescent="0.25">
      <c r="A413" s="27" t="s">
        <v>418</v>
      </c>
      <c r="B413" s="28">
        <v>3363</v>
      </c>
    </row>
    <row r="414" spans="1:2" x14ac:dyDescent="0.25">
      <c r="A414" s="27" t="s">
        <v>3055</v>
      </c>
      <c r="B414" s="28">
        <v>500</v>
      </c>
    </row>
    <row r="415" spans="1:2" x14ac:dyDescent="0.25">
      <c r="A415" s="27" t="s">
        <v>4140</v>
      </c>
      <c r="B415" s="28">
        <v>4089.8</v>
      </c>
    </row>
    <row r="416" spans="1:2" x14ac:dyDescent="0.25">
      <c r="A416" s="27" t="s">
        <v>3875</v>
      </c>
      <c r="B416" s="28">
        <v>1500</v>
      </c>
    </row>
    <row r="417" spans="1:2" x14ac:dyDescent="0.25">
      <c r="A417" s="27" t="s">
        <v>421</v>
      </c>
      <c r="B417" s="28">
        <v>16359.2</v>
      </c>
    </row>
    <row r="418" spans="1:2" x14ac:dyDescent="0.25">
      <c r="A418" s="27" t="s">
        <v>422</v>
      </c>
      <c r="B418" s="28">
        <v>14686.119999999999</v>
      </c>
    </row>
    <row r="419" spans="1:2" x14ac:dyDescent="0.25">
      <c r="A419" s="27" t="s">
        <v>3238</v>
      </c>
      <c r="B419" s="28">
        <v>632.25</v>
      </c>
    </row>
    <row r="420" spans="1:2" x14ac:dyDescent="0.25">
      <c r="A420" s="27" t="s">
        <v>424</v>
      </c>
      <c r="B420" s="28">
        <v>1016.41</v>
      </c>
    </row>
    <row r="421" spans="1:2" x14ac:dyDescent="0.25">
      <c r="A421" s="27" t="s">
        <v>1570</v>
      </c>
      <c r="B421" s="28">
        <v>1500</v>
      </c>
    </row>
    <row r="422" spans="1:2" x14ac:dyDescent="0.25">
      <c r="A422" s="27" t="s">
        <v>3495</v>
      </c>
      <c r="B422" s="28">
        <v>461.17</v>
      </c>
    </row>
    <row r="423" spans="1:2" x14ac:dyDescent="0.25">
      <c r="A423" s="27" t="s">
        <v>427</v>
      </c>
      <c r="B423" s="28">
        <v>6259.14</v>
      </c>
    </row>
    <row r="424" spans="1:2" x14ac:dyDescent="0.25">
      <c r="A424" s="27" t="s">
        <v>4023</v>
      </c>
      <c r="B424" s="28">
        <v>11396</v>
      </c>
    </row>
    <row r="425" spans="1:2" x14ac:dyDescent="0.25">
      <c r="A425" s="27" t="s">
        <v>1750</v>
      </c>
      <c r="B425" s="28">
        <v>8160.75</v>
      </c>
    </row>
    <row r="426" spans="1:2" x14ac:dyDescent="0.25">
      <c r="A426" s="27" t="s">
        <v>430</v>
      </c>
      <c r="B426" s="28">
        <v>1694</v>
      </c>
    </row>
    <row r="427" spans="1:2" x14ac:dyDescent="0.25">
      <c r="A427" s="27" t="s">
        <v>3251</v>
      </c>
      <c r="B427" s="28">
        <v>6655</v>
      </c>
    </row>
    <row r="428" spans="1:2" x14ac:dyDescent="0.25">
      <c r="A428" s="27" t="s">
        <v>432</v>
      </c>
      <c r="B428" s="28">
        <v>528.77</v>
      </c>
    </row>
    <row r="429" spans="1:2" x14ac:dyDescent="0.25">
      <c r="A429" s="27" t="s">
        <v>433</v>
      </c>
      <c r="B429" s="28">
        <v>12500</v>
      </c>
    </row>
    <row r="430" spans="1:2" x14ac:dyDescent="0.25">
      <c r="A430" s="27" t="s">
        <v>3646</v>
      </c>
      <c r="B430" s="28">
        <v>5541.8</v>
      </c>
    </row>
    <row r="431" spans="1:2" x14ac:dyDescent="0.25">
      <c r="A431" s="27" t="s">
        <v>434</v>
      </c>
      <c r="B431" s="28">
        <v>2321.29</v>
      </c>
    </row>
    <row r="432" spans="1:2" x14ac:dyDescent="0.25">
      <c r="A432" s="27" t="s">
        <v>4819</v>
      </c>
      <c r="B432" s="28">
        <v>122.14</v>
      </c>
    </row>
    <row r="433" spans="1:2" x14ac:dyDescent="0.25">
      <c r="A433" s="27" t="s">
        <v>436</v>
      </c>
      <c r="B433" s="28">
        <v>1498</v>
      </c>
    </row>
    <row r="434" spans="1:2" x14ac:dyDescent="0.25">
      <c r="A434" s="27" t="s">
        <v>437</v>
      </c>
      <c r="B434" s="28">
        <v>6574.08</v>
      </c>
    </row>
    <row r="435" spans="1:2" x14ac:dyDescent="0.25">
      <c r="A435" s="27" t="s">
        <v>439</v>
      </c>
      <c r="B435" s="28">
        <v>1075.6199999999999</v>
      </c>
    </row>
    <row r="436" spans="1:2" x14ac:dyDescent="0.25">
      <c r="A436" s="27" t="s">
        <v>2280</v>
      </c>
      <c r="B436" s="28">
        <v>720</v>
      </c>
    </row>
    <row r="437" spans="1:2" x14ac:dyDescent="0.25">
      <c r="A437" s="27" t="s">
        <v>5161</v>
      </c>
      <c r="B437" s="28">
        <v>1795.13</v>
      </c>
    </row>
    <row r="438" spans="1:2" x14ac:dyDescent="0.25">
      <c r="A438" s="27" t="s">
        <v>2524</v>
      </c>
      <c r="B438" s="28">
        <v>2200</v>
      </c>
    </row>
    <row r="439" spans="1:2" x14ac:dyDescent="0.25">
      <c r="A439" s="27" t="s">
        <v>440</v>
      </c>
      <c r="B439" s="28">
        <v>660</v>
      </c>
    </row>
    <row r="440" spans="1:2" x14ac:dyDescent="0.25">
      <c r="A440" s="27" t="s">
        <v>441</v>
      </c>
      <c r="B440" s="28">
        <v>1597.2</v>
      </c>
    </row>
    <row r="441" spans="1:2" x14ac:dyDescent="0.25">
      <c r="A441" s="27" t="s">
        <v>444</v>
      </c>
      <c r="B441" s="28">
        <v>1564.05</v>
      </c>
    </row>
    <row r="442" spans="1:2" x14ac:dyDescent="0.25">
      <c r="A442" s="27" t="s">
        <v>3732</v>
      </c>
      <c r="B442" s="28">
        <v>2063.0500000000002</v>
      </c>
    </row>
    <row r="443" spans="1:2" x14ac:dyDescent="0.25">
      <c r="A443" s="27" t="s">
        <v>3330</v>
      </c>
      <c r="B443" s="28">
        <v>2574.88</v>
      </c>
    </row>
    <row r="444" spans="1:2" x14ac:dyDescent="0.25">
      <c r="A444" s="27" t="s">
        <v>447</v>
      </c>
      <c r="B444" s="28">
        <v>1155</v>
      </c>
    </row>
    <row r="445" spans="1:2" x14ac:dyDescent="0.25">
      <c r="A445" s="27" t="s">
        <v>1527</v>
      </c>
      <c r="B445" s="28">
        <v>1633.5</v>
      </c>
    </row>
    <row r="446" spans="1:2" x14ac:dyDescent="0.25">
      <c r="A446" s="27" t="s">
        <v>1163</v>
      </c>
      <c r="B446" s="28">
        <v>1976.63</v>
      </c>
    </row>
    <row r="447" spans="1:2" x14ac:dyDescent="0.25">
      <c r="A447" s="27" t="s">
        <v>2480</v>
      </c>
      <c r="B447" s="28">
        <v>338.79999999999995</v>
      </c>
    </row>
    <row r="448" spans="1:2" x14ac:dyDescent="0.25">
      <c r="A448" s="27" t="s">
        <v>3493</v>
      </c>
      <c r="B448" s="28">
        <v>1045</v>
      </c>
    </row>
    <row r="449" spans="1:2" x14ac:dyDescent="0.25">
      <c r="A449" s="27" t="s">
        <v>451</v>
      </c>
      <c r="B449" s="28">
        <v>1688.24</v>
      </c>
    </row>
    <row r="450" spans="1:2" x14ac:dyDescent="0.25">
      <c r="A450" s="27" t="s">
        <v>2605</v>
      </c>
      <c r="B450" s="28">
        <v>6534</v>
      </c>
    </row>
    <row r="451" spans="1:2" x14ac:dyDescent="0.25">
      <c r="A451" s="27" t="s">
        <v>2776</v>
      </c>
      <c r="B451" s="28">
        <v>120</v>
      </c>
    </row>
    <row r="452" spans="1:2" x14ac:dyDescent="0.25">
      <c r="A452" s="27" t="s">
        <v>3981</v>
      </c>
      <c r="B452" s="28">
        <v>6755.16</v>
      </c>
    </row>
    <row r="453" spans="1:2" x14ac:dyDescent="0.25">
      <c r="A453" s="27" t="s">
        <v>1915</v>
      </c>
      <c r="B453" s="28">
        <v>6033.6399999999994</v>
      </c>
    </row>
    <row r="454" spans="1:2" x14ac:dyDescent="0.25">
      <c r="A454" s="27" t="s">
        <v>3030</v>
      </c>
      <c r="B454" s="28">
        <v>323.98</v>
      </c>
    </row>
    <row r="455" spans="1:2" x14ac:dyDescent="0.25">
      <c r="A455" s="27" t="s">
        <v>453</v>
      </c>
      <c r="B455" s="28">
        <v>6969.6</v>
      </c>
    </row>
    <row r="456" spans="1:2" x14ac:dyDescent="0.25">
      <c r="A456" s="27" t="s">
        <v>454</v>
      </c>
      <c r="B456" s="28">
        <v>175</v>
      </c>
    </row>
    <row r="457" spans="1:2" x14ac:dyDescent="0.25">
      <c r="A457" s="27" t="s">
        <v>455</v>
      </c>
      <c r="B457" s="28">
        <v>1260</v>
      </c>
    </row>
    <row r="458" spans="1:2" x14ac:dyDescent="0.25">
      <c r="A458" s="27" t="s">
        <v>2895</v>
      </c>
      <c r="B458" s="28">
        <v>1503.37</v>
      </c>
    </row>
    <row r="459" spans="1:2" x14ac:dyDescent="0.25">
      <c r="A459" s="27" t="s">
        <v>3057</v>
      </c>
      <c r="B459" s="28">
        <v>211.75</v>
      </c>
    </row>
    <row r="460" spans="1:2" x14ac:dyDescent="0.25">
      <c r="A460" s="27" t="s">
        <v>5460</v>
      </c>
      <c r="B460" s="28">
        <v>69</v>
      </c>
    </row>
    <row r="461" spans="1:2" x14ac:dyDescent="0.25">
      <c r="A461" s="27" t="s">
        <v>2467</v>
      </c>
      <c r="B461" s="28">
        <v>302.88</v>
      </c>
    </row>
    <row r="462" spans="1:2" x14ac:dyDescent="0.25">
      <c r="A462" s="27" t="s">
        <v>456</v>
      </c>
      <c r="B462" s="28">
        <v>9722.69</v>
      </c>
    </row>
    <row r="463" spans="1:2" x14ac:dyDescent="0.25">
      <c r="A463" s="27" t="s">
        <v>3490</v>
      </c>
      <c r="B463" s="28">
        <v>49733.91</v>
      </c>
    </row>
    <row r="464" spans="1:2" x14ac:dyDescent="0.25">
      <c r="A464" s="27" t="s">
        <v>3320</v>
      </c>
      <c r="B464" s="28">
        <v>605</v>
      </c>
    </row>
    <row r="465" spans="1:2" x14ac:dyDescent="0.25">
      <c r="A465" s="27" t="s">
        <v>4055</v>
      </c>
      <c r="B465" s="28">
        <v>258.08999999999997</v>
      </c>
    </row>
    <row r="466" spans="1:2" x14ac:dyDescent="0.25">
      <c r="A466" s="27" t="s">
        <v>1475</v>
      </c>
      <c r="B466" s="28">
        <v>2171.9499999999998</v>
      </c>
    </row>
    <row r="467" spans="1:2" x14ac:dyDescent="0.25">
      <c r="A467" s="27" t="s">
        <v>459</v>
      </c>
      <c r="B467" s="28">
        <v>7018</v>
      </c>
    </row>
    <row r="468" spans="1:2" x14ac:dyDescent="0.25">
      <c r="A468" s="27" t="s">
        <v>4123</v>
      </c>
      <c r="B468" s="28">
        <v>6655</v>
      </c>
    </row>
    <row r="469" spans="1:2" x14ac:dyDescent="0.25">
      <c r="A469" s="27" t="s">
        <v>1835</v>
      </c>
      <c r="B469" s="28">
        <v>726</v>
      </c>
    </row>
    <row r="470" spans="1:2" x14ac:dyDescent="0.25">
      <c r="A470" s="27" t="s">
        <v>3032</v>
      </c>
      <c r="B470" s="28">
        <v>562.83000000000004</v>
      </c>
    </row>
    <row r="471" spans="1:2" x14ac:dyDescent="0.25">
      <c r="A471" s="27" t="s">
        <v>4379</v>
      </c>
      <c r="B471" s="28">
        <v>956.47</v>
      </c>
    </row>
    <row r="472" spans="1:2" x14ac:dyDescent="0.25">
      <c r="A472" s="27" t="s">
        <v>2464</v>
      </c>
      <c r="B472" s="28">
        <v>9493.66</v>
      </c>
    </row>
    <row r="473" spans="1:2" x14ac:dyDescent="0.25">
      <c r="A473" s="27" t="s">
        <v>462</v>
      </c>
      <c r="B473" s="28">
        <v>2572.8000000000002</v>
      </c>
    </row>
    <row r="474" spans="1:2" x14ac:dyDescent="0.25">
      <c r="A474" s="27" t="s">
        <v>3347</v>
      </c>
      <c r="B474" s="28">
        <v>1137.4000000000001</v>
      </c>
    </row>
    <row r="475" spans="1:2" x14ac:dyDescent="0.25">
      <c r="A475" s="27" t="s">
        <v>463</v>
      </c>
      <c r="B475" s="28">
        <v>1911.8</v>
      </c>
    </row>
    <row r="476" spans="1:2" x14ac:dyDescent="0.25">
      <c r="A476" s="27" t="s">
        <v>1420</v>
      </c>
      <c r="B476" s="28">
        <v>2383.04</v>
      </c>
    </row>
    <row r="477" spans="1:2" x14ac:dyDescent="0.25">
      <c r="A477" s="27" t="s">
        <v>3904</v>
      </c>
      <c r="B477" s="28">
        <v>653.4</v>
      </c>
    </row>
    <row r="478" spans="1:2" x14ac:dyDescent="0.25">
      <c r="A478" s="27" t="s">
        <v>4555</v>
      </c>
      <c r="B478" s="28">
        <v>514.25</v>
      </c>
    </row>
    <row r="479" spans="1:2" x14ac:dyDescent="0.25">
      <c r="A479" s="27" t="s">
        <v>2169</v>
      </c>
      <c r="B479" s="28">
        <v>7159.57</v>
      </c>
    </row>
    <row r="480" spans="1:2" x14ac:dyDescent="0.25">
      <c r="A480" s="27" t="s">
        <v>3878</v>
      </c>
      <c r="B480" s="28">
        <v>1902.6</v>
      </c>
    </row>
    <row r="481" spans="1:2" x14ac:dyDescent="0.25">
      <c r="A481" s="27" t="s">
        <v>467</v>
      </c>
      <c r="B481" s="28">
        <v>181.5</v>
      </c>
    </row>
    <row r="482" spans="1:2" x14ac:dyDescent="0.25">
      <c r="A482" s="27" t="s">
        <v>4008</v>
      </c>
      <c r="B482" s="28">
        <v>18150</v>
      </c>
    </row>
    <row r="483" spans="1:2" x14ac:dyDescent="0.25">
      <c r="A483" s="27" t="s">
        <v>469</v>
      </c>
      <c r="B483" s="28">
        <v>5709.91</v>
      </c>
    </row>
    <row r="484" spans="1:2" x14ac:dyDescent="0.25">
      <c r="A484" s="27" t="s">
        <v>470</v>
      </c>
      <c r="B484" s="28">
        <v>9680</v>
      </c>
    </row>
    <row r="485" spans="1:2" x14ac:dyDescent="0.25">
      <c r="A485" s="27" t="s">
        <v>1458</v>
      </c>
      <c r="B485" s="28">
        <v>9388.24</v>
      </c>
    </row>
    <row r="486" spans="1:2" x14ac:dyDescent="0.25">
      <c r="A486" s="27" t="s">
        <v>1587</v>
      </c>
      <c r="B486" s="28">
        <v>4509.12</v>
      </c>
    </row>
    <row r="487" spans="1:2" x14ac:dyDescent="0.25">
      <c r="A487" s="27" t="s">
        <v>1590</v>
      </c>
      <c r="B487" s="28">
        <v>7038.75</v>
      </c>
    </row>
    <row r="488" spans="1:2" x14ac:dyDescent="0.25">
      <c r="A488" s="27" t="s">
        <v>471</v>
      </c>
      <c r="B488" s="28">
        <v>1539.12</v>
      </c>
    </row>
    <row r="489" spans="1:2" x14ac:dyDescent="0.25">
      <c r="A489" s="27" t="s">
        <v>4297</v>
      </c>
      <c r="B489" s="28">
        <v>1007.93</v>
      </c>
    </row>
    <row r="490" spans="1:2" x14ac:dyDescent="0.25">
      <c r="A490" s="27" t="s">
        <v>4325</v>
      </c>
      <c r="B490" s="28">
        <v>0</v>
      </c>
    </row>
    <row r="491" spans="1:2" x14ac:dyDescent="0.25">
      <c r="A491" s="27" t="s">
        <v>5326</v>
      </c>
      <c r="B491" s="28">
        <v>975.62</v>
      </c>
    </row>
    <row r="492" spans="1:2" x14ac:dyDescent="0.25">
      <c r="A492" s="27" t="s">
        <v>5269</v>
      </c>
      <c r="B492" s="28">
        <v>968</v>
      </c>
    </row>
    <row r="493" spans="1:2" x14ac:dyDescent="0.25">
      <c r="A493" s="27" t="s">
        <v>473</v>
      </c>
      <c r="B493" s="28">
        <v>5445</v>
      </c>
    </row>
    <row r="494" spans="1:2" x14ac:dyDescent="0.25">
      <c r="A494" s="27" t="s">
        <v>2831</v>
      </c>
      <c r="B494" s="28">
        <v>500</v>
      </c>
    </row>
    <row r="495" spans="1:2" x14ac:dyDescent="0.25">
      <c r="A495" s="27" t="s">
        <v>4595</v>
      </c>
      <c r="B495" s="28">
        <v>1247.5</v>
      </c>
    </row>
    <row r="496" spans="1:2" x14ac:dyDescent="0.25">
      <c r="A496" s="27" t="s">
        <v>4724</v>
      </c>
      <c r="B496" s="28">
        <v>1000</v>
      </c>
    </row>
    <row r="497" spans="1:2" x14ac:dyDescent="0.25">
      <c r="A497" s="27" t="s">
        <v>3670</v>
      </c>
      <c r="B497" s="28">
        <v>2420</v>
      </c>
    </row>
    <row r="498" spans="1:2" x14ac:dyDescent="0.25">
      <c r="A498" s="27" t="s">
        <v>1966</v>
      </c>
      <c r="B498" s="28">
        <v>2904</v>
      </c>
    </row>
    <row r="499" spans="1:2" x14ac:dyDescent="0.25">
      <c r="A499" s="27" t="s">
        <v>475</v>
      </c>
      <c r="B499" s="28">
        <v>900</v>
      </c>
    </row>
    <row r="500" spans="1:2" x14ac:dyDescent="0.25">
      <c r="A500" s="27" t="s">
        <v>3509</v>
      </c>
      <c r="B500" s="28">
        <v>500</v>
      </c>
    </row>
    <row r="501" spans="1:2" x14ac:dyDescent="0.25">
      <c r="A501" s="27" t="s">
        <v>1331</v>
      </c>
      <c r="B501" s="28">
        <v>976.1</v>
      </c>
    </row>
    <row r="502" spans="1:2" x14ac:dyDescent="0.25">
      <c r="A502" s="27" t="s">
        <v>1357</v>
      </c>
      <c r="B502" s="28">
        <v>14520</v>
      </c>
    </row>
    <row r="503" spans="1:2" x14ac:dyDescent="0.25">
      <c r="A503" s="27" t="s">
        <v>1444</v>
      </c>
      <c r="B503" s="28">
        <v>6550</v>
      </c>
    </row>
    <row r="504" spans="1:2" x14ac:dyDescent="0.25">
      <c r="A504" s="27" t="s">
        <v>482</v>
      </c>
      <c r="B504" s="28">
        <v>1720</v>
      </c>
    </row>
    <row r="505" spans="1:2" x14ac:dyDescent="0.25">
      <c r="A505" s="27" t="s">
        <v>2900</v>
      </c>
      <c r="B505" s="28">
        <v>968.06</v>
      </c>
    </row>
    <row r="506" spans="1:2" x14ac:dyDescent="0.25">
      <c r="A506" s="27" t="s">
        <v>2819</v>
      </c>
      <c r="B506" s="28">
        <v>605</v>
      </c>
    </row>
    <row r="507" spans="1:2" x14ac:dyDescent="0.25">
      <c r="A507" s="27" t="s">
        <v>760</v>
      </c>
      <c r="B507" s="28">
        <v>941.8</v>
      </c>
    </row>
    <row r="508" spans="1:2" x14ac:dyDescent="0.25">
      <c r="A508" s="27" t="s">
        <v>485</v>
      </c>
      <c r="B508" s="28">
        <v>6292</v>
      </c>
    </row>
    <row r="509" spans="1:2" x14ac:dyDescent="0.25">
      <c r="A509" s="27" t="s">
        <v>486</v>
      </c>
      <c r="B509" s="28">
        <v>2000</v>
      </c>
    </row>
    <row r="510" spans="1:2" x14ac:dyDescent="0.25">
      <c r="A510" s="27" t="s">
        <v>488</v>
      </c>
      <c r="B510" s="28">
        <v>8179.6</v>
      </c>
    </row>
    <row r="511" spans="1:2" x14ac:dyDescent="0.25">
      <c r="A511" s="27" t="s">
        <v>1200</v>
      </c>
      <c r="B511" s="28">
        <v>3932.55</v>
      </c>
    </row>
    <row r="512" spans="1:2" x14ac:dyDescent="0.25">
      <c r="A512" s="27" t="s">
        <v>4085</v>
      </c>
      <c r="B512" s="28">
        <v>3102</v>
      </c>
    </row>
    <row r="513" spans="1:2" x14ac:dyDescent="0.25">
      <c r="A513" s="27" t="s">
        <v>491</v>
      </c>
      <c r="B513" s="28">
        <v>796.95</v>
      </c>
    </row>
    <row r="514" spans="1:2" x14ac:dyDescent="0.25">
      <c r="A514" s="27" t="s">
        <v>493</v>
      </c>
      <c r="B514" s="28">
        <v>1100.32</v>
      </c>
    </row>
    <row r="515" spans="1:2" x14ac:dyDescent="0.25">
      <c r="A515" s="27" t="s">
        <v>4798</v>
      </c>
      <c r="B515" s="28">
        <v>7137.79</v>
      </c>
    </row>
    <row r="516" spans="1:2" x14ac:dyDescent="0.25">
      <c r="A516" s="27" t="s">
        <v>494</v>
      </c>
      <c r="B516" s="28">
        <v>544.5</v>
      </c>
    </row>
    <row r="517" spans="1:2" x14ac:dyDescent="0.25">
      <c r="A517" s="27" t="s">
        <v>495</v>
      </c>
      <c r="B517" s="28">
        <v>4147.0600000000004</v>
      </c>
    </row>
    <row r="518" spans="1:2" x14ac:dyDescent="0.25">
      <c r="A518" s="27" t="s">
        <v>497</v>
      </c>
      <c r="B518" s="28">
        <v>5207.6000000000004</v>
      </c>
    </row>
    <row r="519" spans="1:2" x14ac:dyDescent="0.25">
      <c r="A519" s="27" t="s">
        <v>498</v>
      </c>
      <c r="B519" s="28">
        <v>7260</v>
      </c>
    </row>
    <row r="520" spans="1:2" x14ac:dyDescent="0.25">
      <c r="A520" s="27" t="s">
        <v>499</v>
      </c>
      <c r="B520" s="28">
        <v>3119.44</v>
      </c>
    </row>
    <row r="521" spans="1:2" x14ac:dyDescent="0.25">
      <c r="A521" s="27" t="s">
        <v>500</v>
      </c>
      <c r="B521" s="28">
        <v>8905</v>
      </c>
    </row>
    <row r="522" spans="1:2" x14ac:dyDescent="0.25">
      <c r="A522" s="27" t="s">
        <v>1621</v>
      </c>
      <c r="B522" s="28">
        <v>21283.15</v>
      </c>
    </row>
    <row r="523" spans="1:2" x14ac:dyDescent="0.25">
      <c r="A523" s="27" t="s">
        <v>5053</v>
      </c>
      <c r="B523" s="28">
        <v>5711.2</v>
      </c>
    </row>
    <row r="524" spans="1:2" x14ac:dyDescent="0.25">
      <c r="A524" s="27" t="s">
        <v>501</v>
      </c>
      <c r="B524" s="28">
        <v>4363</v>
      </c>
    </row>
    <row r="525" spans="1:2" x14ac:dyDescent="0.25">
      <c r="A525" s="27" t="s">
        <v>4300</v>
      </c>
      <c r="B525" s="28">
        <v>871.2</v>
      </c>
    </row>
    <row r="526" spans="1:2" x14ac:dyDescent="0.25">
      <c r="A526" s="27" t="s">
        <v>502</v>
      </c>
      <c r="B526" s="28">
        <v>10950.5</v>
      </c>
    </row>
    <row r="527" spans="1:2" x14ac:dyDescent="0.25">
      <c r="A527" s="27" t="s">
        <v>504</v>
      </c>
      <c r="B527" s="28">
        <v>333.98</v>
      </c>
    </row>
    <row r="528" spans="1:2" x14ac:dyDescent="0.25">
      <c r="A528" s="27" t="s">
        <v>804</v>
      </c>
      <c r="B528" s="28">
        <v>11192.5</v>
      </c>
    </row>
    <row r="529" spans="1:2" x14ac:dyDescent="0.25">
      <c r="A529" s="27" t="s">
        <v>911</v>
      </c>
      <c r="B529" s="28">
        <v>1604.05</v>
      </c>
    </row>
    <row r="530" spans="1:2" x14ac:dyDescent="0.25">
      <c r="A530" s="27" t="s">
        <v>1044</v>
      </c>
      <c r="B530" s="28">
        <v>8893.5</v>
      </c>
    </row>
    <row r="531" spans="1:2" x14ac:dyDescent="0.25">
      <c r="A531" s="27" t="s">
        <v>1189</v>
      </c>
      <c r="B531" s="28">
        <v>9498.5</v>
      </c>
    </row>
    <row r="532" spans="1:2" x14ac:dyDescent="0.25">
      <c r="A532" s="27" t="s">
        <v>1192</v>
      </c>
      <c r="B532" s="28">
        <v>363</v>
      </c>
    </row>
    <row r="533" spans="1:2" x14ac:dyDescent="0.25">
      <c r="A533" s="27" t="s">
        <v>1223</v>
      </c>
      <c r="B533" s="28">
        <v>1306.8</v>
      </c>
    </row>
    <row r="534" spans="1:2" x14ac:dyDescent="0.25">
      <c r="A534" s="27" t="s">
        <v>1227</v>
      </c>
      <c r="B534" s="28">
        <v>5384.5</v>
      </c>
    </row>
    <row r="535" spans="1:2" x14ac:dyDescent="0.25">
      <c r="A535" s="27" t="s">
        <v>1286</v>
      </c>
      <c r="B535" s="28">
        <v>102.82</v>
      </c>
    </row>
    <row r="536" spans="1:2" x14ac:dyDescent="0.25">
      <c r="A536" s="27" t="s">
        <v>1300</v>
      </c>
      <c r="B536" s="28">
        <v>16</v>
      </c>
    </row>
    <row r="537" spans="1:2" x14ac:dyDescent="0.25">
      <c r="A537" s="27" t="s">
        <v>1316</v>
      </c>
      <c r="B537" s="28">
        <v>726</v>
      </c>
    </row>
    <row r="538" spans="1:2" x14ac:dyDescent="0.25">
      <c r="A538" s="27" t="s">
        <v>1339</v>
      </c>
      <c r="B538" s="28">
        <v>42</v>
      </c>
    </row>
    <row r="539" spans="1:2" x14ac:dyDescent="0.25">
      <c r="A539" s="27" t="s">
        <v>1345</v>
      </c>
      <c r="B539" s="28">
        <v>397.96</v>
      </c>
    </row>
    <row r="540" spans="1:2" x14ac:dyDescent="0.25">
      <c r="A540" s="27" t="s">
        <v>1353</v>
      </c>
      <c r="B540" s="28">
        <v>1452</v>
      </c>
    </row>
    <row r="541" spans="1:2" x14ac:dyDescent="0.25">
      <c r="A541" s="27" t="s">
        <v>1409</v>
      </c>
      <c r="B541" s="28">
        <v>546.85</v>
      </c>
    </row>
    <row r="542" spans="1:2" x14ac:dyDescent="0.25">
      <c r="A542" s="27" t="s">
        <v>1424</v>
      </c>
      <c r="B542" s="28">
        <v>3600</v>
      </c>
    </row>
    <row r="543" spans="1:2" x14ac:dyDescent="0.25">
      <c r="A543" s="27" t="s">
        <v>1440</v>
      </c>
      <c r="B543" s="28">
        <v>7061.56</v>
      </c>
    </row>
    <row r="544" spans="1:2" x14ac:dyDescent="0.25">
      <c r="A544" s="27" t="s">
        <v>1498</v>
      </c>
      <c r="B544" s="28">
        <v>1452</v>
      </c>
    </row>
    <row r="545" spans="1:2" x14ac:dyDescent="0.25">
      <c r="A545" s="27" t="s">
        <v>1521</v>
      </c>
      <c r="B545" s="28">
        <v>108.4</v>
      </c>
    </row>
    <row r="546" spans="1:2" x14ac:dyDescent="0.25">
      <c r="A546" s="27" t="s">
        <v>1523</v>
      </c>
      <c r="B546" s="28">
        <v>1105.76</v>
      </c>
    </row>
    <row r="547" spans="1:2" x14ac:dyDescent="0.25">
      <c r="A547" s="27" t="s">
        <v>1533</v>
      </c>
      <c r="B547" s="28">
        <v>556.6</v>
      </c>
    </row>
    <row r="548" spans="1:2" x14ac:dyDescent="0.25">
      <c r="A548" s="27" t="s">
        <v>1539</v>
      </c>
      <c r="B548" s="28">
        <v>7151.1</v>
      </c>
    </row>
    <row r="549" spans="1:2" x14ac:dyDescent="0.25">
      <c r="A549" s="27" t="s">
        <v>1549</v>
      </c>
      <c r="B549" s="28">
        <v>1331</v>
      </c>
    </row>
    <row r="550" spans="1:2" x14ac:dyDescent="0.25">
      <c r="A550" s="27" t="s">
        <v>1555</v>
      </c>
      <c r="B550" s="28">
        <v>10883.95</v>
      </c>
    </row>
    <row r="551" spans="1:2" x14ac:dyDescent="0.25">
      <c r="A551" s="27" t="s">
        <v>1562</v>
      </c>
      <c r="B551" s="28">
        <v>5933.45</v>
      </c>
    </row>
    <row r="552" spans="1:2" x14ac:dyDescent="0.25">
      <c r="A552" s="27" t="s">
        <v>1567</v>
      </c>
      <c r="B552" s="28">
        <v>7260</v>
      </c>
    </row>
    <row r="553" spans="1:2" x14ac:dyDescent="0.25">
      <c r="A553" s="27" t="s">
        <v>1573</v>
      </c>
      <c r="B553" s="28">
        <v>556.6</v>
      </c>
    </row>
    <row r="554" spans="1:2" x14ac:dyDescent="0.25">
      <c r="A554" s="27" t="s">
        <v>1593</v>
      </c>
      <c r="B554" s="28">
        <v>460.78</v>
      </c>
    </row>
    <row r="555" spans="1:2" x14ac:dyDescent="0.25">
      <c r="A555" s="27" t="s">
        <v>1629</v>
      </c>
      <c r="B555" s="28">
        <v>1500</v>
      </c>
    </row>
    <row r="556" spans="1:2" x14ac:dyDescent="0.25">
      <c r="A556" s="27" t="s">
        <v>1638</v>
      </c>
      <c r="B556" s="28">
        <v>251.68</v>
      </c>
    </row>
    <row r="557" spans="1:2" x14ac:dyDescent="0.25">
      <c r="A557" s="27" t="s">
        <v>1664</v>
      </c>
      <c r="B557" s="28">
        <v>762.3</v>
      </c>
    </row>
    <row r="558" spans="1:2" x14ac:dyDescent="0.25">
      <c r="A558" s="27" t="s">
        <v>1675</v>
      </c>
      <c r="B558" s="28">
        <v>3581.6</v>
      </c>
    </row>
    <row r="559" spans="1:2" x14ac:dyDescent="0.25">
      <c r="A559" s="27" t="s">
        <v>1695</v>
      </c>
      <c r="B559" s="28">
        <v>3120</v>
      </c>
    </row>
    <row r="560" spans="1:2" x14ac:dyDescent="0.25">
      <c r="A560" s="27" t="s">
        <v>1715</v>
      </c>
      <c r="B560" s="28">
        <v>7952</v>
      </c>
    </row>
    <row r="561" spans="1:2" x14ac:dyDescent="0.25">
      <c r="A561" s="27" t="s">
        <v>1730</v>
      </c>
      <c r="B561" s="28">
        <v>1391.5</v>
      </c>
    </row>
    <row r="562" spans="1:2" x14ac:dyDescent="0.25">
      <c r="A562" s="27" t="s">
        <v>1747</v>
      </c>
      <c r="B562" s="28">
        <v>1350</v>
      </c>
    </row>
    <row r="563" spans="1:2" x14ac:dyDescent="0.25">
      <c r="A563" s="27" t="s">
        <v>1769</v>
      </c>
      <c r="B563" s="28">
        <v>3500</v>
      </c>
    </row>
    <row r="564" spans="1:2" x14ac:dyDescent="0.25">
      <c r="A564" s="27" t="s">
        <v>1810</v>
      </c>
      <c r="B564" s="28">
        <v>18148.73</v>
      </c>
    </row>
    <row r="565" spans="1:2" x14ac:dyDescent="0.25">
      <c r="A565" s="27" t="s">
        <v>1813</v>
      </c>
      <c r="B565" s="28">
        <v>1762.06</v>
      </c>
    </row>
    <row r="566" spans="1:2" x14ac:dyDescent="0.25">
      <c r="A566" s="27" t="s">
        <v>1833</v>
      </c>
      <c r="B566" s="28">
        <v>610.67999999999995</v>
      </c>
    </row>
    <row r="567" spans="1:2" x14ac:dyDescent="0.25">
      <c r="A567" s="27" t="s">
        <v>1861</v>
      </c>
      <c r="B567" s="28">
        <v>3331.52</v>
      </c>
    </row>
    <row r="568" spans="1:2" x14ac:dyDescent="0.25">
      <c r="A568" s="27" t="s">
        <v>1866</v>
      </c>
      <c r="B568" s="28">
        <v>15702.78</v>
      </c>
    </row>
    <row r="569" spans="1:2" x14ac:dyDescent="0.25">
      <c r="A569" s="27" t="s">
        <v>1869</v>
      </c>
      <c r="B569" s="28">
        <v>363</v>
      </c>
    </row>
    <row r="570" spans="1:2" x14ac:dyDescent="0.25">
      <c r="A570" s="27" t="s">
        <v>1888</v>
      </c>
      <c r="B570" s="28">
        <v>750</v>
      </c>
    </row>
    <row r="571" spans="1:2" x14ac:dyDescent="0.25">
      <c r="A571" s="27" t="s">
        <v>1934</v>
      </c>
      <c r="B571" s="28">
        <v>822.87</v>
      </c>
    </row>
    <row r="572" spans="1:2" x14ac:dyDescent="0.25">
      <c r="A572" s="27" t="s">
        <v>1940</v>
      </c>
      <c r="B572" s="28">
        <v>18149.990000000002</v>
      </c>
    </row>
    <row r="573" spans="1:2" x14ac:dyDescent="0.25">
      <c r="A573" s="27" t="s">
        <v>2013</v>
      </c>
      <c r="B573" s="28">
        <v>5614.4</v>
      </c>
    </row>
    <row r="574" spans="1:2" x14ac:dyDescent="0.25">
      <c r="A574" s="27" t="s">
        <v>2042</v>
      </c>
      <c r="B574" s="28">
        <v>7772.5</v>
      </c>
    </row>
    <row r="575" spans="1:2" x14ac:dyDescent="0.25">
      <c r="A575" s="27" t="s">
        <v>2103</v>
      </c>
      <c r="B575" s="28">
        <v>150.81</v>
      </c>
    </row>
    <row r="576" spans="1:2" x14ac:dyDescent="0.25">
      <c r="A576" s="27" t="s">
        <v>2141</v>
      </c>
      <c r="B576" s="28">
        <v>12408.55</v>
      </c>
    </row>
    <row r="577" spans="1:2" x14ac:dyDescent="0.25">
      <c r="A577" s="27" t="s">
        <v>2174</v>
      </c>
      <c r="B577" s="28">
        <v>20</v>
      </c>
    </row>
    <row r="578" spans="1:2" x14ac:dyDescent="0.25">
      <c r="A578" s="27" t="s">
        <v>2199</v>
      </c>
      <c r="B578" s="28">
        <v>665.5</v>
      </c>
    </row>
    <row r="579" spans="1:2" x14ac:dyDescent="0.25">
      <c r="A579" s="27" t="s">
        <v>2210</v>
      </c>
      <c r="B579" s="28">
        <v>5000</v>
      </c>
    </row>
    <row r="580" spans="1:2" x14ac:dyDescent="0.25">
      <c r="A580" s="27" t="s">
        <v>2212</v>
      </c>
      <c r="B580" s="28">
        <v>360</v>
      </c>
    </row>
    <row r="581" spans="1:2" x14ac:dyDescent="0.25">
      <c r="A581" s="27" t="s">
        <v>2220</v>
      </c>
      <c r="B581" s="28">
        <v>500</v>
      </c>
    </row>
    <row r="582" spans="1:2" x14ac:dyDescent="0.25">
      <c r="A582" s="27" t="s">
        <v>2227</v>
      </c>
      <c r="B582" s="28">
        <v>9075</v>
      </c>
    </row>
    <row r="583" spans="1:2" x14ac:dyDescent="0.25">
      <c r="A583" s="27" t="s">
        <v>2234</v>
      </c>
      <c r="B583" s="28">
        <v>15669.5</v>
      </c>
    </row>
    <row r="584" spans="1:2" x14ac:dyDescent="0.25">
      <c r="A584" s="27" t="s">
        <v>2240</v>
      </c>
      <c r="B584" s="28">
        <v>45189.81</v>
      </c>
    </row>
    <row r="585" spans="1:2" x14ac:dyDescent="0.25">
      <c r="A585" s="27" t="s">
        <v>2282</v>
      </c>
      <c r="B585" s="28">
        <v>300</v>
      </c>
    </row>
    <row r="586" spans="1:2" x14ac:dyDescent="0.25">
      <c r="A586" s="27" t="s">
        <v>2284</v>
      </c>
      <c r="B586" s="28">
        <v>110</v>
      </c>
    </row>
    <row r="587" spans="1:2" x14ac:dyDescent="0.25">
      <c r="A587" s="27" t="s">
        <v>2286</v>
      </c>
      <c r="B587" s="28">
        <v>435.6</v>
      </c>
    </row>
    <row r="588" spans="1:2" x14ac:dyDescent="0.25">
      <c r="A588" s="27" t="s">
        <v>2320</v>
      </c>
      <c r="B588" s="28">
        <v>870</v>
      </c>
    </row>
    <row r="589" spans="1:2" x14ac:dyDescent="0.25">
      <c r="A589" s="27" t="s">
        <v>2324</v>
      </c>
      <c r="B589" s="28">
        <v>834.9</v>
      </c>
    </row>
    <row r="590" spans="1:2" x14ac:dyDescent="0.25">
      <c r="A590" s="27" t="s">
        <v>2328</v>
      </c>
      <c r="B590" s="28">
        <v>2009.04</v>
      </c>
    </row>
    <row r="591" spans="1:2" x14ac:dyDescent="0.25">
      <c r="A591" s="27" t="s">
        <v>2330</v>
      </c>
      <c r="B591" s="28">
        <v>12947</v>
      </c>
    </row>
    <row r="592" spans="1:2" x14ac:dyDescent="0.25">
      <c r="A592" s="27" t="s">
        <v>2349</v>
      </c>
      <c r="B592" s="28">
        <v>9075</v>
      </c>
    </row>
    <row r="593" spans="1:2" x14ac:dyDescent="0.25">
      <c r="A593" s="27" t="s">
        <v>2353</v>
      </c>
      <c r="B593" s="28">
        <v>2000</v>
      </c>
    </row>
    <row r="594" spans="1:2" x14ac:dyDescent="0.25">
      <c r="A594" s="27" t="s">
        <v>2360</v>
      </c>
      <c r="B594" s="28">
        <v>200</v>
      </c>
    </row>
    <row r="595" spans="1:2" x14ac:dyDescent="0.25">
      <c r="A595" s="27" t="s">
        <v>2362</v>
      </c>
      <c r="B595" s="28">
        <v>450</v>
      </c>
    </row>
    <row r="596" spans="1:2" x14ac:dyDescent="0.25">
      <c r="A596" s="27" t="s">
        <v>2372</v>
      </c>
      <c r="B596" s="28">
        <v>2847</v>
      </c>
    </row>
    <row r="597" spans="1:2" x14ac:dyDescent="0.25">
      <c r="A597" s="27" t="s">
        <v>2375</v>
      </c>
      <c r="B597" s="28">
        <v>396.8</v>
      </c>
    </row>
    <row r="598" spans="1:2" x14ac:dyDescent="0.25">
      <c r="A598" s="27" t="s">
        <v>2475</v>
      </c>
      <c r="B598" s="28">
        <v>175.45</v>
      </c>
    </row>
    <row r="599" spans="1:2" x14ac:dyDescent="0.25">
      <c r="A599" s="27" t="s">
        <v>2500</v>
      </c>
      <c r="B599" s="28">
        <v>968</v>
      </c>
    </row>
    <row r="600" spans="1:2" x14ac:dyDescent="0.25">
      <c r="A600" s="27" t="s">
        <v>2502</v>
      </c>
      <c r="B600" s="28">
        <v>3850</v>
      </c>
    </row>
    <row r="601" spans="1:2" x14ac:dyDescent="0.25">
      <c r="A601" s="27" t="s">
        <v>2505</v>
      </c>
      <c r="B601" s="28">
        <v>2541</v>
      </c>
    </row>
    <row r="602" spans="1:2" x14ac:dyDescent="0.25">
      <c r="A602" s="27" t="s">
        <v>2526</v>
      </c>
      <c r="B602" s="28">
        <v>726</v>
      </c>
    </row>
    <row r="603" spans="1:2" x14ac:dyDescent="0.25">
      <c r="A603" s="27" t="s">
        <v>2551</v>
      </c>
      <c r="B603" s="28">
        <v>1800</v>
      </c>
    </row>
    <row r="604" spans="1:2" x14ac:dyDescent="0.25">
      <c r="A604" s="27" t="s">
        <v>2560</v>
      </c>
      <c r="B604" s="28">
        <v>300</v>
      </c>
    </row>
    <row r="605" spans="1:2" x14ac:dyDescent="0.25">
      <c r="A605" s="27" t="s">
        <v>2564</v>
      </c>
      <c r="B605" s="28">
        <v>1000</v>
      </c>
    </row>
    <row r="606" spans="1:2" x14ac:dyDescent="0.25">
      <c r="A606" s="27" t="s">
        <v>2568</v>
      </c>
      <c r="B606" s="28">
        <v>1000</v>
      </c>
    </row>
    <row r="607" spans="1:2" x14ac:dyDescent="0.25">
      <c r="A607" s="27" t="s">
        <v>2583</v>
      </c>
      <c r="B607" s="28">
        <v>609.48</v>
      </c>
    </row>
    <row r="608" spans="1:2" x14ac:dyDescent="0.25">
      <c r="A608" s="27" t="s">
        <v>2719</v>
      </c>
      <c r="B608" s="28">
        <v>7909.38</v>
      </c>
    </row>
    <row r="609" spans="1:2" x14ac:dyDescent="0.25">
      <c r="A609" s="27" t="s">
        <v>2723</v>
      </c>
      <c r="B609" s="28">
        <v>33638</v>
      </c>
    </row>
    <row r="610" spans="1:2" x14ac:dyDescent="0.25">
      <c r="A610" s="27" t="s">
        <v>2730</v>
      </c>
      <c r="B610" s="28">
        <v>7260</v>
      </c>
    </row>
    <row r="611" spans="1:2" x14ac:dyDescent="0.25">
      <c r="A611" s="27" t="s">
        <v>2743</v>
      </c>
      <c r="B611" s="28">
        <v>33.6</v>
      </c>
    </row>
    <row r="612" spans="1:2" x14ac:dyDescent="0.25">
      <c r="A612" s="27" t="s">
        <v>2752</v>
      </c>
      <c r="B612" s="28">
        <v>5148.55</v>
      </c>
    </row>
    <row r="613" spans="1:2" x14ac:dyDescent="0.25">
      <c r="A613" s="27" t="s">
        <v>2754</v>
      </c>
      <c r="B613" s="28">
        <v>370.01</v>
      </c>
    </row>
    <row r="614" spans="1:2" x14ac:dyDescent="0.25">
      <c r="A614" s="27" t="s">
        <v>2758</v>
      </c>
      <c r="B614" s="28">
        <v>14520</v>
      </c>
    </row>
    <row r="615" spans="1:2" x14ac:dyDescent="0.25">
      <c r="A615" s="27" t="s">
        <v>2828</v>
      </c>
      <c r="B615" s="28">
        <v>7.56</v>
      </c>
    </row>
    <row r="616" spans="1:2" x14ac:dyDescent="0.25">
      <c r="A616" s="27" t="s">
        <v>2844</v>
      </c>
      <c r="B616" s="28">
        <v>6759.42</v>
      </c>
    </row>
    <row r="617" spans="1:2" x14ac:dyDescent="0.25">
      <c r="A617" s="27" t="s">
        <v>2868</v>
      </c>
      <c r="B617" s="28">
        <v>16761.75</v>
      </c>
    </row>
    <row r="618" spans="1:2" x14ac:dyDescent="0.25">
      <c r="A618" s="27" t="s">
        <v>2904</v>
      </c>
      <c r="B618" s="28">
        <v>3668.12</v>
      </c>
    </row>
    <row r="619" spans="1:2" x14ac:dyDescent="0.25">
      <c r="A619" s="27" t="s">
        <v>2914</v>
      </c>
      <c r="B619" s="28">
        <v>3545.3</v>
      </c>
    </row>
    <row r="620" spans="1:2" x14ac:dyDescent="0.25">
      <c r="A620" s="27" t="s">
        <v>2922</v>
      </c>
      <c r="B620" s="28">
        <v>332.75</v>
      </c>
    </row>
    <row r="621" spans="1:2" x14ac:dyDescent="0.25">
      <c r="A621" s="27" t="s">
        <v>2927</v>
      </c>
      <c r="B621" s="28">
        <v>3025</v>
      </c>
    </row>
    <row r="622" spans="1:2" x14ac:dyDescent="0.25">
      <c r="A622" s="27" t="s">
        <v>3007</v>
      </c>
      <c r="B622" s="28">
        <v>3267</v>
      </c>
    </row>
    <row r="623" spans="1:2" x14ac:dyDescent="0.25">
      <c r="A623" s="27" t="s">
        <v>3010</v>
      </c>
      <c r="B623" s="28">
        <v>260.14999999999998</v>
      </c>
    </row>
    <row r="624" spans="1:2" x14ac:dyDescent="0.25">
      <c r="A624" s="27" t="s">
        <v>3027</v>
      </c>
      <c r="B624" s="28">
        <v>300</v>
      </c>
    </row>
    <row r="625" spans="1:2" x14ac:dyDescent="0.25">
      <c r="A625" s="27" t="s">
        <v>3038</v>
      </c>
      <c r="B625" s="28">
        <v>214.17</v>
      </c>
    </row>
    <row r="626" spans="1:2" x14ac:dyDescent="0.25">
      <c r="A626" s="27" t="s">
        <v>3043</v>
      </c>
      <c r="B626" s="28">
        <v>258</v>
      </c>
    </row>
    <row r="627" spans="1:2" x14ac:dyDescent="0.25">
      <c r="A627" s="27" t="s">
        <v>3049</v>
      </c>
      <c r="B627" s="28">
        <v>2036.5</v>
      </c>
    </row>
    <row r="628" spans="1:2" x14ac:dyDescent="0.25">
      <c r="A628" s="27" t="s">
        <v>3051</v>
      </c>
      <c r="B628" s="28">
        <v>900</v>
      </c>
    </row>
    <row r="629" spans="1:2" x14ac:dyDescent="0.25">
      <c r="A629" s="27" t="s">
        <v>3083</v>
      </c>
      <c r="B629" s="28">
        <v>665.5</v>
      </c>
    </row>
    <row r="630" spans="1:2" x14ac:dyDescent="0.25">
      <c r="A630" s="27" t="s">
        <v>3089</v>
      </c>
      <c r="B630" s="28">
        <v>6050</v>
      </c>
    </row>
    <row r="631" spans="1:2" x14ac:dyDescent="0.25">
      <c r="A631" s="27" t="s">
        <v>3102</v>
      </c>
      <c r="B631" s="28">
        <v>2145</v>
      </c>
    </row>
    <row r="632" spans="1:2" x14ac:dyDescent="0.25">
      <c r="A632" s="27" t="s">
        <v>3105</v>
      </c>
      <c r="B632" s="28">
        <v>13650</v>
      </c>
    </row>
    <row r="633" spans="1:2" x14ac:dyDescent="0.25">
      <c r="A633" s="27" t="s">
        <v>3136</v>
      </c>
      <c r="B633" s="28">
        <v>400</v>
      </c>
    </row>
    <row r="634" spans="1:2" x14ac:dyDescent="0.25">
      <c r="A634" s="27" t="s">
        <v>3148</v>
      </c>
      <c r="B634" s="28">
        <v>2904</v>
      </c>
    </row>
    <row r="635" spans="1:2" x14ac:dyDescent="0.25">
      <c r="A635" s="27" t="s">
        <v>3157</v>
      </c>
      <c r="B635" s="28">
        <v>3512.93</v>
      </c>
    </row>
    <row r="636" spans="1:2" x14ac:dyDescent="0.25">
      <c r="A636" s="27" t="s">
        <v>3175</v>
      </c>
      <c r="B636" s="28">
        <v>825.34</v>
      </c>
    </row>
    <row r="637" spans="1:2" x14ac:dyDescent="0.25">
      <c r="A637" s="27" t="s">
        <v>3245</v>
      </c>
      <c r="B637" s="28">
        <v>1815</v>
      </c>
    </row>
    <row r="638" spans="1:2" x14ac:dyDescent="0.25">
      <c r="A638" s="27" t="s">
        <v>3249</v>
      </c>
      <c r="B638" s="28">
        <v>11106.59</v>
      </c>
    </row>
    <row r="639" spans="1:2" x14ac:dyDescent="0.25">
      <c r="A639" s="27" t="s">
        <v>3309</v>
      </c>
      <c r="B639" s="28">
        <v>411.4</v>
      </c>
    </row>
    <row r="640" spans="1:2" x14ac:dyDescent="0.25">
      <c r="A640" s="27" t="s">
        <v>3325</v>
      </c>
      <c r="B640" s="28">
        <v>232.32</v>
      </c>
    </row>
    <row r="641" spans="1:2" x14ac:dyDescent="0.25">
      <c r="A641" s="27" t="s">
        <v>3333</v>
      </c>
      <c r="B641" s="28">
        <v>1815</v>
      </c>
    </row>
    <row r="642" spans="1:2" x14ac:dyDescent="0.25">
      <c r="A642" s="27" t="s">
        <v>3337</v>
      </c>
      <c r="B642" s="28">
        <v>3736.57</v>
      </c>
    </row>
    <row r="643" spans="1:2" x14ac:dyDescent="0.25">
      <c r="A643" s="27" t="s">
        <v>3394</v>
      </c>
      <c r="B643" s="28">
        <v>2005.5</v>
      </c>
    </row>
    <row r="644" spans="1:2" x14ac:dyDescent="0.25">
      <c r="A644" s="27" t="s">
        <v>3398</v>
      </c>
      <c r="B644" s="28">
        <v>5900</v>
      </c>
    </row>
    <row r="645" spans="1:2" x14ac:dyDescent="0.25">
      <c r="A645" s="27" t="s">
        <v>3467</v>
      </c>
      <c r="B645" s="28">
        <v>7336.02</v>
      </c>
    </row>
    <row r="646" spans="1:2" x14ac:dyDescent="0.25">
      <c r="A646" s="27" t="s">
        <v>3484</v>
      </c>
      <c r="B646" s="28">
        <v>19118</v>
      </c>
    </row>
    <row r="647" spans="1:2" x14ac:dyDescent="0.25">
      <c r="A647" s="27" t="s">
        <v>3487</v>
      </c>
      <c r="B647" s="28">
        <v>320.64999999999998</v>
      </c>
    </row>
    <row r="648" spans="1:2" x14ac:dyDescent="0.25">
      <c r="A648" s="27" t="s">
        <v>3543</v>
      </c>
      <c r="B648" s="28">
        <v>2288.7800000000002</v>
      </c>
    </row>
    <row r="649" spans="1:2" x14ac:dyDescent="0.25">
      <c r="A649" s="27" t="s">
        <v>3546</v>
      </c>
      <c r="B649" s="28">
        <v>152</v>
      </c>
    </row>
    <row r="650" spans="1:2" x14ac:dyDescent="0.25">
      <c r="A650" s="27" t="s">
        <v>3619</v>
      </c>
      <c r="B650" s="28">
        <v>1437.48</v>
      </c>
    </row>
    <row r="651" spans="1:2" x14ac:dyDescent="0.25">
      <c r="A651" s="27" t="s">
        <v>3626</v>
      </c>
      <c r="B651" s="28">
        <v>305.20999999999998</v>
      </c>
    </row>
    <row r="652" spans="1:2" x14ac:dyDescent="0.25">
      <c r="A652" s="27" t="s">
        <v>3628</v>
      </c>
      <c r="B652" s="28">
        <v>363</v>
      </c>
    </row>
    <row r="653" spans="1:2" x14ac:dyDescent="0.25">
      <c r="A653" s="27" t="s">
        <v>3653</v>
      </c>
      <c r="B653" s="28">
        <v>7260</v>
      </c>
    </row>
    <row r="654" spans="1:2" x14ac:dyDescent="0.25">
      <c r="A654" s="27" t="s">
        <v>3668</v>
      </c>
      <c r="B654" s="28">
        <v>17136.02</v>
      </c>
    </row>
    <row r="655" spans="1:2" x14ac:dyDescent="0.25">
      <c r="A655" s="27" t="s">
        <v>3677</v>
      </c>
      <c r="B655" s="28">
        <v>2204.62</v>
      </c>
    </row>
    <row r="656" spans="1:2" x14ac:dyDescent="0.25">
      <c r="A656" s="27" t="s">
        <v>3729</v>
      </c>
      <c r="B656" s="28">
        <v>205.7</v>
      </c>
    </row>
    <row r="657" spans="1:2" x14ac:dyDescent="0.25">
      <c r="A657" s="27" t="s">
        <v>3742</v>
      </c>
      <c r="B657" s="28">
        <v>8421.6</v>
      </c>
    </row>
    <row r="658" spans="1:2" x14ac:dyDescent="0.25">
      <c r="A658" s="27" t="s">
        <v>3774</v>
      </c>
      <c r="B658" s="28">
        <v>47872.44</v>
      </c>
    </row>
    <row r="659" spans="1:2" x14ac:dyDescent="0.25">
      <c r="A659" s="27" t="s">
        <v>3791</v>
      </c>
      <c r="B659" s="28">
        <v>1775</v>
      </c>
    </row>
    <row r="660" spans="1:2" x14ac:dyDescent="0.25">
      <c r="A660" s="27" t="s">
        <v>3795</v>
      </c>
      <c r="B660" s="28">
        <v>423.52</v>
      </c>
    </row>
    <row r="661" spans="1:2" x14ac:dyDescent="0.25">
      <c r="A661" s="27" t="s">
        <v>3799</v>
      </c>
      <c r="B661" s="28">
        <v>11670.45</v>
      </c>
    </row>
    <row r="662" spans="1:2" x14ac:dyDescent="0.25">
      <c r="A662" s="27" t="s">
        <v>3801</v>
      </c>
      <c r="B662" s="28">
        <v>550</v>
      </c>
    </row>
    <row r="663" spans="1:2" x14ac:dyDescent="0.25">
      <c r="A663" s="27" t="s">
        <v>3803</v>
      </c>
      <c r="B663" s="28">
        <v>5445</v>
      </c>
    </row>
    <row r="664" spans="1:2" x14ac:dyDescent="0.25">
      <c r="A664" s="27" t="s">
        <v>3805</v>
      </c>
      <c r="B664" s="28">
        <v>3542.29</v>
      </c>
    </row>
    <row r="665" spans="1:2" x14ac:dyDescent="0.25">
      <c r="A665" s="27" t="s">
        <v>3812</v>
      </c>
      <c r="B665" s="28">
        <v>5257.95</v>
      </c>
    </row>
    <row r="666" spans="1:2" x14ac:dyDescent="0.25">
      <c r="A666" s="27" t="s">
        <v>3827</v>
      </c>
      <c r="B666" s="28">
        <v>2057</v>
      </c>
    </row>
    <row r="667" spans="1:2" x14ac:dyDescent="0.25">
      <c r="A667" s="27" t="s">
        <v>3832</v>
      </c>
      <c r="B667" s="28">
        <v>4719</v>
      </c>
    </row>
    <row r="668" spans="1:2" x14ac:dyDescent="0.25">
      <c r="A668" s="27" t="s">
        <v>3860</v>
      </c>
      <c r="B668" s="28">
        <v>16637.5</v>
      </c>
    </row>
    <row r="669" spans="1:2" x14ac:dyDescent="0.25">
      <c r="A669" s="27" t="s">
        <v>3873</v>
      </c>
      <c r="B669" s="28">
        <v>11979</v>
      </c>
    </row>
    <row r="670" spans="1:2" x14ac:dyDescent="0.25">
      <c r="A670" s="27" t="s">
        <v>3884</v>
      </c>
      <c r="B670" s="28">
        <v>50</v>
      </c>
    </row>
    <row r="671" spans="1:2" x14ac:dyDescent="0.25">
      <c r="A671" s="27" t="s">
        <v>3888</v>
      </c>
      <c r="B671" s="28">
        <v>675</v>
      </c>
    </row>
    <row r="672" spans="1:2" x14ac:dyDescent="0.25">
      <c r="A672" s="27" t="s">
        <v>3923</v>
      </c>
      <c r="B672" s="28">
        <v>1660.48</v>
      </c>
    </row>
    <row r="673" spans="1:2" x14ac:dyDescent="0.25">
      <c r="A673" s="27" t="s">
        <v>3925</v>
      </c>
      <c r="B673" s="28">
        <v>561.59</v>
      </c>
    </row>
    <row r="674" spans="1:2" x14ac:dyDescent="0.25">
      <c r="A674" s="27" t="s">
        <v>3927</v>
      </c>
      <c r="B674" s="28">
        <v>3282.13</v>
      </c>
    </row>
    <row r="675" spans="1:2" x14ac:dyDescent="0.25">
      <c r="A675" s="27" t="s">
        <v>3977</v>
      </c>
      <c r="B675" s="28">
        <v>7018</v>
      </c>
    </row>
    <row r="676" spans="1:2" x14ac:dyDescent="0.25">
      <c r="A676" s="27" t="s">
        <v>3995</v>
      </c>
      <c r="B676" s="28">
        <v>363</v>
      </c>
    </row>
    <row r="677" spans="1:2" x14ac:dyDescent="0.25">
      <c r="A677" s="27" t="s">
        <v>4002</v>
      </c>
      <c r="B677" s="28">
        <v>50.63</v>
      </c>
    </row>
    <row r="678" spans="1:2" x14ac:dyDescent="0.25">
      <c r="A678" s="27" t="s">
        <v>4004</v>
      </c>
      <c r="B678" s="28">
        <v>6171</v>
      </c>
    </row>
    <row r="679" spans="1:2" x14ac:dyDescent="0.25">
      <c r="A679" s="27" t="s">
        <v>4014</v>
      </c>
      <c r="B679" s="28">
        <v>4836.53</v>
      </c>
    </row>
    <row r="680" spans="1:2" x14ac:dyDescent="0.25">
      <c r="A680" s="27" t="s">
        <v>4058</v>
      </c>
      <c r="B680" s="28">
        <v>3485.01</v>
      </c>
    </row>
    <row r="681" spans="1:2" x14ac:dyDescent="0.25">
      <c r="A681" s="27" t="s">
        <v>4067</v>
      </c>
      <c r="B681" s="28">
        <v>4598</v>
      </c>
    </row>
    <row r="682" spans="1:2" x14ac:dyDescent="0.25">
      <c r="A682" s="27" t="s">
        <v>4075</v>
      </c>
      <c r="B682" s="28">
        <v>941.11</v>
      </c>
    </row>
    <row r="683" spans="1:2" x14ac:dyDescent="0.25">
      <c r="A683" s="27" t="s">
        <v>4081</v>
      </c>
      <c r="B683" s="28">
        <v>800.94</v>
      </c>
    </row>
    <row r="684" spans="1:2" x14ac:dyDescent="0.25">
      <c r="A684" s="27" t="s">
        <v>4083</v>
      </c>
      <c r="B684" s="28">
        <v>2500</v>
      </c>
    </row>
    <row r="685" spans="1:2" x14ac:dyDescent="0.25">
      <c r="A685" s="27" t="s">
        <v>4089</v>
      </c>
      <c r="B685" s="28">
        <v>692.12</v>
      </c>
    </row>
    <row r="686" spans="1:2" x14ac:dyDescent="0.25">
      <c r="A686" s="27" t="s">
        <v>4098</v>
      </c>
      <c r="B686" s="28">
        <v>1731.54</v>
      </c>
    </row>
    <row r="687" spans="1:2" x14ac:dyDescent="0.25">
      <c r="A687" s="27" t="s">
        <v>4101</v>
      </c>
      <c r="B687" s="28">
        <v>522</v>
      </c>
    </row>
    <row r="688" spans="1:2" x14ac:dyDescent="0.25">
      <c r="A688" s="27" t="s">
        <v>4151</v>
      </c>
      <c r="B688" s="28">
        <v>145.19999999999999</v>
      </c>
    </row>
    <row r="689" spans="1:2" x14ac:dyDescent="0.25">
      <c r="A689" s="27" t="s">
        <v>4284</v>
      </c>
      <c r="B689" s="28">
        <v>2500</v>
      </c>
    </row>
    <row r="690" spans="1:2" x14ac:dyDescent="0.25">
      <c r="A690" s="27" t="s">
        <v>4304</v>
      </c>
      <c r="B690" s="28">
        <v>2153.8000000000002</v>
      </c>
    </row>
    <row r="691" spans="1:2" x14ac:dyDescent="0.25">
      <c r="A691" s="27" t="s">
        <v>4308</v>
      </c>
      <c r="B691" s="28">
        <v>1090</v>
      </c>
    </row>
    <row r="692" spans="1:2" x14ac:dyDescent="0.25">
      <c r="A692" s="27" t="s">
        <v>4333</v>
      </c>
      <c r="B692" s="28">
        <v>186.91</v>
      </c>
    </row>
    <row r="693" spans="1:2" x14ac:dyDescent="0.25">
      <c r="A693" s="27" t="s">
        <v>4345</v>
      </c>
      <c r="B693" s="28">
        <v>1318.9</v>
      </c>
    </row>
    <row r="694" spans="1:2" x14ac:dyDescent="0.25">
      <c r="A694" s="27" t="s">
        <v>4353</v>
      </c>
      <c r="B694" s="28">
        <v>38</v>
      </c>
    </row>
    <row r="695" spans="1:2" x14ac:dyDescent="0.25">
      <c r="A695" s="27" t="s">
        <v>4373</v>
      </c>
      <c r="B695" s="28">
        <v>3176.25</v>
      </c>
    </row>
    <row r="696" spans="1:2" x14ac:dyDescent="0.25">
      <c r="A696" s="27" t="s">
        <v>4375</v>
      </c>
      <c r="B696" s="28">
        <v>1986.34</v>
      </c>
    </row>
    <row r="697" spans="1:2" x14ac:dyDescent="0.25">
      <c r="A697" s="27" t="s">
        <v>4383</v>
      </c>
      <c r="B697" s="28">
        <v>605</v>
      </c>
    </row>
    <row r="698" spans="1:2" x14ac:dyDescent="0.25">
      <c r="A698" s="27" t="s">
        <v>4389</v>
      </c>
      <c r="B698" s="28">
        <v>432.63</v>
      </c>
    </row>
    <row r="699" spans="1:2" x14ac:dyDescent="0.25">
      <c r="A699" s="27" t="s">
        <v>4394</v>
      </c>
      <c r="B699" s="28">
        <v>3102</v>
      </c>
    </row>
    <row r="700" spans="1:2" x14ac:dyDescent="0.25">
      <c r="A700" s="27" t="s">
        <v>4410</v>
      </c>
      <c r="B700" s="28">
        <v>228.3</v>
      </c>
    </row>
    <row r="701" spans="1:2" x14ac:dyDescent="0.25">
      <c r="A701" s="27" t="s">
        <v>4474</v>
      </c>
      <c r="B701" s="28">
        <v>14613.5</v>
      </c>
    </row>
    <row r="702" spans="1:2" x14ac:dyDescent="0.25">
      <c r="A702" s="27" t="s">
        <v>4478</v>
      </c>
      <c r="B702" s="28">
        <v>1573</v>
      </c>
    </row>
    <row r="703" spans="1:2" x14ac:dyDescent="0.25">
      <c r="A703" s="27" t="s">
        <v>4495</v>
      </c>
      <c r="B703" s="28">
        <v>3155.4399999999996</v>
      </c>
    </row>
    <row r="704" spans="1:2" x14ac:dyDescent="0.25">
      <c r="A704" s="27" t="s">
        <v>4547</v>
      </c>
      <c r="B704" s="28">
        <v>5560</v>
      </c>
    </row>
    <row r="705" spans="1:2" x14ac:dyDescent="0.25">
      <c r="A705" s="27" t="s">
        <v>4550</v>
      </c>
      <c r="B705" s="28">
        <v>2308.6799999999998</v>
      </c>
    </row>
    <row r="706" spans="1:2" x14ac:dyDescent="0.25">
      <c r="A706" s="27" t="s">
        <v>4558</v>
      </c>
      <c r="B706" s="28">
        <v>2178</v>
      </c>
    </row>
    <row r="707" spans="1:2" x14ac:dyDescent="0.25">
      <c r="A707" s="27" t="s">
        <v>4567</v>
      </c>
      <c r="B707" s="28">
        <v>18137.900000000001</v>
      </c>
    </row>
    <row r="708" spans="1:2" x14ac:dyDescent="0.25">
      <c r="A708" s="27" t="s">
        <v>4579</v>
      </c>
      <c r="B708" s="28">
        <v>1635.92</v>
      </c>
    </row>
    <row r="709" spans="1:2" x14ac:dyDescent="0.25">
      <c r="A709" s="27" t="s">
        <v>4597</v>
      </c>
      <c r="B709" s="28">
        <v>6050</v>
      </c>
    </row>
    <row r="710" spans="1:2" x14ac:dyDescent="0.25">
      <c r="A710" s="27" t="s">
        <v>4602</v>
      </c>
      <c r="B710" s="28">
        <v>1207.3399999999999</v>
      </c>
    </row>
    <row r="711" spans="1:2" x14ac:dyDescent="0.25">
      <c r="A711" s="27" t="s">
        <v>4685</v>
      </c>
      <c r="B711" s="28">
        <v>759</v>
      </c>
    </row>
    <row r="712" spans="1:2" x14ac:dyDescent="0.25">
      <c r="A712" s="27" t="s">
        <v>4727</v>
      </c>
      <c r="B712" s="28">
        <v>4191.22</v>
      </c>
    </row>
    <row r="713" spans="1:2" x14ac:dyDescent="0.25">
      <c r="A713" s="27" t="s">
        <v>4730</v>
      </c>
      <c r="B713" s="28">
        <v>4066.88</v>
      </c>
    </row>
    <row r="714" spans="1:2" x14ac:dyDescent="0.25">
      <c r="A714" s="27" t="s">
        <v>4774</v>
      </c>
      <c r="B714" s="28">
        <v>4477</v>
      </c>
    </row>
    <row r="715" spans="1:2" x14ac:dyDescent="0.25">
      <c r="A715" s="27" t="s">
        <v>4788</v>
      </c>
      <c r="B715" s="28">
        <v>6050</v>
      </c>
    </row>
    <row r="716" spans="1:2" x14ac:dyDescent="0.25">
      <c r="A716" s="27" t="s">
        <v>4794</v>
      </c>
      <c r="B716" s="28">
        <v>515.55999999999995</v>
      </c>
    </row>
    <row r="717" spans="1:2" x14ac:dyDescent="0.25">
      <c r="A717" s="27" t="s">
        <v>5014</v>
      </c>
      <c r="B717" s="28">
        <v>18089.5</v>
      </c>
    </row>
    <row r="718" spans="1:2" x14ac:dyDescent="0.25">
      <c r="A718" s="27" t="s">
        <v>5023</v>
      </c>
      <c r="B718" s="28">
        <v>14520</v>
      </c>
    </row>
    <row r="719" spans="1:2" x14ac:dyDescent="0.25">
      <c r="A719" s="27" t="s">
        <v>5037</v>
      </c>
      <c r="B719" s="28">
        <v>7260</v>
      </c>
    </row>
    <row r="720" spans="1:2" x14ac:dyDescent="0.25">
      <c r="A720" s="27" t="s">
        <v>5039</v>
      </c>
      <c r="B720" s="28">
        <v>7258.79</v>
      </c>
    </row>
    <row r="721" spans="1:2" x14ac:dyDescent="0.25">
      <c r="A721" s="27" t="s">
        <v>5059</v>
      </c>
      <c r="B721" s="28">
        <v>3960</v>
      </c>
    </row>
    <row r="722" spans="1:2" x14ac:dyDescent="0.25">
      <c r="A722" s="27" t="s">
        <v>5084</v>
      </c>
      <c r="B722" s="28">
        <v>3630</v>
      </c>
    </row>
    <row r="723" spans="1:2" x14ac:dyDescent="0.25">
      <c r="A723" s="27" t="s">
        <v>5094</v>
      </c>
      <c r="B723" s="28">
        <v>3000</v>
      </c>
    </row>
    <row r="724" spans="1:2" x14ac:dyDescent="0.25">
      <c r="A724" s="27" t="s">
        <v>5110</v>
      </c>
      <c r="B724" s="28">
        <v>2926.71</v>
      </c>
    </row>
    <row r="725" spans="1:2" x14ac:dyDescent="0.25">
      <c r="A725" s="27" t="s">
        <v>5118</v>
      </c>
      <c r="B725" s="28">
        <v>2500</v>
      </c>
    </row>
    <row r="726" spans="1:2" x14ac:dyDescent="0.25">
      <c r="A726" s="27" t="s">
        <v>5120</v>
      </c>
      <c r="B726" s="28">
        <v>2500</v>
      </c>
    </row>
    <row r="727" spans="1:2" x14ac:dyDescent="0.25">
      <c r="A727" s="27" t="s">
        <v>5163</v>
      </c>
      <c r="B727" s="28">
        <v>1700</v>
      </c>
    </row>
    <row r="728" spans="1:2" x14ac:dyDescent="0.25">
      <c r="A728" s="27" t="s">
        <v>5228</v>
      </c>
      <c r="B728" s="28">
        <v>1122</v>
      </c>
    </row>
    <row r="729" spans="1:2" x14ac:dyDescent="0.25">
      <c r="A729" s="27" t="s">
        <v>5273</v>
      </c>
      <c r="B729" s="28">
        <v>900</v>
      </c>
    </row>
    <row r="730" spans="1:2" x14ac:dyDescent="0.25">
      <c r="A730" s="27" t="s">
        <v>5309</v>
      </c>
      <c r="B730" s="28">
        <v>750</v>
      </c>
    </row>
    <row r="731" spans="1:2" x14ac:dyDescent="0.25">
      <c r="A731" s="27" t="s">
        <v>5329</v>
      </c>
      <c r="B731" s="28">
        <v>1246.3</v>
      </c>
    </row>
    <row r="732" spans="1:2" x14ac:dyDescent="0.25">
      <c r="A732" s="27" t="s">
        <v>5333</v>
      </c>
      <c r="B732" s="28">
        <v>490.05</v>
      </c>
    </row>
    <row r="733" spans="1:2" x14ac:dyDescent="0.25">
      <c r="A733" s="27" t="s">
        <v>5346</v>
      </c>
      <c r="B733" s="28">
        <v>12100</v>
      </c>
    </row>
    <row r="734" spans="1:2" x14ac:dyDescent="0.25">
      <c r="A734" s="27" t="s">
        <v>5349</v>
      </c>
      <c r="B734" s="28">
        <v>400</v>
      </c>
    </row>
    <row r="735" spans="1:2" x14ac:dyDescent="0.25">
      <c r="A735" s="27" t="s">
        <v>5356</v>
      </c>
      <c r="B735" s="28">
        <v>575</v>
      </c>
    </row>
    <row r="736" spans="1:2" x14ac:dyDescent="0.25">
      <c r="A736" s="27" t="s">
        <v>5367</v>
      </c>
      <c r="B736" s="28">
        <v>6500</v>
      </c>
    </row>
    <row r="737" spans="1:2" x14ac:dyDescent="0.25">
      <c r="A737" s="27" t="s">
        <v>5380</v>
      </c>
      <c r="B737" s="28">
        <v>264.05</v>
      </c>
    </row>
    <row r="738" spans="1:2" x14ac:dyDescent="0.25">
      <c r="A738" s="27" t="s">
        <v>5391</v>
      </c>
      <c r="B738" s="28">
        <v>11434.5</v>
      </c>
    </row>
    <row r="739" spans="1:2" x14ac:dyDescent="0.25">
      <c r="A739" s="27" t="s">
        <v>5400</v>
      </c>
      <c r="B739" s="28">
        <v>190.78</v>
      </c>
    </row>
    <row r="740" spans="1:2" x14ac:dyDescent="0.25">
      <c r="A740" s="27" t="s">
        <v>5402</v>
      </c>
      <c r="B740" s="28">
        <v>181.5</v>
      </c>
    </row>
    <row r="741" spans="1:2" x14ac:dyDescent="0.25">
      <c r="A741" s="27" t="s">
        <v>311</v>
      </c>
      <c r="B741" s="28">
        <v>3862185.5099999974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766"/>
  <sheetViews>
    <sheetView workbookViewId="0">
      <selection activeCell="H2842" sqref="H2842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9" customWidth="1"/>
    <col min="18" max="18" width="18.5703125" style="35" customWidth="1"/>
    <col min="19" max="19" width="6.140625" style="59" customWidth="1"/>
    <col min="20" max="20" width="10.85546875" style="35"/>
    <col min="21" max="21" width="4.42578125" style="56" customWidth="1"/>
    <col min="22" max="22" width="10.85546875" style="59"/>
    <col min="23" max="23" width="7.7109375" style="59" customWidth="1"/>
    <col min="24" max="24" width="11.42578125" style="59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69</v>
      </c>
      <c r="J1" s="32" t="s">
        <v>352</v>
      </c>
      <c r="K1" s="32" t="s">
        <v>372</v>
      </c>
      <c r="L1" s="32" t="s">
        <v>6</v>
      </c>
      <c r="M1" s="32" t="s">
        <v>7</v>
      </c>
      <c r="N1" s="32" t="s">
        <v>8</v>
      </c>
      <c r="O1" s="32" t="s">
        <v>85</v>
      </c>
      <c r="P1" s="32" t="s">
        <v>308</v>
      </c>
      <c r="Q1" s="58" t="s">
        <v>304</v>
      </c>
      <c r="R1" s="32" t="s">
        <v>305</v>
      </c>
      <c r="S1" s="58" t="s">
        <v>122</v>
      </c>
      <c r="T1" s="32" t="s">
        <v>301</v>
      </c>
      <c r="U1" s="57" t="s">
        <v>302</v>
      </c>
      <c r="V1" s="58" t="s">
        <v>303</v>
      </c>
      <c r="W1" s="58" t="s">
        <v>307</v>
      </c>
      <c r="X1" s="58" t="s">
        <v>9</v>
      </c>
    </row>
    <row r="2" spans="1:24" x14ac:dyDescent="0.25">
      <c r="A2" s="46">
        <v>220230000012</v>
      </c>
      <c r="B2" s="47" t="s">
        <v>507</v>
      </c>
      <c r="C2" s="52">
        <v>44927</v>
      </c>
      <c r="D2" s="46">
        <v>22023000487</v>
      </c>
      <c r="E2" s="47" t="s">
        <v>508</v>
      </c>
      <c r="F2" s="53">
        <v>3087691.92</v>
      </c>
      <c r="G2" s="47" t="s">
        <v>509</v>
      </c>
      <c r="H2" s="47" t="s">
        <v>510</v>
      </c>
      <c r="I2" s="46" t="s">
        <v>511</v>
      </c>
      <c r="J2" s="47" t="s">
        <v>512</v>
      </c>
      <c r="K2" s="47" t="s">
        <v>512</v>
      </c>
      <c r="L2" s="47" t="s">
        <v>513</v>
      </c>
      <c r="M2" s="47" t="s">
        <v>514</v>
      </c>
      <c r="N2" s="47" t="s">
        <v>515</v>
      </c>
      <c r="O2" s="45" t="s">
        <v>371</v>
      </c>
      <c r="P2" s="44" t="s">
        <v>309</v>
      </c>
      <c r="Q2" s="59" t="str">
        <f>MID(Tabla1[[#This Row],[Aplicación]],14,1)</f>
        <v>2</v>
      </c>
      <c r="R2" s="35" t="s">
        <v>298</v>
      </c>
      <c r="S2" s="59" t="str">
        <f>MID(Tabla1[[#This Row],[Aplicación]],6,2)</f>
        <v>08</v>
      </c>
      <c r="T2" s="35" t="str">
        <f>VLOOKUP(Tabla1[[#This Row],[AREA]],Hoja1!A:B,2,FALSE)</f>
        <v>08. Movilidad y espacio urbano</v>
      </c>
      <c r="U2" s="56" t="str">
        <f>MID(Tabla1[[#This Row],[Aplicación]],9,4)</f>
        <v>1341</v>
      </c>
      <c r="V2" s="35" t="str">
        <f>VLOOKUP(Tabla1[[#This Row],[PROGRAMA]],Hoja1!A:B,2,FALSE)</f>
        <v>1341. Movilidad</v>
      </c>
      <c r="W2" s="56" t="str">
        <f>MID(Tabla1[[#This Row],[Aplicación]],14,2)</f>
        <v>22</v>
      </c>
      <c r="X2" s="56" t="str">
        <f>MID(Tabla1[[#This Row],[Aplicación]],14,6)</f>
        <v>22799</v>
      </c>
    </row>
    <row r="3" spans="1:24" x14ac:dyDescent="0.25">
      <c r="A3" s="46">
        <v>220209000369</v>
      </c>
      <c r="B3" s="47" t="s">
        <v>507</v>
      </c>
      <c r="C3" s="52">
        <v>44927</v>
      </c>
      <c r="D3" s="46">
        <v>22023003354</v>
      </c>
      <c r="E3" s="47" t="s">
        <v>516</v>
      </c>
      <c r="F3" s="53">
        <v>2360255.54</v>
      </c>
      <c r="G3" s="47" t="s">
        <v>517</v>
      </c>
      <c r="H3" s="47" t="s">
        <v>518</v>
      </c>
      <c r="I3" s="46" t="s">
        <v>511</v>
      </c>
      <c r="J3" s="47" t="s">
        <v>519</v>
      </c>
      <c r="K3" s="47" t="s">
        <v>519</v>
      </c>
      <c r="L3" s="47" t="s">
        <v>520</v>
      </c>
      <c r="M3" s="47" t="s">
        <v>514</v>
      </c>
      <c r="N3" s="47" t="s">
        <v>515</v>
      </c>
      <c r="O3" s="45" t="s">
        <v>371</v>
      </c>
      <c r="P3" s="44" t="s">
        <v>309</v>
      </c>
      <c r="Q3" s="59" t="str">
        <f>MID(Tabla1[[#This Row],[Aplicación]],14,1)</f>
        <v>2</v>
      </c>
      <c r="R3" s="35" t="s">
        <v>298</v>
      </c>
      <c r="S3" s="59" t="str">
        <f>MID(Tabla1[[#This Row],[Aplicación]],6,2)</f>
        <v>10</v>
      </c>
      <c r="T3" s="35" t="str">
        <f>VLOOKUP(Tabla1[[#This Row],[AREA]],Hoja1!A:B,2,FALSE)</f>
        <v>10. Servicios sociales y mediación comunitaria</v>
      </c>
      <c r="U3" s="35" t="str">
        <f>MID(Tabla1[[#This Row],[Aplicación]],9,4)</f>
        <v>2311</v>
      </c>
      <c r="V3" s="35" t="str">
        <f>VLOOKUP(Tabla1[[#This Row],[PROGRAMA]],Hoja1!A:B,2,FALSE)</f>
        <v>2311. Intervención social</v>
      </c>
      <c r="W3" s="56" t="str">
        <f>MID(Tabla1[[#This Row],[Aplicación]],14,2)</f>
        <v>22</v>
      </c>
      <c r="X3" s="56" t="str">
        <f>MID(Tabla1[[#This Row],[Aplicación]],14,6)</f>
        <v>22799</v>
      </c>
    </row>
    <row r="4" spans="1:24" x14ac:dyDescent="0.25">
      <c r="A4" s="46">
        <v>220229000714</v>
      </c>
      <c r="B4" s="47" t="s">
        <v>507</v>
      </c>
      <c r="C4" s="52">
        <v>44927</v>
      </c>
      <c r="D4" s="46">
        <v>22023001928</v>
      </c>
      <c r="E4" s="47" t="s">
        <v>521</v>
      </c>
      <c r="F4" s="53">
        <v>1829885.98</v>
      </c>
      <c r="G4" s="47" t="s">
        <v>522</v>
      </c>
      <c r="H4" s="47" t="s">
        <v>523</v>
      </c>
      <c r="I4" s="46" t="s">
        <v>511</v>
      </c>
      <c r="J4" s="47" t="s">
        <v>512</v>
      </c>
      <c r="K4" s="47" t="s">
        <v>512</v>
      </c>
      <c r="L4" s="47" t="s">
        <v>520</v>
      </c>
      <c r="M4" s="47" t="s">
        <v>514</v>
      </c>
      <c r="N4" s="47" t="s">
        <v>515</v>
      </c>
      <c r="O4" s="45" t="s">
        <v>371</v>
      </c>
      <c r="P4" s="44" t="s">
        <v>309</v>
      </c>
      <c r="Q4" s="59" t="str">
        <f>MID(Tabla1[[#This Row],[Aplicación]],14,1)</f>
        <v>2</v>
      </c>
      <c r="R4" s="35" t="s">
        <v>298</v>
      </c>
      <c r="S4" s="59" t="str">
        <f>MID(Tabla1[[#This Row],[Aplicación]],6,2)</f>
        <v>06</v>
      </c>
      <c r="T4" s="35" t="str">
        <f>VLOOKUP(Tabla1[[#This Row],[AREA]],Hoja1!A:B,2,FALSE)</f>
        <v>06. Educación, infancia, juventud e igualdad</v>
      </c>
      <c r="U4" s="35" t="str">
        <f>MID(Tabla1[[#This Row],[Aplicación]],9,4)</f>
        <v>3232</v>
      </c>
      <c r="V4" s="35" t="str">
        <f>VLOOKUP(Tabla1[[#This Row],[PROGRAMA]],Hoja1!A:B,2,FALSE)</f>
        <v>3232. Conservación y mantenimiento centros educación infantil y primaria</v>
      </c>
      <c r="W4" s="56" t="str">
        <f>MID(Tabla1[[#This Row],[Aplicación]],14,2)</f>
        <v>22</v>
      </c>
      <c r="X4" s="56" t="str">
        <f>MID(Tabla1[[#This Row],[Aplicación]],14,6)</f>
        <v>22700</v>
      </c>
    </row>
    <row r="5" spans="1:24" x14ac:dyDescent="0.25">
      <c r="A5" s="46">
        <v>220209000370</v>
      </c>
      <c r="B5" s="47" t="s">
        <v>507</v>
      </c>
      <c r="C5" s="52">
        <v>44927</v>
      </c>
      <c r="D5" s="46">
        <v>22023000504</v>
      </c>
      <c r="E5" s="47" t="s">
        <v>516</v>
      </c>
      <c r="F5" s="53">
        <v>1810467</v>
      </c>
      <c r="G5" s="47" t="s">
        <v>517</v>
      </c>
      <c r="H5" s="47" t="s">
        <v>518</v>
      </c>
      <c r="I5" s="46" t="s">
        <v>511</v>
      </c>
      <c r="J5" s="47" t="s">
        <v>519</v>
      </c>
      <c r="K5" s="47" t="s">
        <v>519</v>
      </c>
      <c r="L5" s="47" t="s">
        <v>520</v>
      </c>
      <c r="M5" s="47" t="s">
        <v>514</v>
      </c>
      <c r="N5" s="47" t="s">
        <v>515</v>
      </c>
      <c r="O5" s="45" t="s">
        <v>371</v>
      </c>
      <c r="P5" s="44" t="s">
        <v>309</v>
      </c>
      <c r="Q5" s="59" t="str">
        <f>MID(Tabla1[[#This Row],[Aplicación]],14,1)</f>
        <v>2</v>
      </c>
      <c r="R5" s="35" t="s">
        <v>298</v>
      </c>
      <c r="S5" s="59" t="str">
        <f>MID(Tabla1[[#This Row],[Aplicación]],6,2)</f>
        <v>10</v>
      </c>
      <c r="T5" s="35" t="str">
        <f>VLOOKUP(Tabla1[[#This Row],[AREA]],Hoja1!A:B,2,FALSE)</f>
        <v>10. Servicios sociales y mediación comunitaria</v>
      </c>
      <c r="U5" s="35" t="str">
        <f>MID(Tabla1[[#This Row],[Aplicación]],9,4)</f>
        <v>2311</v>
      </c>
      <c r="V5" s="35" t="str">
        <f>VLOOKUP(Tabla1[[#This Row],[PROGRAMA]],Hoja1!A:B,2,FALSE)</f>
        <v>2311. Intervención social</v>
      </c>
      <c r="W5" s="56" t="str">
        <f>MID(Tabla1[[#This Row],[Aplicación]],14,2)</f>
        <v>22</v>
      </c>
      <c r="X5" s="56" t="str">
        <f>MID(Tabla1[[#This Row],[Aplicación]],14,6)</f>
        <v>22799</v>
      </c>
    </row>
    <row r="6" spans="1:24" x14ac:dyDescent="0.25">
      <c r="A6" s="46">
        <v>220229000347</v>
      </c>
      <c r="B6" s="47" t="s">
        <v>507</v>
      </c>
      <c r="C6" s="52">
        <v>44927</v>
      </c>
      <c r="D6" s="46">
        <v>22023000448</v>
      </c>
      <c r="E6" s="47" t="s">
        <v>524</v>
      </c>
      <c r="F6" s="53">
        <v>1630314.31</v>
      </c>
      <c r="G6" s="47" t="s">
        <v>525</v>
      </c>
      <c r="H6" s="47" t="s">
        <v>526</v>
      </c>
      <c r="I6" s="46" t="s">
        <v>511</v>
      </c>
      <c r="J6" s="47" t="s">
        <v>512</v>
      </c>
      <c r="K6" s="47" t="s">
        <v>512</v>
      </c>
      <c r="L6" s="47" t="s">
        <v>527</v>
      </c>
      <c r="M6" s="47" t="s">
        <v>514</v>
      </c>
      <c r="N6" s="47" t="s">
        <v>515</v>
      </c>
      <c r="O6" s="54" t="s">
        <v>371</v>
      </c>
      <c r="P6" s="44" t="s">
        <v>309</v>
      </c>
      <c r="Q6" s="59" t="str">
        <f>MID(Tabla1[[#This Row],[Aplicación]],14,1)</f>
        <v>6</v>
      </c>
      <c r="R6" s="35" t="s">
        <v>299</v>
      </c>
      <c r="S6" s="59" t="str">
        <f>MID(Tabla1[[#This Row],[Aplicación]],6,2)</f>
        <v>02</v>
      </c>
      <c r="T6" s="35" t="str">
        <f>VLOOKUP(Tabla1[[#This Row],[AREA]],Hoja1!A:B,2,FALSE)</f>
        <v>02. Planeamiento urbanístico y vivienda</v>
      </c>
      <c r="U6" s="35" t="str">
        <f>MID(Tabla1[[#This Row],[Aplicación]],9,4)</f>
        <v>1511</v>
      </c>
      <c r="V6" s="35" t="str">
        <f>VLOOKUP(Tabla1[[#This Row],[PROGRAMA]],Hoja1!A:B,2,FALSE)</f>
        <v>1511. Planficación y gestión del urbanismo</v>
      </c>
      <c r="W6" s="56" t="str">
        <f>MID(Tabla1[[#This Row],[Aplicación]],14,2)</f>
        <v>61</v>
      </c>
      <c r="X6" s="56" t="str">
        <f>MID(Tabla1[[#This Row],[Aplicación]],14,6)</f>
        <v>619</v>
      </c>
    </row>
    <row r="7" spans="1:24" x14ac:dyDescent="0.25">
      <c r="A7" s="46">
        <v>220219000860</v>
      </c>
      <c r="B7" s="47" t="s">
        <v>507</v>
      </c>
      <c r="C7" s="52">
        <v>44927</v>
      </c>
      <c r="D7" s="46">
        <v>22023003356</v>
      </c>
      <c r="E7" s="47" t="s">
        <v>516</v>
      </c>
      <c r="F7" s="53">
        <v>1482667</v>
      </c>
      <c r="G7" s="47" t="s">
        <v>517</v>
      </c>
      <c r="H7" s="47" t="s">
        <v>528</v>
      </c>
      <c r="I7" s="46" t="s">
        <v>511</v>
      </c>
      <c r="J7" s="47" t="s">
        <v>519</v>
      </c>
      <c r="K7" s="47" t="s">
        <v>519</v>
      </c>
      <c r="L7" s="47" t="s">
        <v>520</v>
      </c>
      <c r="M7" s="47" t="s">
        <v>514</v>
      </c>
      <c r="N7" s="47" t="s">
        <v>515</v>
      </c>
      <c r="O7" s="45" t="s">
        <v>371</v>
      </c>
      <c r="P7" s="44" t="s">
        <v>309</v>
      </c>
      <c r="Q7" s="59" t="str">
        <f>MID(Tabla1[[#This Row],[Aplicación]],14,1)</f>
        <v>2</v>
      </c>
      <c r="R7" s="35" t="s">
        <v>298</v>
      </c>
      <c r="S7" s="59" t="str">
        <f>MID(Tabla1[[#This Row],[Aplicación]],6,2)</f>
        <v>10</v>
      </c>
      <c r="T7" s="35" t="str">
        <f>VLOOKUP(Tabla1[[#This Row],[AREA]],Hoja1!A:B,2,FALSE)</f>
        <v>10. Servicios sociales y mediación comunitaria</v>
      </c>
      <c r="U7" s="35" t="str">
        <f>MID(Tabla1[[#This Row],[Aplicación]],9,4)</f>
        <v>2311</v>
      </c>
      <c r="V7" s="35" t="str">
        <f>VLOOKUP(Tabla1[[#This Row],[PROGRAMA]],Hoja1!A:B,2,FALSE)</f>
        <v>2311. Intervención social</v>
      </c>
      <c r="W7" s="56" t="str">
        <f>MID(Tabla1[[#This Row],[Aplicación]],14,2)</f>
        <v>22</v>
      </c>
      <c r="X7" s="56" t="str">
        <f>MID(Tabla1[[#This Row],[Aplicación]],14,6)</f>
        <v>22799</v>
      </c>
    </row>
    <row r="8" spans="1:24" x14ac:dyDescent="0.25">
      <c r="A8" s="46">
        <v>220229000406</v>
      </c>
      <c r="B8" s="47" t="s">
        <v>507</v>
      </c>
      <c r="C8" s="52">
        <v>44927</v>
      </c>
      <c r="D8" s="46">
        <v>22023001177</v>
      </c>
      <c r="E8" s="47" t="s">
        <v>529</v>
      </c>
      <c r="F8" s="53">
        <v>1431847.4</v>
      </c>
      <c r="G8" s="47" t="s">
        <v>530</v>
      </c>
      <c r="H8" s="47" t="s">
        <v>531</v>
      </c>
      <c r="I8" s="46" t="s">
        <v>511</v>
      </c>
      <c r="J8" s="47" t="s">
        <v>532</v>
      </c>
      <c r="K8" s="47" t="s">
        <v>512</v>
      </c>
      <c r="L8" s="47" t="s">
        <v>520</v>
      </c>
      <c r="M8" s="47" t="s">
        <v>514</v>
      </c>
      <c r="N8" s="47" t="s">
        <v>515</v>
      </c>
      <c r="O8" s="54" t="s">
        <v>371</v>
      </c>
      <c r="P8" s="44" t="s">
        <v>309</v>
      </c>
      <c r="Q8" s="59" t="str">
        <f>MID(Tabla1[[#This Row],[Aplicación]],14,1)</f>
        <v>6</v>
      </c>
      <c r="R8" s="35" t="s">
        <v>299</v>
      </c>
      <c r="S8" s="59" t="str">
        <f>MID(Tabla1[[#This Row],[Aplicación]],6,2)</f>
        <v>07</v>
      </c>
      <c r="T8" s="35" t="str">
        <f>VLOOKUP(Tabla1[[#This Row],[AREA]],Hoja1!A:B,2,FALSE)</f>
        <v>07. Medio ambiente y desarrollo sostenible</v>
      </c>
      <c r="U8" s="35" t="str">
        <f>MID(Tabla1[[#This Row],[Aplicación]],9,4)</f>
        <v>1711</v>
      </c>
      <c r="V8" s="35" t="str">
        <f>VLOOKUP(Tabla1[[#This Row],[PROGRAMA]],Hoja1!A:B,2,FALSE)</f>
        <v>1711. Parques y jardines</v>
      </c>
      <c r="W8" s="56" t="str">
        <f>MID(Tabla1[[#This Row],[Aplicación]],14,2)</f>
        <v>61</v>
      </c>
      <c r="X8" s="56" t="str">
        <f>MID(Tabla1[[#This Row],[Aplicación]],14,6)</f>
        <v>610</v>
      </c>
    </row>
    <row r="9" spans="1:24" x14ac:dyDescent="0.25">
      <c r="A9" s="46">
        <v>220219000880</v>
      </c>
      <c r="B9" s="47" t="s">
        <v>507</v>
      </c>
      <c r="C9" s="52">
        <v>44927</v>
      </c>
      <c r="D9" s="46">
        <v>22023002132</v>
      </c>
      <c r="E9" s="47" t="s">
        <v>533</v>
      </c>
      <c r="F9" s="53">
        <v>1312449.3999999999</v>
      </c>
      <c r="G9" s="47" t="s">
        <v>534</v>
      </c>
      <c r="H9" s="47" t="s">
        <v>535</v>
      </c>
      <c r="I9" s="46" t="s">
        <v>511</v>
      </c>
      <c r="J9" s="47" t="s">
        <v>532</v>
      </c>
      <c r="K9" s="47" t="s">
        <v>512</v>
      </c>
      <c r="L9" s="47" t="s">
        <v>520</v>
      </c>
      <c r="M9" s="47" t="s">
        <v>514</v>
      </c>
      <c r="N9" s="47" t="s">
        <v>515</v>
      </c>
      <c r="O9" s="54" t="s">
        <v>371</v>
      </c>
      <c r="P9" s="44" t="s">
        <v>309</v>
      </c>
      <c r="Q9" s="59" t="str">
        <f>MID(Tabla1[[#This Row],[Aplicación]],14,1)</f>
        <v>6</v>
      </c>
      <c r="R9" s="35" t="s">
        <v>299</v>
      </c>
      <c r="S9" s="59" t="str">
        <f>MID(Tabla1[[#This Row],[Aplicación]],6,2)</f>
        <v>08</v>
      </c>
      <c r="T9" s="35" t="str">
        <f>VLOOKUP(Tabla1[[#This Row],[AREA]],Hoja1!A:B,2,FALSE)</f>
        <v>08. Movilidad y espacio urbano</v>
      </c>
      <c r="U9" s="56" t="str">
        <f>MID(Tabla1[[#This Row],[Aplicación]],9,4)</f>
        <v>1341</v>
      </c>
      <c r="V9" s="35" t="str">
        <f>VLOOKUP(Tabla1[[#This Row],[PROGRAMA]],Hoja1!A:B,2,FALSE)</f>
        <v>1341. Movilidad</v>
      </c>
      <c r="W9" s="56" t="str">
        <f>MID(Tabla1[[#This Row],[Aplicación]],14,2)</f>
        <v>61</v>
      </c>
      <c r="X9" s="56" t="str">
        <f>MID(Tabla1[[#This Row],[Aplicación]],14,6)</f>
        <v>619</v>
      </c>
    </row>
    <row r="10" spans="1:24" x14ac:dyDescent="0.25">
      <c r="A10" s="46">
        <v>220229000071</v>
      </c>
      <c r="B10" s="47" t="s">
        <v>507</v>
      </c>
      <c r="C10" s="52">
        <v>44927</v>
      </c>
      <c r="D10" s="46">
        <v>22023000293</v>
      </c>
      <c r="E10" s="47" t="s">
        <v>536</v>
      </c>
      <c r="F10" s="53">
        <v>1050000</v>
      </c>
      <c r="G10" s="47" t="s">
        <v>537</v>
      </c>
      <c r="H10" s="47" t="s">
        <v>538</v>
      </c>
      <c r="I10" s="46" t="s">
        <v>511</v>
      </c>
      <c r="J10" s="47" t="s">
        <v>519</v>
      </c>
      <c r="K10" s="47" t="s">
        <v>519</v>
      </c>
      <c r="L10" s="47" t="s">
        <v>520</v>
      </c>
      <c r="M10" s="47" t="s">
        <v>514</v>
      </c>
      <c r="N10" s="47" t="s">
        <v>515</v>
      </c>
      <c r="O10" s="45" t="s">
        <v>371</v>
      </c>
      <c r="P10" s="44" t="s">
        <v>309</v>
      </c>
      <c r="Q10" s="59" t="str">
        <f>MID(Tabla1[[#This Row],[Aplicación]],14,1)</f>
        <v>2</v>
      </c>
      <c r="R10" s="35" t="s">
        <v>298</v>
      </c>
      <c r="S10" s="59" t="str">
        <f>MID(Tabla1[[#This Row],[Aplicación]],6,2)</f>
        <v>04</v>
      </c>
      <c r="T10" s="35" t="str">
        <f>VLOOKUP(Tabla1[[#This Row],[AREA]],Hoja1!A:B,2,FALSE)</f>
        <v>04. Planificación y recursos</v>
      </c>
      <c r="U10" s="35" t="str">
        <f>MID(Tabla1[[#This Row],[Aplicación]],9,4)</f>
        <v>9231</v>
      </c>
      <c r="V10" s="35" t="str">
        <f>VLOOKUP(Tabla1[[#This Row],[PROGRAMA]],Hoja1!A:B,2,FALSE)</f>
        <v>9231. Información, registro y gestión del padrón</v>
      </c>
      <c r="W10" s="56" t="str">
        <f>MID(Tabla1[[#This Row],[Aplicación]],14,2)</f>
        <v>22</v>
      </c>
      <c r="X10" s="56" t="str">
        <f>MID(Tabla1[[#This Row],[Aplicación]],14,6)</f>
        <v>22201</v>
      </c>
    </row>
    <row r="11" spans="1:24" x14ac:dyDescent="0.25">
      <c r="A11" s="46">
        <v>220229000814</v>
      </c>
      <c r="B11" s="47" t="s">
        <v>507</v>
      </c>
      <c r="C11" s="52">
        <v>44927</v>
      </c>
      <c r="D11" s="46">
        <v>22023001941</v>
      </c>
      <c r="E11" s="47" t="s">
        <v>539</v>
      </c>
      <c r="F11" s="53">
        <v>956256</v>
      </c>
      <c r="G11" s="47" t="s">
        <v>540</v>
      </c>
      <c r="H11" s="47" t="s">
        <v>541</v>
      </c>
      <c r="I11" s="46" t="s">
        <v>511</v>
      </c>
      <c r="J11" s="47" t="s">
        <v>512</v>
      </c>
      <c r="K11" s="47" t="s">
        <v>512</v>
      </c>
      <c r="L11" s="47" t="s">
        <v>520</v>
      </c>
      <c r="M11" s="47" t="s">
        <v>514</v>
      </c>
      <c r="N11" s="47" t="s">
        <v>515</v>
      </c>
      <c r="O11" s="45" t="s">
        <v>371</v>
      </c>
      <c r="P11" s="44" t="s">
        <v>309</v>
      </c>
      <c r="Q11" s="59" t="str">
        <f>MID(Tabla1[[#This Row],[Aplicación]],14,1)</f>
        <v>2</v>
      </c>
      <c r="R11" s="35" t="s">
        <v>298</v>
      </c>
      <c r="S11" s="59" t="str">
        <f>MID(Tabla1[[#This Row],[Aplicación]],6,2)</f>
        <v>10</v>
      </c>
      <c r="T11" s="35" t="str">
        <f>VLOOKUP(Tabla1[[#This Row],[AREA]],Hoja1!A:B,2,FALSE)</f>
        <v>10. Servicios sociales y mediación comunitaria</v>
      </c>
      <c r="U11" s="35" t="str">
        <f>MID(Tabla1[[#This Row],[Aplicación]],9,4)</f>
        <v>2312</v>
      </c>
      <c r="V11" s="35" t="str">
        <f>VLOOKUP(Tabla1[[#This Row],[PROGRAMA]],Hoja1!A:B,2,FALSE)</f>
        <v>2312. Iniciativas sociales</v>
      </c>
      <c r="W11" s="56" t="str">
        <f>MID(Tabla1[[#This Row],[Aplicación]],14,2)</f>
        <v>22</v>
      </c>
      <c r="X11" s="56" t="str">
        <f>MID(Tabla1[[#This Row],[Aplicación]],14,6)</f>
        <v>22799</v>
      </c>
    </row>
    <row r="12" spans="1:24" x14ac:dyDescent="0.25">
      <c r="A12" s="46">
        <v>220229000836</v>
      </c>
      <c r="B12" s="47" t="s">
        <v>507</v>
      </c>
      <c r="C12" s="52">
        <v>44927</v>
      </c>
      <c r="D12" s="46">
        <v>22023001945</v>
      </c>
      <c r="E12" s="47" t="s">
        <v>542</v>
      </c>
      <c r="F12" s="53">
        <v>900000</v>
      </c>
      <c r="G12" s="47" t="s">
        <v>543</v>
      </c>
      <c r="H12" s="47" t="s">
        <v>544</v>
      </c>
      <c r="I12" s="46" t="s">
        <v>511</v>
      </c>
      <c r="J12" s="47" t="s">
        <v>545</v>
      </c>
      <c r="K12" s="47" t="s">
        <v>545</v>
      </c>
      <c r="L12" s="47" t="s">
        <v>520</v>
      </c>
      <c r="M12" s="47" t="s">
        <v>514</v>
      </c>
      <c r="N12" s="47" t="s">
        <v>515</v>
      </c>
      <c r="O12" s="45" t="s">
        <v>371</v>
      </c>
      <c r="P12" s="44" t="s">
        <v>309</v>
      </c>
      <c r="Q12" s="59" t="str">
        <f>MID(Tabla1[[#This Row],[Aplicación]],14,1)</f>
        <v>2</v>
      </c>
      <c r="R12" s="35" t="s">
        <v>298</v>
      </c>
      <c r="S12" s="59" t="str">
        <f>MID(Tabla1[[#This Row],[Aplicación]],6,2)</f>
        <v>11</v>
      </c>
      <c r="T12" s="35" t="str">
        <f>VLOOKUP(Tabla1[[#This Row],[AREA]],Hoja1!A:B,2,FALSE)</f>
        <v>11. Salud pública y seguridad ciudadana</v>
      </c>
      <c r="U12" s="35" t="str">
        <f>MID(Tabla1[[#This Row],[Aplicación]],9,4)</f>
        <v>1321</v>
      </c>
      <c r="V12" s="35" t="str">
        <f>VLOOKUP(Tabla1[[#This Row],[PROGRAMA]],Hoja1!A:B,2,FALSE)</f>
        <v>1321. Policía municipal</v>
      </c>
      <c r="W12" s="56" t="str">
        <f>MID(Tabla1[[#This Row],[Aplicación]],14,2)</f>
        <v>22</v>
      </c>
      <c r="X12" s="56" t="str">
        <f>MID(Tabla1[[#This Row],[Aplicación]],14,6)</f>
        <v>22701</v>
      </c>
    </row>
    <row r="13" spans="1:24" x14ac:dyDescent="0.25">
      <c r="A13" s="46">
        <v>220229000556</v>
      </c>
      <c r="B13" s="47" t="s">
        <v>507</v>
      </c>
      <c r="C13" s="52">
        <v>44927</v>
      </c>
      <c r="D13" s="46">
        <v>22023000462</v>
      </c>
      <c r="E13" s="47" t="s">
        <v>546</v>
      </c>
      <c r="F13" s="53">
        <v>877813.79</v>
      </c>
      <c r="G13" s="47" t="s">
        <v>547</v>
      </c>
      <c r="H13" s="47" t="s">
        <v>548</v>
      </c>
      <c r="I13" s="46" t="s">
        <v>511</v>
      </c>
      <c r="J13" s="47" t="s">
        <v>519</v>
      </c>
      <c r="K13" s="47" t="s">
        <v>519</v>
      </c>
      <c r="L13" s="47" t="s">
        <v>527</v>
      </c>
      <c r="M13" s="47" t="s">
        <v>514</v>
      </c>
      <c r="N13" s="47" t="s">
        <v>515</v>
      </c>
      <c r="O13" s="54" t="s">
        <v>371</v>
      </c>
      <c r="P13" s="44" t="s">
        <v>309</v>
      </c>
      <c r="Q13" s="59" t="str">
        <f>MID(Tabla1[[#This Row],[Aplicación]],14,1)</f>
        <v>6</v>
      </c>
      <c r="R13" s="35" t="s">
        <v>299</v>
      </c>
      <c r="S13" s="59" t="str">
        <f>MID(Tabla1[[#This Row],[Aplicación]],6,2)</f>
        <v>08</v>
      </c>
      <c r="T13" s="35" t="str">
        <f>VLOOKUP(Tabla1[[#This Row],[AREA]],Hoja1!A:B,2,FALSE)</f>
        <v>08. Movilidad y espacio urbano</v>
      </c>
      <c r="U13" s="35" t="str">
        <f>MID(Tabla1[[#This Row],[Aplicación]],9,4)</f>
        <v>1532</v>
      </c>
      <c r="V13" s="35" t="str">
        <f>VLOOKUP(Tabla1[[#This Row],[PROGRAMA]],Hoja1!A:B,2,FALSE)</f>
        <v>1532. Pavimentación vias públicas y otros servicios urbanísticos</v>
      </c>
      <c r="W13" s="56" t="str">
        <f>MID(Tabla1[[#This Row],[Aplicación]],14,2)</f>
        <v>61</v>
      </c>
      <c r="X13" s="56" t="str">
        <f>MID(Tabla1[[#This Row],[Aplicación]],14,6)</f>
        <v>619</v>
      </c>
    </row>
    <row r="14" spans="1:24" x14ac:dyDescent="0.25">
      <c r="A14" s="46">
        <v>220229000252</v>
      </c>
      <c r="B14" s="47" t="s">
        <v>507</v>
      </c>
      <c r="C14" s="52">
        <v>44927</v>
      </c>
      <c r="D14" s="46">
        <v>22023000687</v>
      </c>
      <c r="E14" s="47" t="s">
        <v>549</v>
      </c>
      <c r="F14" s="53">
        <v>840421.23</v>
      </c>
      <c r="G14" s="47" t="s">
        <v>550</v>
      </c>
      <c r="H14" s="47" t="s">
        <v>551</v>
      </c>
      <c r="I14" s="46" t="s">
        <v>511</v>
      </c>
      <c r="J14" s="47" t="s">
        <v>512</v>
      </c>
      <c r="K14" s="47" t="s">
        <v>512</v>
      </c>
      <c r="L14" s="47" t="s">
        <v>552</v>
      </c>
      <c r="M14" s="47" t="s">
        <v>514</v>
      </c>
      <c r="N14" s="47" t="s">
        <v>515</v>
      </c>
      <c r="O14" s="54" t="s">
        <v>382</v>
      </c>
      <c r="P14" s="44" t="s">
        <v>309</v>
      </c>
      <c r="Q14" s="59" t="str">
        <f>MID(Tabla1[[#This Row],[Aplicación]],14,1)</f>
        <v>6</v>
      </c>
      <c r="R14" s="35" t="s">
        <v>299</v>
      </c>
      <c r="S14" s="59" t="str">
        <f>MID(Tabla1[[#This Row],[Aplicación]],6,2)</f>
        <v>11</v>
      </c>
      <c r="T14" s="35" t="str">
        <f>VLOOKUP(Tabla1[[#This Row],[AREA]],Hoja1!A:B,2,FALSE)</f>
        <v>11. Salud pública y seguridad ciudadana</v>
      </c>
      <c r="U14" s="35" t="str">
        <f>MID(Tabla1[[#This Row],[Aplicación]],9,4)</f>
        <v>1621</v>
      </c>
      <c r="V14" s="35" t="str">
        <f>VLOOKUP(Tabla1[[#This Row],[PROGRAMA]],Hoja1!A:B,2,FALSE)</f>
        <v>1621. Servicio de limpieza</v>
      </c>
      <c r="W14" s="56" t="str">
        <f>MID(Tabla1[[#This Row],[Aplicación]],14,2)</f>
        <v>63</v>
      </c>
      <c r="X14" s="56" t="str">
        <f>MID(Tabla1[[#This Row],[Aplicación]],14,6)</f>
        <v>634</v>
      </c>
    </row>
    <row r="15" spans="1:24" x14ac:dyDescent="0.25">
      <c r="A15" s="46">
        <v>220229000831</v>
      </c>
      <c r="B15" s="47" t="s">
        <v>507</v>
      </c>
      <c r="C15" s="52">
        <v>44927</v>
      </c>
      <c r="D15" s="46">
        <v>22023001943</v>
      </c>
      <c r="E15" s="47" t="s">
        <v>553</v>
      </c>
      <c r="F15" s="53">
        <v>838196.04</v>
      </c>
      <c r="G15" s="47" t="s">
        <v>554</v>
      </c>
      <c r="H15" s="47" t="s">
        <v>555</v>
      </c>
      <c r="I15" s="46" t="s">
        <v>511</v>
      </c>
      <c r="J15" s="47" t="s">
        <v>556</v>
      </c>
      <c r="K15" s="47" t="s">
        <v>512</v>
      </c>
      <c r="L15" s="47" t="s">
        <v>552</v>
      </c>
      <c r="M15" s="47" t="s">
        <v>514</v>
      </c>
      <c r="N15" s="47" t="s">
        <v>515</v>
      </c>
      <c r="O15" s="54" t="s">
        <v>371</v>
      </c>
      <c r="P15" s="44" t="s">
        <v>309</v>
      </c>
      <c r="Q15" s="59" t="str">
        <f>MID(Tabla1[[#This Row],[Aplicación]],14,1)</f>
        <v>6</v>
      </c>
      <c r="R15" s="35" t="s">
        <v>299</v>
      </c>
      <c r="S15" s="59" t="str">
        <f>MID(Tabla1[[#This Row],[Aplicación]],6,2)</f>
        <v>11</v>
      </c>
      <c r="T15" s="35" t="str">
        <f>VLOOKUP(Tabla1[[#This Row],[AREA]],Hoja1!A:B,2,FALSE)</f>
        <v>11. Salud pública y seguridad ciudadana</v>
      </c>
      <c r="U15" s="35" t="str">
        <f>MID(Tabla1[[#This Row],[Aplicación]],9,4)</f>
        <v>1361</v>
      </c>
      <c r="V15" s="35" t="str">
        <f>VLOOKUP(Tabla1[[#This Row],[PROGRAMA]],Hoja1!A:B,2,FALSE)</f>
        <v>1361. Prevención y extinción de incencios</v>
      </c>
      <c r="W15" s="56" t="str">
        <f>MID(Tabla1[[#This Row],[Aplicación]],14,2)</f>
        <v>62</v>
      </c>
      <c r="X15" s="56" t="str">
        <f>MID(Tabla1[[#This Row],[Aplicación]],14,6)</f>
        <v>624</v>
      </c>
    </row>
    <row r="16" spans="1:24" x14ac:dyDescent="0.25">
      <c r="A16" s="46">
        <v>220229000368</v>
      </c>
      <c r="B16" s="47" t="s">
        <v>507</v>
      </c>
      <c r="C16" s="52">
        <v>44927</v>
      </c>
      <c r="D16" s="46">
        <v>22023001162</v>
      </c>
      <c r="E16" s="47" t="s">
        <v>557</v>
      </c>
      <c r="F16" s="53">
        <v>800000</v>
      </c>
      <c r="G16" s="47" t="s">
        <v>35</v>
      </c>
      <c r="H16" s="47" t="s">
        <v>558</v>
      </c>
      <c r="I16" s="46" t="s">
        <v>511</v>
      </c>
      <c r="J16" s="47" t="s">
        <v>519</v>
      </c>
      <c r="K16" s="47" t="s">
        <v>519</v>
      </c>
      <c r="L16" s="47" t="s">
        <v>552</v>
      </c>
      <c r="M16" s="47" t="s">
        <v>514</v>
      </c>
      <c r="N16" s="47" t="s">
        <v>515</v>
      </c>
      <c r="O16" s="45" t="s">
        <v>371</v>
      </c>
      <c r="P16" s="44" t="s">
        <v>309</v>
      </c>
      <c r="Q16" s="59" t="str">
        <f>MID(Tabla1[[#This Row],[Aplicación]],14,1)</f>
        <v>2</v>
      </c>
      <c r="R16" s="35" t="s">
        <v>298</v>
      </c>
      <c r="S16" s="59" t="str">
        <f>MID(Tabla1[[#This Row],[Aplicación]],6,2)</f>
        <v>11</v>
      </c>
      <c r="T16" s="35" t="str">
        <f>VLOOKUP(Tabla1[[#This Row],[AREA]],Hoja1!A:B,2,FALSE)</f>
        <v>11. Salud pública y seguridad ciudadana</v>
      </c>
      <c r="U16" s="35" t="str">
        <f>MID(Tabla1[[#This Row],[Aplicación]],9,4)</f>
        <v>1621</v>
      </c>
      <c r="V16" s="35" t="str">
        <f>VLOOKUP(Tabla1[[#This Row],[PROGRAMA]],Hoja1!A:B,2,FALSE)</f>
        <v>1621. Servicio de limpieza</v>
      </c>
      <c r="W16" s="56" t="str">
        <f>MID(Tabla1[[#This Row],[Aplicación]],14,2)</f>
        <v>22</v>
      </c>
      <c r="X16" s="56" t="str">
        <f>MID(Tabla1[[#This Row],[Aplicación]],14,6)</f>
        <v>22103</v>
      </c>
    </row>
    <row r="17" spans="1:24" x14ac:dyDescent="0.25">
      <c r="A17" s="46">
        <v>220219000595</v>
      </c>
      <c r="B17" s="47" t="s">
        <v>507</v>
      </c>
      <c r="C17" s="52">
        <v>44927</v>
      </c>
      <c r="D17" s="46">
        <v>22023003340</v>
      </c>
      <c r="E17" s="47" t="s">
        <v>559</v>
      </c>
      <c r="F17" s="53">
        <v>713580.67</v>
      </c>
      <c r="G17" s="47" t="s">
        <v>84</v>
      </c>
      <c r="H17" s="47" t="s">
        <v>560</v>
      </c>
      <c r="I17" s="46" t="s">
        <v>511</v>
      </c>
      <c r="J17" s="47" t="s">
        <v>519</v>
      </c>
      <c r="K17" s="47" t="s">
        <v>519</v>
      </c>
      <c r="L17" s="47" t="s">
        <v>520</v>
      </c>
      <c r="M17" s="47" t="s">
        <v>514</v>
      </c>
      <c r="N17" s="47" t="s">
        <v>515</v>
      </c>
      <c r="O17" s="54" t="s">
        <v>371</v>
      </c>
      <c r="P17" s="44" t="s">
        <v>309</v>
      </c>
      <c r="Q17" s="59" t="str">
        <f>MID(Tabla1[[#This Row],[Aplicación]],14,1)</f>
        <v>6</v>
      </c>
      <c r="R17" s="35" t="s">
        <v>299</v>
      </c>
      <c r="S17" s="59" t="str">
        <f>MID(Tabla1[[#This Row],[Aplicación]],6,2)</f>
        <v>08</v>
      </c>
      <c r="T17" s="35" t="str">
        <f>VLOOKUP(Tabla1[[#This Row],[AREA]],Hoja1!A:B,2,FALSE)</f>
        <v>08. Movilidad y espacio urbano</v>
      </c>
      <c r="U17" s="35" t="str">
        <f>MID(Tabla1[[#This Row],[Aplicación]],9,4)</f>
        <v>1651</v>
      </c>
      <c r="V17" s="35" t="str">
        <f>VLOOKUP(Tabla1[[#This Row],[PROGRAMA]],Hoja1!A:B,2,FALSE)</f>
        <v>1651. Alumbrado público</v>
      </c>
      <c r="W17" s="56" t="str">
        <f>MID(Tabla1[[#This Row],[Aplicación]],14,2)</f>
        <v>61</v>
      </c>
      <c r="X17" s="56" t="str">
        <f>MID(Tabla1[[#This Row],[Aplicación]],14,6)</f>
        <v>619</v>
      </c>
    </row>
    <row r="18" spans="1:24" x14ac:dyDescent="0.25">
      <c r="A18" s="46">
        <v>220219001261</v>
      </c>
      <c r="B18" s="47" t="s">
        <v>507</v>
      </c>
      <c r="C18" s="52">
        <v>44927</v>
      </c>
      <c r="D18" s="46">
        <v>22023003347</v>
      </c>
      <c r="E18" s="47" t="s">
        <v>561</v>
      </c>
      <c r="F18" s="53">
        <v>698165.22</v>
      </c>
      <c r="G18" s="47" t="s">
        <v>562</v>
      </c>
      <c r="H18" s="47" t="s">
        <v>563</v>
      </c>
      <c r="I18" s="46" t="s">
        <v>511</v>
      </c>
      <c r="J18" s="47" t="s">
        <v>564</v>
      </c>
      <c r="K18" s="47" t="s">
        <v>565</v>
      </c>
      <c r="L18" s="47" t="s">
        <v>527</v>
      </c>
      <c r="M18" s="47" t="s">
        <v>514</v>
      </c>
      <c r="N18" s="47" t="s">
        <v>515</v>
      </c>
      <c r="O18" s="54" t="s">
        <v>371</v>
      </c>
      <c r="P18" s="44" t="s">
        <v>309</v>
      </c>
      <c r="Q18" s="59">
        <v>6</v>
      </c>
      <c r="R18" s="35" t="s">
        <v>299</v>
      </c>
      <c r="S18" s="59" t="str">
        <f>MID(Tabla1[[#This Row],[Aplicación]],6,2)</f>
        <v>08</v>
      </c>
      <c r="T18" s="35" t="str">
        <f>VLOOKUP(Tabla1[[#This Row],[AREA]],Hoja1!A:B,2,FALSE)</f>
        <v>08. Movilidad y espacio urbano</v>
      </c>
      <c r="U18" s="56">
        <v>1341</v>
      </c>
      <c r="V18" s="35" t="str">
        <f>VLOOKUP(Tabla1[[#This Row],[PROGRAMA]],Hoja1!A:B,2,FALSE)</f>
        <v>1341. Movilidad</v>
      </c>
      <c r="W18" s="56">
        <v>60</v>
      </c>
      <c r="X18" s="56">
        <v>609</v>
      </c>
    </row>
    <row r="19" spans="1:24" x14ac:dyDescent="0.25">
      <c r="A19" s="46">
        <v>220229000854</v>
      </c>
      <c r="B19" s="47" t="s">
        <v>507</v>
      </c>
      <c r="C19" s="52">
        <v>44927</v>
      </c>
      <c r="D19" s="46">
        <v>22023001950</v>
      </c>
      <c r="E19" s="47" t="s">
        <v>566</v>
      </c>
      <c r="F19" s="53">
        <v>681353.87</v>
      </c>
      <c r="G19" s="47" t="s">
        <v>567</v>
      </c>
      <c r="H19" s="47" t="s">
        <v>568</v>
      </c>
      <c r="I19" s="46" t="s">
        <v>511</v>
      </c>
      <c r="J19" s="47" t="s">
        <v>519</v>
      </c>
      <c r="K19" s="47" t="s">
        <v>519</v>
      </c>
      <c r="L19" s="47" t="s">
        <v>520</v>
      </c>
      <c r="M19" s="47" t="s">
        <v>514</v>
      </c>
      <c r="N19" s="47" t="s">
        <v>515</v>
      </c>
      <c r="O19" s="45" t="s">
        <v>371</v>
      </c>
      <c r="P19" s="44" t="s">
        <v>309</v>
      </c>
      <c r="Q19" s="59" t="str">
        <f>MID(Tabla1[[#This Row],[Aplicación]],14,1)</f>
        <v>2</v>
      </c>
      <c r="R19" s="35" t="s">
        <v>298</v>
      </c>
      <c r="S19" s="59" t="str">
        <f>MID(Tabla1[[#This Row],[Aplicación]],6,2)</f>
        <v>04</v>
      </c>
      <c r="T19" s="35" t="str">
        <f>VLOOKUP(Tabla1[[#This Row],[AREA]],Hoja1!A:B,2,FALSE)</f>
        <v>04. Planificación y recursos</v>
      </c>
      <c r="U19" s="35" t="str">
        <f>MID(Tabla1[[#This Row],[Aplicación]],9,4)</f>
        <v>9204</v>
      </c>
      <c r="V19" s="35" t="str">
        <f>VLOOKUP(Tabla1[[#This Row],[PROGRAMA]],Hoja1!A:B,2,FALSE)</f>
        <v>9204. Tecnologías de la información y comunicación</v>
      </c>
      <c r="W19" s="56" t="str">
        <f>MID(Tabla1[[#This Row],[Aplicación]],14,2)</f>
        <v>21</v>
      </c>
      <c r="X19" s="56" t="str">
        <f>MID(Tabla1[[#This Row],[Aplicación]],14,6)</f>
        <v>216</v>
      </c>
    </row>
    <row r="20" spans="1:24" x14ac:dyDescent="0.25">
      <c r="A20" s="46">
        <v>220230000030</v>
      </c>
      <c r="B20" s="47" t="s">
        <v>507</v>
      </c>
      <c r="C20" s="52">
        <v>44927</v>
      </c>
      <c r="D20" s="46">
        <v>22023000517</v>
      </c>
      <c r="E20" s="47" t="s">
        <v>516</v>
      </c>
      <c r="F20" s="53">
        <v>655780.19999999995</v>
      </c>
      <c r="G20" s="47" t="s">
        <v>314</v>
      </c>
      <c r="H20" s="47" t="s">
        <v>569</v>
      </c>
      <c r="I20" s="46" t="s">
        <v>511</v>
      </c>
      <c r="J20" s="47" t="s">
        <v>519</v>
      </c>
      <c r="K20" s="47" t="s">
        <v>519</v>
      </c>
      <c r="L20" s="47" t="s">
        <v>520</v>
      </c>
      <c r="M20" s="47" t="s">
        <v>514</v>
      </c>
      <c r="N20" s="47" t="s">
        <v>515</v>
      </c>
      <c r="O20" s="45" t="s">
        <v>371</v>
      </c>
      <c r="P20" s="44" t="s">
        <v>309</v>
      </c>
      <c r="Q20" s="59" t="str">
        <f>MID(Tabla1[[#This Row],[Aplicación]],14,1)</f>
        <v>2</v>
      </c>
      <c r="R20" s="35" t="s">
        <v>298</v>
      </c>
      <c r="S20" s="59" t="str">
        <f>MID(Tabla1[[#This Row],[Aplicación]],6,2)</f>
        <v>10</v>
      </c>
      <c r="T20" s="35" t="str">
        <f>VLOOKUP(Tabla1[[#This Row],[AREA]],Hoja1!A:B,2,FALSE)</f>
        <v>10. Servicios sociales y mediación comunitaria</v>
      </c>
      <c r="U20" s="35" t="str">
        <f>MID(Tabla1[[#This Row],[Aplicación]],9,4)</f>
        <v>2311</v>
      </c>
      <c r="V20" s="35" t="str">
        <f>VLOOKUP(Tabla1[[#This Row],[PROGRAMA]],Hoja1!A:B,2,FALSE)</f>
        <v>2311. Intervención social</v>
      </c>
      <c r="W20" s="56" t="str">
        <f>MID(Tabla1[[#This Row],[Aplicación]],14,2)</f>
        <v>22</v>
      </c>
      <c r="X20" s="56" t="str">
        <f>MID(Tabla1[[#This Row],[Aplicación]],14,6)</f>
        <v>22799</v>
      </c>
    </row>
    <row r="21" spans="1:24" x14ac:dyDescent="0.25">
      <c r="A21" s="46">
        <v>220209000367</v>
      </c>
      <c r="B21" s="47" t="s">
        <v>507</v>
      </c>
      <c r="C21" s="52">
        <v>44927</v>
      </c>
      <c r="D21" s="46">
        <v>22023003353</v>
      </c>
      <c r="E21" s="47" t="s">
        <v>516</v>
      </c>
      <c r="F21" s="53">
        <v>629200</v>
      </c>
      <c r="G21" s="47" t="s">
        <v>570</v>
      </c>
      <c r="H21" s="47" t="s">
        <v>571</v>
      </c>
      <c r="I21" s="46" t="s">
        <v>511</v>
      </c>
      <c r="J21" s="47" t="s">
        <v>572</v>
      </c>
      <c r="K21" s="47" t="s">
        <v>573</v>
      </c>
      <c r="L21" s="47" t="s">
        <v>520</v>
      </c>
      <c r="M21" s="47" t="s">
        <v>514</v>
      </c>
      <c r="N21" s="47" t="s">
        <v>515</v>
      </c>
      <c r="O21" s="45" t="s">
        <v>371</v>
      </c>
      <c r="P21" s="44" t="s">
        <v>309</v>
      </c>
      <c r="Q21" s="59" t="str">
        <f>MID(Tabla1[[#This Row],[Aplicación]],14,1)</f>
        <v>2</v>
      </c>
      <c r="R21" s="35" t="s">
        <v>298</v>
      </c>
      <c r="S21" s="59" t="str">
        <f>MID(Tabla1[[#This Row],[Aplicación]],6,2)</f>
        <v>10</v>
      </c>
      <c r="T21" s="35" t="str">
        <f>VLOOKUP(Tabla1[[#This Row],[AREA]],Hoja1!A:B,2,FALSE)</f>
        <v>10. Servicios sociales y mediación comunitaria</v>
      </c>
      <c r="U21" s="35" t="str">
        <f>MID(Tabla1[[#This Row],[Aplicación]],9,4)</f>
        <v>2311</v>
      </c>
      <c r="V21" s="35" t="str">
        <f>VLOOKUP(Tabla1[[#This Row],[PROGRAMA]],Hoja1!A:B,2,FALSE)</f>
        <v>2311. Intervención social</v>
      </c>
      <c r="W21" s="56" t="str">
        <f>MID(Tabla1[[#This Row],[Aplicación]],14,2)</f>
        <v>22</v>
      </c>
      <c r="X21" s="56" t="str">
        <f>MID(Tabla1[[#This Row],[Aplicación]],14,6)</f>
        <v>22799</v>
      </c>
    </row>
    <row r="22" spans="1:24" x14ac:dyDescent="0.25">
      <c r="A22" s="46">
        <v>220229000598</v>
      </c>
      <c r="B22" s="47" t="s">
        <v>507</v>
      </c>
      <c r="C22" s="52">
        <v>44927</v>
      </c>
      <c r="D22" s="46">
        <v>22023000466</v>
      </c>
      <c r="E22" s="47" t="s">
        <v>574</v>
      </c>
      <c r="F22" s="53">
        <v>621438.75</v>
      </c>
      <c r="G22" s="47" t="s">
        <v>575</v>
      </c>
      <c r="H22" s="47" t="s">
        <v>576</v>
      </c>
      <c r="I22" s="46" t="s">
        <v>511</v>
      </c>
      <c r="J22" s="47" t="s">
        <v>512</v>
      </c>
      <c r="K22" s="47" t="s">
        <v>512</v>
      </c>
      <c r="L22" s="47" t="s">
        <v>520</v>
      </c>
      <c r="M22" s="47" t="s">
        <v>514</v>
      </c>
      <c r="N22" s="47" t="s">
        <v>515</v>
      </c>
      <c r="O22" s="45" t="s">
        <v>371</v>
      </c>
      <c r="P22" s="44" t="s">
        <v>309</v>
      </c>
      <c r="Q22" s="59" t="str">
        <f>MID(Tabla1[[#This Row],[Aplicación]],14,1)</f>
        <v>2</v>
      </c>
      <c r="R22" s="35" t="s">
        <v>298</v>
      </c>
      <c r="S22" s="59" t="str">
        <f>MID(Tabla1[[#This Row],[Aplicación]],6,2)</f>
        <v>11</v>
      </c>
      <c r="T22" s="35" t="str">
        <f>VLOOKUP(Tabla1[[#This Row],[AREA]],Hoja1!A:B,2,FALSE)</f>
        <v>11. Salud pública y seguridad ciudadana</v>
      </c>
      <c r="U22" s="35" t="str">
        <f>MID(Tabla1[[#This Row],[Aplicación]],9,4)</f>
        <v>1621</v>
      </c>
      <c r="V22" s="35" t="str">
        <f>VLOOKUP(Tabla1[[#This Row],[PROGRAMA]],Hoja1!A:B,2,FALSE)</f>
        <v>1621. Servicio de limpieza</v>
      </c>
      <c r="W22" s="56" t="str">
        <f>MID(Tabla1[[#This Row],[Aplicación]],14,2)</f>
        <v>22</v>
      </c>
      <c r="X22" s="56" t="str">
        <f>MID(Tabla1[[#This Row],[Aplicación]],14,6)</f>
        <v>22700</v>
      </c>
    </row>
    <row r="23" spans="1:24" x14ac:dyDescent="0.25">
      <c r="A23" s="46">
        <v>220229000265</v>
      </c>
      <c r="B23" s="47" t="s">
        <v>507</v>
      </c>
      <c r="C23" s="52">
        <v>44927</v>
      </c>
      <c r="D23" s="46">
        <v>22023001916</v>
      </c>
      <c r="E23" s="47" t="s">
        <v>516</v>
      </c>
      <c r="F23" s="53">
        <v>551345</v>
      </c>
      <c r="G23" s="47" t="s">
        <v>47</v>
      </c>
      <c r="H23" s="47" t="s">
        <v>577</v>
      </c>
      <c r="I23" s="46" t="s">
        <v>511</v>
      </c>
      <c r="J23" s="47" t="s">
        <v>519</v>
      </c>
      <c r="K23" s="47" t="s">
        <v>519</v>
      </c>
      <c r="L23" s="47" t="s">
        <v>520</v>
      </c>
      <c r="M23" s="47" t="s">
        <v>514</v>
      </c>
      <c r="N23" s="47" t="s">
        <v>515</v>
      </c>
      <c r="O23" s="45" t="s">
        <v>371</v>
      </c>
      <c r="P23" s="44" t="s">
        <v>309</v>
      </c>
      <c r="Q23" s="59" t="str">
        <f>MID(Tabla1[[#This Row],[Aplicación]],14,1)</f>
        <v>2</v>
      </c>
      <c r="R23" s="35" t="s">
        <v>298</v>
      </c>
      <c r="S23" s="59" t="str">
        <f>MID(Tabla1[[#This Row],[Aplicación]],6,2)</f>
        <v>10</v>
      </c>
      <c r="T23" s="35" t="str">
        <f>VLOOKUP(Tabla1[[#This Row],[AREA]],Hoja1!A:B,2,FALSE)</f>
        <v>10. Servicios sociales y mediación comunitaria</v>
      </c>
      <c r="U23" s="35" t="str">
        <f>MID(Tabla1[[#This Row],[Aplicación]],9,4)</f>
        <v>2311</v>
      </c>
      <c r="V23" s="35" t="str">
        <f>VLOOKUP(Tabla1[[#This Row],[PROGRAMA]],Hoja1!A:B,2,FALSE)</f>
        <v>2311. Intervención social</v>
      </c>
      <c r="W23" s="56" t="str">
        <f>MID(Tabla1[[#This Row],[Aplicación]],14,2)</f>
        <v>22</v>
      </c>
      <c r="X23" s="56" t="str">
        <f>MID(Tabla1[[#This Row],[Aplicación]],14,6)</f>
        <v>22799</v>
      </c>
    </row>
    <row r="24" spans="1:24" x14ac:dyDescent="0.25">
      <c r="A24" s="46">
        <v>220229000167</v>
      </c>
      <c r="B24" s="47" t="s">
        <v>507</v>
      </c>
      <c r="C24" s="52">
        <v>44927</v>
      </c>
      <c r="D24" s="46">
        <v>22023000912</v>
      </c>
      <c r="E24" s="47" t="s">
        <v>578</v>
      </c>
      <c r="F24" s="53">
        <v>538340</v>
      </c>
      <c r="G24" s="47" t="s">
        <v>579</v>
      </c>
      <c r="H24" s="47" t="s">
        <v>580</v>
      </c>
      <c r="I24" s="46" t="s">
        <v>511</v>
      </c>
      <c r="J24" s="47" t="s">
        <v>519</v>
      </c>
      <c r="K24" s="47" t="s">
        <v>519</v>
      </c>
      <c r="L24" s="47" t="s">
        <v>520</v>
      </c>
      <c r="M24" s="47" t="s">
        <v>514</v>
      </c>
      <c r="N24" s="47" t="s">
        <v>515</v>
      </c>
      <c r="O24" s="45" t="s">
        <v>371</v>
      </c>
      <c r="P24" s="44" t="s">
        <v>309</v>
      </c>
      <c r="Q24" s="59" t="str">
        <f>MID(Tabla1[[#This Row],[Aplicación]],14,1)</f>
        <v>2</v>
      </c>
      <c r="R24" s="35" t="s">
        <v>298</v>
      </c>
      <c r="S24" s="59" t="str">
        <f>MID(Tabla1[[#This Row],[Aplicación]],6,2)</f>
        <v>06</v>
      </c>
      <c r="T24" s="35" t="str">
        <f>VLOOKUP(Tabla1[[#This Row],[AREA]],Hoja1!A:B,2,FALSE)</f>
        <v>06. Educación, infancia, juventud e igualdad</v>
      </c>
      <c r="U24" s="35" t="str">
        <f>MID(Tabla1[[#This Row],[Aplicación]],9,4)</f>
        <v>3231</v>
      </c>
      <c r="V24" s="35" t="str">
        <f>VLOOKUP(Tabla1[[#This Row],[PROGRAMA]],Hoja1!A:B,2,FALSE)</f>
        <v>3231. Escuelas infantiles</v>
      </c>
      <c r="W24" s="56" t="str">
        <f>MID(Tabla1[[#This Row],[Aplicación]],14,2)</f>
        <v>22</v>
      </c>
      <c r="X24" s="56" t="str">
        <f>MID(Tabla1[[#This Row],[Aplicación]],14,6)</f>
        <v>22799</v>
      </c>
    </row>
    <row r="25" spans="1:24" x14ac:dyDescent="0.25">
      <c r="A25" s="46">
        <v>220229000171</v>
      </c>
      <c r="B25" s="47" t="s">
        <v>507</v>
      </c>
      <c r="C25" s="52">
        <v>44927</v>
      </c>
      <c r="D25" s="46">
        <v>22023000915</v>
      </c>
      <c r="E25" s="47" t="s">
        <v>578</v>
      </c>
      <c r="F25" s="53">
        <v>524840</v>
      </c>
      <c r="G25" s="47" t="s">
        <v>581</v>
      </c>
      <c r="H25" s="47" t="s">
        <v>582</v>
      </c>
      <c r="I25" s="46" t="s">
        <v>511</v>
      </c>
      <c r="J25" s="47" t="s">
        <v>519</v>
      </c>
      <c r="K25" s="47" t="s">
        <v>519</v>
      </c>
      <c r="L25" s="47" t="s">
        <v>520</v>
      </c>
      <c r="M25" s="47" t="s">
        <v>514</v>
      </c>
      <c r="N25" s="47" t="s">
        <v>515</v>
      </c>
      <c r="O25" s="45" t="s">
        <v>371</v>
      </c>
      <c r="P25" s="44" t="s">
        <v>309</v>
      </c>
      <c r="Q25" s="59" t="str">
        <f>MID(Tabla1[[#This Row],[Aplicación]],14,1)</f>
        <v>2</v>
      </c>
      <c r="R25" s="35" t="s">
        <v>298</v>
      </c>
      <c r="S25" s="59" t="str">
        <f>MID(Tabla1[[#This Row],[Aplicación]],6,2)</f>
        <v>06</v>
      </c>
      <c r="T25" s="35" t="str">
        <f>VLOOKUP(Tabla1[[#This Row],[AREA]],Hoja1!A:B,2,FALSE)</f>
        <v>06. Educación, infancia, juventud e igualdad</v>
      </c>
      <c r="U25" s="35" t="str">
        <f>MID(Tabla1[[#This Row],[Aplicación]],9,4)</f>
        <v>3231</v>
      </c>
      <c r="V25" s="35" t="str">
        <f>VLOOKUP(Tabla1[[#This Row],[PROGRAMA]],Hoja1!A:B,2,FALSE)</f>
        <v>3231. Escuelas infantiles</v>
      </c>
      <c r="W25" s="56" t="str">
        <f>MID(Tabla1[[#This Row],[Aplicación]],14,2)</f>
        <v>22</v>
      </c>
      <c r="X25" s="56" t="str">
        <f>MID(Tabla1[[#This Row],[Aplicación]],14,6)</f>
        <v>22799</v>
      </c>
    </row>
    <row r="26" spans="1:24" x14ac:dyDescent="0.25">
      <c r="A26" s="46">
        <v>220229000311</v>
      </c>
      <c r="B26" s="47" t="s">
        <v>507</v>
      </c>
      <c r="C26" s="52">
        <v>44927</v>
      </c>
      <c r="D26" s="46">
        <v>22023001142</v>
      </c>
      <c r="E26" s="47" t="s">
        <v>583</v>
      </c>
      <c r="F26" s="53">
        <v>423435.78</v>
      </c>
      <c r="G26" s="47" t="s">
        <v>584</v>
      </c>
      <c r="H26" s="47" t="s">
        <v>585</v>
      </c>
      <c r="I26" s="46" t="s">
        <v>511</v>
      </c>
      <c r="J26" s="47" t="s">
        <v>519</v>
      </c>
      <c r="K26" s="47" t="s">
        <v>519</v>
      </c>
      <c r="L26" s="47" t="s">
        <v>527</v>
      </c>
      <c r="M26" s="47" t="s">
        <v>514</v>
      </c>
      <c r="N26" s="47" t="s">
        <v>515</v>
      </c>
      <c r="O26" s="54" t="s">
        <v>371</v>
      </c>
      <c r="P26" s="44" t="s">
        <v>309</v>
      </c>
      <c r="Q26" s="59" t="str">
        <f>MID(Tabla1[[#This Row],[Aplicación]],14,1)</f>
        <v>6</v>
      </c>
      <c r="R26" s="35" t="s">
        <v>299</v>
      </c>
      <c r="S26" s="59" t="str">
        <f>MID(Tabla1[[#This Row],[Aplicación]],6,2)</f>
        <v>02</v>
      </c>
      <c r="T26" s="35" t="str">
        <f>VLOOKUP(Tabla1[[#This Row],[AREA]],Hoja1!A:B,2,FALSE)</f>
        <v>02. Planeamiento urbanístico y vivienda</v>
      </c>
      <c r="U26" s="35" t="str">
        <f>MID(Tabla1[[#This Row],[Aplicación]],9,4)</f>
        <v>1511</v>
      </c>
      <c r="V26" s="35" t="str">
        <f>VLOOKUP(Tabla1[[#This Row],[PROGRAMA]],Hoja1!A:B,2,FALSE)</f>
        <v>1511. Planficación y gestión del urbanismo</v>
      </c>
      <c r="W26" s="56" t="str">
        <f>MID(Tabla1[[#This Row],[Aplicación]],14,2)</f>
        <v>60</v>
      </c>
      <c r="X26" s="56" t="str">
        <f>MID(Tabla1[[#This Row],[Aplicación]],14,6)</f>
        <v>609</v>
      </c>
    </row>
    <row r="27" spans="1:24" x14ac:dyDescent="0.25">
      <c r="A27" s="46">
        <v>220219000934</v>
      </c>
      <c r="B27" s="47" t="s">
        <v>507</v>
      </c>
      <c r="C27" s="52">
        <v>44927</v>
      </c>
      <c r="D27" s="46">
        <v>22023003306</v>
      </c>
      <c r="E27" s="47" t="s">
        <v>586</v>
      </c>
      <c r="F27" s="53">
        <v>11000</v>
      </c>
      <c r="G27" s="47" t="s">
        <v>587</v>
      </c>
      <c r="H27" s="47" t="s">
        <v>588</v>
      </c>
      <c r="I27" s="46" t="s">
        <v>511</v>
      </c>
      <c r="J27" s="47" t="s">
        <v>589</v>
      </c>
      <c r="K27" s="47" t="s">
        <v>590</v>
      </c>
      <c r="L27" s="47" t="s">
        <v>520</v>
      </c>
      <c r="M27" s="47" t="s">
        <v>514</v>
      </c>
      <c r="N27" s="47" t="s">
        <v>515</v>
      </c>
      <c r="O27" s="45" t="s">
        <v>371</v>
      </c>
      <c r="P27" s="44" t="s">
        <v>309</v>
      </c>
      <c r="Q27" s="59" t="str">
        <f>MID(Tabla1[[#This Row],[Aplicación]],14,1)</f>
        <v>2</v>
      </c>
      <c r="R27" s="35" t="s">
        <v>298</v>
      </c>
      <c r="S27" s="59" t="str">
        <f>MID(Tabla1[[#This Row],[Aplicación]],6,2)</f>
        <v>05</v>
      </c>
      <c r="T27" s="35" t="str">
        <f>VLOOKUP(Tabla1[[#This Row],[AREA]],Hoja1!A:B,2,FALSE)</f>
        <v>05. Innovación, desarrollo económico, empleo y comercio</v>
      </c>
      <c r="U27" s="35" t="str">
        <f>MID(Tabla1[[#This Row],[Aplicación]],9,4)</f>
        <v>4314</v>
      </c>
      <c r="V27" s="35" t="str">
        <f>VLOOKUP(Tabla1[[#This Row],[PROGRAMA]],Hoja1!A:B,2,FALSE)</f>
        <v>4314. Fomento del comercio</v>
      </c>
      <c r="W27" s="56" t="str">
        <f>MID(Tabla1[[#This Row],[Aplicación]],14,2)</f>
        <v>22</v>
      </c>
      <c r="X27" s="56" t="str">
        <f>MID(Tabla1[[#This Row],[Aplicación]],14,6)</f>
        <v>22100</v>
      </c>
    </row>
    <row r="28" spans="1:24" x14ac:dyDescent="0.25">
      <c r="A28" s="46">
        <v>220219000990</v>
      </c>
      <c r="B28" s="47" t="s">
        <v>507</v>
      </c>
      <c r="C28" s="52">
        <v>44927</v>
      </c>
      <c r="D28" s="46">
        <v>22023003292</v>
      </c>
      <c r="E28" s="47" t="s">
        <v>591</v>
      </c>
      <c r="F28" s="53">
        <v>711.48</v>
      </c>
      <c r="G28" s="47" t="s">
        <v>592</v>
      </c>
      <c r="H28" s="47" t="s">
        <v>593</v>
      </c>
      <c r="I28" s="46" t="s">
        <v>511</v>
      </c>
      <c r="J28" s="47" t="s">
        <v>519</v>
      </c>
      <c r="K28" s="47" t="s">
        <v>519</v>
      </c>
      <c r="L28" s="47" t="s">
        <v>552</v>
      </c>
      <c r="M28" s="47" t="s">
        <v>514</v>
      </c>
      <c r="N28" s="47" t="s">
        <v>515</v>
      </c>
      <c r="O28" s="45" t="s">
        <v>371</v>
      </c>
      <c r="P28" s="44" t="s">
        <v>309</v>
      </c>
      <c r="Q28" s="59" t="str">
        <f>MID(Tabla1[[#This Row],[Aplicación]],14,1)</f>
        <v>2</v>
      </c>
      <c r="R28" s="35" t="s">
        <v>298</v>
      </c>
      <c r="S28" s="59" t="str">
        <f>MID(Tabla1[[#This Row],[Aplicación]],6,2)</f>
        <v>04</v>
      </c>
      <c r="T28" s="35" t="str">
        <f>VLOOKUP(Tabla1[[#This Row],[AREA]],Hoja1!A:B,2,FALSE)</f>
        <v>04. Planificación y recursos</v>
      </c>
      <c r="U28" s="35" t="str">
        <f>MID(Tabla1[[#This Row],[Aplicación]],9,4)</f>
        <v>9204</v>
      </c>
      <c r="V28" s="35" t="str">
        <f>VLOOKUP(Tabla1[[#This Row],[PROGRAMA]],Hoja1!A:B,2,FALSE)</f>
        <v>9204. Tecnologías de la información y comunicación</v>
      </c>
      <c r="W28" s="56" t="str">
        <f>MID(Tabla1[[#This Row],[Aplicación]],14,2)</f>
        <v>21</v>
      </c>
      <c r="X28" s="56" t="str">
        <f>MID(Tabla1[[#This Row],[Aplicación]],14,6)</f>
        <v>213</v>
      </c>
    </row>
    <row r="29" spans="1:24" x14ac:dyDescent="0.25">
      <c r="A29" s="46">
        <v>220219000991</v>
      </c>
      <c r="B29" s="47" t="s">
        <v>507</v>
      </c>
      <c r="C29" s="52">
        <v>44927</v>
      </c>
      <c r="D29" s="46">
        <v>22023003273</v>
      </c>
      <c r="E29" s="47" t="s">
        <v>594</v>
      </c>
      <c r="F29" s="53">
        <v>9521.5</v>
      </c>
      <c r="G29" s="47" t="s">
        <v>592</v>
      </c>
      <c r="H29" s="47" t="s">
        <v>595</v>
      </c>
      <c r="I29" s="46" t="s">
        <v>511</v>
      </c>
      <c r="J29" s="47" t="s">
        <v>519</v>
      </c>
      <c r="K29" s="47" t="s">
        <v>519</v>
      </c>
      <c r="L29" s="47" t="s">
        <v>552</v>
      </c>
      <c r="M29" s="47" t="s">
        <v>514</v>
      </c>
      <c r="N29" s="47" t="s">
        <v>515</v>
      </c>
      <c r="O29" s="45" t="s">
        <v>371</v>
      </c>
      <c r="P29" s="44" t="s">
        <v>309</v>
      </c>
      <c r="Q29" s="59" t="str">
        <f>MID(Tabla1[[#This Row],[Aplicación]],14,1)</f>
        <v>2</v>
      </c>
      <c r="R29" s="35" t="s">
        <v>298</v>
      </c>
      <c r="S29" s="59" t="str">
        <f>MID(Tabla1[[#This Row],[Aplicación]],6,2)</f>
        <v>02</v>
      </c>
      <c r="T29" s="35" t="str">
        <f>VLOOKUP(Tabla1[[#This Row],[AREA]],Hoja1!A:B,2,FALSE)</f>
        <v>02. Planeamiento urbanístico y vivienda</v>
      </c>
      <c r="U29" s="35" t="str">
        <f>MID(Tabla1[[#This Row],[Aplicación]],9,4)</f>
        <v>1501</v>
      </c>
      <c r="V29" s="35" t="str">
        <f>VLOOKUP(Tabla1[[#This Row],[PROGRAMA]],Hoja1!A:B,2,FALSE)</f>
        <v>1501. Dirección del área de urbanismo</v>
      </c>
      <c r="W29" s="56" t="str">
        <f>MID(Tabla1[[#This Row],[Aplicación]],14,2)</f>
        <v>20</v>
      </c>
      <c r="X29" s="56" t="str">
        <f>MID(Tabla1[[#This Row],[Aplicación]],14,6)</f>
        <v>203</v>
      </c>
    </row>
    <row r="30" spans="1:24" x14ac:dyDescent="0.25">
      <c r="A30" s="46">
        <v>220219000993</v>
      </c>
      <c r="B30" s="47" t="s">
        <v>507</v>
      </c>
      <c r="C30" s="52">
        <v>44927</v>
      </c>
      <c r="D30" s="46">
        <v>22023003260</v>
      </c>
      <c r="E30" s="47" t="s">
        <v>596</v>
      </c>
      <c r="F30" s="53">
        <v>133.1</v>
      </c>
      <c r="G30" s="47" t="s">
        <v>592</v>
      </c>
      <c r="H30" s="47" t="s">
        <v>597</v>
      </c>
      <c r="I30" s="46" t="s">
        <v>511</v>
      </c>
      <c r="J30" s="47" t="s">
        <v>519</v>
      </c>
      <c r="K30" s="47" t="s">
        <v>519</v>
      </c>
      <c r="L30" s="47" t="s">
        <v>552</v>
      </c>
      <c r="M30" s="47" t="s">
        <v>514</v>
      </c>
      <c r="N30" s="47" t="s">
        <v>515</v>
      </c>
      <c r="O30" s="45" t="s">
        <v>371</v>
      </c>
      <c r="P30" s="44" t="s">
        <v>309</v>
      </c>
      <c r="Q30" s="59" t="str">
        <f>MID(Tabla1[[#This Row],[Aplicación]],14,1)</f>
        <v>2</v>
      </c>
      <c r="R30" s="35" t="s">
        <v>298</v>
      </c>
      <c r="S30" s="59" t="str">
        <f>MID(Tabla1[[#This Row],[Aplicación]],6,2)</f>
        <v>01</v>
      </c>
      <c r="T30" s="35" t="str">
        <f>VLOOKUP(Tabla1[[#This Row],[AREA]],Hoja1!A:B,2,FALSE)</f>
        <v>01. Alcaldía</v>
      </c>
      <c r="U30" s="35" t="str">
        <f>MID(Tabla1[[#This Row],[Aplicación]],9,4)</f>
        <v>9205</v>
      </c>
      <c r="V30" s="35" t="str">
        <f>VLOOKUP(Tabla1[[#This Row],[PROGRAMA]],Hoja1!A:B,2,FALSE)</f>
        <v>9205. Imprenta municipal</v>
      </c>
      <c r="W30" s="56" t="str">
        <f>MID(Tabla1[[#This Row],[Aplicación]],14,2)</f>
        <v>20</v>
      </c>
      <c r="X30" s="56" t="str">
        <f>MID(Tabla1[[#This Row],[Aplicación]],14,6)</f>
        <v>203</v>
      </c>
    </row>
    <row r="31" spans="1:24" x14ac:dyDescent="0.25">
      <c r="A31" s="46">
        <v>220219000996</v>
      </c>
      <c r="B31" s="47" t="s">
        <v>507</v>
      </c>
      <c r="C31" s="52">
        <v>44927</v>
      </c>
      <c r="D31" s="46">
        <v>22023003261</v>
      </c>
      <c r="E31" s="47" t="s">
        <v>598</v>
      </c>
      <c r="F31" s="53">
        <v>16.34</v>
      </c>
      <c r="G31" s="47" t="s">
        <v>592</v>
      </c>
      <c r="H31" s="47" t="s">
        <v>599</v>
      </c>
      <c r="I31" s="46" t="s">
        <v>511</v>
      </c>
      <c r="J31" s="47" t="s">
        <v>519</v>
      </c>
      <c r="K31" s="47" t="s">
        <v>519</v>
      </c>
      <c r="L31" s="47" t="s">
        <v>552</v>
      </c>
      <c r="M31" s="47" t="s">
        <v>514</v>
      </c>
      <c r="N31" s="47" t="s">
        <v>515</v>
      </c>
      <c r="O31" s="45" t="s">
        <v>371</v>
      </c>
      <c r="P31" s="44" t="s">
        <v>309</v>
      </c>
      <c r="Q31" s="59" t="str">
        <f>MID(Tabla1[[#This Row],[Aplicación]],14,1)</f>
        <v>2</v>
      </c>
      <c r="R31" s="35" t="s">
        <v>298</v>
      </c>
      <c r="S31" s="59" t="str">
        <f>MID(Tabla1[[#This Row],[Aplicación]],6,2)</f>
        <v>01</v>
      </c>
      <c r="T31" s="35" t="str">
        <f>VLOOKUP(Tabla1[[#This Row],[AREA]],Hoja1!A:B,2,FALSE)</f>
        <v>01. Alcaldía</v>
      </c>
      <c r="U31" s="35" t="str">
        <f>MID(Tabla1[[#This Row],[Aplicación]],9,4)</f>
        <v>9205</v>
      </c>
      <c r="V31" s="35" t="str">
        <f>VLOOKUP(Tabla1[[#This Row],[PROGRAMA]],Hoja1!A:B,2,FALSE)</f>
        <v>9205. Imprenta municipal</v>
      </c>
      <c r="W31" s="56" t="str">
        <f>MID(Tabla1[[#This Row],[Aplicación]],14,2)</f>
        <v>21</v>
      </c>
      <c r="X31" s="56" t="str">
        <f>MID(Tabla1[[#This Row],[Aplicación]],14,6)</f>
        <v>213</v>
      </c>
    </row>
    <row r="32" spans="1:24" x14ac:dyDescent="0.25">
      <c r="A32" s="46">
        <v>220219000999</v>
      </c>
      <c r="B32" s="47" t="s">
        <v>507</v>
      </c>
      <c r="C32" s="52">
        <v>44927</v>
      </c>
      <c r="D32" s="46">
        <v>22023003265</v>
      </c>
      <c r="E32" s="47" t="s">
        <v>600</v>
      </c>
      <c r="F32" s="53">
        <v>1269</v>
      </c>
      <c r="G32" s="47" t="s">
        <v>592</v>
      </c>
      <c r="H32" s="47" t="s">
        <v>601</v>
      </c>
      <c r="I32" s="46" t="s">
        <v>511</v>
      </c>
      <c r="J32" s="47" t="s">
        <v>519</v>
      </c>
      <c r="K32" s="47" t="s">
        <v>519</v>
      </c>
      <c r="L32" s="47" t="s">
        <v>552</v>
      </c>
      <c r="M32" s="47" t="s">
        <v>514</v>
      </c>
      <c r="N32" s="47" t="s">
        <v>515</v>
      </c>
      <c r="O32" s="45" t="s">
        <v>371</v>
      </c>
      <c r="P32" s="44" t="s">
        <v>309</v>
      </c>
      <c r="Q32" s="59" t="str">
        <f>MID(Tabla1[[#This Row],[Aplicación]],14,1)</f>
        <v>2</v>
      </c>
      <c r="R32" s="35" t="s">
        <v>298</v>
      </c>
      <c r="S32" s="59" t="str">
        <f>MID(Tabla1[[#This Row],[Aplicación]],6,2)</f>
        <v>01</v>
      </c>
      <c r="T32" s="35" t="str">
        <f>VLOOKUP(Tabla1[[#This Row],[AREA]],Hoja1!A:B,2,FALSE)</f>
        <v>01. Alcaldía</v>
      </c>
      <c r="U32" s="35" t="str">
        <f>MID(Tabla1[[#This Row],[Aplicación]],9,4)</f>
        <v>9207</v>
      </c>
      <c r="V32" s="35" t="str">
        <f>VLOOKUP(Tabla1[[#This Row],[PROGRAMA]],Hoja1!A:B,2,FALSE)</f>
        <v>9207. Gobierno y relaciones</v>
      </c>
      <c r="W32" s="56" t="str">
        <f>MID(Tabla1[[#This Row],[Aplicación]],14,2)</f>
        <v>21</v>
      </c>
      <c r="X32" s="56" t="str">
        <f>MID(Tabla1[[#This Row],[Aplicación]],14,6)</f>
        <v>213</v>
      </c>
    </row>
    <row r="33" spans="1:24" x14ac:dyDescent="0.25">
      <c r="A33" s="46">
        <v>220219001002</v>
      </c>
      <c r="B33" s="47" t="s">
        <v>507</v>
      </c>
      <c r="C33" s="52">
        <v>44927</v>
      </c>
      <c r="D33" s="46">
        <v>22023003374</v>
      </c>
      <c r="E33" s="47" t="s">
        <v>602</v>
      </c>
      <c r="F33" s="53">
        <v>6000</v>
      </c>
      <c r="G33" s="47" t="s">
        <v>592</v>
      </c>
      <c r="H33" s="47" t="s">
        <v>603</v>
      </c>
      <c r="I33" s="46" t="s">
        <v>511</v>
      </c>
      <c r="J33" s="47" t="s">
        <v>519</v>
      </c>
      <c r="K33" s="47" t="s">
        <v>519</v>
      </c>
      <c r="L33" s="47" t="s">
        <v>552</v>
      </c>
      <c r="M33" s="47" t="s">
        <v>514</v>
      </c>
      <c r="N33" s="47" t="s">
        <v>604</v>
      </c>
      <c r="O33" s="45" t="s">
        <v>371</v>
      </c>
      <c r="P33" s="44" t="s">
        <v>309</v>
      </c>
      <c r="Q33" s="59" t="str">
        <f>MID(Tabla1[[#This Row],[Aplicación]],14,1)</f>
        <v>2</v>
      </c>
      <c r="R33" s="35" t="s">
        <v>298</v>
      </c>
      <c r="S33" s="59" t="str">
        <f>MID(Tabla1[[#This Row],[Aplicación]],6,2)</f>
        <v>11</v>
      </c>
      <c r="T33" s="35" t="str">
        <f>VLOOKUP(Tabla1[[#This Row],[AREA]],Hoja1!A:B,2,FALSE)</f>
        <v>11. Salud pública y seguridad ciudadana</v>
      </c>
      <c r="U33" s="35" t="str">
        <f>MID(Tabla1[[#This Row],[Aplicación]],9,4)</f>
        <v>3111</v>
      </c>
      <c r="V33" s="35" t="str">
        <f>VLOOKUP(Tabla1[[#This Row],[PROGRAMA]],Hoja1!A:B,2,FALSE)</f>
        <v>3111. Protección de la salubridad pública</v>
      </c>
      <c r="W33" s="56" t="str">
        <f>MID(Tabla1[[#This Row],[Aplicación]],14,2)</f>
        <v>20</v>
      </c>
      <c r="X33" s="56" t="str">
        <f>MID(Tabla1[[#This Row],[Aplicación]],14,6)</f>
        <v>203</v>
      </c>
    </row>
    <row r="34" spans="1:24" x14ac:dyDescent="0.25">
      <c r="A34" s="46">
        <v>220219001003</v>
      </c>
      <c r="B34" s="47" t="s">
        <v>507</v>
      </c>
      <c r="C34" s="52">
        <v>44927</v>
      </c>
      <c r="D34" s="46">
        <v>22023003266</v>
      </c>
      <c r="E34" s="47" t="s">
        <v>605</v>
      </c>
      <c r="F34" s="53">
        <v>2722.5</v>
      </c>
      <c r="G34" s="47" t="s">
        <v>592</v>
      </c>
      <c r="H34" s="47" t="s">
        <v>606</v>
      </c>
      <c r="I34" s="46" t="s">
        <v>511</v>
      </c>
      <c r="J34" s="47" t="s">
        <v>519</v>
      </c>
      <c r="K34" s="47" t="s">
        <v>519</v>
      </c>
      <c r="L34" s="47" t="s">
        <v>552</v>
      </c>
      <c r="M34" s="47" t="s">
        <v>514</v>
      </c>
      <c r="N34" s="47" t="s">
        <v>515</v>
      </c>
      <c r="O34" s="45" t="s">
        <v>371</v>
      </c>
      <c r="P34" s="44" t="s">
        <v>309</v>
      </c>
      <c r="Q34" s="59" t="str">
        <f>MID(Tabla1[[#This Row],[Aplicación]],14,1)</f>
        <v>2</v>
      </c>
      <c r="R34" s="35" t="s">
        <v>298</v>
      </c>
      <c r="S34" s="59" t="str">
        <f>MID(Tabla1[[#This Row],[Aplicación]],6,2)</f>
        <v>01</v>
      </c>
      <c r="T34" s="35" t="str">
        <f>VLOOKUP(Tabla1[[#This Row],[AREA]],Hoja1!A:B,2,FALSE)</f>
        <v>01. Alcaldía</v>
      </c>
      <c r="U34" s="35" t="str">
        <f>MID(Tabla1[[#This Row],[Aplicación]],9,4)</f>
        <v>9207</v>
      </c>
      <c r="V34" s="35" t="str">
        <f>VLOOKUP(Tabla1[[#This Row],[PROGRAMA]],Hoja1!A:B,2,FALSE)</f>
        <v>9207. Gobierno y relaciones</v>
      </c>
      <c r="W34" s="56" t="str">
        <f>MID(Tabla1[[#This Row],[Aplicación]],14,2)</f>
        <v>20</v>
      </c>
      <c r="X34" s="56" t="str">
        <f>MID(Tabla1[[#This Row],[Aplicación]],14,6)</f>
        <v>203</v>
      </c>
    </row>
    <row r="35" spans="1:24" x14ac:dyDescent="0.25">
      <c r="A35" s="46">
        <v>220219001005</v>
      </c>
      <c r="B35" s="47" t="s">
        <v>507</v>
      </c>
      <c r="C35" s="52">
        <v>44927</v>
      </c>
      <c r="D35" s="46">
        <v>22023003375</v>
      </c>
      <c r="E35" s="47" t="s">
        <v>607</v>
      </c>
      <c r="F35" s="53">
        <v>2500</v>
      </c>
      <c r="G35" s="47" t="s">
        <v>592</v>
      </c>
      <c r="H35" s="47" t="s">
        <v>608</v>
      </c>
      <c r="I35" s="46" t="s">
        <v>511</v>
      </c>
      <c r="J35" s="47" t="s">
        <v>519</v>
      </c>
      <c r="K35" s="47" t="s">
        <v>519</v>
      </c>
      <c r="L35" s="47" t="s">
        <v>552</v>
      </c>
      <c r="M35" s="47" t="s">
        <v>514</v>
      </c>
      <c r="N35" s="47" t="s">
        <v>515</v>
      </c>
      <c r="O35" s="45" t="s">
        <v>371</v>
      </c>
      <c r="P35" s="44" t="s">
        <v>309</v>
      </c>
      <c r="Q35" s="59" t="str">
        <f>MID(Tabla1[[#This Row],[Aplicación]],14,1)</f>
        <v>2</v>
      </c>
      <c r="R35" s="35" t="s">
        <v>298</v>
      </c>
      <c r="S35" s="59" t="str">
        <f>MID(Tabla1[[#This Row],[Aplicación]],6,2)</f>
        <v>11</v>
      </c>
      <c r="T35" s="35" t="str">
        <f>VLOOKUP(Tabla1[[#This Row],[AREA]],Hoja1!A:B,2,FALSE)</f>
        <v>11. Salud pública y seguridad ciudadana</v>
      </c>
      <c r="U35" s="35" t="str">
        <f>MID(Tabla1[[#This Row],[Aplicación]],9,4)</f>
        <v>1621</v>
      </c>
      <c r="V35" s="35" t="str">
        <f>VLOOKUP(Tabla1[[#This Row],[PROGRAMA]],Hoja1!A:B,2,FALSE)</f>
        <v>1621. Servicio de limpieza</v>
      </c>
      <c r="W35" s="56" t="str">
        <f>MID(Tabla1[[#This Row],[Aplicación]],14,2)</f>
        <v>21</v>
      </c>
      <c r="X35" s="56" t="str">
        <f>MID(Tabla1[[#This Row],[Aplicación]],14,6)</f>
        <v>213</v>
      </c>
    </row>
    <row r="36" spans="1:24" x14ac:dyDescent="0.25">
      <c r="A36" s="46">
        <v>220219001006</v>
      </c>
      <c r="B36" s="47" t="s">
        <v>507</v>
      </c>
      <c r="C36" s="52">
        <v>44927</v>
      </c>
      <c r="D36" s="46">
        <v>22023003350</v>
      </c>
      <c r="E36" s="47" t="s">
        <v>609</v>
      </c>
      <c r="F36" s="53">
        <v>2948.77</v>
      </c>
      <c r="G36" s="47" t="s">
        <v>592</v>
      </c>
      <c r="H36" s="47" t="s">
        <v>610</v>
      </c>
      <c r="I36" s="46" t="s">
        <v>511</v>
      </c>
      <c r="J36" s="47" t="s">
        <v>519</v>
      </c>
      <c r="K36" s="47" t="s">
        <v>519</v>
      </c>
      <c r="L36" s="47" t="s">
        <v>552</v>
      </c>
      <c r="M36" s="47" t="s">
        <v>514</v>
      </c>
      <c r="N36" s="47" t="s">
        <v>515</v>
      </c>
      <c r="O36" s="45" t="s">
        <v>371</v>
      </c>
      <c r="P36" s="44" t="s">
        <v>309</v>
      </c>
      <c r="Q36" s="59" t="str">
        <f>MID(Tabla1[[#This Row],[Aplicación]],14,1)</f>
        <v>2</v>
      </c>
      <c r="R36" s="35" t="s">
        <v>298</v>
      </c>
      <c r="S36" s="59" t="str">
        <f>MID(Tabla1[[#This Row],[Aplicación]],6,2)</f>
        <v>09</v>
      </c>
      <c r="T36" s="35" t="str">
        <f>VLOOKUP(Tabla1[[#This Row],[AREA]],Hoja1!A:B,2,FALSE)</f>
        <v>09. Cultura y turismo</v>
      </c>
      <c r="U36" s="35" t="str">
        <f>MID(Tabla1[[#This Row],[Aplicación]],9,4)</f>
        <v>3301</v>
      </c>
      <c r="V36" s="35" t="str">
        <f>VLOOKUP(Tabla1[[#This Row],[PROGRAMA]],Hoja1!A:B,2,FALSE)</f>
        <v>3301. Dirección del área de cultura</v>
      </c>
      <c r="W36" s="56" t="str">
        <f>MID(Tabla1[[#This Row],[Aplicación]],14,2)</f>
        <v>21</v>
      </c>
      <c r="X36" s="56" t="str">
        <f>MID(Tabla1[[#This Row],[Aplicación]],14,6)</f>
        <v>213</v>
      </c>
    </row>
    <row r="37" spans="1:24" x14ac:dyDescent="0.25">
      <c r="A37" s="46">
        <v>220219001007</v>
      </c>
      <c r="B37" s="47" t="s">
        <v>507</v>
      </c>
      <c r="C37" s="52">
        <v>44927</v>
      </c>
      <c r="D37" s="46">
        <v>22023003299</v>
      </c>
      <c r="E37" s="47" t="s">
        <v>611</v>
      </c>
      <c r="F37" s="53">
        <v>3956.7</v>
      </c>
      <c r="G37" s="47" t="s">
        <v>592</v>
      </c>
      <c r="H37" s="47" t="s">
        <v>612</v>
      </c>
      <c r="I37" s="46" t="s">
        <v>511</v>
      </c>
      <c r="J37" s="47" t="s">
        <v>519</v>
      </c>
      <c r="K37" s="47" t="s">
        <v>519</v>
      </c>
      <c r="L37" s="47" t="s">
        <v>552</v>
      </c>
      <c r="M37" s="47" t="s">
        <v>514</v>
      </c>
      <c r="N37" s="47" t="s">
        <v>515</v>
      </c>
      <c r="O37" s="45" t="s">
        <v>371</v>
      </c>
      <c r="P37" s="44" t="s">
        <v>309</v>
      </c>
      <c r="Q37" s="59" t="str">
        <f>MID(Tabla1[[#This Row],[Aplicación]],14,1)</f>
        <v>2</v>
      </c>
      <c r="R37" s="35" t="s">
        <v>298</v>
      </c>
      <c r="S37" s="59" t="str">
        <f>MID(Tabla1[[#This Row],[Aplicación]],6,2)</f>
        <v>04</v>
      </c>
      <c r="T37" s="35" t="str">
        <f>VLOOKUP(Tabla1[[#This Row],[AREA]],Hoja1!A:B,2,FALSE)</f>
        <v>04. Planificación y recursos</v>
      </c>
      <c r="U37" s="35" t="str">
        <f>MID(Tabla1[[#This Row],[Aplicación]],9,4)</f>
        <v>9209</v>
      </c>
      <c r="V37" s="35" t="str">
        <f>VLOOKUP(Tabla1[[#This Row],[PROGRAMA]],Hoja1!A:B,2,FALSE)</f>
        <v>9209. Dirección del area de hacienda y función pública</v>
      </c>
      <c r="W37" s="56" t="str">
        <f>MID(Tabla1[[#This Row],[Aplicación]],14,2)</f>
        <v>20</v>
      </c>
      <c r="X37" s="56" t="str">
        <f>MID(Tabla1[[#This Row],[Aplicación]],14,6)</f>
        <v>203</v>
      </c>
    </row>
    <row r="38" spans="1:24" x14ac:dyDescent="0.25">
      <c r="A38" s="46">
        <v>220219001008</v>
      </c>
      <c r="B38" s="47" t="s">
        <v>507</v>
      </c>
      <c r="C38" s="52">
        <v>44927</v>
      </c>
      <c r="D38" s="46">
        <v>22023003365</v>
      </c>
      <c r="E38" s="47" t="s">
        <v>613</v>
      </c>
      <c r="F38" s="53">
        <v>5591.93</v>
      </c>
      <c r="G38" s="47" t="s">
        <v>592</v>
      </c>
      <c r="H38" s="47" t="s">
        <v>614</v>
      </c>
      <c r="I38" s="46" t="s">
        <v>511</v>
      </c>
      <c r="J38" s="47" t="s">
        <v>519</v>
      </c>
      <c r="K38" s="47" t="s">
        <v>519</v>
      </c>
      <c r="L38" s="47" t="s">
        <v>520</v>
      </c>
      <c r="M38" s="47" t="s">
        <v>514</v>
      </c>
      <c r="N38" s="47" t="s">
        <v>515</v>
      </c>
      <c r="O38" s="45" t="s">
        <v>371</v>
      </c>
      <c r="P38" s="44" t="s">
        <v>309</v>
      </c>
      <c r="Q38" s="59" t="str">
        <f>MID(Tabla1[[#This Row],[Aplicación]],14,1)</f>
        <v>2</v>
      </c>
      <c r="R38" s="35" t="s">
        <v>298</v>
      </c>
      <c r="S38" s="59" t="str">
        <f>MID(Tabla1[[#This Row],[Aplicación]],6,2)</f>
        <v>10</v>
      </c>
      <c r="T38" s="35" t="str">
        <f>VLOOKUP(Tabla1[[#This Row],[AREA]],Hoja1!A:B,2,FALSE)</f>
        <v>10. Servicios sociales y mediación comunitaria</v>
      </c>
      <c r="U38" s="35" t="str">
        <f>MID(Tabla1[[#This Row],[Aplicación]],9,4)</f>
        <v>2312</v>
      </c>
      <c r="V38" s="35" t="str">
        <f>VLOOKUP(Tabla1[[#This Row],[PROGRAMA]],Hoja1!A:B,2,FALSE)</f>
        <v>2312. Iniciativas sociales</v>
      </c>
      <c r="W38" s="56" t="str">
        <f>MID(Tabla1[[#This Row],[Aplicación]],14,2)</f>
        <v>21</v>
      </c>
      <c r="X38" s="56" t="str">
        <f>MID(Tabla1[[#This Row],[Aplicación]],14,6)</f>
        <v>213</v>
      </c>
    </row>
    <row r="39" spans="1:24" x14ac:dyDescent="0.25">
      <c r="A39" s="46">
        <v>220219001009</v>
      </c>
      <c r="B39" s="47" t="s">
        <v>507</v>
      </c>
      <c r="C39" s="52">
        <v>44927</v>
      </c>
      <c r="D39" s="46">
        <v>22023003366</v>
      </c>
      <c r="E39" s="47" t="s">
        <v>613</v>
      </c>
      <c r="F39" s="53">
        <v>9914.2199999999993</v>
      </c>
      <c r="G39" s="47" t="s">
        <v>592</v>
      </c>
      <c r="H39" s="47" t="s">
        <v>615</v>
      </c>
      <c r="I39" s="46" t="s">
        <v>511</v>
      </c>
      <c r="J39" s="47" t="s">
        <v>519</v>
      </c>
      <c r="K39" s="47" t="s">
        <v>519</v>
      </c>
      <c r="L39" s="47" t="s">
        <v>520</v>
      </c>
      <c r="M39" s="47" t="s">
        <v>514</v>
      </c>
      <c r="N39" s="47" t="s">
        <v>515</v>
      </c>
      <c r="O39" s="45" t="s">
        <v>371</v>
      </c>
      <c r="P39" s="44" t="s">
        <v>309</v>
      </c>
      <c r="Q39" s="59" t="str">
        <f>MID(Tabla1[[#This Row],[Aplicación]],14,1)</f>
        <v>2</v>
      </c>
      <c r="R39" s="35" t="s">
        <v>298</v>
      </c>
      <c r="S39" s="59" t="str">
        <f>MID(Tabla1[[#This Row],[Aplicación]],6,2)</f>
        <v>10</v>
      </c>
      <c r="T39" s="35" t="str">
        <f>VLOOKUP(Tabla1[[#This Row],[AREA]],Hoja1!A:B,2,FALSE)</f>
        <v>10. Servicios sociales y mediación comunitaria</v>
      </c>
      <c r="U39" s="35" t="str">
        <f>MID(Tabla1[[#This Row],[Aplicación]],9,4)</f>
        <v>2312</v>
      </c>
      <c r="V39" s="35" t="str">
        <f>VLOOKUP(Tabla1[[#This Row],[PROGRAMA]],Hoja1!A:B,2,FALSE)</f>
        <v>2312. Iniciativas sociales</v>
      </c>
      <c r="W39" s="56" t="str">
        <f>MID(Tabla1[[#This Row],[Aplicación]],14,2)</f>
        <v>21</v>
      </c>
      <c r="X39" s="56" t="str">
        <f>MID(Tabla1[[#This Row],[Aplicación]],14,6)</f>
        <v>213</v>
      </c>
    </row>
    <row r="40" spans="1:24" x14ac:dyDescent="0.25">
      <c r="A40" s="46">
        <v>220219001010</v>
      </c>
      <c r="B40" s="47" t="s">
        <v>507</v>
      </c>
      <c r="C40" s="52">
        <v>44927</v>
      </c>
      <c r="D40" s="46">
        <v>22023003369</v>
      </c>
      <c r="E40" s="47" t="s">
        <v>616</v>
      </c>
      <c r="F40" s="53">
        <v>3100</v>
      </c>
      <c r="G40" s="47" t="s">
        <v>592</v>
      </c>
      <c r="H40" s="47" t="s">
        <v>617</v>
      </c>
      <c r="I40" s="46" t="s">
        <v>511</v>
      </c>
      <c r="J40" s="47" t="s">
        <v>519</v>
      </c>
      <c r="K40" s="47" t="s">
        <v>519</v>
      </c>
      <c r="L40" s="47" t="s">
        <v>520</v>
      </c>
      <c r="M40" s="47" t="s">
        <v>514</v>
      </c>
      <c r="N40" s="47" t="s">
        <v>515</v>
      </c>
      <c r="O40" s="45" t="s">
        <v>371</v>
      </c>
      <c r="P40" s="44" t="s">
        <v>309</v>
      </c>
      <c r="Q40" s="59" t="str">
        <f>MID(Tabla1[[#This Row],[Aplicación]],14,1)</f>
        <v>2</v>
      </c>
      <c r="R40" s="35" t="s">
        <v>298</v>
      </c>
      <c r="S40" s="59" t="str">
        <f>MID(Tabla1[[#This Row],[Aplicación]],6,2)</f>
        <v>10</v>
      </c>
      <c r="T40" s="35" t="str">
        <f>VLOOKUP(Tabla1[[#This Row],[AREA]],Hoja1!A:B,2,FALSE)</f>
        <v>10. Servicios sociales y mediación comunitaria</v>
      </c>
      <c r="U40" s="35" t="str">
        <f>MID(Tabla1[[#This Row],[Aplicación]],9,4)</f>
        <v>2412</v>
      </c>
      <c r="V40" s="35" t="str">
        <f>VLOOKUP(Tabla1[[#This Row],[PROGRAMA]],Hoja1!A:B,2,FALSE)</f>
        <v>2412. Formación para el empleo</v>
      </c>
      <c r="W40" s="56" t="str">
        <f>MID(Tabla1[[#This Row],[Aplicación]],14,2)</f>
        <v>21</v>
      </c>
      <c r="X40" s="56" t="str">
        <f>MID(Tabla1[[#This Row],[Aplicación]],14,6)</f>
        <v>213</v>
      </c>
    </row>
    <row r="41" spans="1:24" x14ac:dyDescent="0.25">
      <c r="A41" s="46">
        <v>220219001011</v>
      </c>
      <c r="B41" s="47" t="s">
        <v>507</v>
      </c>
      <c r="C41" s="52">
        <v>44927</v>
      </c>
      <c r="D41" s="46">
        <v>22023003357</v>
      </c>
      <c r="E41" s="47" t="s">
        <v>618</v>
      </c>
      <c r="F41" s="53">
        <v>28451.23</v>
      </c>
      <c r="G41" s="47" t="s">
        <v>592</v>
      </c>
      <c r="H41" s="47" t="s">
        <v>619</v>
      </c>
      <c r="I41" s="46" t="s">
        <v>511</v>
      </c>
      <c r="J41" s="47" t="s">
        <v>519</v>
      </c>
      <c r="K41" s="47" t="s">
        <v>519</v>
      </c>
      <c r="L41" s="47" t="s">
        <v>552</v>
      </c>
      <c r="M41" s="47" t="s">
        <v>514</v>
      </c>
      <c r="N41" s="47" t="s">
        <v>515</v>
      </c>
      <c r="O41" s="45" t="s">
        <v>371</v>
      </c>
      <c r="P41" s="44" t="s">
        <v>309</v>
      </c>
      <c r="Q41" s="59" t="str">
        <f>MID(Tabla1[[#This Row],[Aplicación]],14,1)</f>
        <v>2</v>
      </c>
      <c r="R41" s="35" t="s">
        <v>298</v>
      </c>
      <c r="S41" s="59" t="str">
        <f>MID(Tabla1[[#This Row],[Aplicación]],6,2)</f>
        <v>10</v>
      </c>
      <c r="T41" s="35" t="str">
        <f>VLOOKUP(Tabla1[[#This Row],[AREA]],Hoja1!A:B,2,FALSE)</f>
        <v>10. Servicios sociales y mediación comunitaria</v>
      </c>
      <c r="U41" s="35" t="str">
        <f>MID(Tabla1[[#This Row],[Aplicación]],9,4)</f>
        <v>2311</v>
      </c>
      <c r="V41" s="35" t="str">
        <f>VLOOKUP(Tabla1[[#This Row],[PROGRAMA]],Hoja1!A:B,2,FALSE)</f>
        <v>2311. Intervención social</v>
      </c>
      <c r="W41" s="56" t="str">
        <f>MID(Tabla1[[#This Row],[Aplicación]],14,2)</f>
        <v>21</v>
      </c>
      <c r="X41" s="56" t="str">
        <f>MID(Tabla1[[#This Row],[Aplicación]],14,6)</f>
        <v>213</v>
      </c>
    </row>
    <row r="42" spans="1:24" x14ac:dyDescent="0.25">
      <c r="A42" s="46">
        <v>220219001012</v>
      </c>
      <c r="B42" s="47" t="s">
        <v>507</v>
      </c>
      <c r="C42" s="52">
        <v>44927</v>
      </c>
      <c r="D42" s="46">
        <v>22023003358</v>
      </c>
      <c r="E42" s="47" t="s">
        <v>618</v>
      </c>
      <c r="F42" s="53">
        <v>762.3</v>
      </c>
      <c r="G42" s="47" t="s">
        <v>592</v>
      </c>
      <c r="H42" s="47" t="s">
        <v>620</v>
      </c>
      <c r="I42" s="46" t="s">
        <v>511</v>
      </c>
      <c r="J42" s="47" t="s">
        <v>519</v>
      </c>
      <c r="K42" s="47" t="s">
        <v>519</v>
      </c>
      <c r="L42" s="47" t="s">
        <v>552</v>
      </c>
      <c r="M42" s="47" t="s">
        <v>514</v>
      </c>
      <c r="N42" s="47" t="s">
        <v>515</v>
      </c>
      <c r="O42" s="45" t="s">
        <v>371</v>
      </c>
      <c r="P42" s="44" t="s">
        <v>309</v>
      </c>
      <c r="Q42" s="59" t="str">
        <f>MID(Tabla1[[#This Row],[Aplicación]],14,1)</f>
        <v>2</v>
      </c>
      <c r="R42" s="35" t="s">
        <v>298</v>
      </c>
      <c r="S42" s="59" t="str">
        <f>MID(Tabla1[[#This Row],[Aplicación]],6,2)</f>
        <v>10</v>
      </c>
      <c r="T42" s="35" t="str">
        <f>VLOOKUP(Tabla1[[#This Row],[AREA]],Hoja1!A:B,2,FALSE)</f>
        <v>10. Servicios sociales y mediación comunitaria</v>
      </c>
      <c r="U42" s="35" t="str">
        <f>MID(Tabla1[[#This Row],[Aplicación]],9,4)</f>
        <v>2311</v>
      </c>
      <c r="V42" s="35" t="str">
        <f>VLOOKUP(Tabla1[[#This Row],[PROGRAMA]],Hoja1!A:B,2,FALSE)</f>
        <v>2311. Intervención social</v>
      </c>
      <c r="W42" s="56" t="str">
        <f>MID(Tabla1[[#This Row],[Aplicación]],14,2)</f>
        <v>21</v>
      </c>
      <c r="X42" s="56" t="str">
        <f>MID(Tabla1[[#This Row],[Aplicación]],14,6)</f>
        <v>213</v>
      </c>
    </row>
    <row r="43" spans="1:24" x14ac:dyDescent="0.25">
      <c r="A43" s="46">
        <v>220219001014</v>
      </c>
      <c r="B43" s="47" t="s">
        <v>507</v>
      </c>
      <c r="C43" s="52">
        <v>44927</v>
      </c>
      <c r="D43" s="46">
        <v>22023003262</v>
      </c>
      <c r="E43" s="47" t="s">
        <v>621</v>
      </c>
      <c r="F43" s="53">
        <v>1485</v>
      </c>
      <c r="G43" s="47" t="s">
        <v>592</v>
      </c>
      <c r="H43" s="47" t="s">
        <v>622</v>
      </c>
      <c r="I43" s="46" t="s">
        <v>511</v>
      </c>
      <c r="J43" s="47" t="s">
        <v>519</v>
      </c>
      <c r="K43" s="47" t="s">
        <v>519</v>
      </c>
      <c r="L43" s="47" t="s">
        <v>520</v>
      </c>
      <c r="M43" s="47" t="s">
        <v>514</v>
      </c>
      <c r="N43" s="47" t="s">
        <v>515</v>
      </c>
      <c r="O43" s="45" t="s">
        <v>371</v>
      </c>
      <c r="P43" s="44" t="s">
        <v>309</v>
      </c>
      <c r="Q43" s="59" t="str">
        <f>MID(Tabla1[[#This Row],[Aplicación]],14,1)</f>
        <v>2</v>
      </c>
      <c r="R43" s="35" t="s">
        <v>298</v>
      </c>
      <c r="S43" s="59" t="str">
        <f>MID(Tabla1[[#This Row],[Aplicación]],6,2)</f>
        <v>01</v>
      </c>
      <c r="T43" s="35" t="str">
        <f>VLOOKUP(Tabla1[[#This Row],[AREA]],Hoja1!A:B,2,FALSE)</f>
        <v>01. Alcaldía</v>
      </c>
      <c r="U43" s="35" t="str">
        <f>MID(Tabla1[[#This Row],[Aplicación]],9,4)</f>
        <v>9206</v>
      </c>
      <c r="V43" s="35" t="str">
        <f>VLOOKUP(Tabla1[[#This Row],[PROGRAMA]],Hoja1!A:B,2,FALSE)</f>
        <v>9206. Archivo municipal</v>
      </c>
      <c r="W43" s="56" t="str">
        <f>MID(Tabla1[[#This Row],[Aplicación]],14,2)</f>
        <v>20</v>
      </c>
      <c r="X43" s="56" t="str">
        <f>MID(Tabla1[[#This Row],[Aplicación]],14,6)</f>
        <v>203</v>
      </c>
    </row>
    <row r="44" spans="1:24" x14ac:dyDescent="0.25">
      <c r="A44" s="46">
        <v>220219001017</v>
      </c>
      <c r="B44" s="47" t="s">
        <v>507</v>
      </c>
      <c r="C44" s="52">
        <v>44927</v>
      </c>
      <c r="D44" s="46">
        <v>22023003263</v>
      </c>
      <c r="E44" s="47" t="s">
        <v>623</v>
      </c>
      <c r="F44" s="53">
        <v>450</v>
      </c>
      <c r="G44" s="47" t="s">
        <v>592</v>
      </c>
      <c r="H44" s="47" t="s">
        <v>624</v>
      </c>
      <c r="I44" s="46" t="s">
        <v>511</v>
      </c>
      <c r="J44" s="47" t="s">
        <v>519</v>
      </c>
      <c r="K44" s="47" t="s">
        <v>519</v>
      </c>
      <c r="L44" s="47" t="s">
        <v>552</v>
      </c>
      <c r="M44" s="47" t="s">
        <v>514</v>
      </c>
      <c r="N44" s="47" t="s">
        <v>515</v>
      </c>
      <c r="O44" s="45" t="s">
        <v>371</v>
      </c>
      <c r="P44" s="44" t="s">
        <v>309</v>
      </c>
      <c r="Q44" s="59" t="str">
        <f>MID(Tabla1[[#This Row],[Aplicación]],14,1)</f>
        <v>2</v>
      </c>
      <c r="R44" s="35" t="s">
        <v>298</v>
      </c>
      <c r="S44" s="59" t="str">
        <f>MID(Tabla1[[#This Row],[Aplicación]],6,2)</f>
        <v>01</v>
      </c>
      <c r="T44" s="35" t="str">
        <f>VLOOKUP(Tabla1[[#This Row],[AREA]],Hoja1!A:B,2,FALSE)</f>
        <v>01. Alcaldía</v>
      </c>
      <c r="U44" s="35" t="str">
        <f>MID(Tabla1[[#This Row],[Aplicación]],9,4)</f>
        <v>9206</v>
      </c>
      <c r="V44" s="35" t="str">
        <f>VLOOKUP(Tabla1[[#This Row],[PROGRAMA]],Hoja1!A:B,2,FALSE)</f>
        <v>9206. Archivo municipal</v>
      </c>
      <c r="W44" s="56" t="str">
        <f>MID(Tabla1[[#This Row],[Aplicación]],14,2)</f>
        <v>21</v>
      </c>
      <c r="X44" s="56" t="str">
        <f>MID(Tabla1[[#This Row],[Aplicación]],14,6)</f>
        <v>213</v>
      </c>
    </row>
    <row r="45" spans="1:24" x14ac:dyDescent="0.25">
      <c r="A45" s="46">
        <v>220219001019</v>
      </c>
      <c r="B45" s="47" t="s">
        <v>507</v>
      </c>
      <c r="C45" s="52">
        <v>44927</v>
      </c>
      <c r="D45" s="46">
        <v>22023003303</v>
      </c>
      <c r="E45" s="47" t="s">
        <v>625</v>
      </c>
      <c r="F45" s="53">
        <v>4800</v>
      </c>
      <c r="G45" s="47" t="s">
        <v>592</v>
      </c>
      <c r="H45" s="47" t="s">
        <v>626</v>
      </c>
      <c r="I45" s="46" t="s">
        <v>511</v>
      </c>
      <c r="J45" s="47" t="s">
        <v>519</v>
      </c>
      <c r="K45" s="47" t="s">
        <v>519</v>
      </c>
      <c r="L45" s="47" t="s">
        <v>552</v>
      </c>
      <c r="M45" s="47" t="s">
        <v>514</v>
      </c>
      <c r="N45" s="47" t="s">
        <v>515</v>
      </c>
      <c r="O45" s="45" t="s">
        <v>371</v>
      </c>
      <c r="P45" s="44" t="s">
        <v>309</v>
      </c>
      <c r="Q45" s="59" t="str">
        <f>MID(Tabla1[[#This Row],[Aplicación]],14,1)</f>
        <v>2</v>
      </c>
      <c r="R45" s="35" t="s">
        <v>298</v>
      </c>
      <c r="S45" s="59" t="str">
        <f>MID(Tabla1[[#This Row],[Aplicación]],6,2)</f>
        <v>04</v>
      </c>
      <c r="T45" s="35" t="str">
        <f>VLOOKUP(Tabla1[[#This Row],[AREA]],Hoja1!A:B,2,FALSE)</f>
        <v>04. Planificación y recursos</v>
      </c>
      <c r="U45" s="35" t="str">
        <f>MID(Tabla1[[#This Row],[Aplicación]],9,4)</f>
        <v>9341</v>
      </c>
      <c r="V45" s="35" t="str">
        <f>VLOOKUP(Tabla1[[#This Row],[PROGRAMA]],Hoja1!A:B,2,FALSE)</f>
        <v>9341. Tesorería y recaudación</v>
      </c>
      <c r="W45" s="56" t="str">
        <f>MID(Tabla1[[#This Row],[Aplicación]],14,2)</f>
        <v>21</v>
      </c>
      <c r="X45" s="56" t="str">
        <f>MID(Tabla1[[#This Row],[Aplicación]],14,6)</f>
        <v>213</v>
      </c>
    </row>
    <row r="46" spans="1:24" x14ac:dyDescent="0.25">
      <c r="A46" s="46">
        <v>220219001020</v>
      </c>
      <c r="B46" s="47" t="s">
        <v>507</v>
      </c>
      <c r="C46" s="52">
        <v>44927</v>
      </c>
      <c r="D46" s="46">
        <v>22023003316</v>
      </c>
      <c r="E46" s="47" t="s">
        <v>627</v>
      </c>
      <c r="F46" s="53">
        <v>6500</v>
      </c>
      <c r="G46" s="47" t="s">
        <v>592</v>
      </c>
      <c r="H46" s="47" t="s">
        <v>628</v>
      </c>
      <c r="I46" s="46" t="s">
        <v>511</v>
      </c>
      <c r="J46" s="47" t="s">
        <v>519</v>
      </c>
      <c r="K46" s="47" t="s">
        <v>519</v>
      </c>
      <c r="L46" s="47" t="s">
        <v>520</v>
      </c>
      <c r="M46" s="47" t="s">
        <v>514</v>
      </c>
      <c r="N46" s="47" t="s">
        <v>515</v>
      </c>
      <c r="O46" s="45" t="s">
        <v>371</v>
      </c>
      <c r="P46" s="44" t="s">
        <v>309</v>
      </c>
      <c r="Q46" s="59" t="str">
        <f>MID(Tabla1[[#This Row],[Aplicación]],14,1)</f>
        <v>2</v>
      </c>
      <c r="R46" s="35" t="s">
        <v>298</v>
      </c>
      <c r="S46" s="59" t="str">
        <f>MID(Tabla1[[#This Row],[Aplicación]],6,2)</f>
        <v>05</v>
      </c>
      <c r="T46" s="35" t="str">
        <f>VLOOKUP(Tabla1[[#This Row],[AREA]],Hoja1!A:B,2,FALSE)</f>
        <v>05. Innovación, desarrollo económico, empleo y comercio</v>
      </c>
      <c r="U46" s="35" t="str">
        <f>MID(Tabla1[[#This Row],[Aplicación]],9,4)</f>
        <v>4331</v>
      </c>
      <c r="V46" s="35" t="str">
        <f>VLOOKUP(Tabla1[[#This Row],[PROGRAMA]],Hoja1!A:B,2,FALSE)</f>
        <v>4331. Desarrollo empresarial</v>
      </c>
      <c r="W46" s="56" t="str">
        <f>MID(Tabla1[[#This Row],[Aplicación]],14,2)</f>
        <v>20</v>
      </c>
      <c r="X46" s="56" t="str">
        <f>MID(Tabla1[[#This Row],[Aplicación]],14,6)</f>
        <v>203</v>
      </c>
    </row>
    <row r="47" spans="1:24" x14ac:dyDescent="0.25">
      <c r="A47" s="46">
        <v>220219001021</v>
      </c>
      <c r="B47" s="47" t="s">
        <v>507</v>
      </c>
      <c r="C47" s="52">
        <v>44927</v>
      </c>
      <c r="D47" s="46">
        <v>22023003331</v>
      </c>
      <c r="E47" s="47" t="s">
        <v>629</v>
      </c>
      <c r="F47" s="53">
        <v>820</v>
      </c>
      <c r="G47" s="47" t="s">
        <v>592</v>
      </c>
      <c r="H47" s="47" t="s">
        <v>630</v>
      </c>
      <c r="I47" s="46" t="s">
        <v>511</v>
      </c>
      <c r="J47" s="47" t="s">
        <v>519</v>
      </c>
      <c r="K47" s="47" t="s">
        <v>519</v>
      </c>
      <c r="L47" s="47" t="s">
        <v>552</v>
      </c>
      <c r="M47" s="47" t="s">
        <v>514</v>
      </c>
      <c r="N47" s="47" t="s">
        <v>515</v>
      </c>
      <c r="O47" s="45" t="s">
        <v>371</v>
      </c>
      <c r="P47" s="44" t="s">
        <v>309</v>
      </c>
      <c r="Q47" s="59" t="str">
        <f>MID(Tabla1[[#This Row],[Aplicación]],14,1)</f>
        <v>2</v>
      </c>
      <c r="R47" s="35" t="s">
        <v>298</v>
      </c>
      <c r="S47" s="59" t="str">
        <f>MID(Tabla1[[#This Row],[Aplicación]],6,2)</f>
        <v>08</v>
      </c>
      <c r="T47" s="35" t="str">
        <f>VLOOKUP(Tabla1[[#This Row],[AREA]],Hoja1!A:B,2,FALSE)</f>
        <v>08. Movilidad y espacio urbano</v>
      </c>
      <c r="U47" s="56" t="str">
        <f>MID(Tabla1[[#This Row],[Aplicación]],9,4)</f>
        <v>1341</v>
      </c>
      <c r="V47" s="35" t="str">
        <f>VLOOKUP(Tabla1[[#This Row],[PROGRAMA]],Hoja1!A:B,2,FALSE)</f>
        <v>1341. Movilidad</v>
      </c>
      <c r="W47" s="56" t="str">
        <f>MID(Tabla1[[#This Row],[Aplicación]],14,2)</f>
        <v>20</v>
      </c>
      <c r="X47" s="56" t="str">
        <f>MID(Tabla1[[#This Row],[Aplicación]],14,6)</f>
        <v>203</v>
      </c>
    </row>
    <row r="48" spans="1:24" x14ac:dyDescent="0.25">
      <c r="A48" s="46">
        <v>220219001022</v>
      </c>
      <c r="B48" s="47" t="s">
        <v>507</v>
      </c>
      <c r="C48" s="52">
        <v>44927</v>
      </c>
      <c r="D48" s="46">
        <v>22023003304</v>
      </c>
      <c r="E48" s="47" t="s">
        <v>631</v>
      </c>
      <c r="F48" s="53">
        <v>2500</v>
      </c>
      <c r="G48" s="47" t="s">
        <v>592</v>
      </c>
      <c r="H48" s="47" t="s">
        <v>632</v>
      </c>
      <c r="I48" s="46" t="s">
        <v>511</v>
      </c>
      <c r="J48" s="47" t="s">
        <v>519</v>
      </c>
      <c r="K48" s="47" t="s">
        <v>519</v>
      </c>
      <c r="L48" s="47" t="s">
        <v>552</v>
      </c>
      <c r="M48" s="47" t="s">
        <v>514</v>
      </c>
      <c r="N48" s="47" t="s">
        <v>515</v>
      </c>
      <c r="O48" s="45" t="s">
        <v>371</v>
      </c>
      <c r="P48" s="44" t="s">
        <v>309</v>
      </c>
      <c r="Q48" s="59" t="str">
        <f>MID(Tabla1[[#This Row],[Aplicación]],14,1)</f>
        <v>2</v>
      </c>
      <c r="R48" s="35" t="s">
        <v>298</v>
      </c>
      <c r="S48" s="59" t="str">
        <f>MID(Tabla1[[#This Row],[Aplicación]],6,2)</f>
        <v>05</v>
      </c>
      <c r="T48" s="35" t="str">
        <f>VLOOKUP(Tabla1[[#This Row],[AREA]],Hoja1!A:B,2,FALSE)</f>
        <v>05. Innovación, desarrollo económico, empleo y comercio</v>
      </c>
      <c r="U48" s="35" t="str">
        <f>MID(Tabla1[[#This Row],[Aplicación]],9,4)</f>
        <v>4301</v>
      </c>
      <c r="V48" s="35" t="str">
        <f>VLOOKUP(Tabla1[[#This Row],[PROGRAMA]],Hoja1!A:B,2,FALSE)</f>
        <v>4301. Dirección del área de innovación</v>
      </c>
      <c r="W48" s="56" t="str">
        <f>MID(Tabla1[[#This Row],[Aplicación]],14,2)</f>
        <v>20</v>
      </c>
      <c r="X48" s="56" t="str">
        <f>MID(Tabla1[[#This Row],[Aplicación]],14,6)</f>
        <v>203</v>
      </c>
    </row>
    <row r="49" spans="1:24" x14ac:dyDescent="0.25">
      <c r="A49" s="46">
        <v>220219001023</v>
      </c>
      <c r="B49" s="47" t="s">
        <v>507</v>
      </c>
      <c r="C49" s="52">
        <v>44927</v>
      </c>
      <c r="D49" s="46">
        <v>22023003332</v>
      </c>
      <c r="E49" s="47" t="s">
        <v>633</v>
      </c>
      <c r="F49" s="53">
        <v>690</v>
      </c>
      <c r="G49" s="47" t="s">
        <v>592</v>
      </c>
      <c r="H49" s="47" t="s">
        <v>634</v>
      </c>
      <c r="I49" s="46" t="s">
        <v>511</v>
      </c>
      <c r="J49" s="47" t="s">
        <v>519</v>
      </c>
      <c r="K49" s="47" t="s">
        <v>519</v>
      </c>
      <c r="L49" s="47" t="s">
        <v>552</v>
      </c>
      <c r="M49" s="47" t="s">
        <v>514</v>
      </c>
      <c r="N49" s="47" t="s">
        <v>515</v>
      </c>
      <c r="O49" s="45" t="s">
        <v>371</v>
      </c>
      <c r="P49" s="44" t="s">
        <v>309</v>
      </c>
      <c r="Q49" s="59" t="str">
        <f>MID(Tabla1[[#This Row],[Aplicación]],14,1)</f>
        <v>2</v>
      </c>
      <c r="R49" s="35" t="s">
        <v>298</v>
      </c>
      <c r="S49" s="59" t="str">
        <f>MID(Tabla1[[#This Row],[Aplicación]],6,2)</f>
        <v>08</v>
      </c>
      <c r="T49" s="35" t="str">
        <f>VLOOKUP(Tabla1[[#This Row],[AREA]],Hoja1!A:B,2,FALSE)</f>
        <v>08. Movilidad y espacio urbano</v>
      </c>
      <c r="U49" s="56" t="str">
        <f>MID(Tabla1[[#This Row],[Aplicación]],9,4)</f>
        <v>1341</v>
      </c>
      <c r="V49" s="35" t="str">
        <f>VLOOKUP(Tabla1[[#This Row],[PROGRAMA]],Hoja1!A:B,2,FALSE)</f>
        <v>1341. Movilidad</v>
      </c>
      <c r="W49" s="56" t="str">
        <f>MID(Tabla1[[#This Row],[Aplicación]],14,2)</f>
        <v>21</v>
      </c>
      <c r="X49" s="56" t="str">
        <f>MID(Tabla1[[#This Row],[Aplicación]],14,6)</f>
        <v>213</v>
      </c>
    </row>
    <row r="50" spans="1:24" x14ac:dyDescent="0.25">
      <c r="A50" s="46">
        <v>220219001024</v>
      </c>
      <c r="B50" s="47" t="s">
        <v>507</v>
      </c>
      <c r="C50" s="52">
        <v>44927</v>
      </c>
      <c r="D50" s="46">
        <v>22023003333</v>
      </c>
      <c r="E50" s="47" t="s">
        <v>633</v>
      </c>
      <c r="F50" s="53">
        <v>280</v>
      </c>
      <c r="G50" s="47" t="s">
        <v>592</v>
      </c>
      <c r="H50" s="47" t="s">
        <v>635</v>
      </c>
      <c r="I50" s="46" t="s">
        <v>511</v>
      </c>
      <c r="J50" s="47" t="s">
        <v>519</v>
      </c>
      <c r="K50" s="47" t="s">
        <v>519</v>
      </c>
      <c r="L50" s="47" t="s">
        <v>552</v>
      </c>
      <c r="M50" s="47" t="s">
        <v>514</v>
      </c>
      <c r="N50" s="47" t="s">
        <v>515</v>
      </c>
      <c r="O50" s="45" t="s">
        <v>371</v>
      </c>
      <c r="P50" s="44" t="s">
        <v>309</v>
      </c>
      <c r="Q50" s="59" t="str">
        <f>MID(Tabla1[[#This Row],[Aplicación]],14,1)</f>
        <v>2</v>
      </c>
      <c r="R50" s="35" t="s">
        <v>298</v>
      </c>
      <c r="S50" s="59" t="str">
        <f>MID(Tabla1[[#This Row],[Aplicación]],6,2)</f>
        <v>08</v>
      </c>
      <c r="T50" s="35" t="str">
        <f>VLOOKUP(Tabla1[[#This Row],[AREA]],Hoja1!A:B,2,FALSE)</f>
        <v>08. Movilidad y espacio urbano</v>
      </c>
      <c r="U50" s="56" t="str">
        <f>MID(Tabla1[[#This Row],[Aplicación]],9,4)</f>
        <v>1341</v>
      </c>
      <c r="V50" s="35" t="str">
        <f>VLOOKUP(Tabla1[[#This Row],[PROGRAMA]],Hoja1!A:B,2,FALSE)</f>
        <v>1341. Movilidad</v>
      </c>
      <c r="W50" s="56" t="str">
        <f>MID(Tabla1[[#This Row],[Aplicación]],14,2)</f>
        <v>21</v>
      </c>
      <c r="X50" s="56" t="str">
        <f>MID(Tabla1[[#This Row],[Aplicación]],14,6)</f>
        <v>213</v>
      </c>
    </row>
    <row r="51" spans="1:24" x14ac:dyDescent="0.25">
      <c r="A51" s="46">
        <v>220219001025</v>
      </c>
      <c r="B51" s="47" t="s">
        <v>507</v>
      </c>
      <c r="C51" s="52">
        <v>44927</v>
      </c>
      <c r="D51" s="46">
        <v>22023003334</v>
      </c>
      <c r="E51" s="47" t="s">
        <v>629</v>
      </c>
      <c r="F51" s="53">
        <v>820</v>
      </c>
      <c r="G51" s="47" t="s">
        <v>592</v>
      </c>
      <c r="H51" s="47" t="s">
        <v>636</v>
      </c>
      <c r="I51" s="46" t="s">
        <v>511</v>
      </c>
      <c r="J51" s="47" t="s">
        <v>519</v>
      </c>
      <c r="K51" s="47" t="s">
        <v>519</v>
      </c>
      <c r="L51" s="47" t="s">
        <v>552</v>
      </c>
      <c r="M51" s="47" t="s">
        <v>514</v>
      </c>
      <c r="N51" s="47" t="s">
        <v>515</v>
      </c>
      <c r="O51" s="45" t="s">
        <v>371</v>
      </c>
      <c r="P51" s="44" t="s">
        <v>309</v>
      </c>
      <c r="Q51" s="59" t="str">
        <f>MID(Tabla1[[#This Row],[Aplicación]],14,1)</f>
        <v>2</v>
      </c>
      <c r="R51" s="35" t="s">
        <v>298</v>
      </c>
      <c r="S51" s="59" t="str">
        <f>MID(Tabla1[[#This Row],[Aplicación]],6,2)</f>
        <v>08</v>
      </c>
      <c r="T51" s="35" t="str">
        <f>VLOOKUP(Tabla1[[#This Row],[AREA]],Hoja1!A:B,2,FALSE)</f>
        <v>08. Movilidad y espacio urbano</v>
      </c>
      <c r="U51" s="56" t="str">
        <f>MID(Tabla1[[#This Row],[Aplicación]],9,4)</f>
        <v>1341</v>
      </c>
      <c r="V51" s="35" t="str">
        <f>VLOOKUP(Tabla1[[#This Row],[PROGRAMA]],Hoja1!A:B,2,FALSE)</f>
        <v>1341. Movilidad</v>
      </c>
      <c r="W51" s="56" t="str">
        <f>MID(Tabla1[[#This Row],[Aplicación]],14,2)</f>
        <v>20</v>
      </c>
      <c r="X51" s="56" t="str">
        <f>MID(Tabla1[[#This Row],[Aplicación]],14,6)</f>
        <v>203</v>
      </c>
    </row>
    <row r="52" spans="1:24" x14ac:dyDescent="0.25">
      <c r="A52" s="46">
        <v>220219001026</v>
      </c>
      <c r="B52" s="47" t="s">
        <v>507</v>
      </c>
      <c r="C52" s="52">
        <v>44927</v>
      </c>
      <c r="D52" s="46">
        <v>22023003305</v>
      </c>
      <c r="E52" s="47" t="s">
        <v>637</v>
      </c>
      <c r="F52" s="53">
        <v>2000</v>
      </c>
      <c r="G52" s="47" t="s">
        <v>592</v>
      </c>
      <c r="H52" s="47" t="s">
        <v>638</v>
      </c>
      <c r="I52" s="46" t="s">
        <v>511</v>
      </c>
      <c r="J52" s="47" t="s">
        <v>519</v>
      </c>
      <c r="K52" s="47" t="s">
        <v>519</v>
      </c>
      <c r="L52" s="47" t="s">
        <v>520</v>
      </c>
      <c r="M52" s="47" t="s">
        <v>514</v>
      </c>
      <c r="N52" s="47" t="s">
        <v>515</v>
      </c>
      <c r="O52" s="45" t="s">
        <v>371</v>
      </c>
      <c r="P52" s="44" t="s">
        <v>309</v>
      </c>
      <c r="Q52" s="59" t="str">
        <f>MID(Tabla1[[#This Row],[Aplicación]],14,1)</f>
        <v>2</v>
      </c>
      <c r="R52" s="35" t="s">
        <v>298</v>
      </c>
      <c r="S52" s="59" t="str">
        <f>MID(Tabla1[[#This Row],[Aplicación]],6,2)</f>
        <v>05</v>
      </c>
      <c r="T52" s="35" t="str">
        <f>VLOOKUP(Tabla1[[#This Row],[AREA]],Hoja1!A:B,2,FALSE)</f>
        <v>05. Innovación, desarrollo económico, empleo y comercio</v>
      </c>
      <c r="U52" s="35" t="str">
        <f>MID(Tabla1[[#This Row],[Aplicación]],9,4)</f>
        <v>4312</v>
      </c>
      <c r="V52" s="35" t="str">
        <f>VLOOKUP(Tabla1[[#This Row],[PROGRAMA]],Hoja1!A:B,2,FALSE)</f>
        <v>4312. Mercados, abastos y lonjas</v>
      </c>
      <c r="W52" s="56" t="str">
        <f>MID(Tabla1[[#This Row],[Aplicación]],14,2)</f>
        <v>20</v>
      </c>
      <c r="X52" s="56" t="str">
        <f>MID(Tabla1[[#This Row],[Aplicación]],14,6)</f>
        <v>203</v>
      </c>
    </row>
    <row r="53" spans="1:24" x14ac:dyDescent="0.25">
      <c r="A53" s="46">
        <v>220219001027</v>
      </c>
      <c r="B53" s="47" t="s">
        <v>507</v>
      </c>
      <c r="C53" s="52">
        <v>44927</v>
      </c>
      <c r="D53" s="46">
        <v>22023003329</v>
      </c>
      <c r="E53" s="47" t="s">
        <v>639</v>
      </c>
      <c r="F53" s="53">
        <v>10980</v>
      </c>
      <c r="G53" s="47" t="s">
        <v>592</v>
      </c>
      <c r="H53" s="47" t="s">
        <v>640</v>
      </c>
      <c r="I53" s="46" t="s">
        <v>511</v>
      </c>
      <c r="J53" s="47" t="s">
        <v>519</v>
      </c>
      <c r="K53" s="47" t="s">
        <v>519</v>
      </c>
      <c r="L53" s="47" t="s">
        <v>520</v>
      </c>
      <c r="M53" s="47" t="s">
        <v>514</v>
      </c>
      <c r="N53" s="47" t="s">
        <v>604</v>
      </c>
      <c r="O53" s="45" t="s">
        <v>371</v>
      </c>
      <c r="P53" s="44" t="s">
        <v>309</v>
      </c>
      <c r="Q53" s="59" t="str">
        <f>MID(Tabla1[[#This Row],[Aplicación]],14,1)</f>
        <v>2</v>
      </c>
      <c r="R53" s="35" t="s">
        <v>298</v>
      </c>
      <c r="S53" s="59" t="str">
        <f>MID(Tabla1[[#This Row],[Aplicación]],6,2)</f>
        <v>08</v>
      </c>
      <c r="T53" s="35" t="str">
        <f>VLOOKUP(Tabla1[[#This Row],[AREA]],Hoja1!A:B,2,FALSE)</f>
        <v>08. Movilidad y espacio urbano</v>
      </c>
      <c r="U53" s="35" t="str">
        <f>MID(Tabla1[[#This Row],[Aplicación]],9,4)</f>
        <v>1301</v>
      </c>
      <c r="V53" s="35" t="str">
        <f>VLOOKUP(Tabla1[[#This Row],[PROGRAMA]],Hoja1!A:B,2,FALSE)</f>
        <v>1301. Dirección del área de seguridad</v>
      </c>
      <c r="W53" s="56" t="str">
        <f>MID(Tabla1[[#This Row],[Aplicación]],14,2)</f>
        <v>21</v>
      </c>
      <c r="X53" s="56" t="str">
        <f>MID(Tabla1[[#This Row],[Aplicación]],14,6)</f>
        <v>213</v>
      </c>
    </row>
    <row r="54" spans="1:24" x14ac:dyDescent="0.25">
      <c r="A54" s="46">
        <v>220219001029</v>
      </c>
      <c r="B54" s="47" t="s">
        <v>507</v>
      </c>
      <c r="C54" s="52">
        <v>44927</v>
      </c>
      <c r="D54" s="46">
        <v>22023003330</v>
      </c>
      <c r="E54" s="47" t="s">
        <v>641</v>
      </c>
      <c r="F54" s="53">
        <v>7200</v>
      </c>
      <c r="G54" s="47" t="s">
        <v>592</v>
      </c>
      <c r="H54" s="47" t="s">
        <v>642</v>
      </c>
      <c r="I54" s="46" t="s">
        <v>511</v>
      </c>
      <c r="J54" s="47" t="s">
        <v>519</v>
      </c>
      <c r="K54" s="47" t="s">
        <v>519</v>
      </c>
      <c r="L54" s="47" t="s">
        <v>520</v>
      </c>
      <c r="M54" s="47" t="s">
        <v>514</v>
      </c>
      <c r="N54" s="47" t="s">
        <v>604</v>
      </c>
      <c r="O54" s="45" t="s">
        <v>371</v>
      </c>
      <c r="P54" s="44" t="s">
        <v>309</v>
      </c>
      <c r="Q54" s="59" t="str">
        <f>MID(Tabla1[[#This Row],[Aplicación]],14,1)</f>
        <v>2</v>
      </c>
      <c r="R54" s="35" t="s">
        <v>298</v>
      </c>
      <c r="S54" s="59" t="str">
        <f>MID(Tabla1[[#This Row],[Aplicación]],6,2)</f>
        <v>08</v>
      </c>
      <c r="T54" s="35" t="str">
        <f>VLOOKUP(Tabla1[[#This Row],[AREA]],Hoja1!A:B,2,FALSE)</f>
        <v>08. Movilidad y espacio urbano</v>
      </c>
      <c r="U54" s="35" t="str">
        <f>MID(Tabla1[[#This Row],[Aplicación]],9,4)</f>
        <v>1301</v>
      </c>
      <c r="V54" s="35" t="str">
        <f>VLOOKUP(Tabla1[[#This Row],[PROGRAMA]],Hoja1!A:B,2,FALSE)</f>
        <v>1301. Dirección del área de seguridad</v>
      </c>
      <c r="W54" s="56" t="str">
        <f>MID(Tabla1[[#This Row],[Aplicación]],14,2)</f>
        <v>20</v>
      </c>
      <c r="X54" s="56" t="str">
        <f>MID(Tabla1[[#This Row],[Aplicación]],14,6)</f>
        <v>203</v>
      </c>
    </row>
    <row r="55" spans="1:24" x14ac:dyDescent="0.25">
      <c r="A55" s="46">
        <v>220219001030</v>
      </c>
      <c r="B55" s="47" t="s">
        <v>507</v>
      </c>
      <c r="C55" s="52">
        <v>44927</v>
      </c>
      <c r="D55" s="46">
        <v>22023003300</v>
      </c>
      <c r="E55" s="47" t="s">
        <v>643</v>
      </c>
      <c r="F55" s="53">
        <v>816.75</v>
      </c>
      <c r="G55" s="47" t="s">
        <v>592</v>
      </c>
      <c r="H55" s="47" t="s">
        <v>644</v>
      </c>
      <c r="I55" s="46" t="s">
        <v>511</v>
      </c>
      <c r="J55" s="47" t="s">
        <v>519</v>
      </c>
      <c r="K55" s="47" t="s">
        <v>519</v>
      </c>
      <c r="L55" s="47" t="s">
        <v>552</v>
      </c>
      <c r="M55" s="47" t="s">
        <v>514</v>
      </c>
      <c r="N55" s="47" t="s">
        <v>515</v>
      </c>
      <c r="O55" s="45" t="s">
        <v>371</v>
      </c>
      <c r="P55" s="44" t="s">
        <v>309</v>
      </c>
      <c r="Q55" s="59" t="str">
        <f>MID(Tabla1[[#This Row],[Aplicación]],14,1)</f>
        <v>2</v>
      </c>
      <c r="R55" s="35" t="s">
        <v>298</v>
      </c>
      <c r="S55" s="59" t="str">
        <f>MID(Tabla1[[#This Row],[Aplicación]],6,2)</f>
        <v>04</v>
      </c>
      <c r="T55" s="35" t="str">
        <f>VLOOKUP(Tabla1[[#This Row],[AREA]],Hoja1!A:B,2,FALSE)</f>
        <v>04. Planificación y recursos</v>
      </c>
      <c r="U55" s="35" t="str">
        <f>MID(Tabla1[[#This Row],[Aplicación]],9,4)</f>
        <v>9311</v>
      </c>
      <c r="V55" s="35" t="str">
        <f>VLOOKUP(Tabla1[[#This Row],[PROGRAMA]],Hoja1!A:B,2,FALSE)</f>
        <v>9311. Planificación económico financiera</v>
      </c>
      <c r="W55" s="56" t="str">
        <f>MID(Tabla1[[#This Row],[Aplicación]],14,2)</f>
        <v>20</v>
      </c>
      <c r="X55" s="56" t="str">
        <f>MID(Tabla1[[#This Row],[Aplicación]],14,6)</f>
        <v>203</v>
      </c>
    </row>
    <row r="56" spans="1:24" x14ac:dyDescent="0.25">
      <c r="A56" s="46">
        <v>220219001031</v>
      </c>
      <c r="B56" s="47" t="s">
        <v>507</v>
      </c>
      <c r="C56" s="52">
        <v>44927</v>
      </c>
      <c r="D56" s="46">
        <v>22023003301</v>
      </c>
      <c r="E56" s="47" t="s">
        <v>643</v>
      </c>
      <c r="F56" s="53">
        <v>686.07</v>
      </c>
      <c r="G56" s="47" t="s">
        <v>592</v>
      </c>
      <c r="H56" s="47" t="s">
        <v>645</v>
      </c>
      <c r="I56" s="46" t="s">
        <v>511</v>
      </c>
      <c r="J56" s="47" t="s">
        <v>519</v>
      </c>
      <c r="K56" s="47" t="s">
        <v>519</v>
      </c>
      <c r="L56" s="47" t="s">
        <v>552</v>
      </c>
      <c r="M56" s="47" t="s">
        <v>514</v>
      </c>
      <c r="N56" s="47" t="s">
        <v>515</v>
      </c>
      <c r="O56" s="45" t="s">
        <v>371</v>
      </c>
      <c r="P56" s="44" t="s">
        <v>309</v>
      </c>
      <c r="Q56" s="59" t="str">
        <f>MID(Tabla1[[#This Row],[Aplicación]],14,1)</f>
        <v>2</v>
      </c>
      <c r="R56" s="35" t="s">
        <v>298</v>
      </c>
      <c r="S56" s="59" t="str">
        <f>MID(Tabla1[[#This Row],[Aplicación]],6,2)</f>
        <v>04</v>
      </c>
      <c r="T56" s="35" t="str">
        <f>VLOOKUP(Tabla1[[#This Row],[AREA]],Hoja1!A:B,2,FALSE)</f>
        <v>04. Planificación y recursos</v>
      </c>
      <c r="U56" s="35" t="str">
        <f>MID(Tabla1[[#This Row],[Aplicación]],9,4)</f>
        <v>9311</v>
      </c>
      <c r="V56" s="35" t="str">
        <f>VLOOKUP(Tabla1[[#This Row],[PROGRAMA]],Hoja1!A:B,2,FALSE)</f>
        <v>9311. Planificación económico financiera</v>
      </c>
      <c r="W56" s="56" t="str">
        <f>MID(Tabla1[[#This Row],[Aplicación]],14,2)</f>
        <v>20</v>
      </c>
      <c r="X56" s="56" t="str">
        <f>MID(Tabla1[[#This Row],[Aplicación]],14,6)</f>
        <v>203</v>
      </c>
    </row>
    <row r="57" spans="1:24" x14ac:dyDescent="0.25">
      <c r="A57" s="46">
        <v>220219001032</v>
      </c>
      <c r="B57" s="47" t="s">
        <v>507</v>
      </c>
      <c r="C57" s="52">
        <v>44927</v>
      </c>
      <c r="D57" s="46">
        <v>22023003257</v>
      </c>
      <c r="E57" s="47" t="s">
        <v>646</v>
      </c>
      <c r="F57" s="53">
        <v>816.75</v>
      </c>
      <c r="G57" s="47" t="s">
        <v>592</v>
      </c>
      <c r="H57" s="47" t="s">
        <v>647</v>
      </c>
      <c r="I57" s="46" t="s">
        <v>511</v>
      </c>
      <c r="J57" s="47" t="s">
        <v>519</v>
      </c>
      <c r="K57" s="47" t="s">
        <v>519</v>
      </c>
      <c r="L57" s="47" t="s">
        <v>520</v>
      </c>
      <c r="M57" s="47" t="s">
        <v>514</v>
      </c>
      <c r="N57" s="47" t="s">
        <v>515</v>
      </c>
      <c r="O57" s="45" t="s">
        <v>371</v>
      </c>
      <c r="P57" s="44" t="s">
        <v>309</v>
      </c>
      <c r="Q57" s="59" t="str">
        <f>MID(Tabla1[[#This Row],[Aplicación]],14,1)</f>
        <v>2</v>
      </c>
      <c r="R57" s="35" t="s">
        <v>298</v>
      </c>
      <c r="S57" s="59" t="str">
        <f>MID(Tabla1[[#This Row],[Aplicación]],6,2)</f>
        <v>01</v>
      </c>
      <c r="T57" s="35" t="str">
        <f>VLOOKUP(Tabla1[[#This Row],[AREA]],Hoja1!A:B,2,FALSE)</f>
        <v>01. Alcaldía</v>
      </c>
      <c r="U57" s="35" t="str">
        <f>MID(Tabla1[[#This Row],[Aplicación]],9,4)</f>
        <v>9203</v>
      </c>
      <c r="V57" s="35" t="str">
        <f>VLOOKUP(Tabla1[[#This Row],[PROGRAMA]],Hoja1!A:B,2,FALSE)</f>
        <v>9203. Unidad de régimen interior</v>
      </c>
      <c r="W57" s="56" t="str">
        <f>MID(Tabla1[[#This Row],[Aplicación]],14,2)</f>
        <v>20</v>
      </c>
      <c r="X57" s="56" t="str">
        <f>MID(Tabla1[[#This Row],[Aplicación]],14,6)</f>
        <v>203</v>
      </c>
    </row>
    <row r="58" spans="1:24" x14ac:dyDescent="0.25">
      <c r="A58" s="46">
        <v>220219001033</v>
      </c>
      <c r="B58" s="47" t="s">
        <v>507</v>
      </c>
      <c r="C58" s="52">
        <v>44927</v>
      </c>
      <c r="D58" s="46">
        <v>22023003258</v>
      </c>
      <c r="E58" s="47" t="s">
        <v>648</v>
      </c>
      <c r="F58" s="53">
        <v>960</v>
      </c>
      <c r="G58" s="47" t="s">
        <v>592</v>
      </c>
      <c r="H58" s="47" t="s">
        <v>649</v>
      </c>
      <c r="I58" s="46" t="s">
        <v>511</v>
      </c>
      <c r="J58" s="47" t="s">
        <v>519</v>
      </c>
      <c r="K58" s="47" t="s">
        <v>519</v>
      </c>
      <c r="L58" s="47" t="s">
        <v>520</v>
      </c>
      <c r="M58" s="47" t="s">
        <v>514</v>
      </c>
      <c r="N58" s="47" t="s">
        <v>515</v>
      </c>
      <c r="O58" s="45" t="s">
        <v>371</v>
      </c>
      <c r="P58" s="44" t="s">
        <v>309</v>
      </c>
      <c r="Q58" s="59" t="str">
        <f>MID(Tabla1[[#This Row],[Aplicación]],14,1)</f>
        <v>2</v>
      </c>
      <c r="R58" s="35" t="s">
        <v>298</v>
      </c>
      <c r="S58" s="59" t="str">
        <f>MID(Tabla1[[#This Row],[Aplicación]],6,2)</f>
        <v>01</v>
      </c>
      <c r="T58" s="35" t="str">
        <f>VLOOKUP(Tabla1[[#This Row],[AREA]],Hoja1!A:B,2,FALSE)</f>
        <v>01. Alcaldía</v>
      </c>
      <c r="U58" s="35" t="str">
        <f>MID(Tabla1[[#This Row],[Aplicación]],9,4)</f>
        <v>9203</v>
      </c>
      <c r="V58" s="35" t="str">
        <f>VLOOKUP(Tabla1[[#This Row],[PROGRAMA]],Hoja1!A:B,2,FALSE)</f>
        <v>9203. Unidad de régimen interior</v>
      </c>
      <c r="W58" s="56" t="str">
        <f>MID(Tabla1[[#This Row],[Aplicación]],14,2)</f>
        <v>21</v>
      </c>
      <c r="X58" s="56" t="str">
        <f>MID(Tabla1[[#This Row],[Aplicación]],14,6)</f>
        <v>213</v>
      </c>
    </row>
    <row r="59" spans="1:24" x14ac:dyDescent="0.25">
      <c r="A59" s="46">
        <v>220219001034</v>
      </c>
      <c r="B59" s="47" t="s">
        <v>507</v>
      </c>
      <c r="C59" s="52">
        <v>44927</v>
      </c>
      <c r="D59" s="46">
        <v>22023003267</v>
      </c>
      <c r="E59" s="47" t="s">
        <v>650</v>
      </c>
      <c r="F59" s="53">
        <v>363</v>
      </c>
      <c r="G59" s="47" t="s">
        <v>592</v>
      </c>
      <c r="H59" s="47" t="s">
        <v>651</v>
      </c>
      <c r="I59" s="46" t="s">
        <v>511</v>
      </c>
      <c r="J59" s="47" t="s">
        <v>519</v>
      </c>
      <c r="K59" s="47" t="s">
        <v>519</v>
      </c>
      <c r="L59" s="47" t="s">
        <v>652</v>
      </c>
      <c r="M59" s="47" t="s">
        <v>514</v>
      </c>
      <c r="N59" s="47" t="s">
        <v>515</v>
      </c>
      <c r="O59" s="45" t="s">
        <v>371</v>
      </c>
      <c r="P59" s="44" t="s">
        <v>309</v>
      </c>
      <c r="Q59" s="59" t="str">
        <f>MID(Tabla1[[#This Row],[Aplicación]],14,1)</f>
        <v>2</v>
      </c>
      <c r="R59" s="35" t="s">
        <v>298</v>
      </c>
      <c r="S59" s="59" t="str">
        <f>MID(Tabla1[[#This Row],[Aplicación]],6,2)</f>
        <v>01</v>
      </c>
      <c r="T59" s="35" t="str">
        <f>VLOOKUP(Tabla1[[#This Row],[AREA]],Hoja1!A:B,2,FALSE)</f>
        <v>01. Alcaldía</v>
      </c>
      <c r="U59" s="35" t="str">
        <f>MID(Tabla1[[#This Row],[Aplicación]],9,4)</f>
        <v>9312</v>
      </c>
      <c r="V59" s="35" t="str">
        <f>VLOOKUP(Tabla1[[#This Row],[PROGRAMA]],Hoja1!A:B,2,FALSE)</f>
        <v>9312. Intervención general</v>
      </c>
      <c r="W59" s="56" t="str">
        <f>MID(Tabla1[[#This Row],[Aplicación]],14,2)</f>
        <v>20</v>
      </c>
      <c r="X59" s="56" t="str">
        <f>MID(Tabla1[[#This Row],[Aplicación]],14,6)</f>
        <v>203</v>
      </c>
    </row>
    <row r="60" spans="1:24" x14ac:dyDescent="0.25">
      <c r="A60" s="46">
        <v>220219001035</v>
      </c>
      <c r="B60" s="47" t="s">
        <v>507</v>
      </c>
      <c r="C60" s="52">
        <v>44927</v>
      </c>
      <c r="D60" s="46">
        <v>22023003268</v>
      </c>
      <c r="E60" s="47" t="s">
        <v>650</v>
      </c>
      <c r="F60" s="53">
        <v>363</v>
      </c>
      <c r="G60" s="47" t="s">
        <v>592</v>
      </c>
      <c r="H60" s="47" t="s">
        <v>653</v>
      </c>
      <c r="I60" s="46" t="s">
        <v>511</v>
      </c>
      <c r="J60" s="47" t="s">
        <v>519</v>
      </c>
      <c r="K60" s="47" t="s">
        <v>519</v>
      </c>
      <c r="L60" s="47" t="s">
        <v>652</v>
      </c>
      <c r="M60" s="47" t="s">
        <v>514</v>
      </c>
      <c r="N60" s="47" t="s">
        <v>515</v>
      </c>
      <c r="O60" s="45" t="s">
        <v>371</v>
      </c>
      <c r="P60" s="44" t="s">
        <v>309</v>
      </c>
      <c r="Q60" s="59" t="str">
        <f>MID(Tabla1[[#This Row],[Aplicación]],14,1)</f>
        <v>2</v>
      </c>
      <c r="R60" s="35" t="s">
        <v>298</v>
      </c>
      <c r="S60" s="59" t="str">
        <f>MID(Tabla1[[#This Row],[Aplicación]],6,2)</f>
        <v>01</v>
      </c>
      <c r="T60" s="35" t="str">
        <f>VLOOKUP(Tabla1[[#This Row],[AREA]],Hoja1!A:B,2,FALSE)</f>
        <v>01. Alcaldía</v>
      </c>
      <c r="U60" s="35" t="str">
        <f>MID(Tabla1[[#This Row],[Aplicación]],9,4)</f>
        <v>9312</v>
      </c>
      <c r="V60" s="35" t="str">
        <f>VLOOKUP(Tabla1[[#This Row],[PROGRAMA]],Hoja1!A:B,2,FALSE)</f>
        <v>9312. Intervención general</v>
      </c>
      <c r="W60" s="56" t="str">
        <f>MID(Tabla1[[#This Row],[Aplicación]],14,2)</f>
        <v>20</v>
      </c>
      <c r="X60" s="56" t="str">
        <f>MID(Tabla1[[#This Row],[Aplicación]],14,6)</f>
        <v>203</v>
      </c>
    </row>
    <row r="61" spans="1:24" x14ac:dyDescent="0.25">
      <c r="A61" s="46">
        <v>220219001036</v>
      </c>
      <c r="B61" s="47" t="s">
        <v>507</v>
      </c>
      <c r="C61" s="52">
        <v>44927</v>
      </c>
      <c r="D61" s="46">
        <v>22023003269</v>
      </c>
      <c r="E61" s="47" t="s">
        <v>654</v>
      </c>
      <c r="F61" s="53">
        <v>110</v>
      </c>
      <c r="G61" s="47" t="s">
        <v>592</v>
      </c>
      <c r="H61" s="47" t="s">
        <v>655</v>
      </c>
      <c r="I61" s="46" t="s">
        <v>511</v>
      </c>
      <c r="J61" s="47" t="s">
        <v>519</v>
      </c>
      <c r="K61" s="47" t="s">
        <v>519</v>
      </c>
      <c r="L61" s="47" t="s">
        <v>652</v>
      </c>
      <c r="M61" s="47" t="s">
        <v>514</v>
      </c>
      <c r="N61" s="47" t="s">
        <v>515</v>
      </c>
      <c r="O61" s="45" t="s">
        <v>371</v>
      </c>
      <c r="P61" s="44" t="s">
        <v>309</v>
      </c>
      <c r="Q61" s="59" t="str">
        <f>MID(Tabla1[[#This Row],[Aplicación]],14,1)</f>
        <v>2</v>
      </c>
      <c r="R61" s="35" t="s">
        <v>298</v>
      </c>
      <c r="S61" s="59" t="str">
        <f>MID(Tabla1[[#This Row],[Aplicación]],6,2)</f>
        <v>01</v>
      </c>
      <c r="T61" s="35" t="str">
        <f>VLOOKUP(Tabla1[[#This Row],[AREA]],Hoja1!A:B,2,FALSE)</f>
        <v>01. Alcaldía</v>
      </c>
      <c r="U61" s="35" t="str">
        <f>MID(Tabla1[[#This Row],[Aplicación]],9,4)</f>
        <v>9312</v>
      </c>
      <c r="V61" s="35" t="str">
        <f>VLOOKUP(Tabla1[[#This Row],[PROGRAMA]],Hoja1!A:B,2,FALSE)</f>
        <v>9312. Intervención general</v>
      </c>
      <c r="W61" s="56" t="str">
        <f>MID(Tabla1[[#This Row],[Aplicación]],14,2)</f>
        <v>21</v>
      </c>
      <c r="X61" s="56" t="str">
        <f>MID(Tabla1[[#This Row],[Aplicación]],14,6)</f>
        <v>213</v>
      </c>
    </row>
    <row r="62" spans="1:24" x14ac:dyDescent="0.25">
      <c r="A62" s="46">
        <v>220219001037</v>
      </c>
      <c r="B62" s="47" t="s">
        <v>507</v>
      </c>
      <c r="C62" s="52">
        <v>44927</v>
      </c>
      <c r="D62" s="46">
        <v>22023003270</v>
      </c>
      <c r="E62" s="47" t="s">
        <v>654</v>
      </c>
      <c r="F62" s="53">
        <v>247</v>
      </c>
      <c r="G62" s="47" t="s">
        <v>592</v>
      </c>
      <c r="H62" s="47" t="s">
        <v>656</v>
      </c>
      <c r="I62" s="46" t="s">
        <v>511</v>
      </c>
      <c r="J62" s="47" t="s">
        <v>519</v>
      </c>
      <c r="K62" s="47" t="s">
        <v>519</v>
      </c>
      <c r="L62" s="47" t="s">
        <v>652</v>
      </c>
      <c r="M62" s="47" t="s">
        <v>514</v>
      </c>
      <c r="N62" s="47" t="s">
        <v>515</v>
      </c>
      <c r="O62" s="45" t="s">
        <v>371</v>
      </c>
      <c r="P62" s="44" t="s">
        <v>309</v>
      </c>
      <c r="Q62" s="59" t="str">
        <f>MID(Tabla1[[#This Row],[Aplicación]],14,1)</f>
        <v>2</v>
      </c>
      <c r="R62" s="35" t="s">
        <v>298</v>
      </c>
      <c r="S62" s="59" t="str">
        <f>MID(Tabla1[[#This Row],[Aplicación]],6,2)</f>
        <v>01</v>
      </c>
      <c r="T62" s="35" t="str">
        <f>VLOOKUP(Tabla1[[#This Row],[AREA]],Hoja1!A:B,2,FALSE)</f>
        <v>01. Alcaldía</v>
      </c>
      <c r="U62" s="35" t="str">
        <f>MID(Tabla1[[#This Row],[Aplicación]],9,4)</f>
        <v>9312</v>
      </c>
      <c r="V62" s="35" t="str">
        <f>VLOOKUP(Tabla1[[#This Row],[PROGRAMA]],Hoja1!A:B,2,FALSE)</f>
        <v>9312. Intervención general</v>
      </c>
      <c r="W62" s="56" t="str">
        <f>MID(Tabla1[[#This Row],[Aplicación]],14,2)</f>
        <v>21</v>
      </c>
      <c r="X62" s="56" t="str">
        <f>MID(Tabla1[[#This Row],[Aplicación]],14,6)</f>
        <v>213</v>
      </c>
    </row>
    <row r="63" spans="1:24" x14ac:dyDescent="0.25">
      <c r="A63" s="46">
        <v>220219001038</v>
      </c>
      <c r="B63" s="47" t="s">
        <v>507</v>
      </c>
      <c r="C63" s="52">
        <v>44927</v>
      </c>
      <c r="D63" s="46">
        <v>22023003274</v>
      </c>
      <c r="E63" s="47" t="s">
        <v>657</v>
      </c>
      <c r="F63" s="53">
        <v>1600</v>
      </c>
      <c r="G63" s="47" t="s">
        <v>592</v>
      </c>
      <c r="H63" s="47" t="s">
        <v>658</v>
      </c>
      <c r="I63" s="46" t="s">
        <v>511</v>
      </c>
      <c r="J63" s="47" t="s">
        <v>519</v>
      </c>
      <c r="K63" s="47" t="s">
        <v>519</v>
      </c>
      <c r="L63" s="47" t="s">
        <v>552</v>
      </c>
      <c r="M63" s="47" t="s">
        <v>514</v>
      </c>
      <c r="N63" s="47" t="s">
        <v>515</v>
      </c>
      <c r="O63" s="45" t="s">
        <v>371</v>
      </c>
      <c r="P63" s="44" t="s">
        <v>309</v>
      </c>
      <c r="Q63" s="59" t="str">
        <f>MID(Tabla1[[#This Row],[Aplicación]],14,1)</f>
        <v>2</v>
      </c>
      <c r="R63" s="35" t="s">
        <v>298</v>
      </c>
      <c r="S63" s="59" t="str">
        <f>MID(Tabla1[[#This Row],[Aplicación]],6,2)</f>
        <v>02</v>
      </c>
      <c r="T63" s="35" t="str">
        <f>VLOOKUP(Tabla1[[#This Row],[AREA]],Hoja1!A:B,2,FALSE)</f>
        <v>02. Planeamiento urbanístico y vivienda</v>
      </c>
      <c r="U63" s="35" t="str">
        <f>MID(Tabla1[[#This Row],[Aplicación]],9,4)</f>
        <v>9331</v>
      </c>
      <c r="V63" s="35" t="str">
        <f>VLOOKUP(Tabla1[[#This Row],[PROGRAMA]],Hoja1!A:B,2,FALSE)</f>
        <v>9331. Gestión del patrimonio</v>
      </c>
      <c r="W63" s="56" t="str">
        <f>MID(Tabla1[[#This Row],[Aplicación]],14,2)</f>
        <v>20</v>
      </c>
      <c r="X63" s="56" t="str">
        <f>MID(Tabla1[[#This Row],[Aplicación]],14,6)</f>
        <v>203</v>
      </c>
    </row>
    <row r="64" spans="1:24" x14ac:dyDescent="0.25">
      <c r="A64" s="46">
        <v>220219001039</v>
      </c>
      <c r="B64" s="47" t="s">
        <v>507</v>
      </c>
      <c r="C64" s="52">
        <v>44927</v>
      </c>
      <c r="D64" s="46">
        <v>22023003376</v>
      </c>
      <c r="E64" s="47" t="s">
        <v>659</v>
      </c>
      <c r="F64" s="53">
        <v>19000</v>
      </c>
      <c r="G64" s="47" t="s">
        <v>592</v>
      </c>
      <c r="H64" s="47" t="s">
        <v>660</v>
      </c>
      <c r="I64" s="46" t="s">
        <v>511</v>
      </c>
      <c r="J64" s="47" t="s">
        <v>519</v>
      </c>
      <c r="K64" s="47" t="s">
        <v>519</v>
      </c>
      <c r="L64" s="47" t="s">
        <v>552</v>
      </c>
      <c r="M64" s="47" t="s">
        <v>514</v>
      </c>
      <c r="N64" s="47" t="s">
        <v>515</v>
      </c>
      <c r="O64" s="45" t="s">
        <v>371</v>
      </c>
      <c r="P64" s="44" t="s">
        <v>309</v>
      </c>
      <c r="Q64" s="59" t="str">
        <f>MID(Tabla1[[#This Row],[Aplicación]],14,1)</f>
        <v>2</v>
      </c>
      <c r="R64" s="35" t="s">
        <v>298</v>
      </c>
      <c r="S64" s="59" t="str">
        <f>MID(Tabla1[[#This Row],[Aplicación]],6,2)</f>
        <v>11</v>
      </c>
      <c r="T64" s="35" t="str">
        <f>VLOOKUP(Tabla1[[#This Row],[AREA]],Hoja1!A:B,2,FALSE)</f>
        <v>11. Salud pública y seguridad ciudadana</v>
      </c>
      <c r="U64" s="35" t="str">
        <f>MID(Tabla1[[#This Row],[Aplicación]],9,4)</f>
        <v>1321</v>
      </c>
      <c r="V64" s="35" t="str">
        <f>VLOOKUP(Tabla1[[#This Row],[PROGRAMA]],Hoja1!A:B,2,FALSE)</f>
        <v>1321. Policía municipal</v>
      </c>
      <c r="W64" s="56" t="str">
        <f>MID(Tabla1[[#This Row],[Aplicación]],14,2)</f>
        <v>21</v>
      </c>
      <c r="X64" s="56" t="str">
        <f>MID(Tabla1[[#This Row],[Aplicación]],14,6)</f>
        <v>213</v>
      </c>
    </row>
    <row r="65" spans="1:24" x14ac:dyDescent="0.25">
      <c r="A65" s="46">
        <v>220219001040</v>
      </c>
      <c r="B65" s="47" t="s">
        <v>507</v>
      </c>
      <c r="C65" s="52">
        <v>44927</v>
      </c>
      <c r="D65" s="46">
        <v>22023003275</v>
      </c>
      <c r="E65" s="47" t="s">
        <v>661</v>
      </c>
      <c r="F65" s="53">
        <v>5000</v>
      </c>
      <c r="G65" s="47" t="s">
        <v>592</v>
      </c>
      <c r="H65" s="47" t="s">
        <v>662</v>
      </c>
      <c r="I65" s="46" t="s">
        <v>511</v>
      </c>
      <c r="J65" s="47" t="s">
        <v>519</v>
      </c>
      <c r="K65" s="47" t="s">
        <v>519</v>
      </c>
      <c r="L65" s="47" t="s">
        <v>552</v>
      </c>
      <c r="M65" s="47" t="s">
        <v>514</v>
      </c>
      <c r="N65" s="47" t="s">
        <v>515</v>
      </c>
      <c r="O65" s="45" t="s">
        <v>371</v>
      </c>
      <c r="P65" s="44" t="s">
        <v>309</v>
      </c>
      <c r="Q65" s="59" t="str">
        <f>MID(Tabla1[[#This Row],[Aplicación]],14,1)</f>
        <v>2</v>
      </c>
      <c r="R65" s="35" t="s">
        <v>298</v>
      </c>
      <c r="S65" s="59" t="str">
        <f>MID(Tabla1[[#This Row],[Aplicación]],6,2)</f>
        <v>02</v>
      </c>
      <c r="T65" s="35" t="str">
        <f>VLOOKUP(Tabla1[[#This Row],[AREA]],Hoja1!A:B,2,FALSE)</f>
        <v>02. Planeamiento urbanístico y vivienda</v>
      </c>
      <c r="U65" s="35" t="str">
        <f>MID(Tabla1[[#This Row],[Aplicación]],9,4)</f>
        <v>9331</v>
      </c>
      <c r="V65" s="35" t="str">
        <f>VLOOKUP(Tabla1[[#This Row],[PROGRAMA]],Hoja1!A:B,2,FALSE)</f>
        <v>9331. Gestión del patrimonio</v>
      </c>
      <c r="W65" s="56" t="str">
        <f>MID(Tabla1[[#This Row],[Aplicación]],14,2)</f>
        <v>21</v>
      </c>
      <c r="X65" s="56" t="str">
        <f>MID(Tabla1[[#This Row],[Aplicación]],14,6)</f>
        <v>213</v>
      </c>
    </row>
    <row r="66" spans="1:24" x14ac:dyDescent="0.25">
      <c r="A66" s="46">
        <v>220219001042</v>
      </c>
      <c r="B66" s="47" t="s">
        <v>507</v>
      </c>
      <c r="C66" s="52">
        <v>44927</v>
      </c>
      <c r="D66" s="46">
        <v>22023003338</v>
      </c>
      <c r="E66" s="47" t="s">
        <v>663</v>
      </c>
      <c r="F66" s="53">
        <v>3100</v>
      </c>
      <c r="G66" s="47" t="s">
        <v>592</v>
      </c>
      <c r="H66" s="47" t="s">
        <v>664</v>
      </c>
      <c r="I66" s="46" t="s">
        <v>511</v>
      </c>
      <c r="J66" s="47" t="s">
        <v>519</v>
      </c>
      <c r="K66" s="47" t="s">
        <v>519</v>
      </c>
      <c r="L66" s="47" t="s">
        <v>552</v>
      </c>
      <c r="M66" s="47" t="s">
        <v>514</v>
      </c>
      <c r="N66" s="47" t="s">
        <v>515</v>
      </c>
      <c r="O66" s="45" t="s">
        <v>371</v>
      </c>
      <c r="P66" s="44" t="s">
        <v>309</v>
      </c>
      <c r="Q66" s="59" t="str">
        <f>MID(Tabla1[[#This Row],[Aplicación]],14,1)</f>
        <v>2</v>
      </c>
      <c r="R66" s="35" t="s">
        <v>298</v>
      </c>
      <c r="S66" s="59" t="str">
        <f>MID(Tabla1[[#This Row],[Aplicación]],6,2)</f>
        <v>08</v>
      </c>
      <c r="T66" s="35" t="str">
        <f>VLOOKUP(Tabla1[[#This Row],[AREA]],Hoja1!A:B,2,FALSE)</f>
        <v>08. Movilidad y espacio urbano</v>
      </c>
      <c r="U66" s="35" t="str">
        <f>MID(Tabla1[[#This Row],[Aplicación]],9,4)</f>
        <v>1532</v>
      </c>
      <c r="V66" s="35" t="str">
        <f>VLOOKUP(Tabla1[[#This Row],[PROGRAMA]],Hoja1!A:B,2,FALSE)</f>
        <v>1532. Pavimentación vias públicas y otros servicios urbanísticos</v>
      </c>
      <c r="W66" s="56" t="str">
        <f>MID(Tabla1[[#This Row],[Aplicación]],14,2)</f>
        <v>20</v>
      </c>
      <c r="X66" s="56" t="str">
        <f>MID(Tabla1[[#This Row],[Aplicación]],14,6)</f>
        <v>203</v>
      </c>
    </row>
    <row r="67" spans="1:24" x14ac:dyDescent="0.25">
      <c r="A67" s="46">
        <v>220219001045</v>
      </c>
      <c r="B67" s="47" t="s">
        <v>507</v>
      </c>
      <c r="C67" s="52">
        <v>44927</v>
      </c>
      <c r="D67" s="46">
        <v>22023003339</v>
      </c>
      <c r="E67" s="47" t="s">
        <v>665</v>
      </c>
      <c r="F67" s="53">
        <v>2350</v>
      </c>
      <c r="G67" s="47" t="s">
        <v>592</v>
      </c>
      <c r="H67" s="47" t="s">
        <v>666</v>
      </c>
      <c r="I67" s="46" t="s">
        <v>511</v>
      </c>
      <c r="J67" s="47" t="s">
        <v>519</v>
      </c>
      <c r="K67" s="47" t="s">
        <v>519</v>
      </c>
      <c r="L67" s="47" t="s">
        <v>552</v>
      </c>
      <c r="M67" s="47" t="s">
        <v>514</v>
      </c>
      <c r="N67" s="47" t="s">
        <v>515</v>
      </c>
      <c r="O67" s="45" t="s">
        <v>371</v>
      </c>
      <c r="P67" s="44" t="s">
        <v>309</v>
      </c>
      <c r="Q67" s="59" t="str">
        <f>MID(Tabla1[[#This Row],[Aplicación]],14,1)</f>
        <v>2</v>
      </c>
      <c r="R67" s="35" t="s">
        <v>298</v>
      </c>
      <c r="S67" s="59" t="str">
        <f>MID(Tabla1[[#This Row],[Aplicación]],6,2)</f>
        <v>08</v>
      </c>
      <c r="T67" s="35" t="str">
        <f>VLOOKUP(Tabla1[[#This Row],[AREA]],Hoja1!A:B,2,FALSE)</f>
        <v>08. Movilidad y espacio urbano</v>
      </c>
      <c r="U67" s="35" t="str">
        <f>MID(Tabla1[[#This Row],[Aplicación]],9,4)</f>
        <v>1532</v>
      </c>
      <c r="V67" s="35" t="str">
        <f>VLOOKUP(Tabla1[[#This Row],[PROGRAMA]],Hoja1!A:B,2,FALSE)</f>
        <v>1532. Pavimentación vias públicas y otros servicios urbanísticos</v>
      </c>
      <c r="W67" s="56" t="str">
        <f>MID(Tabla1[[#This Row],[Aplicación]],14,2)</f>
        <v>21</v>
      </c>
      <c r="X67" s="56" t="str">
        <f>MID(Tabla1[[#This Row],[Aplicación]],14,6)</f>
        <v>213</v>
      </c>
    </row>
    <row r="68" spans="1:24" x14ac:dyDescent="0.25">
      <c r="A68" s="46">
        <v>220219001047</v>
      </c>
      <c r="B68" s="47" t="s">
        <v>507</v>
      </c>
      <c r="C68" s="52">
        <v>44927</v>
      </c>
      <c r="D68" s="46">
        <v>22023003280</v>
      </c>
      <c r="E68" s="47" t="s">
        <v>667</v>
      </c>
      <c r="F68" s="53">
        <v>12000</v>
      </c>
      <c r="G68" s="47" t="s">
        <v>592</v>
      </c>
      <c r="H68" s="47" t="s">
        <v>668</v>
      </c>
      <c r="I68" s="46" t="s">
        <v>511</v>
      </c>
      <c r="J68" s="47" t="s">
        <v>519</v>
      </c>
      <c r="K68" s="47" t="s">
        <v>519</v>
      </c>
      <c r="L68" s="47" t="s">
        <v>520</v>
      </c>
      <c r="M68" s="47" t="s">
        <v>514</v>
      </c>
      <c r="N68" s="47" t="s">
        <v>604</v>
      </c>
      <c r="O68" s="45" t="s">
        <v>371</v>
      </c>
      <c r="P68" s="44" t="s">
        <v>309</v>
      </c>
      <c r="Q68" s="59" t="str">
        <f>MID(Tabla1[[#This Row],[Aplicación]],14,1)</f>
        <v>2</v>
      </c>
      <c r="R68" s="35" t="s">
        <v>298</v>
      </c>
      <c r="S68" s="59" t="str">
        <f>MID(Tabla1[[#This Row],[Aplicación]],6,2)</f>
        <v>03</v>
      </c>
      <c r="T68" s="35" t="str">
        <f>VLOOKUP(Tabla1[[#This Row],[AREA]],Hoja1!A:B,2,FALSE)</f>
        <v>03. Participación ciudadana y deportes</v>
      </c>
      <c r="U68" s="35" t="str">
        <f>MID(Tabla1[[#This Row],[Aplicación]],9,4)</f>
        <v>9241</v>
      </c>
      <c r="V68" s="35" t="str">
        <f>VLOOKUP(Tabla1[[#This Row],[PROGRAMA]],Hoja1!A:B,2,FALSE)</f>
        <v>9241. Participación ciudadana</v>
      </c>
      <c r="W68" s="56" t="str">
        <f>MID(Tabla1[[#This Row],[Aplicación]],14,2)</f>
        <v>20</v>
      </c>
      <c r="X68" s="56" t="str">
        <f>MID(Tabla1[[#This Row],[Aplicación]],14,6)</f>
        <v>203</v>
      </c>
    </row>
    <row r="69" spans="1:24" x14ac:dyDescent="0.25">
      <c r="A69" s="46">
        <v>220219001048</v>
      </c>
      <c r="B69" s="47" t="s">
        <v>507</v>
      </c>
      <c r="C69" s="52">
        <v>44927</v>
      </c>
      <c r="D69" s="46">
        <v>22023003321</v>
      </c>
      <c r="E69" s="47" t="s">
        <v>669</v>
      </c>
      <c r="F69" s="53">
        <v>3309.35</v>
      </c>
      <c r="G69" s="47" t="s">
        <v>592</v>
      </c>
      <c r="H69" s="47" t="s">
        <v>670</v>
      </c>
      <c r="I69" s="46" t="s">
        <v>511</v>
      </c>
      <c r="J69" s="47" t="s">
        <v>519</v>
      </c>
      <c r="K69" s="47" t="s">
        <v>519</v>
      </c>
      <c r="L69" s="47" t="s">
        <v>552</v>
      </c>
      <c r="M69" s="47" t="s">
        <v>514</v>
      </c>
      <c r="N69" s="47" t="s">
        <v>515</v>
      </c>
      <c r="O69" s="45" t="s">
        <v>371</v>
      </c>
      <c r="P69" s="44" t="s">
        <v>309</v>
      </c>
      <c r="Q69" s="59" t="str">
        <f>MID(Tabla1[[#This Row],[Aplicación]],14,1)</f>
        <v>2</v>
      </c>
      <c r="R69" s="35" t="s">
        <v>298</v>
      </c>
      <c r="S69" s="59" t="str">
        <f>MID(Tabla1[[#This Row],[Aplicación]],6,2)</f>
        <v>06</v>
      </c>
      <c r="T69" s="35" t="str">
        <f>VLOOKUP(Tabla1[[#This Row],[AREA]],Hoja1!A:B,2,FALSE)</f>
        <v>06. Educación, infancia, juventud e igualdad</v>
      </c>
      <c r="U69" s="35" t="str">
        <f>MID(Tabla1[[#This Row],[Aplicación]],9,4)</f>
        <v>3232</v>
      </c>
      <c r="V69" s="35" t="str">
        <f>VLOOKUP(Tabla1[[#This Row],[PROGRAMA]],Hoja1!A:B,2,FALSE)</f>
        <v>3232. Conservación y mantenimiento centros educación infantil y primaria</v>
      </c>
      <c r="W69" s="56" t="str">
        <f>MID(Tabla1[[#This Row],[Aplicación]],14,2)</f>
        <v>21</v>
      </c>
      <c r="X69" s="56" t="str">
        <f>MID(Tabla1[[#This Row],[Aplicación]],14,6)</f>
        <v>213</v>
      </c>
    </row>
    <row r="70" spans="1:24" x14ac:dyDescent="0.25">
      <c r="A70" s="46">
        <v>220219001049</v>
      </c>
      <c r="B70" s="47" t="s">
        <v>507</v>
      </c>
      <c r="C70" s="52">
        <v>44927</v>
      </c>
      <c r="D70" s="46">
        <v>22023003323</v>
      </c>
      <c r="E70" s="47" t="s">
        <v>671</v>
      </c>
      <c r="F70" s="53">
        <v>3751</v>
      </c>
      <c r="G70" s="47" t="s">
        <v>592</v>
      </c>
      <c r="H70" s="47" t="s">
        <v>672</v>
      </c>
      <c r="I70" s="46" t="s">
        <v>511</v>
      </c>
      <c r="J70" s="47" t="s">
        <v>519</v>
      </c>
      <c r="K70" s="47" t="s">
        <v>519</v>
      </c>
      <c r="L70" s="47" t="s">
        <v>552</v>
      </c>
      <c r="M70" s="47" t="s">
        <v>514</v>
      </c>
      <c r="N70" s="47" t="s">
        <v>515</v>
      </c>
      <c r="O70" s="45" t="s">
        <v>371</v>
      </c>
      <c r="P70" s="44" t="s">
        <v>309</v>
      </c>
      <c r="Q70" s="59" t="str">
        <f>MID(Tabla1[[#This Row],[Aplicación]],14,1)</f>
        <v>2</v>
      </c>
      <c r="R70" s="35" t="s">
        <v>298</v>
      </c>
      <c r="S70" s="59" t="str">
        <f>MID(Tabla1[[#This Row],[Aplicación]],6,2)</f>
        <v>06</v>
      </c>
      <c r="T70" s="35" t="str">
        <f>VLOOKUP(Tabla1[[#This Row],[AREA]],Hoja1!A:B,2,FALSE)</f>
        <v>06. Educación, infancia, juventud e igualdad</v>
      </c>
      <c r="U70" s="35" t="str">
        <f>MID(Tabla1[[#This Row],[Aplicación]],9,4)</f>
        <v>3321</v>
      </c>
      <c r="V70" s="35" t="str">
        <f>VLOOKUP(Tabla1[[#This Row],[PROGRAMA]],Hoja1!A:B,2,FALSE)</f>
        <v>3321. Bibliotecas públicas</v>
      </c>
      <c r="W70" s="56" t="str">
        <f>MID(Tabla1[[#This Row],[Aplicación]],14,2)</f>
        <v>21</v>
      </c>
      <c r="X70" s="56" t="str">
        <f>MID(Tabla1[[#This Row],[Aplicación]],14,6)</f>
        <v>213</v>
      </c>
    </row>
    <row r="71" spans="1:24" x14ac:dyDescent="0.25">
      <c r="A71" s="46">
        <v>220219001050</v>
      </c>
      <c r="B71" s="47" t="s">
        <v>507</v>
      </c>
      <c r="C71" s="52">
        <v>44927</v>
      </c>
      <c r="D71" s="46">
        <v>22023003319</v>
      </c>
      <c r="E71" s="47" t="s">
        <v>673</v>
      </c>
      <c r="F71" s="53">
        <v>3121.8</v>
      </c>
      <c r="G71" s="47" t="s">
        <v>592</v>
      </c>
      <c r="H71" s="47" t="s">
        <v>674</v>
      </c>
      <c r="I71" s="46" t="s">
        <v>511</v>
      </c>
      <c r="J71" s="47" t="s">
        <v>519</v>
      </c>
      <c r="K71" s="47" t="s">
        <v>519</v>
      </c>
      <c r="L71" s="47" t="s">
        <v>552</v>
      </c>
      <c r="M71" s="47" t="s">
        <v>514</v>
      </c>
      <c r="N71" s="47" t="s">
        <v>515</v>
      </c>
      <c r="O71" s="45" t="s">
        <v>371</v>
      </c>
      <c r="P71" s="44" t="s">
        <v>309</v>
      </c>
      <c r="Q71" s="59" t="str">
        <f>MID(Tabla1[[#This Row],[Aplicación]],14,1)</f>
        <v>2</v>
      </c>
      <c r="R71" s="35" t="s">
        <v>298</v>
      </c>
      <c r="S71" s="59" t="str">
        <f>MID(Tabla1[[#This Row],[Aplicación]],6,2)</f>
        <v>06</v>
      </c>
      <c r="T71" s="35" t="str">
        <f>VLOOKUP(Tabla1[[#This Row],[AREA]],Hoja1!A:B,2,FALSE)</f>
        <v>06. Educación, infancia, juventud e igualdad</v>
      </c>
      <c r="U71" s="35" t="str">
        <f>MID(Tabla1[[#This Row],[Aplicación]],9,4)</f>
        <v>2315</v>
      </c>
      <c r="V71" s="35" t="str">
        <f>VLOOKUP(Tabla1[[#This Row],[PROGRAMA]],Hoja1!A:B,2,FALSE)</f>
        <v>2315. Políticas de Igualdad e infancia</v>
      </c>
      <c r="W71" s="56" t="str">
        <f>MID(Tabla1[[#This Row],[Aplicación]],14,2)</f>
        <v>21</v>
      </c>
      <c r="X71" s="56" t="str">
        <f>MID(Tabla1[[#This Row],[Aplicación]],14,6)</f>
        <v>213</v>
      </c>
    </row>
    <row r="72" spans="1:24" x14ac:dyDescent="0.25">
      <c r="A72" s="46">
        <v>220219001052</v>
      </c>
      <c r="B72" s="47" t="s">
        <v>507</v>
      </c>
      <c r="C72" s="52">
        <v>44927</v>
      </c>
      <c r="D72" s="46">
        <v>22023003302</v>
      </c>
      <c r="E72" s="47" t="s">
        <v>675</v>
      </c>
      <c r="F72" s="53">
        <v>7000</v>
      </c>
      <c r="G72" s="47" t="s">
        <v>592</v>
      </c>
      <c r="H72" s="47" t="s">
        <v>676</v>
      </c>
      <c r="I72" s="46" t="s">
        <v>511</v>
      </c>
      <c r="J72" s="47" t="s">
        <v>519</v>
      </c>
      <c r="K72" s="47" t="s">
        <v>519</v>
      </c>
      <c r="L72" s="47" t="s">
        <v>552</v>
      </c>
      <c r="M72" s="47" t="s">
        <v>514</v>
      </c>
      <c r="N72" s="47" t="s">
        <v>515</v>
      </c>
      <c r="O72" s="45" t="s">
        <v>371</v>
      </c>
      <c r="P72" s="44" t="s">
        <v>309</v>
      </c>
      <c r="Q72" s="59" t="str">
        <f>MID(Tabla1[[#This Row],[Aplicación]],14,1)</f>
        <v>2</v>
      </c>
      <c r="R72" s="35" t="s">
        <v>298</v>
      </c>
      <c r="S72" s="59" t="str">
        <f>MID(Tabla1[[#This Row],[Aplicación]],6,2)</f>
        <v>04</v>
      </c>
      <c r="T72" s="35" t="str">
        <f>VLOOKUP(Tabla1[[#This Row],[AREA]],Hoja1!A:B,2,FALSE)</f>
        <v>04. Planificación y recursos</v>
      </c>
      <c r="U72" s="35" t="str">
        <f>MID(Tabla1[[#This Row],[Aplicación]],9,4)</f>
        <v>9321</v>
      </c>
      <c r="V72" s="35" t="str">
        <f>VLOOKUP(Tabla1[[#This Row],[PROGRAMA]],Hoja1!A:B,2,FALSE)</f>
        <v>9321. Gestión de ingresos e inspección</v>
      </c>
      <c r="W72" s="56" t="str">
        <f>MID(Tabla1[[#This Row],[Aplicación]],14,2)</f>
        <v>20</v>
      </c>
      <c r="X72" s="56" t="str">
        <f>MID(Tabla1[[#This Row],[Aplicación]],14,6)</f>
        <v>203</v>
      </c>
    </row>
    <row r="73" spans="1:24" x14ac:dyDescent="0.25">
      <c r="A73" s="46">
        <v>220219001054</v>
      </c>
      <c r="B73" s="47" t="s">
        <v>507</v>
      </c>
      <c r="C73" s="52">
        <v>44927</v>
      </c>
      <c r="D73" s="46">
        <v>22023003368</v>
      </c>
      <c r="E73" s="47" t="s">
        <v>677</v>
      </c>
      <c r="F73" s="53">
        <v>532.4</v>
      </c>
      <c r="G73" s="47" t="s">
        <v>592</v>
      </c>
      <c r="H73" s="47" t="s">
        <v>678</v>
      </c>
      <c r="I73" s="46" t="s">
        <v>511</v>
      </c>
      <c r="J73" s="47" t="s">
        <v>519</v>
      </c>
      <c r="K73" s="47" t="s">
        <v>519</v>
      </c>
      <c r="L73" s="47" t="s">
        <v>520</v>
      </c>
      <c r="M73" s="47" t="s">
        <v>514</v>
      </c>
      <c r="N73" s="47" t="s">
        <v>515</v>
      </c>
      <c r="O73" s="45" t="s">
        <v>371</v>
      </c>
      <c r="P73" s="44" t="s">
        <v>309</v>
      </c>
      <c r="Q73" s="59" t="str">
        <f>MID(Tabla1[[#This Row],[Aplicación]],14,1)</f>
        <v>2</v>
      </c>
      <c r="R73" s="35" t="s">
        <v>298</v>
      </c>
      <c r="S73" s="59" t="str">
        <f>MID(Tabla1[[#This Row],[Aplicación]],6,2)</f>
        <v>10</v>
      </c>
      <c r="T73" s="35" t="str">
        <f>VLOOKUP(Tabla1[[#This Row],[AREA]],Hoja1!A:B,2,FALSE)</f>
        <v>10. Servicios sociales y mediación comunitaria</v>
      </c>
      <c r="U73" s="35" t="str">
        <f>MID(Tabla1[[#This Row],[Aplicación]],9,4)</f>
        <v>2316</v>
      </c>
      <c r="V73" s="35" t="str">
        <f>VLOOKUP(Tabla1[[#This Row],[PROGRAMA]],Hoja1!A:B,2,FALSE)</f>
        <v>2316. Mediación comunitaria</v>
      </c>
      <c r="W73" s="56" t="str">
        <f>MID(Tabla1[[#This Row],[Aplicación]],14,2)</f>
        <v>21</v>
      </c>
      <c r="X73" s="56" t="str">
        <f>MID(Tabla1[[#This Row],[Aplicación]],14,6)</f>
        <v>213</v>
      </c>
    </row>
    <row r="74" spans="1:24" x14ac:dyDescent="0.25">
      <c r="A74" s="46">
        <v>220219001055</v>
      </c>
      <c r="B74" s="47" t="s">
        <v>507</v>
      </c>
      <c r="C74" s="52">
        <v>44927</v>
      </c>
      <c r="D74" s="46">
        <v>22023003367</v>
      </c>
      <c r="E74" s="47" t="s">
        <v>679</v>
      </c>
      <c r="F74" s="53">
        <v>2897.95</v>
      </c>
      <c r="G74" s="47" t="s">
        <v>592</v>
      </c>
      <c r="H74" s="47" t="s">
        <v>680</v>
      </c>
      <c r="I74" s="46" t="s">
        <v>511</v>
      </c>
      <c r="J74" s="47" t="s">
        <v>519</v>
      </c>
      <c r="K74" s="47" t="s">
        <v>519</v>
      </c>
      <c r="L74" s="47" t="s">
        <v>520</v>
      </c>
      <c r="M74" s="47" t="s">
        <v>514</v>
      </c>
      <c r="N74" s="47" t="s">
        <v>515</v>
      </c>
      <c r="O74" s="45" t="s">
        <v>371</v>
      </c>
      <c r="P74" s="44" t="s">
        <v>309</v>
      </c>
      <c r="Q74" s="59" t="str">
        <f>MID(Tabla1[[#This Row],[Aplicación]],14,1)</f>
        <v>2</v>
      </c>
      <c r="R74" s="35" t="s">
        <v>298</v>
      </c>
      <c r="S74" s="59" t="str">
        <f>MID(Tabla1[[#This Row],[Aplicación]],6,2)</f>
        <v>10</v>
      </c>
      <c r="T74" s="35" t="str">
        <f>VLOOKUP(Tabla1[[#This Row],[AREA]],Hoja1!A:B,2,FALSE)</f>
        <v>10. Servicios sociales y mediación comunitaria</v>
      </c>
      <c r="U74" s="35" t="str">
        <f>MID(Tabla1[[#This Row],[Aplicación]],9,4)</f>
        <v>2313</v>
      </c>
      <c r="V74" s="35" t="str">
        <f>VLOOKUP(Tabla1[[#This Row],[PROGRAMA]],Hoja1!A:B,2,FALSE)</f>
        <v>2313. Dirección del área de servicios sociales</v>
      </c>
      <c r="W74" s="56" t="str">
        <f>MID(Tabla1[[#This Row],[Aplicación]],14,2)</f>
        <v>21</v>
      </c>
      <c r="X74" s="56" t="str">
        <f>MID(Tabla1[[#This Row],[Aplicación]],14,6)</f>
        <v>213</v>
      </c>
    </row>
    <row r="75" spans="1:24" x14ac:dyDescent="0.25">
      <c r="A75" s="46">
        <v>220219001056</v>
      </c>
      <c r="B75" s="47" t="s">
        <v>507</v>
      </c>
      <c r="C75" s="52">
        <v>44927</v>
      </c>
      <c r="D75" s="46">
        <v>22023003255</v>
      </c>
      <c r="E75" s="47" t="s">
        <v>681</v>
      </c>
      <c r="F75" s="53">
        <v>2662</v>
      </c>
      <c r="G75" s="47" t="s">
        <v>592</v>
      </c>
      <c r="H75" s="47" t="s">
        <v>682</v>
      </c>
      <c r="I75" s="46" t="s">
        <v>511</v>
      </c>
      <c r="J75" s="47" t="s">
        <v>519</v>
      </c>
      <c r="K75" s="47" t="s">
        <v>519</v>
      </c>
      <c r="L75" s="47" t="s">
        <v>520</v>
      </c>
      <c r="M75" s="47" t="s">
        <v>514</v>
      </c>
      <c r="N75" s="47" t="s">
        <v>515</v>
      </c>
      <c r="O75" s="45" t="s">
        <v>371</v>
      </c>
      <c r="P75" s="44" t="s">
        <v>309</v>
      </c>
      <c r="Q75" s="59" t="str">
        <f>MID(Tabla1[[#This Row],[Aplicación]],14,1)</f>
        <v>2</v>
      </c>
      <c r="R75" s="35" t="s">
        <v>298</v>
      </c>
      <c r="S75" s="59" t="str">
        <f>MID(Tabla1[[#This Row],[Aplicación]],6,2)</f>
        <v>01</v>
      </c>
      <c r="T75" s="35" t="str">
        <f>VLOOKUP(Tabla1[[#This Row],[AREA]],Hoja1!A:B,2,FALSE)</f>
        <v>01. Alcaldía</v>
      </c>
      <c r="U75" s="35" t="str">
        <f>MID(Tabla1[[#This Row],[Aplicación]],9,4)</f>
        <v>9201</v>
      </c>
      <c r="V75" s="35" t="str">
        <f>VLOOKUP(Tabla1[[#This Row],[PROGRAMA]],Hoja1!A:B,2,FALSE)</f>
        <v>9201. Secretaría General</v>
      </c>
      <c r="W75" s="56" t="str">
        <f>MID(Tabla1[[#This Row],[Aplicación]],14,2)</f>
        <v>20</v>
      </c>
      <c r="X75" s="56" t="str">
        <f>MID(Tabla1[[#This Row],[Aplicación]],14,6)</f>
        <v>203</v>
      </c>
    </row>
    <row r="76" spans="1:24" x14ac:dyDescent="0.25">
      <c r="A76" s="46">
        <v>220219001057</v>
      </c>
      <c r="B76" s="47" t="s">
        <v>507</v>
      </c>
      <c r="C76" s="52">
        <v>44927</v>
      </c>
      <c r="D76" s="46">
        <v>22023003256</v>
      </c>
      <c r="E76" s="47" t="s">
        <v>683</v>
      </c>
      <c r="F76" s="53">
        <v>2204</v>
      </c>
      <c r="G76" s="47" t="s">
        <v>592</v>
      </c>
      <c r="H76" s="47" t="s">
        <v>684</v>
      </c>
      <c r="I76" s="46" t="s">
        <v>511</v>
      </c>
      <c r="J76" s="47" t="s">
        <v>519</v>
      </c>
      <c r="K76" s="47" t="s">
        <v>519</v>
      </c>
      <c r="L76" s="47" t="s">
        <v>520</v>
      </c>
      <c r="M76" s="47" t="s">
        <v>514</v>
      </c>
      <c r="N76" s="47" t="s">
        <v>515</v>
      </c>
      <c r="O76" s="45" t="s">
        <v>371</v>
      </c>
      <c r="P76" s="44" t="s">
        <v>309</v>
      </c>
      <c r="Q76" s="59" t="str">
        <f>MID(Tabla1[[#This Row],[Aplicación]],14,1)</f>
        <v>2</v>
      </c>
      <c r="R76" s="35" t="s">
        <v>298</v>
      </c>
      <c r="S76" s="59" t="str">
        <f>MID(Tabla1[[#This Row],[Aplicación]],6,2)</f>
        <v>01</v>
      </c>
      <c r="T76" s="35" t="str">
        <f>VLOOKUP(Tabla1[[#This Row],[AREA]],Hoja1!A:B,2,FALSE)</f>
        <v>01. Alcaldía</v>
      </c>
      <c r="U76" s="35" t="str">
        <f>MID(Tabla1[[#This Row],[Aplicación]],9,4)</f>
        <v>9201</v>
      </c>
      <c r="V76" s="35" t="str">
        <f>VLOOKUP(Tabla1[[#This Row],[PROGRAMA]],Hoja1!A:B,2,FALSE)</f>
        <v>9201. Secretaría General</v>
      </c>
      <c r="W76" s="56" t="str">
        <f>MID(Tabla1[[#This Row],[Aplicación]],14,2)</f>
        <v>21</v>
      </c>
      <c r="X76" s="56" t="str">
        <f>MID(Tabla1[[#This Row],[Aplicación]],14,6)</f>
        <v>213</v>
      </c>
    </row>
    <row r="77" spans="1:24" x14ac:dyDescent="0.25">
      <c r="A77" s="46">
        <v>220219001058</v>
      </c>
      <c r="B77" s="47" t="s">
        <v>507</v>
      </c>
      <c r="C77" s="52">
        <v>44927</v>
      </c>
      <c r="D77" s="46">
        <v>22023003285</v>
      </c>
      <c r="E77" s="47" t="s">
        <v>685</v>
      </c>
      <c r="F77" s="53">
        <v>1700</v>
      </c>
      <c r="G77" s="47" t="s">
        <v>592</v>
      </c>
      <c r="H77" s="47" t="s">
        <v>686</v>
      </c>
      <c r="I77" s="46" t="s">
        <v>511</v>
      </c>
      <c r="J77" s="47" t="s">
        <v>519</v>
      </c>
      <c r="K77" s="47" t="s">
        <v>519</v>
      </c>
      <c r="L77" s="47" t="s">
        <v>520</v>
      </c>
      <c r="M77" s="47" t="s">
        <v>514</v>
      </c>
      <c r="N77" s="47" t="s">
        <v>515</v>
      </c>
      <c r="O77" s="45" t="s">
        <v>371</v>
      </c>
      <c r="P77" s="44" t="s">
        <v>309</v>
      </c>
      <c r="Q77" s="59" t="str">
        <f>MID(Tabla1[[#This Row],[Aplicación]],14,1)</f>
        <v>2</v>
      </c>
      <c r="R77" s="35" t="s">
        <v>298</v>
      </c>
      <c r="S77" s="59" t="str">
        <f>MID(Tabla1[[#This Row],[Aplicación]],6,2)</f>
        <v>04</v>
      </c>
      <c r="T77" s="35" t="str">
        <f>VLOOKUP(Tabla1[[#This Row],[AREA]],Hoja1!A:B,2,FALSE)</f>
        <v>04. Planificación y recursos</v>
      </c>
      <c r="U77" s="35" t="str">
        <f>MID(Tabla1[[#This Row],[Aplicación]],9,4)</f>
        <v>9202</v>
      </c>
      <c r="V77" s="35" t="str">
        <f>VLOOKUP(Tabla1[[#This Row],[PROGRAMA]],Hoja1!A:B,2,FALSE)</f>
        <v>9202. Gestión de recursos humanos</v>
      </c>
      <c r="W77" s="56" t="str">
        <f>MID(Tabla1[[#This Row],[Aplicación]],14,2)</f>
        <v>20</v>
      </c>
      <c r="X77" s="56" t="str">
        <f>MID(Tabla1[[#This Row],[Aplicación]],14,6)</f>
        <v>203</v>
      </c>
    </row>
    <row r="78" spans="1:24" x14ac:dyDescent="0.25">
      <c r="A78" s="46">
        <v>220219001059</v>
      </c>
      <c r="B78" s="47" t="s">
        <v>507</v>
      </c>
      <c r="C78" s="52">
        <v>44927</v>
      </c>
      <c r="D78" s="46">
        <v>22023003286</v>
      </c>
      <c r="E78" s="47" t="s">
        <v>687</v>
      </c>
      <c r="F78" s="53">
        <v>2500</v>
      </c>
      <c r="G78" s="47" t="s">
        <v>592</v>
      </c>
      <c r="H78" s="47" t="s">
        <v>688</v>
      </c>
      <c r="I78" s="46" t="s">
        <v>511</v>
      </c>
      <c r="J78" s="47" t="s">
        <v>519</v>
      </c>
      <c r="K78" s="47" t="s">
        <v>519</v>
      </c>
      <c r="L78" s="47" t="s">
        <v>520</v>
      </c>
      <c r="M78" s="47" t="s">
        <v>514</v>
      </c>
      <c r="N78" s="47" t="s">
        <v>515</v>
      </c>
      <c r="O78" s="45" t="s">
        <v>371</v>
      </c>
      <c r="P78" s="44" t="s">
        <v>309</v>
      </c>
      <c r="Q78" s="59" t="str">
        <f>MID(Tabla1[[#This Row],[Aplicación]],14,1)</f>
        <v>2</v>
      </c>
      <c r="R78" s="35" t="s">
        <v>298</v>
      </c>
      <c r="S78" s="59" t="str">
        <f>MID(Tabla1[[#This Row],[Aplicación]],6,2)</f>
        <v>04</v>
      </c>
      <c r="T78" s="35" t="str">
        <f>VLOOKUP(Tabla1[[#This Row],[AREA]],Hoja1!A:B,2,FALSE)</f>
        <v>04. Planificación y recursos</v>
      </c>
      <c r="U78" s="35" t="str">
        <f>MID(Tabla1[[#This Row],[Aplicación]],9,4)</f>
        <v>9202</v>
      </c>
      <c r="V78" s="35" t="str">
        <f>VLOOKUP(Tabla1[[#This Row],[PROGRAMA]],Hoja1!A:B,2,FALSE)</f>
        <v>9202. Gestión de recursos humanos</v>
      </c>
      <c r="W78" s="56" t="str">
        <f>MID(Tabla1[[#This Row],[Aplicación]],14,2)</f>
        <v>21</v>
      </c>
      <c r="X78" s="56" t="str">
        <f>MID(Tabla1[[#This Row],[Aplicación]],14,6)</f>
        <v>213</v>
      </c>
    </row>
    <row r="79" spans="1:24" x14ac:dyDescent="0.25">
      <c r="A79" s="46">
        <v>220219001060</v>
      </c>
      <c r="B79" s="47" t="s">
        <v>507</v>
      </c>
      <c r="C79" s="52">
        <v>44927</v>
      </c>
      <c r="D79" s="46">
        <v>22023003284</v>
      </c>
      <c r="E79" s="47" t="s">
        <v>689</v>
      </c>
      <c r="F79" s="53">
        <v>1727.6</v>
      </c>
      <c r="G79" s="47" t="s">
        <v>592</v>
      </c>
      <c r="H79" s="47" t="s">
        <v>690</v>
      </c>
      <c r="I79" s="46" t="s">
        <v>511</v>
      </c>
      <c r="J79" s="47" t="s">
        <v>519</v>
      </c>
      <c r="K79" s="47" t="s">
        <v>519</v>
      </c>
      <c r="L79" s="47" t="s">
        <v>520</v>
      </c>
      <c r="M79" s="47" t="s">
        <v>514</v>
      </c>
      <c r="N79" s="47" t="s">
        <v>515</v>
      </c>
      <c r="O79" s="45" t="s">
        <v>371</v>
      </c>
      <c r="P79" s="44" t="s">
        <v>309</v>
      </c>
      <c r="Q79" s="59" t="str">
        <f>MID(Tabla1[[#This Row],[Aplicación]],14,1)</f>
        <v>2</v>
      </c>
      <c r="R79" s="35" t="s">
        <v>298</v>
      </c>
      <c r="S79" s="59" t="str">
        <f>MID(Tabla1[[#This Row],[Aplicación]],6,2)</f>
        <v>04</v>
      </c>
      <c r="T79" s="35" t="str">
        <f>VLOOKUP(Tabla1[[#This Row],[AREA]],Hoja1!A:B,2,FALSE)</f>
        <v>04. Planificación y recursos</v>
      </c>
      <c r="U79" s="35" t="str">
        <f>MID(Tabla1[[#This Row],[Aplicación]],9,4)</f>
        <v>3121</v>
      </c>
      <c r="V79" s="35" t="str">
        <f>VLOOKUP(Tabla1[[#This Row],[PROGRAMA]],Hoja1!A:B,2,FALSE)</f>
        <v>3121. Prevención y salud laboral</v>
      </c>
      <c r="W79" s="56" t="str">
        <f>MID(Tabla1[[#This Row],[Aplicación]],14,2)</f>
        <v>21</v>
      </c>
      <c r="X79" s="56" t="str">
        <f>MID(Tabla1[[#This Row],[Aplicación]],14,6)</f>
        <v>213</v>
      </c>
    </row>
    <row r="80" spans="1:24" x14ac:dyDescent="0.25">
      <c r="A80" s="46">
        <v>220219001061</v>
      </c>
      <c r="B80" s="47" t="s">
        <v>507</v>
      </c>
      <c r="C80" s="52">
        <v>44927</v>
      </c>
      <c r="D80" s="46">
        <v>22023003327</v>
      </c>
      <c r="E80" s="47" t="s">
        <v>691</v>
      </c>
      <c r="F80" s="53">
        <v>12350</v>
      </c>
      <c r="G80" s="47" t="s">
        <v>592</v>
      </c>
      <c r="H80" s="47" t="s">
        <v>692</v>
      </c>
      <c r="I80" s="46" t="s">
        <v>511</v>
      </c>
      <c r="J80" s="47" t="s">
        <v>519</v>
      </c>
      <c r="K80" s="47" t="s">
        <v>519</v>
      </c>
      <c r="L80" s="47" t="s">
        <v>520</v>
      </c>
      <c r="M80" s="47" t="s">
        <v>514</v>
      </c>
      <c r="N80" s="47" t="s">
        <v>515</v>
      </c>
      <c r="O80" s="45" t="s">
        <v>371</v>
      </c>
      <c r="P80" s="44" t="s">
        <v>309</v>
      </c>
      <c r="Q80" s="59" t="str">
        <f>MID(Tabla1[[#This Row],[Aplicación]],14,1)</f>
        <v>2</v>
      </c>
      <c r="R80" s="35" t="s">
        <v>298</v>
      </c>
      <c r="S80" s="59" t="str">
        <f>MID(Tabla1[[#This Row],[Aplicación]],6,2)</f>
        <v>07</v>
      </c>
      <c r="T80" s="35" t="str">
        <f>VLOOKUP(Tabla1[[#This Row],[AREA]],Hoja1!A:B,2,FALSE)</f>
        <v>07. Medio ambiente y desarrollo sostenible</v>
      </c>
      <c r="U80" s="35" t="str">
        <f>MID(Tabla1[[#This Row],[Aplicación]],9,4)</f>
        <v>1721</v>
      </c>
      <c r="V80" s="35" t="str">
        <f>VLOOKUP(Tabla1[[#This Row],[PROGRAMA]],Hoja1!A:B,2,FALSE)</f>
        <v>1721. Protección del medio ambiente</v>
      </c>
      <c r="W80" s="56" t="str">
        <f>MID(Tabla1[[#This Row],[Aplicación]],14,2)</f>
        <v>20</v>
      </c>
      <c r="X80" s="56" t="str">
        <f>MID(Tabla1[[#This Row],[Aplicación]],14,6)</f>
        <v>203</v>
      </c>
    </row>
    <row r="81" spans="1:24" x14ac:dyDescent="0.25">
      <c r="A81" s="46">
        <v>220219001064</v>
      </c>
      <c r="B81" s="47" t="s">
        <v>507</v>
      </c>
      <c r="C81" s="52">
        <v>44927</v>
      </c>
      <c r="D81" s="46">
        <v>22023003377</v>
      </c>
      <c r="E81" s="47" t="s">
        <v>693</v>
      </c>
      <c r="F81" s="53">
        <v>2090</v>
      </c>
      <c r="G81" s="47" t="s">
        <v>592</v>
      </c>
      <c r="H81" s="47" t="s">
        <v>694</v>
      </c>
      <c r="I81" s="46" t="s">
        <v>511</v>
      </c>
      <c r="J81" s="47" t="s">
        <v>519</v>
      </c>
      <c r="K81" s="47" t="s">
        <v>519</v>
      </c>
      <c r="L81" s="47" t="s">
        <v>552</v>
      </c>
      <c r="M81" s="47" t="s">
        <v>514</v>
      </c>
      <c r="N81" s="47" t="s">
        <v>515</v>
      </c>
      <c r="O81" s="45" t="s">
        <v>371</v>
      </c>
      <c r="P81" s="44" t="s">
        <v>309</v>
      </c>
      <c r="Q81" s="59" t="str">
        <f>MID(Tabla1[[#This Row],[Aplicación]],14,1)</f>
        <v>2</v>
      </c>
      <c r="R81" s="35" t="s">
        <v>298</v>
      </c>
      <c r="S81" s="59" t="str">
        <f>MID(Tabla1[[#This Row],[Aplicación]],6,2)</f>
        <v>11</v>
      </c>
      <c r="T81" s="35" t="str">
        <f>VLOOKUP(Tabla1[[#This Row],[AREA]],Hoja1!A:B,2,FALSE)</f>
        <v>11. Salud pública y seguridad ciudadana</v>
      </c>
      <c r="U81" s="35" t="str">
        <f>MID(Tabla1[[#This Row],[Aplicación]],9,4)</f>
        <v>1361</v>
      </c>
      <c r="V81" s="35" t="str">
        <f>VLOOKUP(Tabla1[[#This Row],[PROGRAMA]],Hoja1!A:B,2,FALSE)</f>
        <v>1361. Prevención y extinción de incencios</v>
      </c>
      <c r="W81" s="56" t="str">
        <f>MID(Tabla1[[#This Row],[Aplicación]],14,2)</f>
        <v>21</v>
      </c>
      <c r="X81" s="56" t="str">
        <f>MID(Tabla1[[#This Row],[Aplicación]],14,6)</f>
        <v>213</v>
      </c>
    </row>
    <row r="82" spans="1:24" x14ac:dyDescent="0.25">
      <c r="A82" s="46">
        <v>220230000153</v>
      </c>
      <c r="B82" s="47" t="s">
        <v>507</v>
      </c>
      <c r="C82" s="52">
        <v>44927</v>
      </c>
      <c r="D82" s="46">
        <v>22023000785</v>
      </c>
      <c r="E82" s="47" t="s">
        <v>695</v>
      </c>
      <c r="F82" s="53">
        <v>415981.2</v>
      </c>
      <c r="G82" s="47" t="s">
        <v>696</v>
      </c>
      <c r="H82" s="47" t="s">
        <v>697</v>
      </c>
      <c r="I82" s="46" t="s">
        <v>511</v>
      </c>
      <c r="J82" s="47" t="s">
        <v>512</v>
      </c>
      <c r="K82" s="47" t="s">
        <v>512</v>
      </c>
      <c r="L82" s="47" t="s">
        <v>520</v>
      </c>
      <c r="M82" s="47" t="s">
        <v>514</v>
      </c>
      <c r="N82" s="47" t="s">
        <v>515</v>
      </c>
      <c r="O82" s="45" t="s">
        <v>371</v>
      </c>
      <c r="P82" s="44" t="s">
        <v>309</v>
      </c>
      <c r="Q82" s="59" t="str">
        <f>MID(Tabla1[[#This Row],[Aplicación]],14,1)</f>
        <v>2</v>
      </c>
      <c r="R82" s="35" t="s">
        <v>298</v>
      </c>
      <c r="S82" s="59" t="str">
        <f>MID(Tabla1[[#This Row],[Aplicación]],6,2)</f>
        <v>04</v>
      </c>
      <c r="T82" s="35" t="str">
        <f>VLOOKUP(Tabla1[[#This Row],[AREA]],Hoja1!A:B,2,FALSE)</f>
        <v>04. Planificación y recursos</v>
      </c>
      <c r="U82" s="35" t="str">
        <f>MID(Tabla1[[#This Row],[Aplicación]],9,4)</f>
        <v>9204</v>
      </c>
      <c r="V82" s="35" t="str">
        <f>VLOOKUP(Tabla1[[#This Row],[PROGRAMA]],Hoja1!A:B,2,FALSE)</f>
        <v>9204. Tecnologías de la información y comunicación</v>
      </c>
      <c r="W82" s="56" t="str">
        <f>MID(Tabla1[[#This Row],[Aplicación]],14,2)</f>
        <v>22</v>
      </c>
      <c r="X82" s="56" t="str">
        <f>MID(Tabla1[[#This Row],[Aplicación]],14,6)</f>
        <v>22200</v>
      </c>
    </row>
    <row r="83" spans="1:24" x14ac:dyDescent="0.25">
      <c r="A83" s="46">
        <v>220199000334</v>
      </c>
      <c r="B83" s="47" t="s">
        <v>507</v>
      </c>
      <c r="C83" s="52">
        <v>44927</v>
      </c>
      <c r="D83" s="46">
        <v>22023003336</v>
      </c>
      <c r="E83" s="47" t="s">
        <v>508</v>
      </c>
      <c r="F83" s="53">
        <v>406016.97</v>
      </c>
      <c r="G83" s="47" t="s">
        <v>509</v>
      </c>
      <c r="H83" s="47" t="s">
        <v>698</v>
      </c>
      <c r="I83" s="46" t="s">
        <v>511</v>
      </c>
      <c r="J83" s="47" t="s">
        <v>512</v>
      </c>
      <c r="K83" s="47" t="s">
        <v>512</v>
      </c>
      <c r="L83" s="47" t="s">
        <v>513</v>
      </c>
      <c r="M83" s="47" t="s">
        <v>514</v>
      </c>
      <c r="N83" s="47" t="s">
        <v>515</v>
      </c>
      <c r="O83" s="45" t="s">
        <v>371</v>
      </c>
      <c r="P83" s="44" t="s">
        <v>309</v>
      </c>
      <c r="Q83" s="59" t="str">
        <f>MID(Tabla1[[#This Row],[Aplicación]],14,1)</f>
        <v>2</v>
      </c>
      <c r="R83" s="35" t="s">
        <v>298</v>
      </c>
      <c r="S83" s="59" t="str">
        <f>MID(Tabla1[[#This Row],[Aplicación]],6,2)</f>
        <v>08</v>
      </c>
      <c r="T83" s="35" t="str">
        <f>VLOOKUP(Tabla1[[#This Row],[AREA]],Hoja1!A:B,2,FALSE)</f>
        <v>08. Movilidad y espacio urbano</v>
      </c>
      <c r="U83" s="56" t="str">
        <f>MID(Tabla1[[#This Row],[Aplicación]],9,4)</f>
        <v>1341</v>
      </c>
      <c r="V83" s="35" t="str">
        <f>VLOOKUP(Tabla1[[#This Row],[PROGRAMA]],Hoja1!A:B,2,FALSE)</f>
        <v>1341. Movilidad</v>
      </c>
      <c r="W83" s="56" t="str">
        <f>MID(Tabla1[[#This Row],[Aplicación]],14,2)</f>
        <v>22</v>
      </c>
      <c r="X83" s="56" t="str">
        <f>MID(Tabla1[[#This Row],[Aplicación]],14,6)</f>
        <v>22799</v>
      </c>
    </row>
    <row r="84" spans="1:24" x14ac:dyDescent="0.25">
      <c r="A84" s="46">
        <v>220229000752</v>
      </c>
      <c r="B84" s="47" t="s">
        <v>507</v>
      </c>
      <c r="C84" s="52">
        <v>44927</v>
      </c>
      <c r="D84" s="46">
        <v>22023000750</v>
      </c>
      <c r="E84" s="47" t="s">
        <v>699</v>
      </c>
      <c r="F84" s="53">
        <v>405540.64</v>
      </c>
      <c r="G84" s="47" t="s">
        <v>53</v>
      </c>
      <c r="H84" s="47" t="s">
        <v>700</v>
      </c>
      <c r="I84" s="46" t="s">
        <v>511</v>
      </c>
      <c r="J84" s="47" t="s">
        <v>519</v>
      </c>
      <c r="K84" s="47" t="s">
        <v>519</v>
      </c>
      <c r="L84" s="47" t="s">
        <v>520</v>
      </c>
      <c r="M84" s="47" t="s">
        <v>514</v>
      </c>
      <c r="N84" s="47" t="s">
        <v>515</v>
      </c>
      <c r="O84" s="45" t="s">
        <v>371</v>
      </c>
      <c r="P84" s="44" t="s">
        <v>309</v>
      </c>
      <c r="Q84" s="59" t="str">
        <f>MID(Tabla1[[#This Row],[Aplicación]],14,1)</f>
        <v>2</v>
      </c>
      <c r="R84" s="35" t="s">
        <v>298</v>
      </c>
      <c r="S84" s="59" t="str">
        <f>MID(Tabla1[[#This Row],[Aplicación]],6,2)</f>
        <v>03</v>
      </c>
      <c r="T84" s="35" t="str">
        <f>VLOOKUP(Tabla1[[#This Row],[AREA]],Hoja1!A:B,2,FALSE)</f>
        <v>03. Participación ciudadana y deportes</v>
      </c>
      <c r="U84" s="35" t="str">
        <f>MID(Tabla1[[#This Row],[Aplicación]],9,4)</f>
        <v>9241</v>
      </c>
      <c r="V84" s="35" t="str">
        <f>VLOOKUP(Tabla1[[#This Row],[PROGRAMA]],Hoja1!A:B,2,FALSE)</f>
        <v>9241. Participación ciudadana</v>
      </c>
      <c r="W84" s="56" t="str">
        <f>MID(Tabla1[[#This Row],[Aplicación]],14,2)</f>
        <v>22</v>
      </c>
      <c r="X84" s="56" t="str">
        <f>MID(Tabla1[[#This Row],[Aplicación]],14,6)</f>
        <v>22700</v>
      </c>
    </row>
    <row r="85" spans="1:24" x14ac:dyDescent="0.25">
      <c r="A85" s="46">
        <v>220229000169</v>
      </c>
      <c r="B85" s="47" t="s">
        <v>507</v>
      </c>
      <c r="C85" s="52">
        <v>44927</v>
      </c>
      <c r="D85" s="46">
        <v>22023001919</v>
      </c>
      <c r="E85" s="47" t="s">
        <v>578</v>
      </c>
      <c r="F85" s="53">
        <v>404960</v>
      </c>
      <c r="G85" s="47" t="s">
        <v>701</v>
      </c>
      <c r="H85" s="47" t="s">
        <v>702</v>
      </c>
      <c r="I85" s="46" t="s">
        <v>511</v>
      </c>
      <c r="J85" s="47" t="s">
        <v>519</v>
      </c>
      <c r="K85" s="47" t="s">
        <v>519</v>
      </c>
      <c r="L85" s="47" t="s">
        <v>520</v>
      </c>
      <c r="M85" s="47" t="s">
        <v>514</v>
      </c>
      <c r="N85" s="47" t="s">
        <v>515</v>
      </c>
      <c r="O85" s="45" t="s">
        <v>371</v>
      </c>
      <c r="P85" s="44" t="s">
        <v>309</v>
      </c>
      <c r="Q85" s="59" t="str">
        <f>MID(Tabla1[[#This Row],[Aplicación]],14,1)</f>
        <v>2</v>
      </c>
      <c r="R85" s="35" t="s">
        <v>298</v>
      </c>
      <c r="S85" s="59" t="str">
        <f>MID(Tabla1[[#This Row],[Aplicación]],6,2)</f>
        <v>06</v>
      </c>
      <c r="T85" s="35" t="str">
        <f>VLOOKUP(Tabla1[[#This Row],[AREA]],Hoja1!A:B,2,FALSE)</f>
        <v>06. Educación, infancia, juventud e igualdad</v>
      </c>
      <c r="U85" s="35" t="str">
        <f>MID(Tabla1[[#This Row],[Aplicación]],9,4)</f>
        <v>3231</v>
      </c>
      <c r="V85" s="35" t="str">
        <f>VLOOKUP(Tabla1[[#This Row],[PROGRAMA]],Hoja1!A:B,2,FALSE)</f>
        <v>3231. Escuelas infantiles</v>
      </c>
      <c r="W85" s="56" t="str">
        <f>MID(Tabla1[[#This Row],[Aplicación]],14,2)</f>
        <v>22</v>
      </c>
      <c r="X85" s="56" t="str">
        <f>MID(Tabla1[[#This Row],[Aplicación]],14,6)</f>
        <v>22799</v>
      </c>
    </row>
    <row r="86" spans="1:24" x14ac:dyDescent="0.25">
      <c r="A86" s="46">
        <v>220229000165</v>
      </c>
      <c r="B86" s="47" t="s">
        <v>507</v>
      </c>
      <c r="C86" s="52">
        <v>44927</v>
      </c>
      <c r="D86" s="46">
        <v>22023000910</v>
      </c>
      <c r="E86" s="47" t="s">
        <v>578</v>
      </c>
      <c r="F86" s="53">
        <v>385000</v>
      </c>
      <c r="G86" s="47" t="s">
        <v>579</v>
      </c>
      <c r="H86" s="47" t="s">
        <v>703</v>
      </c>
      <c r="I86" s="46" t="s">
        <v>511</v>
      </c>
      <c r="J86" s="47" t="s">
        <v>519</v>
      </c>
      <c r="K86" s="47" t="s">
        <v>519</v>
      </c>
      <c r="L86" s="47" t="s">
        <v>520</v>
      </c>
      <c r="M86" s="47" t="s">
        <v>514</v>
      </c>
      <c r="N86" s="47" t="s">
        <v>515</v>
      </c>
      <c r="O86" s="45" t="s">
        <v>371</v>
      </c>
      <c r="P86" s="44" t="s">
        <v>309</v>
      </c>
      <c r="Q86" s="59" t="str">
        <f>MID(Tabla1[[#This Row],[Aplicación]],14,1)</f>
        <v>2</v>
      </c>
      <c r="R86" s="35" t="s">
        <v>298</v>
      </c>
      <c r="S86" s="59" t="str">
        <f>MID(Tabla1[[#This Row],[Aplicación]],6,2)</f>
        <v>06</v>
      </c>
      <c r="T86" s="35" t="str">
        <f>VLOOKUP(Tabla1[[#This Row],[AREA]],Hoja1!A:B,2,FALSE)</f>
        <v>06. Educación, infancia, juventud e igualdad</v>
      </c>
      <c r="U86" s="35" t="str">
        <f>MID(Tabla1[[#This Row],[Aplicación]],9,4)</f>
        <v>3231</v>
      </c>
      <c r="V86" s="35" t="str">
        <f>VLOOKUP(Tabla1[[#This Row],[PROGRAMA]],Hoja1!A:B,2,FALSE)</f>
        <v>3231. Escuelas infantiles</v>
      </c>
      <c r="W86" s="56" t="str">
        <f>MID(Tabla1[[#This Row],[Aplicación]],14,2)</f>
        <v>22</v>
      </c>
      <c r="X86" s="56" t="str">
        <f>MID(Tabla1[[#This Row],[Aplicación]],14,6)</f>
        <v>22799</v>
      </c>
    </row>
    <row r="87" spans="1:24" x14ac:dyDescent="0.25">
      <c r="A87" s="46">
        <v>220229000380</v>
      </c>
      <c r="B87" s="47" t="s">
        <v>507</v>
      </c>
      <c r="C87" s="52">
        <v>44927</v>
      </c>
      <c r="D87" s="46">
        <v>22023000454</v>
      </c>
      <c r="E87" s="47" t="s">
        <v>704</v>
      </c>
      <c r="F87" s="53">
        <v>377520</v>
      </c>
      <c r="G87" s="47" t="s">
        <v>705</v>
      </c>
      <c r="H87" s="47" t="s">
        <v>706</v>
      </c>
      <c r="I87" s="46" t="s">
        <v>511</v>
      </c>
      <c r="J87" s="47" t="s">
        <v>707</v>
      </c>
      <c r="K87" s="47" t="s">
        <v>708</v>
      </c>
      <c r="L87" s="47" t="s">
        <v>520</v>
      </c>
      <c r="M87" s="47" t="s">
        <v>514</v>
      </c>
      <c r="N87" s="47" t="s">
        <v>515</v>
      </c>
      <c r="O87" s="45" t="s">
        <v>371</v>
      </c>
      <c r="P87" s="44" t="s">
        <v>309</v>
      </c>
      <c r="Q87" s="59" t="str">
        <f>MID(Tabla1[[#This Row],[Aplicación]],14,1)</f>
        <v>2</v>
      </c>
      <c r="R87" s="35" t="s">
        <v>298</v>
      </c>
      <c r="S87" s="59" t="str">
        <f>MID(Tabla1[[#This Row],[Aplicación]],6,2)</f>
        <v>11</v>
      </c>
      <c r="T87" s="35" t="str">
        <f>VLOOKUP(Tabla1[[#This Row],[AREA]],Hoja1!A:B,2,FALSE)</f>
        <v>11. Salud pública y seguridad ciudadana</v>
      </c>
      <c r="U87" s="35" t="str">
        <f>MID(Tabla1[[#This Row],[Aplicación]],9,4)</f>
        <v>1321</v>
      </c>
      <c r="V87" s="35" t="str">
        <f>VLOOKUP(Tabla1[[#This Row],[PROGRAMA]],Hoja1!A:B,2,FALSE)</f>
        <v>1321. Policía municipal</v>
      </c>
      <c r="W87" s="56" t="str">
        <f>MID(Tabla1[[#This Row],[Aplicación]],14,2)</f>
        <v>22</v>
      </c>
      <c r="X87" s="56" t="str">
        <f>MID(Tabla1[[#This Row],[Aplicación]],14,6)</f>
        <v>22799</v>
      </c>
    </row>
    <row r="88" spans="1:24" x14ac:dyDescent="0.25">
      <c r="A88" s="46">
        <v>220229000404</v>
      </c>
      <c r="B88" s="47" t="s">
        <v>507</v>
      </c>
      <c r="C88" s="52">
        <v>44927</v>
      </c>
      <c r="D88" s="46">
        <v>22023001176</v>
      </c>
      <c r="E88" s="47" t="s">
        <v>709</v>
      </c>
      <c r="F88" s="53">
        <v>361130.59</v>
      </c>
      <c r="G88" s="47" t="s">
        <v>530</v>
      </c>
      <c r="H88" s="47" t="s">
        <v>710</v>
      </c>
      <c r="I88" s="46" t="s">
        <v>511</v>
      </c>
      <c r="J88" s="47" t="s">
        <v>532</v>
      </c>
      <c r="K88" s="47" t="s">
        <v>512</v>
      </c>
      <c r="L88" s="47" t="s">
        <v>520</v>
      </c>
      <c r="M88" s="47" t="s">
        <v>514</v>
      </c>
      <c r="N88" s="47" t="s">
        <v>515</v>
      </c>
      <c r="O88" s="45" t="s">
        <v>371</v>
      </c>
      <c r="P88" s="44" t="s">
        <v>309</v>
      </c>
      <c r="Q88" s="59" t="str">
        <f>MID(Tabla1[[#This Row],[Aplicación]],14,1)</f>
        <v>2</v>
      </c>
      <c r="R88" s="35" t="s">
        <v>298</v>
      </c>
      <c r="S88" s="59" t="str">
        <f>MID(Tabla1[[#This Row],[Aplicación]],6,2)</f>
        <v>07</v>
      </c>
      <c r="T88" s="35" t="str">
        <f>VLOOKUP(Tabla1[[#This Row],[AREA]],Hoja1!A:B,2,FALSE)</f>
        <v>07. Medio ambiente y desarrollo sostenible</v>
      </c>
      <c r="U88" s="35" t="str">
        <f>MID(Tabla1[[#This Row],[Aplicación]],9,4)</f>
        <v>1711</v>
      </c>
      <c r="V88" s="35" t="str">
        <f>VLOOKUP(Tabla1[[#This Row],[PROGRAMA]],Hoja1!A:B,2,FALSE)</f>
        <v>1711. Parques y jardines</v>
      </c>
      <c r="W88" s="56" t="str">
        <f>MID(Tabla1[[#This Row],[Aplicación]],14,2)</f>
        <v>22</v>
      </c>
      <c r="X88" s="56" t="str">
        <f>MID(Tabla1[[#This Row],[Aplicación]],14,6)</f>
        <v>22799</v>
      </c>
    </row>
    <row r="89" spans="1:24" x14ac:dyDescent="0.25">
      <c r="A89" s="46">
        <v>220229000257</v>
      </c>
      <c r="B89" s="47" t="s">
        <v>507</v>
      </c>
      <c r="C89" s="52">
        <v>44927</v>
      </c>
      <c r="D89" s="46">
        <v>22023001637</v>
      </c>
      <c r="E89" s="47" t="s">
        <v>711</v>
      </c>
      <c r="F89" s="53">
        <v>359516.41</v>
      </c>
      <c r="G89" s="47" t="s">
        <v>712</v>
      </c>
      <c r="H89" s="47" t="s">
        <v>713</v>
      </c>
      <c r="I89" s="46" t="s">
        <v>511</v>
      </c>
      <c r="J89" s="47" t="s">
        <v>512</v>
      </c>
      <c r="K89" s="47" t="s">
        <v>512</v>
      </c>
      <c r="L89" s="47" t="s">
        <v>520</v>
      </c>
      <c r="M89" s="47" t="s">
        <v>514</v>
      </c>
      <c r="N89" s="47" t="s">
        <v>515</v>
      </c>
      <c r="O89" s="54" t="s">
        <v>371</v>
      </c>
      <c r="P89" s="44" t="s">
        <v>309</v>
      </c>
      <c r="Q89" s="59" t="str">
        <f>MID(Tabla1[[#This Row],[Aplicación]],14,1)</f>
        <v>6</v>
      </c>
      <c r="R89" s="35" t="s">
        <v>299</v>
      </c>
      <c r="S89" s="59" t="str">
        <f>MID(Tabla1[[#This Row],[Aplicación]],6,2)</f>
        <v>04</v>
      </c>
      <c r="T89" s="35" t="str">
        <f>VLOOKUP(Tabla1[[#This Row],[AREA]],Hoja1!A:B,2,FALSE)</f>
        <v>04. Planificación y recursos</v>
      </c>
      <c r="U89" s="35" t="str">
        <f>MID(Tabla1[[#This Row],[Aplicación]],9,4)</f>
        <v>9204</v>
      </c>
      <c r="V89" s="35" t="str">
        <f>VLOOKUP(Tabla1[[#This Row],[PROGRAMA]],Hoja1!A:B,2,FALSE)</f>
        <v>9204. Tecnologías de la información y comunicación</v>
      </c>
      <c r="W89" s="56" t="str">
        <f>MID(Tabla1[[#This Row],[Aplicación]],14,2)</f>
        <v>63</v>
      </c>
      <c r="X89" s="56" t="str">
        <f>MID(Tabla1[[#This Row],[Aplicación]],14,6)</f>
        <v>636</v>
      </c>
    </row>
    <row r="90" spans="1:24" x14ac:dyDescent="0.25">
      <c r="A90" s="46">
        <v>220230000189</v>
      </c>
      <c r="B90" s="47" t="s">
        <v>507</v>
      </c>
      <c r="C90" s="52">
        <v>44927</v>
      </c>
      <c r="D90" s="46">
        <v>22023000824</v>
      </c>
      <c r="E90" s="47" t="s">
        <v>714</v>
      </c>
      <c r="F90" s="53">
        <v>343283.85</v>
      </c>
      <c r="G90" s="47" t="s">
        <v>83</v>
      </c>
      <c r="H90" s="47" t="s">
        <v>715</v>
      </c>
      <c r="I90" s="46" t="s">
        <v>511</v>
      </c>
      <c r="J90" s="47" t="s">
        <v>716</v>
      </c>
      <c r="K90" s="47" t="s">
        <v>717</v>
      </c>
      <c r="L90" s="47" t="s">
        <v>520</v>
      </c>
      <c r="M90" s="47" t="s">
        <v>514</v>
      </c>
      <c r="N90" s="47" t="s">
        <v>515</v>
      </c>
      <c r="O90" s="54" t="s">
        <v>371</v>
      </c>
      <c r="P90" s="44" t="s">
        <v>309</v>
      </c>
      <c r="Q90" s="59" t="str">
        <f>MID(Tabla1[[#This Row],[Aplicación]],14,1)</f>
        <v>6</v>
      </c>
      <c r="R90" s="35" t="s">
        <v>299</v>
      </c>
      <c r="S90" s="59" t="str">
        <f>MID(Tabla1[[#This Row],[Aplicación]],6,2)</f>
        <v>07</v>
      </c>
      <c r="T90" s="35" t="str">
        <f>VLOOKUP(Tabla1[[#This Row],[AREA]],Hoja1!A:B,2,FALSE)</f>
        <v>07. Medio ambiente y desarrollo sostenible</v>
      </c>
      <c r="U90" s="35" t="str">
        <f>MID(Tabla1[[#This Row],[Aplicación]],9,4)</f>
        <v>1721</v>
      </c>
      <c r="V90" s="35" t="str">
        <f>VLOOKUP(Tabla1[[#This Row],[PROGRAMA]],Hoja1!A:B,2,FALSE)</f>
        <v>1721. Protección del medio ambiente</v>
      </c>
      <c r="W90" s="56" t="str">
        <f>MID(Tabla1[[#This Row],[Aplicación]],14,2)</f>
        <v>63</v>
      </c>
      <c r="X90" s="56" t="str">
        <f>MID(Tabla1[[#This Row],[Aplicación]],14,6)</f>
        <v>633</v>
      </c>
    </row>
    <row r="91" spans="1:24" x14ac:dyDescent="0.25">
      <c r="A91" s="46">
        <v>220229000394</v>
      </c>
      <c r="B91" s="47" t="s">
        <v>507</v>
      </c>
      <c r="C91" s="52">
        <v>44927</v>
      </c>
      <c r="D91" s="46">
        <v>22023001170</v>
      </c>
      <c r="E91" s="47" t="s">
        <v>533</v>
      </c>
      <c r="F91" s="53">
        <v>320833.32</v>
      </c>
      <c r="G91" s="47" t="s">
        <v>80</v>
      </c>
      <c r="H91" s="47" t="s">
        <v>718</v>
      </c>
      <c r="I91" s="46" t="s">
        <v>511</v>
      </c>
      <c r="J91" s="47" t="s">
        <v>519</v>
      </c>
      <c r="K91" s="47" t="s">
        <v>519</v>
      </c>
      <c r="L91" s="47" t="s">
        <v>527</v>
      </c>
      <c r="M91" s="47" t="s">
        <v>514</v>
      </c>
      <c r="N91" s="47" t="s">
        <v>515</v>
      </c>
      <c r="O91" s="54" t="s">
        <v>371</v>
      </c>
      <c r="P91" s="44" t="s">
        <v>309</v>
      </c>
      <c r="Q91" s="59" t="str">
        <f>MID(Tabla1[[#This Row],[Aplicación]],14,1)</f>
        <v>6</v>
      </c>
      <c r="R91" s="35" t="s">
        <v>299</v>
      </c>
      <c r="S91" s="59" t="str">
        <f>MID(Tabla1[[#This Row],[Aplicación]],6,2)</f>
        <v>08</v>
      </c>
      <c r="T91" s="35" t="str">
        <f>VLOOKUP(Tabla1[[#This Row],[AREA]],Hoja1!A:B,2,FALSE)</f>
        <v>08. Movilidad y espacio urbano</v>
      </c>
      <c r="U91" s="56" t="str">
        <f>MID(Tabla1[[#This Row],[Aplicación]],9,4)</f>
        <v>1341</v>
      </c>
      <c r="V91" s="35" t="str">
        <f>VLOOKUP(Tabla1[[#This Row],[PROGRAMA]],Hoja1!A:B,2,FALSE)</f>
        <v>1341. Movilidad</v>
      </c>
      <c r="W91" s="56" t="str">
        <f>MID(Tabla1[[#This Row],[Aplicación]],14,2)</f>
        <v>61</v>
      </c>
      <c r="X91" s="56" t="str">
        <f>MID(Tabla1[[#This Row],[Aplicación]],14,6)</f>
        <v>619</v>
      </c>
    </row>
    <row r="92" spans="1:24" x14ac:dyDescent="0.25">
      <c r="A92" s="46">
        <v>220230000222</v>
      </c>
      <c r="B92" s="47" t="s">
        <v>507</v>
      </c>
      <c r="C92" s="52">
        <v>44927</v>
      </c>
      <c r="D92" s="46">
        <v>22023001363</v>
      </c>
      <c r="E92" s="47" t="s">
        <v>711</v>
      </c>
      <c r="F92" s="53">
        <v>315865.38</v>
      </c>
      <c r="G92" s="47" t="s">
        <v>719</v>
      </c>
      <c r="H92" s="47" t="s">
        <v>720</v>
      </c>
      <c r="I92" s="46" t="s">
        <v>511</v>
      </c>
      <c r="J92" s="47" t="s">
        <v>512</v>
      </c>
      <c r="K92" s="47" t="s">
        <v>512</v>
      </c>
      <c r="L92" s="47" t="s">
        <v>520</v>
      </c>
      <c r="M92" s="47" t="s">
        <v>514</v>
      </c>
      <c r="N92" s="47" t="s">
        <v>515</v>
      </c>
      <c r="O92" s="54" t="s">
        <v>371</v>
      </c>
      <c r="P92" s="44" t="s">
        <v>309</v>
      </c>
      <c r="Q92" s="59" t="str">
        <f>MID(Tabla1[[#This Row],[Aplicación]],14,1)</f>
        <v>6</v>
      </c>
      <c r="R92" s="35" t="s">
        <v>299</v>
      </c>
      <c r="S92" s="59" t="str">
        <f>MID(Tabla1[[#This Row],[Aplicación]],6,2)</f>
        <v>04</v>
      </c>
      <c r="T92" s="35" t="str">
        <f>VLOOKUP(Tabla1[[#This Row],[AREA]],Hoja1!A:B,2,FALSE)</f>
        <v>04. Planificación y recursos</v>
      </c>
      <c r="U92" s="35" t="str">
        <f>MID(Tabla1[[#This Row],[Aplicación]],9,4)</f>
        <v>9204</v>
      </c>
      <c r="V92" s="35" t="str">
        <f>VLOOKUP(Tabla1[[#This Row],[PROGRAMA]],Hoja1!A:B,2,FALSE)</f>
        <v>9204. Tecnologías de la información y comunicación</v>
      </c>
      <c r="W92" s="56" t="str">
        <f>MID(Tabla1[[#This Row],[Aplicación]],14,2)</f>
        <v>63</v>
      </c>
      <c r="X92" s="56" t="str">
        <f>MID(Tabla1[[#This Row],[Aplicación]],14,6)</f>
        <v>636</v>
      </c>
    </row>
    <row r="93" spans="1:24" x14ac:dyDescent="0.25">
      <c r="A93" s="46">
        <v>220229000785</v>
      </c>
      <c r="B93" s="47" t="s">
        <v>507</v>
      </c>
      <c r="C93" s="52">
        <v>44927</v>
      </c>
      <c r="D93" s="46">
        <v>22023001867</v>
      </c>
      <c r="E93" s="47" t="s">
        <v>516</v>
      </c>
      <c r="F93" s="53">
        <v>310000</v>
      </c>
      <c r="G93" s="47" t="s">
        <v>570</v>
      </c>
      <c r="H93" s="47" t="s">
        <v>721</v>
      </c>
      <c r="I93" s="46" t="s">
        <v>511</v>
      </c>
      <c r="J93" s="47" t="s">
        <v>572</v>
      </c>
      <c r="K93" s="47" t="s">
        <v>573</v>
      </c>
      <c r="L93" s="47" t="s">
        <v>520</v>
      </c>
      <c r="M93" s="47" t="s">
        <v>514</v>
      </c>
      <c r="N93" s="47" t="s">
        <v>515</v>
      </c>
      <c r="O93" s="45" t="s">
        <v>371</v>
      </c>
      <c r="P93" s="44" t="s">
        <v>309</v>
      </c>
      <c r="Q93" s="59" t="str">
        <f>MID(Tabla1[[#This Row],[Aplicación]],14,1)</f>
        <v>2</v>
      </c>
      <c r="R93" s="35" t="s">
        <v>298</v>
      </c>
      <c r="S93" s="59" t="str">
        <f>MID(Tabla1[[#This Row],[Aplicación]],6,2)</f>
        <v>10</v>
      </c>
      <c r="T93" s="35" t="str">
        <f>VLOOKUP(Tabla1[[#This Row],[AREA]],Hoja1!A:B,2,FALSE)</f>
        <v>10. Servicios sociales y mediación comunitaria</v>
      </c>
      <c r="U93" s="35" t="str">
        <f>MID(Tabla1[[#This Row],[Aplicación]],9,4)</f>
        <v>2311</v>
      </c>
      <c r="V93" s="35" t="str">
        <f>VLOOKUP(Tabla1[[#This Row],[PROGRAMA]],Hoja1!A:B,2,FALSE)</f>
        <v>2311. Intervención social</v>
      </c>
      <c r="W93" s="56" t="str">
        <f>MID(Tabla1[[#This Row],[Aplicación]],14,2)</f>
        <v>22</v>
      </c>
      <c r="X93" s="56" t="str">
        <f>MID(Tabla1[[#This Row],[Aplicación]],14,6)</f>
        <v>22799</v>
      </c>
    </row>
    <row r="94" spans="1:24" x14ac:dyDescent="0.25">
      <c r="A94" s="46">
        <v>220229000839</v>
      </c>
      <c r="B94" s="47" t="s">
        <v>507</v>
      </c>
      <c r="C94" s="52">
        <v>44927</v>
      </c>
      <c r="D94" s="46">
        <v>22023001899</v>
      </c>
      <c r="E94" s="47" t="s">
        <v>722</v>
      </c>
      <c r="F94" s="53">
        <v>305083.90000000002</v>
      </c>
      <c r="G94" s="47" t="s">
        <v>575</v>
      </c>
      <c r="H94" s="47" t="s">
        <v>723</v>
      </c>
      <c r="I94" s="46" t="s">
        <v>511</v>
      </c>
      <c r="J94" s="47" t="s">
        <v>512</v>
      </c>
      <c r="K94" s="47" t="s">
        <v>512</v>
      </c>
      <c r="L94" s="47" t="s">
        <v>520</v>
      </c>
      <c r="M94" s="47" t="s">
        <v>514</v>
      </c>
      <c r="N94" s="47" t="s">
        <v>515</v>
      </c>
      <c r="O94" s="45" t="s">
        <v>371</v>
      </c>
      <c r="P94" s="44" t="s">
        <v>309</v>
      </c>
      <c r="Q94" s="59" t="str">
        <f>MID(Tabla1[[#This Row],[Aplicación]],14,1)</f>
        <v>2</v>
      </c>
      <c r="R94" s="35" t="s">
        <v>298</v>
      </c>
      <c r="S94" s="59" t="str">
        <f>MID(Tabla1[[#This Row],[Aplicación]],6,2)</f>
        <v>11</v>
      </c>
      <c r="T94" s="35" t="str">
        <f>VLOOKUP(Tabla1[[#This Row],[AREA]],Hoja1!A:B,2,FALSE)</f>
        <v>11. Salud pública y seguridad ciudadana</v>
      </c>
      <c r="U94" s="35" t="str">
        <f>MID(Tabla1[[#This Row],[Aplicación]],9,4)</f>
        <v>1621</v>
      </c>
      <c r="V94" s="35" t="str">
        <f>VLOOKUP(Tabla1[[#This Row],[PROGRAMA]],Hoja1!A:B,2,FALSE)</f>
        <v>1621. Servicio de limpieza</v>
      </c>
      <c r="W94" s="56" t="str">
        <f>MID(Tabla1[[#This Row],[Aplicación]],14,2)</f>
        <v>22</v>
      </c>
      <c r="X94" s="56" t="str">
        <f>MID(Tabla1[[#This Row],[Aplicación]],14,6)</f>
        <v>22799</v>
      </c>
    </row>
    <row r="95" spans="1:24" x14ac:dyDescent="0.25">
      <c r="A95" s="46">
        <v>220229000166</v>
      </c>
      <c r="B95" s="47" t="s">
        <v>507</v>
      </c>
      <c r="C95" s="52">
        <v>44927</v>
      </c>
      <c r="D95" s="46">
        <v>22023000911</v>
      </c>
      <c r="E95" s="47" t="s">
        <v>578</v>
      </c>
      <c r="F95" s="53">
        <v>294720</v>
      </c>
      <c r="G95" s="47" t="s">
        <v>724</v>
      </c>
      <c r="H95" s="47" t="s">
        <v>725</v>
      </c>
      <c r="I95" s="46" t="s">
        <v>511</v>
      </c>
      <c r="J95" s="47" t="s">
        <v>519</v>
      </c>
      <c r="K95" s="47" t="s">
        <v>519</v>
      </c>
      <c r="L95" s="47" t="s">
        <v>520</v>
      </c>
      <c r="M95" s="47" t="s">
        <v>514</v>
      </c>
      <c r="N95" s="47" t="s">
        <v>515</v>
      </c>
      <c r="O95" s="45" t="s">
        <v>371</v>
      </c>
      <c r="P95" s="44" t="s">
        <v>309</v>
      </c>
      <c r="Q95" s="59" t="str">
        <f>MID(Tabla1[[#This Row],[Aplicación]],14,1)</f>
        <v>2</v>
      </c>
      <c r="R95" s="35" t="s">
        <v>298</v>
      </c>
      <c r="S95" s="59" t="str">
        <f>MID(Tabla1[[#This Row],[Aplicación]],6,2)</f>
        <v>06</v>
      </c>
      <c r="T95" s="35" t="str">
        <f>VLOOKUP(Tabla1[[#This Row],[AREA]],Hoja1!A:B,2,FALSE)</f>
        <v>06. Educación, infancia, juventud e igualdad</v>
      </c>
      <c r="U95" s="35" t="str">
        <f>MID(Tabla1[[#This Row],[Aplicación]],9,4)</f>
        <v>3231</v>
      </c>
      <c r="V95" s="35" t="str">
        <f>VLOOKUP(Tabla1[[#This Row],[PROGRAMA]],Hoja1!A:B,2,FALSE)</f>
        <v>3231. Escuelas infantiles</v>
      </c>
      <c r="W95" s="56" t="str">
        <f>MID(Tabla1[[#This Row],[Aplicación]],14,2)</f>
        <v>22</v>
      </c>
      <c r="X95" s="56" t="str">
        <f>MID(Tabla1[[#This Row],[Aplicación]],14,6)</f>
        <v>22799</v>
      </c>
    </row>
    <row r="96" spans="1:24" x14ac:dyDescent="0.25">
      <c r="A96" s="46">
        <v>220229000062</v>
      </c>
      <c r="B96" s="47" t="s">
        <v>507</v>
      </c>
      <c r="C96" s="52">
        <v>44927</v>
      </c>
      <c r="D96" s="46">
        <v>22023000698</v>
      </c>
      <c r="E96" s="47" t="s">
        <v>726</v>
      </c>
      <c r="F96" s="53">
        <v>283380.34999999998</v>
      </c>
      <c r="G96" s="47" t="s">
        <v>727</v>
      </c>
      <c r="H96" s="47" t="s">
        <v>728</v>
      </c>
      <c r="I96" s="46" t="s">
        <v>511</v>
      </c>
      <c r="J96" s="47" t="s">
        <v>729</v>
      </c>
      <c r="K96" s="47" t="s">
        <v>729</v>
      </c>
      <c r="L96" s="47" t="s">
        <v>520</v>
      </c>
      <c r="M96" s="47" t="s">
        <v>514</v>
      </c>
      <c r="N96" s="47" t="s">
        <v>515</v>
      </c>
      <c r="O96" s="54" t="s">
        <v>371</v>
      </c>
      <c r="P96" s="44" t="s">
        <v>309</v>
      </c>
      <c r="Q96" s="59" t="str">
        <f>MID(Tabla1[[#This Row],[Aplicación]],14,1)</f>
        <v>6</v>
      </c>
      <c r="R96" s="35" t="s">
        <v>299</v>
      </c>
      <c r="S96" s="59" t="str">
        <f>MID(Tabla1[[#This Row],[Aplicación]],6,2)</f>
        <v>04</v>
      </c>
      <c r="T96" s="35" t="str">
        <f>VLOOKUP(Tabla1[[#This Row],[AREA]],Hoja1!A:B,2,FALSE)</f>
        <v>04. Planificación y recursos</v>
      </c>
      <c r="U96" s="35" t="str">
        <f>MID(Tabla1[[#This Row],[Aplicación]],9,4)</f>
        <v>9204</v>
      </c>
      <c r="V96" s="35" t="str">
        <f>VLOOKUP(Tabla1[[#This Row],[PROGRAMA]],Hoja1!A:B,2,FALSE)</f>
        <v>9204. Tecnologías de la información y comunicación</v>
      </c>
      <c r="W96" s="56" t="str">
        <f>MID(Tabla1[[#This Row],[Aplicación]],14,2)</f>
        <v>64</v>
      </c>
      <c r="X96" s="56" t="str">
        <f>MID(Tabla1[[#This Row],[Aplicación]],14,6)</f>
        <v>641</v>
      </c>
    </row>
    <row r="97" spans="1:24" x14ac:dyDescent="0.25">
      <c r="A97" s="46">
        <v>220229000926</v>
      </c>
      <c r="B97" s="47" t="s">
        <v>507</v>
      </c>
      <c r="C97" s="52">
        <v>44927</v>
      </c>
      <c r="D97" s="46">
        <v>22023002932</v>
      </c>
      <c r="E97" s="47" t="s">
        <v>726</v>
      </c>
      <c r="F97" s="53">
        <v>279560.46000000002</v>
      </c>
      <c r="G97" s="47" t="s">
        <v>76</v>
      </c>
      <c r="H97" s="47" t="s">
        <v>730</v>
      </c>
      <c r="I97" s="46" t="s">
        <v>511</v>
      </c>
      <c r="J97" s="47" t="s">
        <v>731</v>
      </c>
      <c r="K97" s="47" t="s">
        <v>519</v>
      </c>
      <c r="L97" s="47" t="s">
        <v>520</v>
      </c>
      <c r="M97" s="47" t="s">
        <v>514</v>
      </c>
      <c r="N97" s="47" t="s">
        <v>515</v>
      </c>
      <c r="O97" s="54" t="s">
        <v>371</v>
      </c>
      <c r="P97" s="44" t="s">
        <v>309</v>
      </c>
      <c r="Q97" s="59" t="str">
        <f>MID(Tabla1[[#This Row],[Aplicación]],14,1)</f>
        <v>6</v>
      </c>
      <c r="R97" s="35" t="s">
        <v>299</v>
      </c>
      <c r="S97" s="59" t="str">
        <f>MID(Tabla1[[#This Row],[Aplicación]],6,2)</f>
        <v>04</v>
      </c>
      <c r="T97" s="35" t="str">
        <f>VLOOKUP(Tabla1[[#This Row],[AREA]],Hoja1!A:B,2,FALSE)</f>
        <v>04. Planificación y recursos</v>
      </c>
      <c r="U97" s="35" t="str">
        <f>MID(Tabla1[[#This Row],[Aplicación]],9,4)</f>
        <v>9204</v>
      </c>
      <c r="V97" s="35" t="str">
        <f>VLOOKUP(Tabla1[[#This Row],[PROGRAMA]],Hoja1!A:B,2,FALSE)</f>
        <v>9204. Tecnologías de la información y comunicación</v>
      </c>
      <c r="W97" s="56" t="str">
        <f>MID(Tabla1[[#This Row],[Aplicación]],14,2)</f>
        <v>64</v>
      </c>
      <c r="X97" s="56" t="str">
        <f>MID(Tabla1[[#This Row],[Aplicación]],14,6)</f>
        <v>641</v>
      </c>
    </row>
    <row r="98" spans="1:24" x14ac:dyDescent="0.25">
      <c r="A98" s="46">
        <v>220230000100</v>
      </c>
      <c r="B98" s="47" t="s">
        <v>507</v>
      </c>
      <c r="C98" s="52">
        <v>44927</v>
      </c>
      <c r="D98" s="46">
        <v>22023000608</v>
      </c>
      <c r="E98" s="47" t="s">
        <v>732</v>
      </c>
      <c r="F98" s="53">
        <v>272250</v>
      </c>
      <c r="G98" s="47" t="s">
        <v>733</v>
      </c>
      <c r="H98" s="47" t="s">
        <v>734</v>
      </c>
      <c r="I98" s="46" t="s">
        <v>511</v>
      </c>
      <c r="J98" s="47" t="s">
        <v>735</v>
      </c>
      <c r="K98" s="47" t="s">
        <v>735</v>
      </c>
      <c r="L98" s="47" t="s">
        <v>520</v>
      </c>
      <c r="M98" s="47" t="s">
        <v>514</v>
      </c>
      <c r="N98" s="47" t="s">
        <v>604</v>
      </c>
      <c r="O98" s="45" t="s">
        <v>371</v>
      </c>
      <c r="P98" s="44" t="s">
        <v>309</v>
      </c>
      <c r="Q98" s="59" t="str">
        <f>MID(Tabla1[[#This Row],[Aplicación]],14,1)</f>
        <v>2</v>
      </c>
      <c r="R98" s="35" t="s">
        <v>298</v>
      </c>
      <c r="S98" s="59" t="str">
        <f>MID(Tabla1[[#This Row],[Aplicación]],6,2)</f>
        <v>06</v>
      </c>
      <c r="T98" s="35" t="str">
        <f>VLOOKUP(Tabla1[[#This Row],[AREA]],Hoja1!A:B,2,FALSE)</f>
        <v>06. Educación, infancia, juventud e igualdad</v>
      </c>
      <c r="U98" s="35" t="str">
        <f>MID(Tabla1[[#This Row],[Aplicación]],9,4)</f>
        <v>3321</v>
      </c>
      <c r="V98" s="35" t="str">
        <f>VLOOKUP(Tabla1[[#This Row],[PROGRAMA]],Hoja1!A:B,2,FALSE)</f>
        <v>3321. Bibliotecas públicas</v>
      </c>
      <c r="W98" s="56" t="str">
        <f>MID(Tabla1[[#This Row],[Aplicación]],14,2)</f>
        <v>22</v>
      </c>
      <c r="X98" s="56" t="str">
        <f>MID(Tabla1[[#This Row],[Aplicación]],14,6)</f>
        <v>22799</v>
      </c>
    </row>
    <row r="99" spans="1:24" x14ac:dyDescent="0.25">
      <c r="A99" s="46">
        <v>220230000073</v>
      </c>
      <c r="B99" s="47" t="s">
        <v>507</v>
      </c>
      <c r="C99" s="52">
        <v>44927</v>
      </c>
      <c r="D99" s="46">
        <v>22023000580</v>
      </c>
      <c r="E99" s="47" t="s">
        <v>736</v>
      </c>
      <c r="F99" s="53">
        <v>265363.64</v>
      </c>
      <c r="G99" s="47" t="s">
        <v>737</v>
      </c>
      <c r="H99" s="47" t="s">
        <v>738</v>
      </c>
      <c r="I99" s="46" t="s">
        <v>511</v>
      </c>
      <c r="J99" s="47" t="s">
        <v>519</v>
      </c>
      <c r="K99" s="47" t="s">
        <v>519</v>
      </c>
      <c r="L99" s="47" t="s">
        <v>520</v>
      </c>
      <c r="M99" s="47" t="s">
        <v>514</v>
      </c>
      <c r="N99" s="47" t="s">
        <v>515</v>
      </c>
      <c r="O99" s="45" t="s">
        <v>371</v>
      </c>
      <c r="P99" s="44" t="s">
        <v>309</v>
      </c>
      <c r="Q99" s="59" t="str">
        <f>MID(Tabla1[[#This Row],[Aplicación]],14,1)</f>
        <v>2</v>
      </c>
      <c r="R99" s="35" t="s">
        <v>298</v>
      </c>
      <c r="S99" s="59" t="str">
        <f>MID(Tabla1[[#This Row],[Aplicación]],6,2)</f>
        <v>06</v>
      </c>
      <c r="T99" s="35" t="str">
        <f>VLOOKUP(Tabla1[[#This Row],[AREA]],Hoja1!A:B,2,FALSE)</f>
        <v>06. Educación, infancia, juventud e igualdad</v>
      </c>
      <c r="U99" s="35" t="str">
        <f>MID(Tabla1[[#This Row],[Aplicación]],9,4)</f>
        <v>3261</v>
      </c>
      <c r="V99" s="35" t="str">
        <f>VLOOKUP(Tabla1[[#This Row],[PROGRAMA]],Hoja1!A:B,2,FALSE)</f>
        <v>3261. Servicios complementarios de educación</v>
      </c>
      <c r="W99" s="56" t="str">
        <f>MID(Tabla1[[#This Row],[Aplicación]],14,2)</f>
        <v>22</v>
      </c>
      <c r="X99" s="56" t="str">
        <f>MID(Tabla1[[#This Row],[Aplicación]],14,6)</f>
        <v>22799</v>
      </c>
    </row>
    <row r="100" spans="1:24" x14ac:dyDescent="0.25">
      <c r="A100" s="46">
        <v>220229000761</v>
      </c>
      <c r="B100" s="47" t="s">
        <v>507</v>
      </c>
      <c r="C100" s="52">
        <v>44927</v>
      </c>
      <c r="D100" s="46">
        <v>22023000745</v>
      </c>
      <c r="E100" s="47" t="s">
        <v>739</v>
      </c>
      <c r="F100" s="53">
        <v>261021.69</v>
      </c>
      <c r="G100" s="47" t="s">
        <v>53</v>
      </c>
      <c r="H100" s="47" t="s">
        <v>740</v>
      </c>
      <c r="I100" s="46" t="s">
        <v>511</v>
      </c>
      <c r="J100" s="47" t="s">
        <v>519</v>
      </c>
      <c r="K100" s="47" t="s">
        <v>519</v>
      </c>
      <c r="L100" s="47" t="s">
        <v>520</v>
      </c>
      <c r="M100" s="47" t="s">
        <v>514</v>
      </c>
      <c r="N100" s="47" t="s">
        <v>515</v>
      </c>
      <c r="O100" s="45" t="s">
        <v>371</v>
      </c>
      <c r="P100" s="44" t="s">
        <v>309</v>
      </c>
      <c r="Q100" s="59" t="str">
        <f>MID(Tabla1[[#This Row],[Aplicación]],14,1)</f>
        <v>2</v>
      </c>
      <c r="R100" s="35" t="s">
        <v>298</v>
      </c>
      <c r="S100" s="59" t="str">
        <f>MID(Tabla1[[#This Row],[Aplicación]],6,2)</f>
        <v>02</v>
      </c>
      <c r="T100" s="35" t="str">
        <f>VLOOKUP(Tabla1[[#This Row],[AREA]],Hoja1!A:B,2,FALSE)</f>
        <v>02. Planeamiento urbanístico y vivienda</v>
      </c>
      <c r="U100" s="35" t="str">
        <f>MID(Tabla1[[#This Row],[Aplicación]],9,4)</f>
        <v>9332</v>
      </c>
      <c r="V100" s="35" t="str">
        <f>VLOOKUP(Tabla1[[#This Row],[PROGRAMA]],Hoja1!A:B,2,FALSE)</f>
        <v>9332. Mantenimiento de edificios e instalaciones municipales</v>
      </c>
      <c r="W100" s="56" t="str">
        <f>MID(Tabla1[[#This Row],[Aplicación]],14,2)</f>
        <v>22</v>
      </c>
      <c r="X100" s="56" t="str">
        <f>MID(Tabla1[[#This Row],[Aplicación]],14,6)</f>
        <v>22700</v>
      </c>
    </row>
    <row r="101" spans="1:24" x14ac:dyDescent="0.25">
      <c r="A101" s="46">
        <v>220219001234</v>
      </c>
      <c r="B101" s="47" t="s">
        <v>507</v>
      </c>
      <c r="C101" s="52">
        <v>44927</v>
      </c>
      <c r="D101" s="46">
        <v>22023003326</v>
      </c>
      <c r="E101" s="47" t="s">
        <v>741</v>
      </c>
      <c r="F101" s="53">
        <v>258703.6</v>
      </c>
      <c r="G101" s="47" t="s">
        <v>59</v>
      </c>
      <c r="H101" s="47" t="s">
        <v>742</v>
      </c>
      <c r="I101" s="46" t="s">
        <v>511</v>
      </c>
      <c r="J101" s="47" t="s">
        <v>519</v>
      </c>
      <c r="K101" s="47" t="s">
        <v>519</v>
      </c>
      <c r="L101" s="47" t="s">
        <v>520</v>
      </c>
      <c r="M101" s="47" t="s">
        <v>514</v>
      </c>
      <c r="N101" s="47" t="s">
        <v>515</v>
      </c>
      <c r="O101" s="54" t="s">
        <v>371</v>
      </c>
      <c r="P101" s="44" t="s">
        <v>309</v>
      </c>
      <c r="Q101" s="59" t="str">
        <f>MID(Tabla1[[#This Row],[Aplicación]],14,1)</f>
        <v>6</v>
      </c>
      <c r="R101" s="35" t="s">
        <v>299</v>
      </c>
      <c r="S101" s="59" t="str">
        <f>MID(Tabla1[[#This Row],[Aplicación]],6,2)</f>
        <v>07</v>
      </c>
      <c r="T101" s="35" t="str">
        <f>VLOOKUP(Tabla1[[#This Row],[AREA]],Hoja1!A:B,2,FALSE)</f>
        <v>07. Medio ambiente y desarrollo sostenible</v>
      </c>
      <c r="U101" s="35" t="str">
        <f>MID(Tabla1[[#This Row],[Aplicación]],9,4)</f>
        <v>1711</v>
      </c>
      <c r="V101" s="35" t="str">
        <f>VLOOKUP(Tabla1[[#This Row],[PROGRAMA]],Hoja1!A:B,2,FALSE)</f>
        <v>1711. Parques y jardines</v>
      </c>
      <c r="W101" s="56" t="str">
        <f>MID(Tabla1[[#This Row],[Aplicación]],14,2)</f>
        <v>61</v>
      </c>
      <c r="X101" s="56" t="str">
        <f>MID(Tabla1[[#This Row],[Aplicación]],14,6)</f>
        <v>619</v>
      </c>
    </row>
    <row r="102" spans="1:24" x14ac:dyDescent="0.25">
      <c r="A102" s="46">
        <v>220229000821</v>
      </c>
      <c r="B102" s="47" t="s">
        <v>507</v>
      </c>
      <c r="C102" s="52">
        <v>44927</v>
      </c>
      <c r="D102" s="46">
        <v>22023001888</v>
      </c>
      <c r="E102" s="47" t="s">
        <v>516</v>
      </c>
      <c r="F102" s="53">
        <v>245051.29</v>
      </c>
      <c r="G102" s="47" t="s">
        <v>743</v>
      </c>
      <c r="H102" s="47" t="s">
        <v>744</v>
      </c>
      <c r="I102" s="46" t="s">
        <v>511</v>
      </c>
      <c r="J102" s="47" t="s">
        <v>519</v>
      </c>
      <c r="K102" s="47" t="s">
        <v>519</v>
      </c>
      <c r="L102" s="47" t="s">
        <v>520</v>
      </c>
      <c r="M102" s="47" t="s">
        <v>514</v>
      </c>
      <c r="N102" s="47" t="s">
        <v>515</v>
      </c>
      <c r="O102" s="45" t="s">
        <v>371</v>
      </c>
      <c r="P102" s="44" t="s">
        <v>309</v>
      </c>
      <c r="Q102" s="59" t="str">
        <f>MID(Tabla1[[#This Row],[Aplicación]],14,1)</f>
        <v>2</v>
      </c>
      <c r="R102" s="35" t="s">
        <v>298</v>
      </c>
      <c r="S102" s="59" t="str">
        <f>MID(Tabla1[[#This Row],[Aplicación]],6,2)</f>
        <v>10</v>
      </c>
      <c r="T102" s="35" t="str">
        <f>VLOOKUP(Tabla1[[#This Row],[AREA]],Hoja1!A:B,2,FALSE)</f>
        <v>10. Servicios sociales y mediación comunitaria</v>
      </c>
      <c r="U102" s="35" t="str">
        <f>MID(Tabla1[[#This Row],[Aplicación]],9,4)</f>
        <v>2311</v>
      </c>
      <c r="V102" s="35" t="str">
        <f>VLOOKUP(Tabla1[[#This Row],[PROGRAMA]],Hoja1!A:B,2,FALSE)</f>
        <v>2311. Intervención social</v>
      </c>
      <c r="W102" s="56" t="str">
        <f>MID(Tabla1[[#This Row],[Aplicación]],14,2)</f>
        <v>22</v>
      </c>
      <c r="X102" s="56" t="str">
        <f>MID(Tabla1[[#This Row],[Aplicación]],14,6)</f>
        <v>22799</v>
      </c>
    </row>
    <row r="103" spans="1:24" x14ac:dyDescent="0.25">
      <c r="A103" s="46">
        <v>220229000661</v>
      </c>
      <c r="B103" s="47" t="s">
        <v>507</v>
      </c>
      <c r="C103" s="52">
        <v>44927</v>
      </c>
      <c r="D103" s="46">
        <v>22023001366</v>
      </c>
      <c r="E103" s="47" t="s">
        <v>745</v>
      </c>
      <c r="F103" s="53">
        <v>236447.18</v>
      </c>
      <c r="G103" s="47" t="s">
        <v>746</v>
      </c>
      <c r="H103" s="47" t="s">
        <v>747</v>
      </c>
      <c r="I103" s="46" t="s">
        <v>511</v>
      </c>
      <c r="J103" s="47" t="s">
        <v>532</v>
      </c>
      <c r="K103" s="47" t="s">
        <v>512</v>
      </c>
      <c r="L103" s="47" t="s">
        <v>552</v>
      </c>
      <c r="M103" s="47" t="s">
        <v>514</v>
      </c>
      <c r="N103" s="47" t="s">
        <v>515</v>
      </c>
      <c r="O103" s="54" t="s">
        <v>371</v>
      </c>
      <c r="P103" s="44" t="s">
        <v>309</v>
      </c>
      <c r="Q103" s="59">
        <v>6</v>
      </c>
      <c r="R103" s="35" t="s">
        <v>299</v>
      </c>
      <c r="S103" s="59" t="str">
        <f>MID(Tabla1[[#This Row],[Aplicación]],6,2)</f>
        <v>07</v>
      </c>
      <c r="T103" s="35" t="str">
        <f>VLOOKUP(Tabla1[[#This Row],[AREA]],Hoja1!A:B,2,FALSE)</f>
        <v>07. Medio ambiente y desarrollo sostenible</v>
      </c>
      <c r="U103" s="35">
        <v>1721</v>
      </c>
      <c r="V103" s="35" t="str">
        <f>VLOOKUP(Tabla1[[#This Row],[PROGRAMA]],Hoja1!A:B,2,FALSE)</f>
        <v>1721. Protección del medio ambiente</v>
      </c>
      <c r="W103" s="56">
        <v>62</v>
      </c>
      <c r="X103" s="56">
        <v>623</v>
      </c>
    </row>
    <row r="104" spans="1:24" x14ac:dyDescent="0.25">
      <c r="A104" s="46">
        <v>220229000070</v>
      </c>
      <c r="B104" s="47" t="s">
        <v>507</v>
      </c>
      <c r="C104" s="52">
        <v>44927</v>
      </c>
      <c r="D104" s="46">
        <v>22023000291</v>
      </c>
      <c r="E104" s="47" t="s">
        <v>536</v>
      </c>
      <c r="F104" s="53">
        <v>236000</v>
      </c>
      <c r="G104" s="47" t="s">
        <v>748</v>
      </c>
      <c r="H104" s="47" t="s">
        <v>749</v>
      </c>
      <c r="I104" s="46" t="s">
        <v>511</v>
      </c>
      <c r="J104" s="47" t="s">
        <v>750</v>
      </c>
      <c r="K104" s="47" t="s">
        <v>512</v>
      </c>
      <c r="L104" s="47" t="s">
        <v>520</v>
      </c>
      <c r="M104" s="47" t="s">
        <v>514</v>
      </c>
      <c r="N104" s="47" t="s">
        <v>515</v>
      </c>
      <c r="O104" s="45" t="s">
        <v>371</v>
      </c>
      <c r="P104" s="44" t="s">
        <v>309</v>
      </c>
      <c r="Q104" s="59" t="str">
        <f>MID(Tabla1[[#This Row],[Aplicación]],14,1)</f>
        <v>2</v>
      </c>
      <c r="R104" s="35" t="s">
        <v>298</v>
      </c>
      <c r="S104" s="59" t="str">
        <f>MID(Tabla1[[#This Row],[Aplicación]],6,2)</f>
        <v>04</v>
      </c>
      <c r="T104" s="35" t="str">
        <f>VLOOKUP(Tabla1[[#This Row],[AREA]],Hoja1!A:B,2,FALSE)</f>
        <v>04. Planificación y recursos</v>
      </c>
      <c r="U104" s="35" t="str">
        <f>MID(Tabla1[[#This Row],[Aplicación]],9,4)</f>
        <v>9231</v>
      </c>
      <c r="V104" s="35" t="str">
        <f>VLOOKUP(Tabla1[[#This Row],[PROGRAMA]],Hoja1!A:B,2,FALSE)</f>
        <v>9231. Información, registro y gestión del padrón</v>
      </c>
      <c r="W104" s="56" t="str">
        <f>MID(Tabla1[[#This Row],[Aplicación]],14,2)</f>
        <v>22</v>
      </c>
      <c r="X104" s="56" t="str">
        <f>MID(Tabla1[[#This Row],[Aplicación]],14,6)</f>
        <v>22201</v>
      </c>
    </row>
    <row r="105" spans="1:24" x14ac:dyDescent="0.25">
      <c r="A105" s="46">
        <v>220229000188</v>
      </c>
      <c r="B105" s="47" t="s">
        <v>507</v>
      </c>
      <c r="C105" s="52">
        <v>44927</v>
      </c>
      <c r="D105" s="46">
        <v>22023000311</v>
      </c>
      <c r="E105" s="47" t="s">
        <v>813</v>
      </c>
      <c r="F105" s="53">
        <v>164597.53</v>
      </c>
      <c r="G105" s="47" t="s">
        <v>331</v>
      </c>
      <c r="H105" s="47" t="s">
        <v>814</v>
      </c>
      <c r="I105" s="46" t="s">
        <v>511</v>
      </c>
      <c r="J105" s="47" t="s">
        <v>731</v>
      </c>
      <c r="K105" s="47" t="s">
        <v>519</v>
      </c>
      <c r="L105" s="47" t="s">
        <v>815</v>
      </c>
      <c r="M105" s="47" t="s">
        <v>514</v>
      </c>
      <c r="N105" s="47" t="s">
        <v>515</v>
      </c>
      <c r="O105" s="54" t="s">
        <v>371</v>
      </c>
      <c r="P105" s="44" t="s">
        <v>309</v>
      </c>
      <c r="Q105" s="59">
        <v>6</v>
      </c>
      <c r="R105" s="35" t="s">
        <v>299</v>
      </c>
      <c r="S105" s="59" t="str">
        <f>MID(Tabla1[[#This Row],[Aplicación]],6,2)</f>
        <v>10</v>
      </c>
      <c r="T105" s="35" t="str">
        <f>VLOOKUP(Tabla1[[#This Row],[AREA]],Hoja1!A:B,2,FALSE)</f>
        <v>10. Servicios sociales y mediación comunitaria</v>
      </c>
      <c r="U105" s="35">
        <v>2312</v>
      </c>
      <c r="V105" s="35" t="str">
        <f>VLOOKUP(Tabla1[[#This Row],[PROGRAMA]],Hoja1!A:B,2,FALSE)</f>
        <v>2312. Iniciativas sociales</v>
      </c>
      <c r="W105" s="56">
        <v>62</v>
      </c>
      <c r="X105" s="56">
        <v>626</v>
      </c>
    </row>
    <row r="106" spans="1:24" x14ac:dyDescent="0.25">
      <c r="A106" s="46">
        <v>220229000172</v>
      </c>
      <c r="B106" s="47" t="s">
        <v>507</v>
      </c>
      <c r="C106" s="52">
        <v>44927</v>
      </c>
      <c r="D106" s="46">
        <v>22023000916</v>
      </c>
      <c r="E106" s="47" t="s">
        <v>578</v>
      </c>
      <c r="F106" s="53">
        <v>226299.09</v>
      </c>
      <c r="G106" s="47" t="s">
        <v>753</v>
      </c>
      <c r="H106" s="47" t="s">
        <v>754</v>
      </c>
      <c r="I106" s="46" t="s">
        <v>511</v>
      </c>
      <c r="J106" s="47" t="s">
        <v>755</v>
      </c>
      <c r="K106" s="47" t="s">
        <v>755</v>
      </c>
      <c r="L106" s="47" t="s">
        <v>520</v>
      </c>
      <c r="M106" s="47" t="s">
        <v>514</v>
      </c>
      <c r="N106" s="47" t="s">
        <v>515</v>
      </c>
      <c r="O106" s="45" t="s">
        <v>371</v>
      </c>
      <c r="P106" s="44" t="s">
        <v>309</v>
      </c>
      <c r="Q106" s="59" t="str">
        <f>MID(Tabla1[[#This Row],[Aplicación]],14,1)</f>
        <v>2</v>
      </c>
      <c r="R106" s="35" t="s">
        <v>298</v>
      </c>
      <c r="S106" s="59" t="str">
        <f>MID(Tabla1[[#This Row],[Aplicación]],6,2)</f>
        <v>06</v>
      </c>
      <c r="T106" s="35" t="str">
        <f>VLOOKUP(Tabla1[[#This Row],[AREA]],Hoja1!A:B,2,FALSE)</f>
        <v>06. Educación, infancia, juventud e igualdad</v>
      </c>
      <c r="U106" s="35" t="str">
        <f>MID(Tabla1[[#This Row],[Aplicación]],9,4)</f>
        <v>3231</v>
      </c>
      <c r="V106" s="35" t="str">
        <f>VLOOKUP(Tabla1[[#This Row],[PROGRAMA]],Hoja1!A:B,2,FALSE)</f>
        <v>3231. Escuelas infantiles</v>
      </c>
      <c r="W106" s="56" t="str">
        <f>MID(Tabla1[[#This Row],[Aplicación]],14,2)</f>
        <v>22</v>
      </c>
      <c r="X106" s="56" t="str">
        <f>MID(Tabla1[[#This Row],[Aplicación]],14,6)</f>
        <v>22799</v>
      </c>
    </row>
    <row r="107" spans="1:24" x14ac:dyDescent="0.25">
      <c r="A107" s="46">
        <v>220229000253</v>
      </c>
      <c r="B107" s="47" t="s">
        <v>507</v>
      </c>
      <c r="C107" s="52">
        <v>44927</v>
      </c>
      <c r="D107" s="46">
        <v>22023000688</v>
      </c>
      <c r="E107" s="47" t="s">
        <v>549</v>
      </c>
      <c r="F107" s="53">
        <v>224770.81</v>
      </c>
      <c r="G107" s="47" t="s">
        <v>550</v>
      </c>
      <c r="H107" s="47" t="s">
        <v>756</v>
      </c>
      <c r="I107" s="46" t="s">
        <v>511</v>
      </c>
      <c r="J107" s="47" t="s">
        <v>512</v>
      </c>
      <c r="K107" s="47" t="s">
        <v>512</v>
      </c>
      <c r="L107" s="47" t="s">
        <v>552</v>
      </c>
      <c r="M107" s="47" t="s">
        <v>514</v>
      </c>
      <c r="N107" s="47" t="s">
        <v>515</v>
      </c>
      <c r="O107" s="54" t="s">
        <v>382</v>
      </c>
      <c r="P107" s="44" t="s">
        <v>309</v>
      </c>
      <c r="Q107" s="59" t="str">
        <f>MID(Tabla1[[#This Row],[Aplicación]],14,1)</f>
        <v>6</v>
      </c>
      <c r="R107" s="35" t="s">
        <v>299</v>
      </c>
      <c r="S107" s="59" t="str">
        <f>MID(Tabla1[[#This Row],[Aplicación]],6,2)</f>
        <v>11</v>
      </c>
      <c r="T107" s="35" t="str">
        <f>VLOOKUP(Tabla1[[#This Row],[AREA]],Hoja1!A:B,2,FALSE)</f>
        <v>11. Salud pública y seguridad ciudadana</v>
      </c>
      <c r="U107" s="35" t="str">
        <f>MID(Tabla1[[#This Row],[Aplicación]],9,4)</f>
        <v>1621</v>
      </c>
      <c r="V107" s="35" t="str">
        <f>VLOOKUP(Tabla1[[#This Row],[PROGRAMA]],Hoja1!A:B,2,FALSE)</f>
        <v>1621. Servicio de limpieza</v>
      </c>
      <c r="W107" s="56" t="str">
        <f>MID(Tabla1[[#This Row],[Aplicación]],14,2)</f>
        <v>63</v>
      </c>
      <c r="X107" s="56" t="str">
        <f>MID(Tabla1[[#This Row],[Aplicación]],14,6)</f>
        <v>634</v>
      </c>
    </row>
    <row r="108" spans="1:24" x14ac:dyDescent="0.25">
      <c r="A108" s="46">
        <v>220229000759</v>
      </c>
      <c r="B108" s="47" t="s">
        <v>507</v>
      </c>
      <c r="C108" s="52">
        <v>44927</v>
      </c>
      <c r="D108" s="46">
        <v>22023000757</v>
      </c>
      <c r="E108" s="47" t="s">
        <v>757</v>
      </c>
      <c r="F108" s="53">
        <v>218583.52</v>
      </c>
      <c r="G108" s="47" t="s">
        <v>53</v>
      </c>
      <c r="H108" s="47" t="s">
        <v>758</v>
      </c>
      <c r="I108" s="46" t="s">
        <v>511</v>
      </c>
      <c r="J108" s="47" t="s">
        <v>519</v>
      </c>
      <c r="K108" s="47" t="s">
        <v>519</v>
      </c>
      <c r="L108" s="47" t="s">
        <v>520</v>
      </c>
      <c r="M108" s="47" t="s">
        <v>514</v>
      </c>
      <c r="N108" s="47" t="s">
        <v>515</v>
      </c>
      <c r="O108" s="45" t="s">
        <v>371</v>
      </c>
      <c r="P108" s="44" t="s">
        <v>309</v>
      </c>
      <c r="Q108" s="59" t="str">
        <f>MID(Tabla1[[#This Row],[Aplicación]],14,1)</f>
        <v>2</v>
      </c>
      <c r="R108" s="35" t="s">
        <v>298</v>
      </c>
      <c r="S108" s="59" t="str">
        <f>MID(Tabla1[[#This Row],[Aplicación]],6,2)</f>
        <v>10</v>
      </c>
      <c r="T108" s="35" t="str">
        <f>VLOOKUP(Tabla1[[#This Row],[AREA]],Hoja1!A:B,2,FALSE)</f>
        <v>10. Servicios sociales y mediación comunitaria</v>
      </c>
      <c r="U108" s="35" t="str">
        <f>MID(Tabla1[[#This Row],[Aplicación]],9,4)</f>
        <v>2312</v>
      </c>
      <c r="V108" s="35" t="str">
        <f>VLOOKUP(Tabla1[[#This Row],[PROGRAMA]],Hoja1!A:B,2,FALSE)</f>
        <v>2312. Iniciativas sociales</v>
      </c>
      <c r="W108" s="56" t="str">
        <f>MID(Tabla1[[#This Row],[Aplicación]],14,2)</f>
        <v>22</v>
      </c>
      <c r="X108" s="56" t="str">
        <f>MID(Tabla1[[#This Row],[Aplicación]],14,6)</f>
        <v>22700</v>
      </c>
    </row>
    <row r="109" spans="1:24" x14ac:dyDescent="0.25">
      <c r="A109" s="46">
        <v>220229000718</v>
      </c>
      <c r="B109" s="47" t="s">
        <v>507</v>
      </c>
      <c r="C109" s="52">
        <v>44927</v>
      </c>
      <c r="D109" s="46">
        <v>22023001299</v>
      </c>
      <c r="E109" s="47" t="s">
        <v>759</v>
      </c>
      <c r="F109" s="53">
        <v>213098.76</v>
      </c>
      <c r="G109" s="47" t="s">
        <v>760</v>
      </c>
      <c r="H109" s="47" t="s">
        <v>761</v>
      </c>
      <c r="I109" s="46" t="s">
        <v>511</v>
      </c>
      <c r="J109" s="47" t="s">
        <v>512</v>
      </c>
      <c r="K109" s="47" t="s">
        <v>512</v>
      </c>
      <c r="L109" s="47" t="s">
        <v>520</v>
      </c>
      <c r="M109" s="47" t="s">
        <v>514</v>
      </c>
      <c r="N109" s="47" t="s">
        <v>515</v>
      </c>
      <c r="O109" s="45" t="s">
        <v>371</v>
      </c>
      <c r="P109" s="44" t="s">
        <v>309</v>
      </c>
      <c r="Q109" s="59" t="str">
        <f>MID(Tabla1[[#This Row],[Aplicación]],14,1)</f>
        <v>2</v>
      </c>
      <c r="R109" s="35" t="s">
        <v>298</v>
      </c>
      <c r="S109" s="59" t="str">
        <f>MID(Tabla1[[#This Row],[Aplicación]],6,2)</f>
        <v>06</v>
      </c>
      <c r="T109" s="35" t="str">
        <f>VLOOKUP(Tabla1[[#This Row],[AREA]],Hoja1!A:B,2,FALSE)</f>
        <v>06. Educación, infancia, juventud e igualdad</v>
      </c>
      <c r="U109" s="35" t="str">
        <f>MID(Tabla1[[#This Row],[Aplicación]],9,4)</f>
        <v>3231</v>
      </c>
      <c r="V109" s="35" t="str">
        <f>VLOOKUP(Tabla1[[#This Row],[PROGRAMA]],Hoja1!A:B,2,FALSE)</f>
        <v>3231. Escuelas infantiles</v>
      </c>
      <c r="W109" s="56" t="str">
        <f>MID(Tabla1[[#This Row],[Aplicación]],14,2)</f>
        <v>22</v>
      </c>
      <c r="X109" s="56" t="str">
        <f>MID(Tabla1[[#This Row],[Aplicación]],14,6)</f>
        <v>22700</v>
      </c>
    </row>
    <row r="110" spans="1:24" x14ac:dyDescent="0.25">
      <c r="A110" s="46">
        <v>220229000381</v>
      </c>
      <c r="B110" s="47" t="s">
        <v>507</v>
      </c>
      <c r="C110" s="52">
        <v>44927</v>
      </c>
      <c r="D110" s="46">
        <v>22023000455</v>
      </c>
      <c r="E110" s="47" t="s">
        <v>762</v>
      </c>
      <c r="F110" s="53">
        <v>211860.59</v>
      </c>
      <c r="G110" s="47" t="s">
        <v>763</v>
      </c>
      <c r="H110" s="47" t="s">
        <v>764</v>
      </c>
      <c r="I110" s="46" t="s">
        <v>511</v>
      </c>
      <c r="J110" s="47" t="s">
        <v>765</v>
      </c>
      <c r="K110" s="47" t="s">
        <v>512</v>
      </c>
      <c r="L110" s="47" t="s">
        <v>552</v>
      </c>
      <c r="M110" s="47" t="s">
        <v>514</v>
      </c>
      <c r="N110" s="47" t="s">
        <v>515</v>
      </c>
      <c r="O110" s="45" t="s">
        <v>371</v>
      </c>
      <c r="P110" s="44" t="s">
        <v>309</v>
      </c>
      <c r="Q110" s="59" t="str">
        <f>MID(Tabla1[[#This Row],[Aplicación]],14,1)</f>
        <v>2</v>
      </c>
      <c r="R110" s="35" t="s">
        <v>298</v>
      </c>
      <c r="S110" s="59" t="str">
        <f>MID(Tabla1[[#This Row],[Aplicación]],6,2)</f>
        <v>11</v>
      </c>
      <c r="T110" s="35" t="str">
        <f>VLOOKUP(Tabla1[[#This Row],[AREA]],Hoja1!A:B,2,FALSE)</f>
        <v>11. Salud pública y seguridad ciudadana</v>
      </c>
      <c r="U110" s="35" t="str">
        <f>MID(Tabla1[[#This Row],[Aplicación]],9,4)</f>
        <v>1321</v>
      </c>
      <c r="V110" s="35" t="str">
        <f>VLOOKUP(Tabla1[[#This Row],[PROGRAMA]],Hoja1!A:B,2,FALSE)</f>
        <v>1321. Policía municipal</v>
      </c>
      <c r="W110" s="56" t="str">
        <f>MID(Tabla1[[#This Row],[Aplicación]],14,2)</f>
        <v>20</v>
      </c>
      <c r="X110" s="56" t="str">
        <f>MID(Tabla1[[#This Row],[Aplicación]],14,6)</f>
        <v>204</v>
      </c>
    </row>
    <row r="111" spans="1:24" x14ac:dyDescent="0.25">
      <c r="A111" s="46">
        <v>220209000368</v>
      </c>
      <c r="B111" s="47" t="s">
        <v>507</v>
      </c>
      <c r="C111" s="52">
        <v>44927</v>
      </c>
      <c r="D111" s="46">
        <v>22023000503</v>
      </c>
      <c r="E111" s="47" t="s">
        <v>516</v>
      </c>
      <c r="F111" s="53">
        <v>209733</v>
      </c>
      <c r="G111" s="47" t="s">
        <v>570</v>
      </c>
      <c r="H111" s="47" t="s">
        <v>571</v>
      </c>
      <c r="I111" s="46" t="s">
        <v>511</v>
      </c>
      <c r="J111" s="47" t="s">
        <v>572</v>
      </c>
      <c r="K111" s="47" t="s">
        <v>573</v>
      </c>
      <c r="L111" s="47" t="s">
        <v>520</v>
      </c>
      <c r="M111" s="47" t="s">
        <v>514</v>
      </c>
      <c r="N111" s="47" t="s">
        <v>515</v>
      </c>
      <c r="O111" s="45" t="s">
        <v>371</v>
      </c>
      <c r="P111" s="44" t="s">
        <v>309</v>
      </c>
      <c r="Q111" s="59" t="str">
        <f>MID(Tabla1[[#This Row],[Aplicación]],14,1)</f>
        <v>2</v>
      </c>
      <c r="R111" s="35" t="s">
        <v>298</v>
      </c>
      <c r="S111" s="59" t="str">
        <f>MID(Tabla1[[#This Row],[Aplicación]],6,2)</f>
        <v>10</v>
      </c>
      <c r="T111" s="35" t="str">
        <f>VLOOKUP(Tabla1[[#This Row],[AREA]],Hoja1!A:B,2,FALSE)</f>
        <v>10. Servicios sociales y mediación comunitaria</v>
      </c>
      <c r="U111" s="35" t="str">
        <f>MID(Tabla1[[#This Row],[Aplicación]],9,4)</f>
        <v>2311</v>
      </c>
      <c r="V111" s="35" t="str">
        <f>VLOOKUP(Tabla1[[#This Row],[PROGRAMA]],Hoja1!A:B,2,FALSE)</f>
        <v>2311. Intervención social</v>
      </c>
      <c r="W111" s="56" t="str">
        <f>MID(Tabla1[[#This Row],[Aplicación]],14,2)</f>
        <v>22</v>
      </c>
      <c r="X111" s="56" t="str">
        <f>MID(Tabla1[[#This Row],[Aplicación]],14,6)</f>
        <v>22799</v>
      </c>
    </row>
    <row r="112" spans="1:24" x14ac:dyDescent="0.25">
      <c r="A112" s="46">
        <v>220229000853</v>
      </c>
      <c r="B112" s="47" t="s">
        <v>507</v>
      </c>
      <c r="C112" s="52">
        <v>44927</v>
      </c>
      <c r="D112" s="46">
        <v>22023001949</v>
      </c>
      <c r="E112" s="47" t="s">
        <v>566</v>
      </c>
      <c r="F112" s="53">
        <v>206276.31</v>
      </c>
      <c r="G112" s="47" t="s">
        <v>766</v>
      </c>
      <c r="H112" s="47" t="s">
        <v>767</v>
      </c>
      <c r="I112" s="46" t="s">
        <v>511</v>
      </c>
      <c r="J112" s="47" t="s">
        <v>768</v>
      </c>
      <c r="K112" s="47" t="s">
        <v>768</v>
      </c>
      <c r="L112" s="47" t="s">
        <v>520</v>
      </c>
      <c r="M112" s="47" t="s">
        <v>514</v>
      </c>
      <c r="N112" s="47" t="s">
        <v>515</v>
      </c>
      <c r="O112" s="45" t="s">
        <v>371</v>
      </c>
      <c r="P112" s="44" t="s">
        <v>309</v>
      </c>
      <c r="Q112" s="59" t="str">
        <f>MID(Tabla1[[#This Row],[Aplicación]],14,1)</f>
        <v>2</v>
      </c>
      <c r="R112" s="35" t="s">
        <v>298</v>
      </c>
      <c r="S112" s="59" t="str">
        <f>MID(Tabla1[[#This Row],[Aplicación]],6,2)</f>
        <v>04</v>
      </c>
      <c r="T112" s="35" t="str">
        <f>VLOOKUP(Tabla1[[#This Row],[AREA]],Hoja1!A:B,2,FALSE)</f>
        <v>04. Planificación y recursos</v>
      </c>
      <c r="U112" s="35" t="str">
        <f>MID(Tabla1[[#This Row],[Aplicación]],9,4)</f>
        <v>9204</v>
      </c>
      <c r="V112" s="35" t="str">
        <f>VLOOKUP(Tabla1[[#This Row],[PROGRAMA]],Hoja1!A:B,2,FALSE)</f>
        <v>9204. Tecnologías de la información y comunicación</v>
      </c>
      <c r="W112" s="56" t="str">
        <f>MID(Tabla1[[#This Row],[Aplicación]],14,2)</f>
        <v>21</v>
      </c>
      <c r="X112" s="56" t="str">
        <f>MID(Tabla1[[#This Row],[Aplicación]],14,6)</f>
        <v>216</v>
      </c>
    </row>
    <row r="113" spans="1:24" x14ac:dyDescent="0.25">
      <c r="A113" s="46">
        <v>220229000332</v>
      </c>
      <c r="B113" s="47" t="s">
        <v>507</v>
      </c>
      <c r="C113" s="52">
        <v>44927</v>
      </c>
      <c r="D113" s="46">
        <v>22023001153</v>
      </c>
      <c r="E113" s="47" t="s">
        <v>741</v>
      </c>
      <c r="F113" s="53">
        <v>202007.38</v>
      </c>
      <c r="G113" s="47" t="s">
        <v>769</v>
      </c>
      <c r="H113" s="47" t="s">
        <v>770</v>
      </c>
      <c r="I113" s="46" t="s">
        <v>511</v>
      </c>
      <c r="J113" s="47" t="s">
        <v>771</v>
      </c>
      <c r="K113" s="47" t="s">
        <v>771</v>
      </c>
      <c r="L113" s="47" t="s">
        <v>527</v>
      </c>
      <c r="M113" s="47" t="s">
        <v>514</v>
      </c>
      <c r="N113" s="47" t="s">
        <v>515</v>
      </c>
      <c r="O113" s="54" t="s">
        <v>371</v>
      </c>
      <c r="P113" s="44" t="s">
        <v>309</v>
      </c>
      <c r="Q113" s="59" t="str">
        <f>MID(Tabla1[[#This Row],[Aplicación]],14,1)</f>
        <v>6</v>
      </c>
      <c r="R113" s="35" t="s">
        <v>299</v>
      </c>
      <c r="S113" s="59" t="str">
        <f>MID(Tabla1[[#This Row],[Aplicación]],6,2)</f>
        <v>07</v>
      </c>
      <c r="T113" s="35" t="str">
        <f>VLOOKUP(Tabla1[[#This Row],[AREA]],Hoja1!A:B,2,FALSE)</f>
        <v>07. Medio ambiente y desarrollo sostenible</v>
      </c>
      <c r="U113" s="35" t="str">
        <f>MID(Tabla1[[#This Row],[Aplicación]],9,4)</f>
        <v>1711</v>
      </c>
      <c r="V113" s="35" t="str">
        <f>VLOOKUP(Tabla1[[#This Row],[PROGRAMA]],Hoja1!A:B,2,FALSE)</f>
        <v>1711. Parques y jardines</v>
      </c>
      <c r="W113" s="56" t="str">
        <f>MID(Tabla1[[#This Row],[Aplicación]],14,2)</f>
        <v>61</v>
      </c>
      <c r="X113" s="56" t="str">
        <f>MID(Tabla1[[#This Row],[Aplicación]],14,6)</f>
        <v>619</v>
      </c>
    </row>
    <row r="114" spans="1:24" x14ac:dyDescent="0.25">
      <c r="A114" s="46">
        <v>220229000704</v>
      </c>
      <c r="B114" s="47" t="s">
        <v>507</v>
      </c>
      <c r="C114" s="52">
        <v>44927</v>
      </c>
      <c r="D114" s="46">
        <v>22023001289</v>
      </c>
      <c r="E114" s="47" t="s">
        <v>772</v>
      </c>
      <c r="F114" s="53">
        <v>200914.17</v>
      </c>
      <c r="G114" s="47" t="s">
        <v>773</v>
      </c>
      <c r="H114" s="47" t="s">
        <v>774</v>
      </c>
      <c r="I114" s="46" t="s">
        <v>511</v>
      </c>
      <c r="J114" s="47" t="s">
        <v>519</v>
      </c>
      <c r="K114" s="47" t="s">
        <v>519</v>
      </c>
      <c r="L114" s="47" t="s">
        <v>520</v>
      </c>
      <c r="M114" s="47" t="s">
        <v>514</v>
      </c>
      <c r="N114" s="47" t="s">
        <v>515</v>
      </c>
      <c r="O114" s="45" t="s">
        <v>371</v>
      </c>
      <c r="P114" s="44" t="s">
        <v>309</v>
      </c>
      <c r="Q114" s="59" t="str">
        <f>MID(Tabla1[[#This Row],[Aplicación]],14,1)</f>
        <v>2</v>
      </c>
      <c r="R114" s="35" t="s">
        <v>298</v>
      </c>
      <c r="S114" s="59" t="str">
        <f>MID(Tabla1[[#This Row],[Aplicación]],6,2)</f>
        <v>06</v>
      </c>
      <c r="T114" s="35" t="str">
        <f>VLOOKUP(Tabla1[[#This Row],[AREA]],Hoja1!A:B,2,FALSE)</f>
        <v>06. Educación, infancia, juventud e igualdad</v>
      </c>
      <c r="U114" s="35" t="str">
        <f>MID(Tabla1[[#This Row],[Aplicación]],9,4)</f>
        <v>2314</v>
      </c>
      <c r="V114" s="35" t="str">
        <f>VLOOKUP(Tabla1[[#This Row],[PROGRAMA]],Hoja1!A:B,2,FALSE)</f>
        <v>2314. Centro de programas juveniles</v>
      </c>
      <c r="W114" s="56" t="str">
        <f>MID(Tabla1[[#This Row],[Aplicación]],14,2)</f>
        <v>22</v>
      </c>
      <c r="X114" s="56" t="str">
        <f>MID(Tabla1[[#This Row],[Aplicación]],14,6)</f>
        <v>22799</v>
      </c>
    </row>
    <row r="115" spans="1:24" x14ac:dyDescent="0.25">
      <c r="A115" s="46">
        <v>220229000369</v>
      </c>
      <c r="B115" s="47" t="s">
        <v>507</v>
      </c>
      <c r="C115" s="52">
        <v>44927</v>
      </c>
      <c r="D115" s="46">
        <v>22023001163</v>
      </c>
      <c r="E115" s="47" t="s">
        <v>775</v>
      </c>
      <c r="F115" s="53">
        <v>200000</v>
      </c>
      <c r="G115" s="47" t="s">
        <v>35</v>
      </c>
      <c r="H115" s="47" t="s">
        <v>776</v>
      </c>
      <c r="I115" s="46" t="s">
        <v>511</v>
      </c>
      <c r="J115" s="47" t="s">
        <v>519</v>
      </c>
      <c r="K115" s="47" t="s">
        <v>519</v>
      </c>
      <c r="L115" s="47" t="s">
        <v>552</v>
      </c>
      <c r="M115" s="47" t="s">
        <v>514</v>
      </c>
      <c r="N115" s="47" t="s">
        <v>515</v>
      </c>
      <c r="O115" s="45" t="s">
        <v>371</v>
      </c>
      <c r="P115" s="44" t="s">
        <v>309</v>
      </c>
      <c r="Q115" s="59" t="str">
        <f>MID(Tabla1[[#This Row],[Aplicación]],14,1)</f>
        <v>2</v>
      </c>
      <c r="R115" s="35" t="s">
        <v>298</v>
      </c>
      <c r="S115" s="59" t="str">
        <f>MID(Tabla1[[#This Row],[Aplicación]],6,2)</f>
        <v>11</v>
      </c>
      <c r="T115" s="35" t="str">
        <f>VLOOKUP(Tabla1[[#This Row],[AREA]],Hoja1!A:B,2,FALSE)</f>
        <v>11. Salud pública y seguridad ciudadana</v>
      </c>
      <c r="U115" s="35" t="str">
        <f>MID(Tabla1[[#This Row],[Aplicación]],9,4)</f>
        <v>1631</v>
      </c>
      <c r="V115" s="35" t="str">
        <f>VLOOKUP(Tabla1[[#This Row],[PROGRAMA]],Hoja1!A:B,2,FALSE)</f>
        <v>1631. Limpieza viaria</v>
      </c>
      <c r="W115" s="56" t="str">
        <f>MID(Tabla1[[#This Row],[Aplicación]],14,2)</f>
        <v>22</v>
      </c>
      <c r="X115" s="56" t="str">
        <f>MID(Tabla1[[#This Row],[Aplicación]],14,6)</f>
        <v>22103</v>
      </c>
    </row>
    <row r="116" spans="1:24" x14ac:dyDescent="0.25">
      <c r="A116" s="46">
        <v>220230000199</v>
      </c>
      <c r="B116" s="47" t="s">
        <v>507</v>
      </c>
      <c r="C116" s="52">
        <v>44927</v>
      </c>
      <c r="D116" s="46">
        <v>22023000837</v>
      </c>
      <c r="E116" s="47" t="s">
        <v>777</v>
      </c>
      <c r="F116" s="53">
        <v>197128</v>
      </c>
      <c r="G116" s="47" t="s">
        <v>778</v>
      </c>
      <c r="H116" s="47" t="s">
        <v>779</v>
      </c>
      <c r="I116" s="46" t="s">
        <v>511</v>
      </c>
      <c r="J116" s="47" t="s">
        <v>519</v>
      </c>
      <c r="K116" s="47" t="s">
        <v>519</v>
      </c>
      <c r="L116" s="47" t="s">
        <v>520</v>
      </c>
      <c r="M116" s="47" t="s">
        <v>514</v>
      </c>
      <c r="N116" s="47" t="s">
        <v>604</v>
      </c>
      <c r="O116" s="45" t="s">
        <v>371</v>
      </c>
      <c r="P116" s="44" t="s">
        <v>309</v>
      </c>
      <c r="Q116" s="59" t="str">
        <f>MID(Tabla1[[#This Row],[Aplicación]],14,1)</f>
        <v>2</v>
      </c>
      <c r="R116" s="35" t="s">
        <v>298</v>
      </c>
      <c r="S116" s="59" t="str">
        <f>MID(Tabla1[[#This Row],[Aplicación]],6,2)</f>
        <v>03</v>
      </c>
      <c r="T116" s="35" t="str">
        <f>VLOOKUP(Tabla1[[#This Row],[AREA]],Hoja1!A:B,2,FALSE)</f>
        <v>03. Participación ciudadana y deportes</v>
      </c>
      <c r="U116" s="35" t="str">
        <f>MID(Tabla1[[#This Row],[Aplicación]],9,4)</f>
        <v>9241</v>
      </c>
      <c r="V116" s="35" t="str">
        <f>VLOOKUP(Tabla1[[#This Row],[PROGRAMA]],Hoja1!A:B,2,FALSE)</f>
        <v>9241. Participación ciudadana</v>
      </c>
      <c r="W116" s="56" t="str">
        <f>MID(Tabla1[[#This Row],[Aplicación]],14,2)</f>
        <v>22</v>
      </c>
      <c r="X116" s="56" t="str">
        <f>MID(Tabla1[[#This Row],[Aplicación]],14,6)</f>
        <v>22799</v>
      </c>
    </row>
    <row r="117" spans="1:24" x14ac:dyDescent="0.25">
      <c r="A117" s="46">
        <v>220230000201</v>
      </c>
      <c r="B117" s="47" t="s">
        <v>507</v>
      </c>
      <c r="C117" s="52">
        <v>44927</v>
      </c>
      <c r="D117" s="46">
        <v>22023000844</v>
      </c>
      <c r="E117" s="47" t="s">
        <v>741</v>
      </c>
      <c r="F117" s="53">
        <v>194791.3</v>
      </c>
      <c r="G117" s="47" t="s">
        <v>780</v>
      </c>
      <c r="H117" s="47" t="s">
        <v>781</v>
      </c>
      <c r="I117" s="46" t="s">
        <v>511</v>
      </c>
      <c r="J117" s="47" t="s">
        <v>512</v>
      </c>
      <c r="K117" s="47" t="s">
        <v>512</v>
      </c>
      <c r="L117" s="47" t="s">
        <v>520</v>
      </c>
      <c r="M117" s="47" t="s">
        <v>514</v>
      </c>
      <c r="N117" s="47" t="s">
        <v>515</v>
      </c>
      <c r="O117" s="54" t="s">
        <v>371</v>
      </c>
      <c r="P117" s="44" t="s">
        <v>309</v>
      </c>
      <c r="Q117" s="59" t="str">
        <f>MID(Tabla1[[#This Row],[Aplicación]],14,1)</f>
        <v>6</v>
      </c>
      <c r="R117" s="35" t="s">
        <v>299</v>
      </c>
      <c r="S117" s="59" t="str">
        <f>MID(Tabla1[[#This Row],[Aplicación]],6,2)</f>
        <v>07</v>
      </c>
      <c r="T117" s="35" t="str">
        <f>VLOOKUP(Tabla1[[#This Row],[AREA]],Hoja1!A:B,2,FALSE)</f>
        <v>07. Medio ambiente y desarrollo sostenible</v>
      </c>
      <c r="U117" s="35" t="str">
        <f>MID(Tabla1[[#This Row],[Aplicación]],9,4)</f>
        <v>1711</v>
      </c>
      <c r="V117" s="35" t="str">
        <f>VLOOKUP(Tabla1[[#This Row],[PROGRAMA]],Hoja1!A:B,2,FALSE)</f>
        <v>1711. Parques y jardines</v>
      </c>
      <c r="W117" s="56" t="str">
        <f>MID(Tabla1[[#This Row],[Aplicación]],14,2)</f>
        <v>61</v>
      </c>
      <c r="X117" s="56" t="str">
        <f>MID(Tabla1[[#This Row],[Aplicación]],14,6)</f>
        <v>619</v>
      </c>
    </row>
    <row r="118" spans="1:24" x14ac:dyDescent="0.25">
      <c r="A118" s="46">
        <v>220229000170</v>
      </c>
      <c r="B118" s="47" t="s">
        <v>507</v>
      </c>
      <c r="C118" s="52">
        <v>44927</v>
      </c>
      <c r="D118" s="46">
        <v>22023000914</v>
      </c>
      <c r="E118" s="47" t="s">
        <v>578</v>
      </c>
      <c r="F118" s="53">
        <v>191840</v>
      </c>
      <c r="G118" s="47" t="s">
        <v>782</v>
      </c>
      <c r="H118" s="47" t="s">
        <v>783</v>
      </c>
      <c r="I118" s="46" t="s">
        <v>511</v>
      </c>
      <c r="J118" s="47" t="s">
        <v>519</v>
      </c>
      <c r="K118" s="47" t="s">
        <v>519</v>
      </c>
      <c r="L118" s="47" t="s">
        <v>520</v>
      </c>
      <c r="M118" s="47" t="s">
        <v>514</v>
      </c>
      <c r="N118" s="47" t="s">
        <v>515</v>
      </c>
      <c r="O118" s="45" t="s">
        <v>371</v>
      </c>
      <c r="P118" s="44" t="s">
        <v>309</v>
      </c>
      <c r="Q118" s="59" t="str">
        <f>MID(Tabla1[[#This Row],[Aplicación]],14,1)</f>
        <v>2</v>
      </c>
      <c r="R118" s="35" t="s">
        <v>298</v>
      </c>
      <c r="S118" s="59" t="str">
        <f>MID(Tabla1[[#This Row],[Aplicación]],6,2)</f>
        <v>06</v>
      </c>
      <c r="T118" s="35" t="str">
        <f>VLOOKUP(Tabla1[[#This Row],[AREA]],Hoja1!A:B,2,FALSE)</f>
        <v>06. Educación, infancia, juventud e igualdad</v>
      </c>
      <c r="U118" s="35" t="str">
        <f>MID(Tabla1[[#This Row],[Aplicación]],9,4)</f>
        <v>3231</v>
      </c>
      <c r="V118" s="35" t="str">
        <f>VLOOKUP(Tabla1[[#This Row],[PROGRAMA]],Hoja1!A:B,2,FALSE)</f>
        <v>3231. Escuelas infantiles</v>
      </c>
      <c r="W118" s="56" t="str">
        <f>MID(Tabla1[[#This Row],[Aplicación]],14,2)</f>
        <v>22</v>
      </c>
      <c r="X118" s="56" t="str">
        <f>MID(Tabla1[[#This Row],[Aplicación]],14,6)</f>
        <v>22799</v>
      </c>
    </row>
    <row r="119" spans="1:24" x14ac:dyDescent="0.25">
      <c r="A119" s="46">
        <v>220229000799</v>
      </c>
      <c r="B119" s="47" t="s">
        <v>507</v>
      </c>
      <c r="C119" s="52">
        <v>44927</v>
      </c>
      <c r="D119" s="46">
        <v>22023001939</v>
      </c>
      <c r="E119" s="47" t="s">
        <v>745</v>
      </c>
      <c r="F119" s="53">
        <v>167492.75</v>
      </c>
      <c r="G119" s="47" t="s">
        <v>746</v>
      </c>
      <c r="H119" s="47" t="s">
        <v>803</v>
      </c>
      <c r="I119" s="46" t="s">
        <v>511</v>
      </c>
      <c r="J119" s="47" t="s">
        <v>532</v>
      </c>
      <c r="K119" s="47" t="s">
        <v>512</v>
      </c>
      <c r="L119" s="47" t="s">
        <v>552</v>
      </c>
      <c r="M119" s="47" t="s">
        <v>514</v>
      </c>
      <c r="N119" s="47" t="s">
        <v>515</v>
      </c>
      <c r="O119" s="54" t="s">
        <v>371</v>
      </c>
      <c r="P119" s="44" t="s">
        <v>309</v>
      </c>
      <c r="Q119" s="59">
        <v>6</v>
      </c>
      <c r="R119" s="35" t="s">
        <v>299</v>
      </c>
      <c r="S119" s="59" t="str">
        <f>MID(Tabla1[[#This Row],[Aplicación]],6,2)</f>
        <v>07</v>
      </c>
      <c r="T119" s="35" t="str">
        <f>VLOOKUP(Tabla1[[#This Row],[AREA]],Hoja1!A:B,2,FALSE)</f>
        <v>07. Medio ambiente y desarrollo sostenible</v>
      </c>
      <c r="U119" s="35">
        <v>1721</v>
      </c>
      <c r="V119" s="35" t="str">
        <f>VLOOKUP(Tabla1[[#This Row],[PROGRAMA]],Hoja1!A:B,2,FALSE)</f>
        <v>1721. Protección del medio ambiente</v>
      </c>
      <c r="W119" s="56">
        <v>62</v>
      </c>
      <c r="X119" s="56">
        <v>623</v>
      </c>
    </row>
    <row r="120" spans="1:24" x14ac:dyDescent="0.25">
      <c r="A120" s="46">
        <v>220229000410</v>
      </c>
      <c r="B120" s="47" t="s">
        <v>507</v>
      </c>
      <c r="C120" s="52">
        <v>44927</v>
      </c>
      <c r="D120" s="46">
        <v>22023001180</v>
      </c>
      <c r="E120" s="47" t="s">
        <v>529</v>
      </c>
      <c r="F120" s="53">
        <v>187500</v>
      </c>
      <c r="G120" s="47" t="s">
        <v>786</v>
      </c>
      <c r="H120" s="47" t="s">
        <v>787</v>
      </c>
      <c r="I120" s="46" t="s">
        <v>511</v>
      </c>
      <c r="J120" s="47" t="s">
        <v>519</v>
      </c>
      <c r="K120" s="47" t="s">
        <v>519</v>
      </c>
      <c r="L120" s="47" t="s">
        <v>520</v>
      </c>
      <c r="M120" s="47" t="s">
        <v>514</v>
      </c>
      <c r="N120" s="47" t="s">
        <v>515</v>
      </c>
      <c r="O120" s="54" t="s">
        <v>371</v>
      </c>
      <c r="P120" s="44" t="s">
        <v>309</v>
      </c>
      <c r="Q120" s="59" t="str">
        <f>MID(Tabla1[[#This Row],[Aplicación]],14,1)</f>
        <v>6</v>
      </c>
      <c r="R120" s="35" t="s">
        <v>299</v>
      </c>
      <c r="S120" s="59" t="str">
        <f>MID(Tabla1[[#This Row],[Aplicación]],6,2)</f>
        <v>07</v>
      </c>
      <c r="T120" s="35" t="str">
        <f>VLOOKUP(Tabla1[[#This Row],[AREA]],Hoja1!A:B,2,FALSE)</f>
        <v>07. Medio ambiente y desarrollo sostenible</v>
      </c>
      <c r="U120" s="35" t="str">
        <f>MID(Tabla1[[#This Row],[Aplicación]],9,4)</f>
        <v>1711</v>
      </c>
      <c r="V120" s="35" t="str">
        <f>VLOOKUP(Tabla1[[#This Row],[PROGRAMA]],Hoja1!A:B,2,FALSE)</f>
        <v>1711. Parques y jardines</v>
      </c>
      <c r="W120" s="56" t="str">
        <f>MID(Tabla1[[#This Row],[Aplicación]],14,2)</f>
        <v>61</v>
      </c>
      <c r="X120" s="56" t="str">
        <f>MID(Tabla1[[#This Row],[Aplicación]],14,6)</f>
        <v>610</v>
      </c>
    </row>
    <row r="121" spans="1:24" x14ac:dyDescent="0.25">
      <c r="A121" s="46">
        <v>220229000173</v>
      </c>
      <c r="B121" s="47" t="s">
        <v>507</v>
      </c>
      <c r="C121" s="52">
        <v>44927</v>
      </c>
      <c r="D121" s="46">
        <v>22023000917</v>
      </c>
      <c r="E121" s="47" t="s">
        <v>578</v>
      </c>
      <c r="F121" s="53">
        <v>185441.28</v>
      </c>
      <c r="G121" s="47" t="s">
        <v>788</v>
      </c>
      <c r="H121" s="47" t="s">
        <v>789</v>
      </c>
      <c r="I121" s="46" t="s">
        <v>511</v>
      </c>
      <c r="J121" s="47" t="s">
        <v>512</v>
      </c>
      <c r="K121" s="47" t="s">
        <v>512</v>
      </c>
      <c r="L121" s="47" t="s">
        <v>520</v>
      </c>
      <c r="M121" s="47" t="s">
        <v>514</v>
      </c>
      <c r="N121" s="47" t="s">
        <v>515</v>
      </c>
      <c r="O121" s="45" t="s">
        <v>371</v>
      </c>
      <c r="P121" s="44" t="s">
        <v>309</v>
      </c>
      <c r="Q121" s="59" t="str">
        <f>MID(Tabla1[[#This Row],[Aplicación]],14,1)</f>
        <v>2</v>
      </c>
      <c r="R121" s="35" t="s">
        <v>298</v>
      </c>
      <c r="S121" s="59" t="str">
        <f>MID(Tabla1[[#This Row],[Aplicación]],6,2)</f>
        <v>06</v>
      </c>
      <c r="T121" s="35" t="str">
        <f>VLOOKUP(Tabla1[[#This Row],[AREA]],Hoja1!A:B,2,FALSE)</f>
        <v>06. Educación, infancia, juventud e igualdad</v>
      </c>
      <c r="U121" s="35" t="str">
        <f>MID(Tabla1[[#This Row],[Aplicación]],9,4)</f>
        <v>3231</v>
      </c>
      <c r="V121" s="35" t="str">
        <f>VLOOKUP(Tabla1[[#This Row],[PROGRAMA]],Hoja1!A:B,2,FALSE)</f>
        <v>3231. Escuelas infantiles</v>
      </c>
      <c r="W121" s="56" t="str">
        <f>MID(Tabla1[[#This Row],[Aplicación]],14,2)</f>
        <v>22</v>
      </c>
      <c r="X121" s="56" t="str">
        <f>MID(Tabla1[[#This Row],[Aplicación]],14,6)</f>
        <v>22799</v>
      </c>
    </row>
    <row r="122" spans="1:24" x14ac:dyDescent="0.25">
      <c r="A122" s="46">
        <v>220229000168</v>
      </c>
      <c r="B122" s="47" t="s">
        <v>507</v>
      </c>
      <c r="C122" s="52">
        <v>44927</v>
      </c>
      <c r="D122" s="46">
        <v>22023000913</v>
      </c>
      <c r="E122" s="47" t="s">
        <v>578</v>
      </c>
      <c r="F122" s="53">
        <v>185040</v>
      </c>
      <c r="G122" s="47" t="s">
        <v>581</v>
      </c>
      <c r="H122" s="47" t="s">
        <v>790</v>
      </c>
      <c r="I122" s="46" t="s">
        <v>511</v>
      </c>
      <c r="J122" s="47" t="s">
        <v>519</v>
      </c>
      <c r="K122" s="47" t="s">
        <v>519</v>
      </c>
      <c r="L122" s="47" t="s">
        <v>520</v>
      </c>
      <c r="M122" s="47" t="s">
        <v>514</v>
      </c>
      <c r="N122" s="47" t="s">
        <v>515</v>
      </c>
      <c r="O122" s="45" t="s">
        <v>371</v>
      </c>
      <c r="P122" s="44" t="s">
        <v>309</v>
      </c>
      <c r="Q122" s="59" t="str">
        <f>MID(Tabla1[[#This Row],[Aplicación]],14,1)</f>
        <v>2</v>
      </c>
      <c r="R122" s="35" t="s">
        <v>298</v>
      </c>
      <c r="S122" s="59" t="str">
        <f>MID(Tabla1[[#This Row],[Aplicación]],6,2)</f>
        <v>06</v>
      </c>
      <c r="T122" s="35" t="str">
        <f>VLOOKUP(Tabla1[[#This Row],[AREA]],Hoja1!A:B,2,FALSE)</f>
        <v>06. Educación, infancia, juventud e igualdad</v>
      </c>
      <c r="U122" s="35" t="str">
        <f>MID(Tabla1[[#This Row],[Aplicación]],9,4)</f>
        <v>3231</v>
      </c>
      <c r="V122" s="35" t="str">
        <f>VLOOKUP(Tabla1[[#This Row],[PROGRAMA]],Hoja1!A:B,2,FALSE)</f>
        <v>3231. Escuelas infantiles</v>
      </c>
      <c r="W122" s="56" t="str">
        <f>MID(Tabla1[[#This Row],[Aplicación]],14,2)</f>
        <v>22</v>
      </c>
      <c r="X122" s="56" t="str">
        <f>MID(Tabla1[[#This Row],[Aplicación]],14,6)</f>
        <v>22799</v>
      </c>
    </row>
    <row r="123" spans="1:24" x14ac:dyDescent="0.25">
      <c r="A123" s="46">
        <v>220219001232</v>
      </c>
      <c r="B123" s="47" t="s">
        <v>507</v>
      </c>
      <c r="C123" s="52">
        <v>44927</v>
      </c>
      <c r="D123" s="46">
        <v>22023003325</v>
      </c>
      <c r="E123" s="47" t="s">
        <v>741</v>
      </c>
      <c r="F123" s="53">
        <v>183008.12</v>
      </c>
      <c r="G123" s="47" t="s">
        <v>760</v>
      </c>
      <c r="H123" s="47" t="s">
        <v>791</v>
      </c>
      <c r="I123" s="46" t="s">
        <v>511</v>
      </c>
      <c r="J123" s="47" t="s">
        <v>512</v>
      </c>
      <c r="K123" s="47" t="s">
        <v>512</v>
      </c>
      <c r="L123" s="47" t="s">
        <v>520</v>
      </c>
      <c r="M123" s="47" t="s">
        <v>514</v>
      </c>
      <c r="N123" s="47" t="s">
        <v>515</v>
      </c>
      <c r="O123" s="54" t="s">
        <v>371</v>
      </c>
      <c r="P123" s="44" t="s">
        <v>309</v>
      </c>
      <c r="Q123" s="59" t="str">
        <f>MID(Tabla1[[#This Row],[Aplicación]],14,1)</f>
        <v>6</v>
      </c>
      <c r="R123" s="35" t="s">
        <v>299</v>
      </c>
      <c r="S123" s="59" t="str">
        <f>MID(Tabla1[[#This Row],[Aplicación]],6,2)</f>
        <v>07</v>
      </c>
      <c r="T123" s="35" t="str">
        <f>VLOOKUP(Tabla1[[#This Row],[AREA]],Hoja1!A:B,2,FALSE)</f>
        <v>07. Medio ambiente y desarrollo sostenible</v>
      </c>
      <c r="U123" s="35" t="str">
        <f>MID(Tabla1[[#This Row],[Aplicación]],9,4)</f>
        <v>1711</v>
      </c>
      <c r="V123" s="35" t="str">
        <f>VLOOKUP(Tabla1[[#This Row],[PROGRAMA]],Hoja1!A:B,2,FALSE)</f>
        <v>1711. Parques y jardines</v>
      </c>
      <c r="W123" s="56" t="str">
        <f>MID(Tabla1[[#This Row],[Aplicación]],14,2)</f>
        <v>61</v>
      </c>
      <c r="X123" s="56" t="str">
        <f>MID(Tabla1[[#This Row],[Aplicación]],14,6)</f>
        <v>619</v>
      </c>
    </row>
    <row r="124" spans="1:24" x14ac:dyDescent="0.25">
      <c r="A124" s="46">
        <v>220229000111</v>
      </c>
      <c r="B124" s="47" t="s">
        <v>507</v>
      </c>
      <c r="C124" s="52">
        <v>44927</v>
      </c>
      <c r="D124" s="46">
        <v>22023000714</v>
      </c>
      <c r="E124" s="47" t="s">
        <v>792</v>
      </c>
      <c r="F124" s="53">
        <v>181500</v>
      </c>
      <c r="G124" s="47" t="s">
        <v>82</v>
      </c>
      <c r="H124" s="47" t="s">
        <v>793</v>
      </c>
      <c r="I124" s="46" t="s">
        <v>511</v>
      </c>
      <c r="J124" s="47" t="s">
        <v>519</v>
      </c>
      <c r="K124" s="47" t="s">
        <v>519</v>
      </c>
      <c r="L124" s="47" t="s">
        <v>520</v>
      </c>
      <c r="M124" s="47" t="s">
        <v>514</v>
      </c>
      <c r="N124" s="47" t="s">
        <v>515</v>
      </c>
      <c r="O124" s="54" t="s">
        <v>371</v>
      </c>
      <c r="P124" s="44" t="s">
        <v>309</v>
      </c>
      <c r="Q124" s="59" t="str">
        <f>MID(Tabla1[[#This Row],[Aplicación]],14,1)</f>
        <v>6</v>
      </c>
      <c r="R124" s="35" t="s">
        <v>299</v>
      </c>
      <c r="S124" s="59" t="str">
        <f>MID(Tabla1[[#This Row],[Aplicación]],6,2)</f>
        <v>04</v>
      </c>
      <c r="T124" s="35" t="str">
        <f>VLOOKUP(Tabla1[[#This Row],[AREA]],Hoja1!A:B,2,FALSE)</f>
        <v>04. Planificación y recursos</v>
      </c>
      <c r="U124" s="35" t="str">
        <f>MID(Tabla1[[#This Row],[Aplicación]],9,4)</f>
        <v>9204</v>
      </c>
      <c r="V124" s="35" t="str">
        <f>VLOOKUP(Tabla1[[#This Row],[PROGRAMA]],Hoja1!A:B,2,FALSE)</f>
        <v>9204. Tecnologías de la información y comunicación</v>
      </c>
      <c r="W124" s="56" t="str">
        <f>MID(Tabla1[[#This Row],[Aplicación]],14,2)</f>
        <v>62</v>
      </c>
      <c r="X124" s="56" t="str">
        <f>MID(Tabla1[[#This Row],[Aplicación]],14,6)</f>
        <v>626</v>
      </c>
    </row>
    <row r="125" spans="1:24" x14ac:dyDescent="0.25">
      <c r="A125" s="46">
        <v>220229000758</v>
      </c>
      <c r="B125" s="47" t="s">
        <v>507</v>
      </c>
      <c r="C125" s="52">
        <v>44927</v>
      </c>
      <c r="D125" s="46">
        <v>22023000756</v>
      </c>
      <c r="E125" s="47" t="s">
        <v>757</v>
      </c>
      <c r="F125" s="53">
        <v>179648.24</v>
      </c>
      <c r="G125" s="47" t="s">
        <v>53</v>
      </c>
      <c r="H125" s="47" t="s">
        <v>794</v>
      </c>
      <c r="I125" s="46" t="s">
        <v>511</v>
      </c>
      <c r="J125" s="47" t="s">
        <v>519</v>
      </c>
      <c r="K125" s="47" t="s">
        <v>519</v>
      </c>
      <c r="L125" s="47" t="s">
        <v>520</v>
      </c>
      <c r="M125" s="47" t="s">
        <v>514</v>
      </c>
      <c r="N125" s="47" t="s">
        <v>515</v>
      </c>
      <c r="O125" s="45" t="s">
        <v>371</v>
      </c>
      <c r="P125" s="44" t="s">
        <v>309</v>
      </c>
      <c r="Q125" s="59" t="str">
        <f>MID(Tabla1[[#This Row],[Aplicación]],14,1)</f>
        <v>2</v>
      </c>
      <c r="R125" s="35" t="s">
        <v>298</v>
      </c>
      <c r="S125" s="59" t="str">
        <f>MID(Tabla1[[#This Row],[Aplicación]],6,2)</f>
        <v>10</v>
      </c>
      <c r="T125" s="35" t="str">
        <f>VLOOKUP(Tabla1[[#This Row],[AREA]],Hoja1!A:B,2,FALSE)</f>
        <v>10. Servicios sociales y mediación comunitaria</v>
      </c>
      <c r="U125" s="35" t="str">
        <f>MID(Tabla1[[#This Row],[Aplicación]],9,4)</f>
        <v>2312</v>
      </c>
      <c r="V125" s="35" t="str">
        <f>VLOOKUP(Tabla1[[#This Row],[PROGRAMA]],Hoja1!A:B,2,FALSE)</f>
        <v>2312. Iniciativas sociales</v>
      </c>
      <c r="W125" s="56" t="str">
        <f>MID(Tabla1[[#This Row],[Aplicación]],14,2)</f>
        <v>22</v>
      </c>
      <c r="X125" s="56" t="str">
        <f>MID(Tabla1[[#This Row],[Aplicación]],14,6)</f>
        <v>22700</v>
      </c>
    </row>
    <row r="126" spans="1:24" x14ac:dyDescent="0.25">
      <c r="A126" s="46">
        <v>220229000174</v>
      </c>
      <c r="B126" s="47" t="s">
        <v>507</v>
      </c>
      <c r="C126" s="52">
        <v>44927</v>
      </c>
      <c r="D126" s="46">
        <v>22023000918</v>
      </c>
      <c r="E126" s="47" t="s">
        <v>578</v>
      </c>
      <c r="F126" s="53">
        <v>175309.29</v>
      </c>
      <c r="G126" s="47" t="s">
        <v>788</v>
      </c>
      <c r="H126" s="47" t="s">
        <v>795</v>
      </c>
      <c r="I126" s="46" t="s">
        <v>511</v>
      </c>
      <c r="J126" s="47" t="s">
        <v>512</v>
      </c>
      <c r="K126" s="47" t="s">
        <v>512</v>
      </c>
      <c r="L126" s="47" t="s">
        <v>520</v>
      </c>
      <c r="M126" s="47" t="s">
        <v>514</v>
      </c>
      <c r="N126" s="47" t="s">
        <v>515</v>
      </c>
      <c r="O126" s="45" t="s">
        <v>371</v>
      </c>
      <c r="P126" s="44" t="s">
        <v>309</v>
      </c>
      <c r="Q126" s="59" t="str">
        <f>MID(Tabla1[[#This Row],[Aplicación]],14,1)</f>
        <v>2</v>
      </c>
      <c r="R126" s="35" t="s">
        <v>298</v>
      </c>
      <c r="S126" s="59" t="str">
        <f>MID(Tabla1[[#This Row],[Aplicación]],6,2)</f>
        <v>06</v>
      </c>
      <c r="T126" s="35" t="str">
        <f>VLOOKUP(Tabla1[[#This Row],[AREA]],Hoja1!A:B,2,FALSE)</f>
        <v>06. Educación, infancia, juventud e igualdad</v>
      </c>
      <c r="U126" s="35" t="str">
        <f>MID(Tabla1[[#This Row],[Aplicación]],9,4)</f>
        <v>3231</v>
      </c>
      <c r="V126" s="35" t="str">
        <f>VLOOKUP(Tabla1[[#This Row],[PROGRAMA]],Hoja1!A:B,2,FALSE)</f>
        <v>3231. Escuelas infantiles</v>
      </c>
      <c r="W126" s="56" t="str">
        <f>MID(Tabla1[[#This Row],[Aplicación]],14,2)</f>
        <v>22</v>
      </c>
      <c r="X126" s="56" t="str">
        <f>MID(Tabla1[[#This Row],[Aplicación]],14,6)</f>
        <v>22799</v>
      </c>
    </row>
    <row r="127" spans="1:24" x14ac:dyDescent="0.25">
      <c r="A127" s="46">
        <v>220229000207</v>
      </c>
      <c r="B127" s="47" t="s">
        <v>507</v>
      </c>
      <c r="C127" s="52">
        <v>44927</v>
      </c>
      <c r="D127" s="46">
        <v>22023000931</v>
      </c>
      <c r="E127" s="47" t="s">
        <v>796</v>
      </c>
      <c r="F127" s="53">
        <v>174990.1</v>
      </c>
      <c r="G127" s="47" t="s">
        <v>797</v>
      </c>
      <c r="H127" s="47" t="s">
        <v>798</v>
      </c>
      <c r="I127" s="46" t="s">
        <v>511</v>
      </c>
      <c r="J127" s="47" t="s">
        <v>519</v>
      </c>
      <c r="K127" s="47" t="s">
        <v>519</v>
      </c>
      <c r="L127" s="47" t="s">
        <v>520</v>
      </c>
      <c r="M127" s="47" t="s">
        <v>514</v>
      </c>
      <c r="N127" s="47" t="s">
        <v>515</v>
      </c>
      <c r="O127" s="45" t="s">
        <v>371</v>
      </c>
      <c r="P127" s="44" t="s">
        <v>309</v>
      </c>
      <c r="Q127" s="59" t="str">
        <f>MID(Tabla1[[#This Row],[Aplicación]],14,1)</f>
        <v>2</v>
      </c>
      <c r="R127" s="35" t="s">
        <v>298</v>
      </c>
      <c r="S127" s="59" t="str">
        <f>MID(Tabla1[[#This Row],[Aplicación]],6,2)</f>
        <v>03</v>
      </c>
      <c r="T127" s="35" t="str">
        <f>VLOOKUP(Tabla1[[#This Row],[AREA]],Hoja1!A:B,2,FALSE)</f>
        <v>03. Participación ciudadana y deportes</v>
      </c>
      <c r="U127" s="35" t="str">
        <f>MID(Tabla1[[#This Row],[Aplicación]],9,4)</f>
        <v>9241</v>
      </c>
      <c r="V127" s="35" t="str">
        <f>VLOOKUP(Tabla1[[#This Row],[PROGRAMA]],Hoja1!A:B,2,FALSE)</f>
        <v>9241. Participación ciudadana</v>
      </c>
      <c r="W127" s="56" t="str">
        <f>MID(Tabla1[[#This Row],[Aplicación]],14,2)</f>
        <v>22</v>
      </c>
      <c r="X127" s="56" t="str">
        <f>MID(Tabla1[[#This Row],[Aplicación]],14,6)</f>
        <v>22701</v>
      </c>
    </row>
    <row r="128" spans="1:24" x14ac:dyDescent="0.25">
      <c r="A128" s="46">
        <v>220229000866</v>
      </c>
      <c r="B128" s="47" t="s">
        <v>507</v>
      </c>
      <c r="C128" s="52">
        <v>44927</v>
      </c>
      <c r="D128" s="46">
        <v>22023001908</v>
      </c>
      <c r="E128" s="47" t="s">
        <v>799</v>
      </c>
      <c r="F128" s="53">
        <v>173677.61</v>
      </c>
      <c r="G128" s="47" t="s">
        <v>800</v>
      </c>
      <c r="H128" s="47" t="s">
        <v>801</v>
      </c>
      <c r="I128" s="46" t="s">
        <v>511</v>
      </c>
      <c r="J128" s="47" t="s">
        <v>802</v>
      </c>
      <c r="K128" s="47" t="s">
        <v>590</v>
      </c>
      <c r="L128" s="47" t="s">
        <v>520</v>
      </c>
      <c r="M128" s="47" t="s">
        <v>514</v>
      </c>
      <c r="N128" s="47" t="s">
        <v>515</v>
      </c>
      <c r="O128" s="45" t="s">
        <v>371</v>
      </c>
      <c r="P128" s="44" t="s">
        <v>309</v>
      </c>
      <c r="Q128" s="59" t="str">
        <f>MID(Tabla1[[#This Row],[Aplicación]],14,1)</f>
        <v>2</v>
      </c>
      <c r="R128" s="35" t="s">
        <v>298</v>
      </c>
      <c r="S128" s="59" t="str">
        <f>MID(Tabla1[[#This Row],[Aplicación]],6,2)</f>
        <v>02</v>
      </c>
      <c r="T128" s="35" t="str">
        <f>VLOOKUP(Tabla1[[#This Row],[AREA]],Hoja1!A:B,2,FALSE)</f>
        <v>02. Planeamiento urbanístico y vivienda</v>
      </c>
      <c r="U128" s="35" t="str">
        <f>MID(Tabla1[[#This Row],[Aplicación]],9,4)</f>
        <v>9331</v>
      </c>
      <c r="V128" s="35" t="str">
        <f>VLOOKUP(Tabla1[[#This Row],[PROGRAMA]],Hoja1!A:B,2,FALSE)</f>
        <v>9331. Gestión del patrimonio</v>
      </c>
      <c r="W128" s="56" t="str">
        <f>MID(Tabla1[[#This Row],[Aplicación]],14,2)</f>
        <v>22</v>
      </c>
      <c r="X128" s="56" t="str">
        <f>MID(Tabla1[[#This Row],[Aplicación]],14,6)</f>
        <v>224</v>
      </c>
    </row>
    <row r="129" spans="1:24" x14ac:dyDescent="0.25">
      <c r="A129" s="55">
        <v>220220053078</v>
      </c>
      <c r="B129" s="47" t="s">
        <v>507</v>
      </c>
      <c r="C129" s="52">
        <v>45014</v>
      </c>
      <c r="D129" s="46">
        <v>22022005784</v>
      </c>
      <c r="E129" s="47" t="s">
        <v>745</v>
      </c>
      <c r="F129" s="53">
        <v>9866.0400000000009</v>
      </c>
      <c r="G129" s="47" t="s">
        <v>1838</v>
      </c>
      <c r="H129" s="47" t="s">
        <v>1839</v>
      </c>
      <c r="I129" s="46" t="s">
        <v>511</v>
      </c>
      <c r="J129" s="47" t="s">
        <v>1840</v>
      </c>
      <c r="K129" s="47" t="s">
        <v>1003</v>
      </c>
      <c r="L129" s="47" t="s">
        <v>552</v>
      </c>
      <c r="M129" s="47" t="s">
        <v>514</v>
      </c>
      <c r="N129" s="47" t="s">
        <v>515</v>
      </c>
      <c r="O129" s="54" t="s">
        <v>371</v>
      </c>
      <c r="P129" s="44" t="s">
        <v>309</v>
      </c>
      <c r="Q129" s="59">
        <v>6</v>
      </c>
      <c r="R129" s="35" t="s">
        <v>299</v>
      </c>
      <c r="S129" s="59" t="str">
        <f>MID(Tabla1[[#This Row],[Aplicación]],6,2)</f>
        <v>07</v>
      </c>
      <c r="T129" s="35" t="str">
        <f>VLOOKUP(Tabla1[[#This Row],[AREA]],Hoja1!A:B,2,FALSE)</f>
        <v>07. Medio ambiente y desarrollo sostenible</v>
      </c>
      <c r="U129" s="35">
        <v>1721</v>
      </c>
      <c r="V129" s="35" t="str">
        <f>VLOOKUP(Tabla1[[#This Row],[PROGRAMA]],Hoja1!A:B,2,FALSE)</f>
        <v>1721. Protección del medio ambiente</v>
      </c>
      <c r="W129" s="56">
        <v>62</v>
      </c>
      <c r="X129" s="56">
        <v>623</v>
      </c>
    </row>
    <row r="130" spans="1:24" x14ac:dyDescent="0.25">
      <c r="A130" s="46">
        <v>220229000329</v>
      </c>
      <c r="B130" s="47" t="s">
        <v>507</v>
      </c>
      <c r="C130" s="52">
        <v>44927</v>
      </c>
      <c r="D130" s="46">
        <v>22023001151</v>
      </c>
      <c r="E130" s="47" t="s">
        <v>539</v>
      </c>
      <c r="F130" s="53">
        <v>165360</v>
      </c>
      <c r="G130" s="47" t="s">
        <v>804</v>
      </c>
      <c r="H130" s="47" t="s">
        <v>805</v>
      </c>
      <c r="I130" s="46" t="s">
        <v>511</v>
      </c>
      <c r="J130" s="47" t="s">
        <v>519</v>
      </c>
      <c r="K130" s="47" t="s">
        <v>519</v>
      </c>
      <c r="L130" s="47" t="s">
        <v>520</v>
      </c>
      <c r="M130" s="47" t="s">
        <v>514</v>
      </c>
      <c r="N130" s="47" t="s">
        <v>515</v>
      </c>
      <c r="O130" s="45" t="s">
        <v>371</v>
      </c>
      <c r="P130" s="44" t="s">
        <v>309</v>
      </c>
      <c r="Q130" s="59" t="str">
        <f>MID(Tabla1[[#This Row],[Aplicación]],14,1)</f>
        <v>2</v>
      </c>
      <c r="R130" s="35" t="s">
        <v>298</v>
      </c>
      <c r="S130" s="59" t="str">
        <f>MID(Tabla1[[#This Row],[Aplicación]],6,2)</f>
        <v>10</v>
      </c>
      <c r="T130" s="35" t="str">
        <f>VLOOKUP(Tabla1[[#This Row],[AREA]],Hoja1!A:B,2,FALSE)</f>
        <v>10. Servicios sociales y mediación comunitaria</v>
      </c>
      <c r="U130" s="35" t="str">
        <f>MID(Tabla1[[#This Row],[Aplicación]],9,4)</f>
        <v>2312</v>
      </c>
      <c r="V130" s="35" t="str">
        <f>VLOOKUP(Tabla1[[#This Row],[PROGRAMA]],Hoja1!A:B,2,FALSE)</f>
        <v>2312. Iniciativas sociales</v>
      </c>
      <c r="W130" s="56" t="str">
        <f>MID(Tabla1[[#This Row],[Aplicación]],14,2)</f>
        <v>22</v>
      </c>
      <c r="X130" s="56" t="str">
        <f>MID(Tabla1[[#This Row],[Aplicación]],14,6)</f>
        <v>22799</v>
      </c>
    </row>
    <row r="131" spans="1:24" x14ac:dyDescent="0.25">
      <c r="A131" s="46">
        <v>220229000446</v>
      </c>
      <c r="B131" s="47" t="s">
        <v>507</v>
      </c>
      <c r="C131" s="52">
        <v>44927</v>
      </c>
      <c r="D131" s="46">
        <v>22023000736</v>
      </c>
      <c r="E131" s="47" t="s">
        <v>726</v>
      </c>
      <c r="F131" s="53">
        <v>165042.21</v>
      </c>
      <c r="G131" s="47" t="s">
        <v>719</v>
      </c>
      <c r="H131" s="47" t="s">
        <v>806</v>
      </c>
      <c r="I131" s="46" t="s">
        <v>511</v>
      </c>
      <c r="J131" s="47" t="s">
        <v>512</v>
      </c>
      <c r="K131" s="47" t="s">
        <v>512</v>
      </c>
      <c r="L131" s="47" t="s">
        <v>552</v>
      </c>
      <c r="M131" s="47" t="s">
        <v>514</v>
      </c>
      <c r="N131" s="47" t="s">
        <v>604</v>
      </c>
      <c r="O131" s="54" t="s">
        <v>371</v>
      </c>
      <c r="P131" s="44" t="s">
        <v>309</v>
      </c>
      <c r="Q131" s="59" t="str">
        <f>MID(Tabla1[[#This Row],[Aplicación]],14,1)</f>
        <v>6</v>
      </c>
      <c r="R131" s="35" t="s">
        <v>299</v>
      </c>
      <c r="S131" s="59" t="str">
        <f>MID(Tabla1[[#This Row],[Aplicación]],6,2)</f>
        <v>04</v>
      </c>
      <c r="T131" s="35" t="str">
        <f>VLOOKUP(Tabla1[[#This Row],[AREA]],Hoja1!A:B,2,FALSE)</f>
        <v>04. Planificación y recursos</v>
      </c>
      <c r="U131" s="35" t="str">
        <f>MID(Tabla1[[#This Row],[Aplicación]],9,4)</f>
        <v>9204</v>
      </c>
      <c r="V131" s="35" t="str">
        <f>VLOOKUP(Tabla1[[#This Row],[PROGRAMA]],Hoja1!A:B,2,FALSE)</f>
        <v>9204. Tecnologías de la información y comunicación</v>
      </c>
      <c r="W131" s="56" t="str">
        <f>MID(Tabla1[[#This Row],[Aplicación]],14,2)</f>
        <v>64</v>
      </c>
      <c r="X131" s="56" t="str">
        <f>MID(Tabla1[[#This Row],[Aplicación]],14,6)</f>
        <v>641</v>
      </c>
    </row>
    <row r="132" spans="1:24" x14ac:dyDescent="0.25">
      <c r="A132" s="46">
        <v>220229000227</v>
      </c>
      <c r="B132" s="47" t="s">
        <v>507</v>
      </c>
      <c r="C132" s="52">
        <v>44927</v>
      </c>
      <c r="D132" s="46">
        <v>22023000320</v>
      </c>
      <c r="E132" s="47" t="s">
        <v>578</v>
      </c>
      <c r="F132" s="53">
        <v>165040</v>
      </c>
      <c r="G132" s="47" t="s">
        <v>724</v>
      </c>
      <c r="H132" s="47" t="s">
        <v>807</v>
      </c>
      <c r="I132" s="46" t="s">
        <v>511</v>
      </c>
      <c r="J132" s="47" t="s">
        <v>519</v>
      </c>
      <c r="K132" s="47" t="s">
        <v>519</v>
      </c>
      <c r="L132" s="47" t="s">
        <v>520</v>
      </c>
      <c r="M132" s="47" t="s">
        <v>514</v>
      </c>
      <c r="N132" s="47" t="s">
        <v>515</v>
      </c>
      <c r="O132" s="45" t="s">
        <v>371</v>
      </c>
      <c r="P132" s="44" t="s">
        <v>309</v>
      </c>
      <c r="Q132" s="59" t="str">
        <f>MID(Tabla1[[#This Row],[Aplicación]],14,1)</f>
        <v>2</v>
      </c>
      <c r="R132" s="35" t="s">
        <v>298</v>
      </c>
      <c r="S132" s="59" t="str">
        <f>MID(Tabla1[[#This Row],[Aplicación]],6,2)</f>
        <v>06</v>
      </c>
      <c r="T132" s="35" t="str">
        <f>VLOOKUP(Tabla1[[#This Row],[AREA]],Hoja1!A:B,2,FALSE)</f>
        <v>06. Educación, infancia, juventud e igualdad</v>
      </c>
      <c r="U132" s="35" t="str">
        <f>MID(Tabla1[[#This Row],[Aplicación]],9,4)</f>
        <v>3231</v>
      </c>
      <c r="V132" s="35" t="str">
        <f>VLOOKUP(Tabla1[[#This Row],[PROGRAMA]],Hoja1!A:B,2,FALSE)</f>
        <v>3231. Escuelas infantiles</v>
      </c>
      <c r="W132" s="56" t="str">
        <f>MID(Tabla1[[#This Row],[Aplicación]],14,2)</f>
        <v>22</v>
      </c>
      <c r="X132" s="56" t="str">
        <f>MID(Tabla1[[#This Row],[Aplicación]],14,6)</f>
        <v>22799</v>
      </c>
    </row>
    <row r="133" spans="1:24" x14ac:dyDescent="0.25">
      <c r="A133" s="46">
        <v>220219001203</v>
      </c>
      <c r="B133" s="47" t="s">
        <v>507</v>
      </c>
      <c r="C133" s="52">
        <v>44927</v>
      </c>
      <c r="D133" s="46">
        <v>22023003282</v>
      </c>
      <c r="E133" s="47" t="s">
        <v>808</v>
      </c>
      <c r="F133" s="53">
        <v>164910.9</v>
      </c>
      <c r="G133" s="47" t="s">
        <v>809</v>
      </c>
      <c r="H133" s="47" t="s">
        <v>810</v>
      </c>
      <c r="I133" s="46" t="s">
        <v>511</v>
      </c>
      <c r="J133" s="47" t="s">
        <v>811</v>
      </c>
      <c r="K133" s="47" t="s">
        <v>812</v>
      </c>
      <c r="L133" s="47" t="s">
        <v>527</v>
      </c>
      <c r="M133" s="47" t="s">
        <v>514</v>
      </c>
      <c r="N133" s="47" t="s">
        <v>515</v>
      </c>
      <c r="O133" s="54" t="s">
        <v>371</v>
      </c>
      <c r="P133" s="44" t="s">
        <v>309</v>
      </c>
      <c r="Q133" s="59" t="str">
        <f>MID(Tabla1[[#This Row],[Aplicación]],14,1)</f>
        <v>6</v>
      </c>
      <c r="R133" s="35" t="s">
        <v>299</v>
      </c>
      <c r="S133" s="59" t="str">
        <f>MID(Tabla1[[#This Row],[Aplicación]],6,2)</f>
        <v>03</v>
      </c>
      <c r="T133" s="35" t="str">
        <f>VLOOKUP(Tabla1[[#This Row],[AREA]],Hoja1!A:B,2,FALSE)</f>
        <v>03. Participación ciudadana y deportes</v>
      </c>
      <c r="U133" s="35" t="str">
        <f>MID(Tabla1[[#This Row],[Aplicación]],9,4)</f>
        <v>9241</v>
      </c>
      <c r="V133" s="35" t="str">
        <f>VLOOKUP(Tabla1[[#This Row],[PROGRAMA]],Hoja1!A:B,2,FALSE)</f>
        <v>9241. Participación ciudadana</v>
      </c>
      <c r="W133" s="56" t="str">
        <f>MID(Tabla1[[#This Row],[Aplicación]],14,2)</f>
        <v>63</v>
      </c>
      <c r="X133" s="56" t="str">
        <f>MID(Tabla1[[#This Row],[Aplicación]],14,6)</f>
        <v>632</v>
      </c>
    </row>
    <row r="134" spans="1:24" x14ac:dyDescent="0.25">
      <c r="A134" s="46">
        <v>220229000187</v>
      </c>
      <c r="B134" s="47" t="s">
        <v>507</v>
      </c>
      <c r="C134" s="52">
        <v>44927</v>
      </c>
      <c r="D134" s="46">
        <v>22023000310</v>
      </c>
      <c r="E134" s="47" t="s">
        <v>1231</v>
      </c>
      <c r="F134" s="53">
        <v>3004.26</v>
      </c>
      <c r="G134" s="47" t="s">
        <v>331</v>
      </c>
      <c r="H134" s="47" t="s">
        <v>1232</v>
      </c>
      <c r="I134" s="46" t="s">
        <v>511</v>
      </c>
      <c r="J134" s="47" t="s">
        <v>731</v>
      </c>
      <c r="K134" s="47" t="s">
        <v>519</v>
      </c>
      <c r="L134" s="47" t="s">
        <v>815</v>
      </c>
      <c r="M134" s="47" t="s">
        <v>514</v>
      </c>
      <c r="N134" s="47" t="s">
        <v>515</v>
      </c>
      <c r="O134" s="54" t="s">
        <v>371</v>
      </c>
      <c r="P134" s="44" t="s">
        <v>309</v>
      </c>
      <c r="Q134" s="59">
        <v>6</v>
      </c>
      <c r="R134" s="35" t="s">
        <v>299</v>
      </c>
      <c r="S134" s="59" t="str">
        <f>MID(Tabla1[[#This Row],[Aplicación]],6,2)</f>
        <v>10</v>
      </c>
      <c r="T134" s="35" t="str">
        <f>VLOOKUP(Tabla1[[#This Row],[AREA]],Hoja1!A:B,2,FALSE)</f>
        <v>10. Servicios sociales y mediación comunitaria</v>
      </c>
      <c r="U134" s="35">
        <v>2312</v>
      </c>
      <c r="V134" s="35" t="str">
        <f>VLOOKUP(Tabla1[[#This Row],[PROGRAMA]],Hoja1!A:B,2,FALSE)</f>
        <v>2312. Iniciativas sociales</v>
      </c>
      <c r="W134" s="56">
        <v>64</v>
      </c>
      <c r="X134" s="56">
        <v>641</v>
      </c>
    </row>
    <row r="135" spans="1:24" x14ac:dyDescent="0.25">
      <c r="A135" s="46">
        <v>220229000443</v>
      </c>
      <c r="B135" s="47" t="s">
        <v>507</v>
      </c>
      <c r="C135" s="52">
        <v>44927</v>
      </c>
      <c r="D135" s="46">
        <v>22023000733</v>
      </c>
      <c r="E135" s="47" t="s">
        <v>726</v>
      </c>
      <c r="F135" s="53">
        <v>158012.25</v>
      </c>
      <c r="G135" s="47" t="s">
        <v>719</v>
      </c>
      <c r="H135" s="47" t="s">
        <v>816</v>
      </c>
      <c r="I135" s="46" t="s">
        <v>511</v>
      </c>
      <c r="J135" s="47" t="s">
        <v>512</v>
      </c>
      <c r="K135" s="47" t="s">
        <v>512</v>
      </c>
      <c r="L135" s="47" t="s">
        <v>552</v>
      </c>
      <c r="M135" s="47" t="s">
        <v>514</v>
      </c>
      <c r="N135" s="47" t="s">
        <v>604</v>
      </c>
      <c r="O135" s="54" t="s">
        <v>371</v>
      </c>
      <c r="P135" s="44" t="s">
        <v>309</v>
      </c>
      <c r="Q135" s="59" t="str">
        <f>MID(Tabla1[[#This Row],[Aplicación]],14,1)</f>
        <v>6</v>
      </c>
      <c r="R135" s="35" t="s">
        <v>299</v>
      </c>
      <c r="S135" s="59" t="str">
        <f>MID(Tabla1[[#This Row],[Aplicación]],6,2)</f>
        <v>04</v>
      </c>
      <c r="T135" s="35" t="str">
        <f>VLOOKUP(Tabla1[[#This Row],[AREA]],Hoja1!A:B,2,FALSE)</f>
        <v>04. Planificación y recursos</v>
      </c>
      <c r="U135" s="35" t="str">
        <f>MID(Tabla1[[#This Row],[Aplicación]],9,4)</f>
        <v>9204</v>
      </c>
      <c r="V135" s="35" t="str">
        <f>VLOOKUP(Tabla1[[#This Row],[PROGRAMA]],Hoja1!A:B,2,FALSE)</f>
        <v>9204. Tecnologías de la información y comunicación</v>
      </c>
      <c r="W135" s="56" t="str">
        <f>MID(Tabla1[[#This Row],[Aplicación]],14,2)</f>
        <v>64</v>
      </c>
      <c r="X135" s="56" t="str">
        <f>MID(Tabla1[[#This Row],[Aplicación]],14,6)</f>
        <v>641</v>
      </c>
    </row>
    <row r="136" spans="1:24" x14ac:dyDescent="0.25">
      <c r="A136" s="46">
        <v>220229000551</v>
      </c>
      <c r="B136" s="47" t="s">
        <v>507</v>
      </c>
      <c r="C136" s="52">
        <v>44927</v>
      </c>
      <c r="D136" s="46">
        <v>22023001215</v>
      </c>
      <c r="E136" s="47" t="s">
        <v>817</v>
      </c>
      <c r="F136" s="53">
        <v>154999.79</v>
      </c>
      <c r="G136" s="47" t="s">
        <v>786</v>
      </c>
      <c r="H136" s="47" t="s">
        <v>818</v>
      </c>
      <c r="I136" s="46" t="s">
        <v>511</v>
      </c>
      <c r="J136" s="47" t="s">
        <v>519</v>
      </c>
      <c r="K136" s="47" t="s">
        <v>519</v>
      </c>
      <c r="L136" s="47" t="s">
        <v>527</v>
      </c>
      <c r="M136" s="47" t="s">
        <v>514</v>
      </c>
      <c r="N136" s="47" t="s">
        <v>604</v>
      </c>
      <c r="O136" s="54" t="s">
        <v>371</v>
      </c>
      <c r="P136" s="44" t="s">
        <v>309</v>
      </c>
      <c r="Q136" s="59" t="str">
        <f>MID(Tabla1[[#This Row],[Aplicación]],14,1)</f>
        <v>6</v>
      </c>
      <c r="R136" s="35" t="s">
        <v>299</v>
      </c>
      <c r="S136" s="59" t="str">
        <f>MID(Tabla1[[#This Row],[Aplicación]],6,2)</f>
        <v>05</v>
      </c>
      <c r="T136" s="35" t="str">
        <f>VLOOKUP(Tabla1[[#This Row],[AREA]],Hoja1!A:B,2,FALSE)</f>
        <v>05. Innovación, desarrollo económico, empleo y comercio</v>
      </c>
      <c r="U136" s="35" t="str">
        <f>MID(Tabla1[[#This Row],[Aplicación]],9,4)</f>
        <v>4331</v>
      </c>
      <c r="V136" s="35" t="str">
        <f>VLOOKUP(Tabla1[[#This Row],[PROGRAMA]],Hoja1!A:B,2,FALSE)</f>
        <v>4331. Desarrollo empresarial</v>
      </c>
      <c r="W136" s="56" t="str">
        <f>MID(Tabla1[[#This Row],[Aplicación]],14,2)</f>
        <v>60</v>
      </c>
      <c r="X136" s="56" t="str">
        <f>MID(Tabla1[[#This Row],[Aplicación]],14,6)</f>
        <v>609</v>
      </c>
    </row>
    <row r="137" spans="1:24" x14ac:dyDescent="0.25">
      <c r="A137" s="46">
        <v>220229000803</v>
      </c>
      <c r="B137" s="47" t="s">
        <v>507</v>
      </c>
      <c r="C137" s="52">
        <v>44927</v>
      </c>
      <c r="D137" s="46">
        <v>22023001875</v>
      </c>
      <c r="E137" s="47" t="s">
        <v>819</v>
      </c>
      <c r="F137" s="53">
        <v>150040</v>
      </c>
      <c r="G137" s="47" t="s">
        <v>820</v>
      </c>
      <c r="H137" s="47" t="s">
        <v>821</v>
      </c>
      <c r="I137" s="46" t="s">
        <v>511</v>
      </c>
      <c r="J137" s="47" t="s">
        <v>512</v>
      </c>
      <c r="K137" s="47" t="s">
        <v>512</v>
      </c>
      <c r="L137" s="47" t="s">
        <v>520</v>
      </c>
      <c r="M137" s="47" t="s">
        <v>514</v>
      </c>
      <c r="N137" s="47" t="s">
        <v>515</v>
      </c>
      <c r="O137" s="54" t="s">
        <v>371</v>
      </c>
      <c r="P137" s="44" t="s">
        <v>309</v>
      </c>
      <c r="Q137" s="59" t="str">
        <f>MID(Tabla1[[#This Row],[Aplicación]],14,1)</f>
        <v>8</v>
      </c>
      <c r="R137" s="56" t="s">
        <v>300</v>
      </c>
      <c r="S137" s="59" t="str">
        <f>MID(Tabla1[[#This Row],[Aplicación]],6,2)</f>
        <v>08</v>
      </c>
      <c r="T137" s="35" t="str">
        <f>VLOOKUP(Tabla1[[#This Row],[AREA]],Hoja1!A:B,2,FALSE)</f>
        <v>08. Movilidad y espacio urbano</v>
      </c>
      <c r="U137" s="35" t="str">
        <f>MID(Tabla1[[#This Row],[Aplicación]],9,4)</f>
        <v>1513</v>
      </c>
      <c r="V137" s="35" t="str">
        <f>VLOOKUP(Tabla1[[#This Row],[PROGRAMA]],Hoja1!A:B,2,FALSE)</f>
        <v>1513. Licencias urbanísticas</v>
      </c>
      <c r="W137" s="56" t="str">
        <f>MID(Tabla1[[#This Row],[Aplicación]],14,2)</f>
        <v>83</v>
      </c>
      <c r="X137" s="56" t="str">
        <f>MID(Tabla1[[#This Row],[Aplicación]],14,6)</f>
        <v>83100</v>
      </c>
    </row>
    <row r="138" spans="1:24" x14ac:dyDescent="0.25">
      <c r="A138" s="46">
        <v>220229000739</v>
      </c>
      <c r="B138" s="47" t="s">
        <v>507</v>
      </c>
      <c r="C138" s="52">
        <v>44927</v>
      </c>
      <c r="D138" s="46">
        <v>22023000742</v>
      </c>
      <c r="E138" s="47" t="s">
        <v>539</v>
      </c>
      <c r="F138" s="53">
        <v>148561.92000000001</v>
      </c>
      <c r="G138" s="47" t="s">
        <v>570</v>
      </c>
      <c r="H138" s="47" t="s">
        <v>822</v>
      </c>
      <c r="I138" s="46" t="s">
        <v>511</v>
      </c>
      <c r="J138" s="47" t="s">
        <v>572</v>
      </c>
      <c r="K138" s="47" t="s">
        <v>573</v>
      </c>
      <c r="L138" s="47" t="s">
        <v>520</v>
      </c>
      <c r="M138" s="47" t="s">
        <v>514</v>
      </c>
      <c r="N138" s="47" t="s">
        <v>515</v>
      </c>
      <c r="O138" s="45" t="s">
        <v>371</v>
      </c>
      <c r="P138" s="44" t="s">
        <v>309</v>
      </c>
      <c r="Q138" s="59" t="str">
        <f>MID(Tabla1[[#This Row],[Aplicación]],14,1)</f>
        <v>2</v>
      </c>
      <c r="R138" s="35" t="s">
        <v>298</v>
      </c>
      <c r="S138" s="59" t="str">
        <f>MID(Tabla1[[#This Row],[Aplicación]],6,2)</f>
        <v>10</v>
      </c>
      <c r="T138" s="35" t="str">
        <f>VLOOKUP(Tabla1[[#This Row],[AREA]],Hoja1!A:B,2,FALSE)</f>
        <v>10. Servicios sociales y mediación comunitaria</v>
      </c>
      <c r="U138" s="35" t="str">
        <f>MID(Tabla1[[#This Row],[Aplicación]],9,4)</f>
        <v>2312</v>
      </c>
      <c r="V138" s="35" t="str">
        <f>VLOOKUP(Tabla1[[#This Row],[PROGRAMA]],Hoja1!A:B,2,FALSE)</f>
        <v>2312. Iniciativas sociales</v>
      </c>
      <c r="W138" s="56" t="str">
        <f>MID(Tabla1[[#This Row],[Aplicación]],14,2)</f>
        <v>22</v>
      </c>
      <c r="X138" s="56" t="str">
        <f>MID(Tabla1[[#This Row],[Aplicación]],14,6)</f>
        <v>22799</v>
      </c>
    </row>
    <row r="139" spans="1:24" x14ac:dyDescent="0.25">
      <c r="A139" s="46">
        <v>220229000330</v>
      </c>
      <c r="B139" s="47" t="s">
        <v>507</v>
      </c>
      <c r="C139" s="52">
        <v>44927</v>
      </c>
      <c r="D139" s="46">
        <v>22023001152</v>
      </c>
      <c r="E139" s="47" t="s">
        <v>539</v>
      </c>
      <c r="F139" s="53">
        <v>146640</v>
      </c>
      <c r="G139" s="47" t="s">
        <v>804</v>
      </c>
      <c r="H139" s="47" t="s">
        <v>823</v>
      </c>
      <c r="I139" s="46" t="s">
        <v>511</v>
      </c>
      <c r="J139" s="47" t="s">
        <v>519</v>
      </c>
      <c r="K139" s="47" t="s">
        <v>519</v>
      </c>
      <c r="L139" s="47" t="s">
        <v>520</v>
      </c>
      <c r="M139" s="47" t="s">
        <v>514</v>
      </c>
      <c r="N139" s="47" t="s">
        <v>515</v>
      </c>
      <c r="O139" s="45" t="s">
        <v>371</v>
      </c>
      <c r="P139" s="44" t="s">
        <v>309</v>
      </c>
      <c r="Q139" s="59" t="str">
        <f>MID(Tabla1[[#This Row],[Aplicación]],14,1)</f>
        <v>2</v>
      </c>
      <c r="R139" s="35" t="s">
        <v>298</v>
      </c>
      <c r="S139" s="59" t="str">
        <f>MID(Tabla1[[#This Row],[Aplicación]],6,2)</f>
        <v>10</v>
      </c>
      <c r="T139" s="35" t="str">
        <f>VLOOKUP(Tabla1[[#This Row],[AREA]],Hoja1!A:B,2,FALSE)</f>
        <v>10. Servicios sociales y mediación comunitaria</v>
      </c>
      <c r="U139" s="35" t="str">
        <f>MID(Tabla1[[#This Row],[Aplicación]],9,4)</f>
        <v>2312</v>
      </c>
      <c r="V139" s="35" t="str">
        <f>VLOOKUP(Tabla1[[#This Row],[PROGRAMA]],Hoja1!A:B,2,FALSE)</f>
        <v>2312. Iniciativas sociales</v>
      </c>
      <c r="W139" s="56" t="str">
        <f>MID(Tabla1[[#This Row],[Aplicación]],14,2)</f>
        <v>22</v>
      </c>
      <c r="X139" s="56" t="str">
        <f>MID(Tabla1[[#This Row],[Aplicación]],14,6)</f>
        <v>22799</v>
      </c>
    </row>
    <row r="140" spans="1:24" x14ac:dyDescent="0.25">
      <c r="A140" s="46">
        <v>220229000425</v>
      </c>
      <c r="B140" s="47" t="s">
        <v>507</v>
      </c>
      <c r="C140" s="52">
        <v>44927</v>
      </c>
      <c r="D140" s="46">
        <v>22023000725</v>
      </c>
      <c r="E140" s="47" t="s">
        <v>726</v>
      </c>
      <c r="F140" s="53">
        <v>141883.07</v>
      </c>
      <c r="G140" s="47" t="s">
        <v>824</v>
      </c>
      <c r="H140" s="47" t="s">
        <v>825</v>
      </c>
      <c r="I140" s="46" t="s">
        <v>511</v>
      </c>
      <c r="J140" s="47" t="s">
        <v>826</v>
      </c>
      <c r="K140" s="51" t="s">
        <v>827</v>
      </c>
      <c r="L140" s="47" t="s">
        <v>520</v>
      </c>
      <c r="M140" s="47" t="s">
        <v>514</v>
      </c>
      <c r="N140" s="47" t="s">
        <v>515</v>
      </c>
      <c r="O140" s="54" t="s">
        <v>371</v>
      </c>
      <c r="P140" s="44" t="s">
        <v>309</v>
      </c>
      <c r="Q140" s="59" t="str">
        <f>MID(Tabla1[[#This Row],[Aplicación]],14,1)</f>
        <v>6</v>
      </c>
      <c r="R140" s="35" t="s">
        <v>299</v>
      </c>
      <c r="S140" s="59" t="str">
        <f>MID(Tabla1[[#This Row],[Aplicación]],6,2)</f>
        <v>04</v>
      </c>
      <c r="T140" s="35" t="str">
        <f>VLOOKUP(Tabla1[[#This Row],[AREA]],Hoja1!A:B,2,FALSE)</f>
        <v>04. Planificación y recursos</v>
      </c>
      <c r="U140" s="35" t="str">
        <f>MID(Tabla1[[#This Row],[Aplicación]],9,4)</f>
        <v>9204</v>
      </c>
      <c r="V140" s="35" t="str">
        <f>VLOOKUP(Tabla1[[#This Row],[PROGRAMA]],Hoja1!A:B,2,FALSE)</f>
        <v>9204. Tecnologías de la información y comunicación</v>
      </c>
      <c r="W140" s="56" t="str">
        <f>MID(Tabla1[[#This Row],[Aplicación]],14,2)</f>
        <v>64</v>
      </c>
      <c r="X140" s="56" t="str">
        <f>MID(Tabla1[[#This Row],[Aplicación]],14,6)</f>
        <v>641</v>
      </c>
    </row>
    <row r="141" spans="1:24" x14ac:dyDescent="0.25">
      <c r="A141" s="46">
        <v>220229000186</v>
      </c>
      <c r="B141" s="47" t="s">
        <v>507</v>
      </c>
      <c r="C141" s="52">
        <v>44927</v>
      </c>
      <c r="D141" s="46">
        <v>22023000309</v>
      </c>
      <c r="E141" s="47" t="s">
        <v>751</v>
      </c>
      <c r="F141" s="53">
        <v>234110</v>
      </c>
      <c r="G141" s="47" t="s">
        <v>76</v>
      </c>
      <c r="H141" s="47" t="s">
        <v>752</v>
      </c>
      <c r="I141" s="46" t="s">
        <v>511</v>
      </c>
      <c r="J141" s="47" t="s">
        <v>731</v>
      </c>
      <c r="K141" s="47" t="s">
        <v>519</v>
      </c>
      <c r="L141" s="47" t="s">
        <v>520</v>
      </c>
      <c r="M141" s="47" t="s">
        <v>514</v>
      </c>
      <c r="N141" s="47" t="s">
        <v>515</v>
      </c>
      <c r="O141" s="54" t="s">
        <v>371</v>
      </c>
      <c r="P141" s="44" t="s">
        <v>309</v>
      </c>
      <c r="Q141" s="59">
        <v>6</v>
      </c>
      <c r="R141" s="35" t="s">
        <v>299</v>
      </c>
      <c r="S141" s="59" t="str">
        <f>MID(Tabla1[[#This Row],[Aplicación]],6,2)</f>
        <v>10</v>
      </c>
      <c r="T141" s="35" t="str">
        <f>VLOOKUP(Tabla1[[#This Row],[AREA]],Hoja1!A:B,2,FALSE)</f>
        <v>10. Servicios sociales y mediación comunitaria</v>
      </c>
      <c r="U141" s="35">
        <v>2313</v>
      </c>
      <c r="V141" s="35" t="str">
        <f>VLOOKUP(Tabla1[[#This Row],[PROGRAMA]],Hoja1!A:B,2,FALSE)</f>
        <v>2313. Dirección del área de servicios sociales</v>
      </c>
      <c r="W141" s="56">
        <v>64</v>
      </c>
      <c r="X141" s="56">
        <v>641</v>
      </c>
    </row>
    <row r="142" spans="1:24" x14ac:dyDescent="0.25">
      <c r="A142" s="46">
        <v>220229000161</v>
      </c>
      <c r="B142" s="47" t="s">
        <v>507</v>
      </c>
      <c r="C142" s="52">
        <v>44927</v>
      </c>
      <c r="D142" s="46">
        <v>22023000308</v>
      </c>
      <c r="E142" s="47" t="s">
        <v>736</v>
      </c>
      <c r="F142" s="53">
        <v>137698</v>
      </c>
      <c r="G142" s="47" t="s">
        <v>830</v>
      </c>
      <c r="H142" s="47" t="s">
        <v>831</v>
      </c>
      <c r="I142" s="46" t="s">
        <v>511</v>
      </c>
      <c r="J142" s="47" t="s">
        <v>832</v>
      </c>
      <c r="K142" s="47" t="s">
        <v>771</v>
      </c>
      <c r="L142" s="47" t="s">
        <v>520</v>
      </c>
      <c r="M142" s="47" t="s">
        <v>514</v>
      </c>
      <c r="N142" s="47" t="s">
        <v>515</v>
      </c>
      <c r="O142" s="45" t="s">
        <v>371</v>
      </c>
      <c r="P142" s="44" t="s">
        <v>309</v>
      </c>
      <c r="Q142" s="59" t="str">
        <f>MID(Tabla1[[#This Row],[Aplicación]],14,1)</f>
        <v>2</v>
      </c>
      <c r="R142" s="35" t="s">
        <v>298</v>
      </c>
      <c r="S142" s="59" t="str">
        <f>MID(Tabla1[[#This Row],[Aplicación]],6,2)</f>
        <v>06</v>
      </c>
      <c r="T142" s="35" t="str">
        <f>VLOOKUP(Tabla1[[#This Row],[AREA]],Hoja1!A:B,2,FALSE)</f>
        <v>06. Educación, infancia, juventud e igualdad</v>
      </c>
      <c r="U142" s="35" t="str">
        <f>MID(Tabla1[[#This Row],[Aplicación]],9,4)</f>
        <v>3261</v>
      </c>
      <c r="V142" s="35" t="str">
        <f>VLOOKUP(Tabla1[[#This Row],[PROGRAMA]],Hoja1!A:B,2,FALSE)</f>
        <v>3261. Servicios complementarios de educación</v>
      </c>
      <c r="W142" s="56" t="str">
        <f>MID(Tabla1[[#This Row],[Aplicación]],14,2)</f>
        <v>22</v>
      </c>
      <c r="X142" s="56" t="str">
        <f>MID(Tabla1[[#This Row],[Aplicación]],14,6)</f>
        <v>22799</v>
      </c>
    </row>
    <row r="143" spans="1:24" x14ac:dyDescent="0.25">
      <c r="A143" s="46">
        <v>220229000815</v>
      </c>
      <c r="B143" s="47" t="s">
        <v>507</v>
      </c>
      <c r="C143" s="52">
        <v>44927</v>
      </c>
      <c r="D143" s="46">
        <v>22023001942</v>
      </c>
      <c r="E143" s="47" t="s">
        <v>539</v>
      </c>
      <c r="F143" s="53">
        <v>136608</v>
      </c>
      <c r="G143" s="47" t="s">
        <v>540</v>
      </c>
      <c r="H143" s="47" t="s">
        <v>833</v>
      </c>
      <c r="I143" s="46" t="s">
        <v>511</v>
      </c>
      <c r="J143" s="47" t="s">
        <v>512</v>
      </c>
      <c r="K143" s="47" t="s">
        <v>512</v>
      </c>
      <c r="L143" s="47" t="s">
        <v>520</v>
      </c>
      <c r="M143" s="47" t="s">
        <v>514</v>
      </c>
      <c r="N143" s="47" t="s">
        <v>515</v>
      </c>
      <c r="O143" s="45" t="s">
        <v>371</v>
      </c>
      <c r="P143" s="44" t="s">
        <v>309</v>
      </c>
      <c r="Q143" s="59" t="str">
        <f>MID(Tabla1[[#This Row],[Aplicación]],14,1)</f>
        <v>2</v>
      </c>
      <c r="R143" s="35" t="s">
        <v>298</v>
      </c>
      <c r="S143" s="59" t="str">
        <f>MID(Tabla1[[#This Row],[Aplicación]],6,2)</f>
        <v>10</v>
      </c>
      <c r="T143" s="35" t="str">
        <f>VLOOKUP(Tabla1[[#This Row],[AREA]],Hoja1!A:B,2,FALSE)</f>
        <v>10. Servicios sociales y mediación comunitaria</v>
      </c>
      <c r="U143" s="35" t="str">
        <f>MID(Tabla1[[#This Row],[Aplicación]],9,4)</f>
        <v>2312</v>
      </c>
      <c r="V143" s="35" t="str">
        <f>VLOOKUP(Tabla1[[#This Row],[PROGRAMA]],Hoja1!A:B,2,FALSE)</f>
        <v>2312. Iniciativas sociales</v>
      </c>
      <c r="W143" s="56" t="str">
        <f>MID(Tabla1[[#This Row],[Aplicación]],14,2)</f>
        <v>22</v>
      </c>
      <c r="X143" s="56" t="str">
        <f>MID(Tabla1[[#This Row],[Aplicación]],14,6)</f>
        <v>22799</v>
      </c>
    </row>
    <row r="144" spans="1:24" x14ac:dyDescent="0.25">
      <c r="A144" s="46">
        <v>220229000441</v>
      </c>
      <c r="B144" s="47" t="s">
        <v>507</v>
      </c>
      <c r="C144" s="52">
        <v>44927</v>
      </c>
      <c r="D144" s="46">
        <v>22023000731</v>
      </c>
      <c r="E144" s="47" t="s">
        <v>726</v>
      </c>
      <c r="F144" s="53">
        <v>132659.56</v>
      </c>
      <c r="G144" s="47" t="s">
        <v>719</v>
      </c>
      <c r="H144" s="47" t="s">
        <v>834</v>
      </c>
      <c r="I144" s="46" t="s">
        <v>511</v>
      </c>
      <c r="J144" s="47" t="s">
        <v>512</v>
      </c>
      <c r="K144" s="47" t="s">
        <v>512</v>
      </c>
      <c r="L144" s="47" t="s">
        <v>552</v>
      </c>
      <c r="M144" s="47" t="s">
        <v>514</v>
      </c>
      <c r="N144" s="47" t="s">
        <v>604</v>
      </c>
      <c r="O144" s="54" t="s">
        <v>371</v>
      </c>
      <c r="P144" s="44" t="s">
        <v>309</v>
      </c>
      <c r="Q144" s="59" t="str">
        <f>MID(Tabla1[[#This Row],[Aplicación]],14,1)</f>
        <v>6</v>
      </c>
      <c r="R144" s="35" t="s">
        <v>299</v>
      </c>
      <c r="S144" s="59" t="str">
        <f>MID(Tabla1[[#This Row],[Aplicación]],6,2)</f>
        <v>04</v>
      </c>
      <c r="T144" s="35" t="str">
        <f>VLOOKUP(Tabla1[[#This Row],[AREA]],Hoja1!A:B,2,FALSE)</f>
        <v>04. Planificación y recursos</v>
      </c>
      <c r="U144" s="35" t="str">
        <f>MID(Tabla1[[#This Row],[Aplicación]],9,4)</f>
        <v>9204</v>
      </c>
      <c r="V144" s="35" t="str">
        <f>VLOOKUP(Tabla1[[#This Row],[PROGRAMA]],Hoja1!A:B,2,FALSE)</f>
        <v>9204. Tecnologías de la información y comunicación</v>
      </c>
      <c r="W144" s="56" t="str">
        <f>MID(Tabla1[[#This Row],[Aplicación]],14,2)</f>
        <v>64</v>
      </c>
      <c r="X144" s="56" t="str">
        <f>MID(Tabla1[[#This Row],[Aplicación]],14,6)</f>
        <v>641</v>
      </c>
    </row>
    <row r="145" spans="1:24" x14ac:dyDescent="0.25">
      <c r="A145" s="46">
        <v>220229000610</v>
      </c>
      <c r="B145" s="47" t="s">
        <v>507</v>
      </c>
      <c r="C145" s="52">
        <v>44927</v>
      </c>
      <c r="D145" s="46">
        <v>22023001228</v>
      </c>
      <c r="E145" s="47" t="s">
        <v>835</v>
      </c>
      <c r="F145" s="53">
        <v>1020616.05</v>
      </c>
      <c r="G145" s="47" t="s">
        <v>330</v>
      </c>
      <c r="H145" s="47" t="s">
        <v>836</v>
      </c>
      <c r="I145" s="46" t="s">
        <v>511</v>
      </c>
      <c r="J145" s="47" t="s">
        <v>837</v>
      </c>
      <c r="K145" s="47" t="s">
        <v>837</v>
      </c>
      <c r="L145" s="47" t="s">
        <v>520</v>
      </c>
      <c r="M145" s="47" t="s">
        <v>838</v>
      </c>
      <c r="N145" s="47" t="s">
        <v>839</v>
      </c>
      <c r="O145" s="45" t="s">
        <v>373</v>
      </c>
      <c r="P145" s="44" t="s">
        <v>309</v>
      </c>
      <c r="Q145" s="59" t="str">
        <f>MID(Tabla1[[#This Row],[Aplicación]],14,1)</f>
        <v>2</v>
      </c>
      <c r="R145" s="35" t="s">
        <v>298</v>
      </c>
      <c r="S145" s="59" t="str">
        <f>MID(Tabla1[[#This Row],[Aplicación]],6,2)</f>
        <v>05</v>
      </c>
      <c r="T145" s="35" t="str">
        <f>VLOOKUP(Tabla1[[#This Row],[AREA]],Hoja1!A:B,2,FALSE)</f>
        <v>05. Innovación, desarrollo económico, empleo y comercio</v>
      </c>
      <c r="U145" s="35" t="str">
        <f>MID(Tabla1[[#This Row],[Aplicación]],9,4)</f>
        <v>4331</v>
      </c>
      <c r="V145" s="35" t="str">
        <f>VLOOKUP(Tabla1[[#This Row],[PROGRAMA]],Hoja1!A:B,2,FALSE)</f>
        <v>4331. Desarrollo empresarial</v>
      </c>
      <c r="W145" s="56" t="str">
        <f>MID(Tabla1[[#This Row],[Aplicación]],14,2)</f>
        <v>22</v>
      </c>
      <c r="X145" s="56" t="str">
        <f>MID(Tabla1[[#This Row],[Aplicación]],14,6)</f>
        <v>22799</v>
      </c>
    </row>
    <row r="146" spans="1:24" x14ac:dyDescent="0.25">
      <c r="A146" s="46">
        <v>220230000221</v>
      </c>
      <c r="B146" s="47" t="s">
        <v>507</v>
      </c>
      <c r="C146" s="52">
        <v>44927</v>
      </c>
      <c r="D146" s="46">
        <v>22023001362</v>
      </c>
      <c r="E146" s="47" t="s">
        <v>711</v>
      </c>
      <c r="F146" s="53">
        <v>131730.71</v>
      </c>
      <c r="G146" s="47" t="s">
        <v>719</v>
      </c>
      <c r="H146" s="47" t="s">
        <v>840</v>
      </c>
      <c r="I146" s="46" t="s">
        <v>511</v>
      </c>
      <c r="J146" s="47" t="s">
        <v>512</v>
      </c>
      <c r="K146" s="47" t="s">
        <v>512</v>
      </c>
      <c r="L146" s="47" t="s">
        <v>520</v>
      </c>
      <c r="M146" s="47" t="s">
        <v>514</v>
      </c>
      <c r="N146" s="47" t="s">
        <v>515</v>
      </c>
      <c r="O146" s="54" t="s">
        <v>371</v>
      </c>
      <c r="P146" s="44" t="s">
        <v>309</v>
      </c>
      <c r="Q146" s="59" t="str">
        <f>MID(Tabla1[[#This Row],[Aplicación]],14,1)</f>
        <v>6</v>
      </c>
      <c r="R146" s="35" t="s">
        <v>299</v>
      </c>
      <c r="S146" s="59" t="str">
        <f>MID(Tabla1[[#This Row],[Aplicación]],6,2)</f>
        <v>04</v>
      </c>
      <c r="T146" s="35" t="str">
        <f>VLOOKUP(Tabla1[[#This Row],[AREA]],Hoja1!A:B,2,FALSE)</f>
        <v>04. Planificación y recursos</v>
      </c>
      <c r="U146" s="35" t="str">
        <f>MID(Tabla1[[#This Row],[Aplicación]],9,4)</f>
        <v>9204</v>
      </c>
      <c r="V146" s="35" t="str">
        <f>VLOOKUP(Tabla1[[#This Row],[PROGRAMA]],Hoja1!A:B,2,FALSE)</f>
        <v>9204. Tecnologías de la información y comunicación</v>
      </c>
      <c r="W146" s="56" t="str">
        <f>MID(Tabla1[[#This Row],[Aplicación]],14,2)</f>
        <v>63</v>
      </c>
      <c r="X146" s="56" t="str">
        <f>MID(Tabla1[[#This Row],[Aplicación]],14,6)</f>
        <v>636</v>
      </c>
    </row>
    <row r="147" spans="1:24" x14ac:dyDescent="0.25">
      <c r="A147" s="46">
        <v>220229000749</v>
      </c>
      <c r="B147" s="47" t="s">
        <v>507</v>
      </c>
      <c r="C147" s="52">
        <v>44927</v>
      </c>
      <c r="D147" s="46">
        <v>22023001318</v>
      </c>
      <c r="E147" s="47" t="s">
        <v>841</v>
      </c>
      <c r="F147" s="53">
        <v>131496.69</v>
      </c>
      <c r="G147" s="47" t="s">
        <v>53</v>
      </c>
      <c r="H147" s="47" t="s">
        <v>842</v>
      </c>
      <c r="I147" s="46" t="s">
        <v>511</v>
      </c>
      <c r="J147" s="47" t="s">
        <v>519</v>
      </c>
      <c r="K147" s="47" t="s">
        <v>519</v>
      </c>
      <c r="L147" s="47" t="s">
        <v>520</v>
      </c>
      <c r="M147" s="47" t="s">
        <v>514</v>
      </c>
      <c r="N147" s="47" t="s">
        <v>515</v>
      </c>
      <c r="O147" s="45" t="s">
        <v>371</v>
      </c>
      <c r="P147" s="44" t="s">
        <v>309</v>
      </c>
      <c r="Q147" s="59" t="str">
        <f>MID(Tabla1[[#This Row],[Aplicación]],14,1)</f>
        <v>2</v>
      </c>
      <c r="R147" s="35" t="s">
        <v>298</v>
      </c>
      <c r="S147" s="59" t="str">
        <f>MID(Tabla1[[#This Row],[Aplicación]],6,2)</f>
        <v>11</v>
      </c>
      <c r="T147" s="35" t="str">
        <f>VLOOKUP(Tabla1[[#This Row],[AREA]],Hoja1!A:B,2,FALSE)</f>
        <v>11. Salud pública y seguridad ciudadana</v>
      </c>
      <c r="U147" s="35" t="str">
        <f>MID(Tabla1[[#This Row],[Aplicación]],9,4)</f>
        <v>1321</v>
      </c>
      <c r="V147" s="35" t="str">
        <f>VLOOKUP(Tabla1[[#This Row],[PROGRAMA]],Hoja1!A:B,2,FALSE)</f>
        <v>1321. Policía municipal</v>
      </c>
      <c r="W147" s="56" t="str">
        <f>MID(Tabla1[[#This Row],[Aplicación]],14,2)</f>
        <v>22</v>
      </c>
      <c r="X147" s="56" t="str">
        <f>MID(Tabla1[[#This Row],[Aplicación]],14,6)</f>
        <v>22700</v>
      </c>
    </row>
    <row r="148" spans="1:24" x14ac:dyDescent="0.25">
      <c r="A148" s="46">
        <v>220229000927</v>
      </c>
      <c r="B148" s="47" t="s">
        <v>507</v>
      </c>
      <c r="C148" s="52">
        <v>44927</v>
      </c>
      <c r="D148" s="46">
        <v>22023002191</v>
      </c>
      <c r="E148" s="47" t="s">
        <v>726</v>
      </c>
      <c r="F148" s="53">
        <v>119955.77</v>
      </c>
      <c r="G148" s="47" t="s">
        <v>567</v>
      </c>
      <c r="H148" s="47" t="s">
        <v>843</v>
      </c>
      <c r="I148" s="46" t="s">
        <v>511</v>
      </c>
      <c r="J148" s="47" t="s">
        <v>519</v>
      </c>
      <c r="K148" s="47" t="s">
        <v>519</v>
      </c>
      <c r="L148" s="47" t="s">
        <v>520</v>
      </c>
      <c r="M148" s="47" t="s">
        <v>514</v>
      </c>
      <c r="N148" s="47" t="s">
        <v>515</v>
      </c>
      <c r="O148" s="54" t="s">
        <v>371</v>
      </c>
      <c r="P148" s="44" t="s">
        <v>309</v>
      </c>
      <c r="Q148" s="59" t="str">
        <f>MID(Tabla1[[#This Row],[Aplicación]],14,1)</f>
        <v>6</v>
      </c>
      <c r="R148" s="35" t="s">
        <v>299</v>
      </c>
      <c r="S148" s="59" t="str">
        <f>MID(Tabla1[[#This Row],[Aplicación]],6,2)</f>
        <v>04</v>
      </c>
      <c r="T148" s="35" t="str">
        <f>VLOOKUP(Tabla1[[#This Row],[AREA]],Hoja1!A:B,2,FALSE)</f>
        <v>04. Planificación y recursos</v>
      </c>
      <c r="U148" s="35" t="str">
        <f>MID(Tabla1[[#This Row],[Aplicación]],9,4)</f>
        <v>9204</v>
      </c>
      <c r="V148" s="35" t="str">
        <f>VLOOKUP(Tabla1[[#This Row],[PROGRAMA]],Hoja1!A:B,2,FALSE)</f>
        <v>9204. Tecnologías de la información y comunicación</v>
      </c>
      <c r="W148" s="56" t="str">
        <f>MID(Tabla1[[#This Row],[Aplicación]],14,2)</f>
        <v>64</v>
      </c>
      <c r="X148" s="56" t="str">
        <f>MID(Tabla1[[#This Row],[Aplicación]],14,6)</f>
        <v>641</v>
      </c>
    </row>
    <row r="149" spans="1:24" x14ac:dyDescent="0.25">
      <c r="A149" s="46">
        <v>220229000746</v>
      </c>
      <c r="B149" s="47" t="s">
        <v>507</v>
      </c>
      <c r="C149" s="52">
        <v>44927</v>
      </c>
      <c r="D149" s="46">
        <v>22023001315</v>
      </c>
      <c r="E149" s="47" t="s">
        <v>539</v>
      </c>
      <c r="F149" s="53">
        <v>118297.09</v>
      </c>
      <c r="G149" s="47" t="s">
        <v>540</v>
      </c>
      <c r="H149" s="47" t="s">
        <v>844</v>
      </c>
      <c r="I149" s="46" t="s">
        <v>511</v>
      </c>
      <c r="J149" s="47" t="s">
        <v>512</v>
      </c>
      <c r="K149" s="47" t="s">
        <v>512</v>
      </c>
      <c r="L149" s="47" t="s">
        <v>520</v>
      </c>
      <c r="M149" s="47" t="s">
        <v>514</v>
      </c>
      <c r="N149" s="47" t="s">
        <v>515</v>
      </c>
      <c r="O149" s="45" t="s">
        <v>371</v>
      </c>
      <c r="P149" s="44" t="s">
        <v>309</v>
      </c>
      <c r="Q149" s="59" t="str">
        <f>MID(Tabla1[[#This Row],[Aplicación]],14,1)</f>
        <v>2</v>
      </c>
      <c r="R149" s="35" t="s">
        <v>298</v>
      </c>
      <c r="S149" s="59" t="str">
        <f>MID(Tabla1[[#This Row],[Aplicación]],6,2)</f>
        <v>10</v>
      </c>
      <c r="T149" s="35" t="str">
        <f>VLOOKUP(Tabla1[[#This Row],[AREA]],Hoja1!A:B,2,FALSE)</f>
        <v>10. Servicios sociales y mediación comunitaria</v>
      </c>
      <c r="U149" s="35" t="str">
        <f>MID(Tabla1[[#This Row],[Aplicación]],9,4)</f>
        <v>2312</v>
      </c>
      <c r="V149" s="35" t="str">
        <f>VLOOKUP(Tabla1[[#This Row],[PROGRAMA]],Hoja1!A:B,2,FALSE)</f>
        <v>2312. Iniciativas sociales</v>
      </c>
      <c r="W149" s="56" t="str">
        <f>MID(Tabla1[[#This Row],[Aplicación]],14,2)</f>
        <v>22</v>
      </c>
      <c r="X149" s="56" t="str">
        <f>MID(Tabla1[[#This Row],[Aplicación]],14,6)</f>
        <v>22799</v>
      </c>
    </row>
    <row r="150" spans="1:24" x14ac:dyDescent="0.25">
      <c r="A150" s="46">
        <v>220229000396</v>
      </c>
      <c r="B150" s="47" t="s">
        <v>507</v>
      </c>
      <c r="C150" s="52">
        <v>44927</v>
      </c>
      <c r="D150" s="46">
        <v>22023001172</v>
      </c>
      <c r="E150" s="47" t="s">
        <v>533</v>
      </c>
      <c r="F150" s="53">
        <v>116666.68</v>
      </c>
      <c r="G150" s="47" t="s">
        <v>845</v>
      </c>
      <c r="H150" s="47" t="s">
        <v>846</v>
      </c>
      <c r="I150" s="46" t="s">
        <v>511</v>
      </c>
      <c r="J150" s="47" t="s">
        <v>847</v>
      </c>
      <c r="K150" s="47" t="s">
        <v>708</v>
      </c>
      <c r="L150" s="47" t="s">
        <v>527</v>
      </c>
      <c r="M150" s="47" t="s">
        <v>514</v>
      </c>
      <c r="N150" s="47" t="s">
        <v>515</v>
      </c>
      <c r="O150" s="54" t="s">
        <v>371</v>
      </c>
      <c r="P150" s="44" t="s">
        <v>309</v>
      </c>
      <c r="Q150" s="59" t="str">
        <f>MID(Tabla1[[#This Row],[Aplicación]],14,1)</f>
        <v>6</v>
      </c>
      <c r="R150" s="35" t="s">
        <v>299</v>
      </c>
      <c r="S150" s="59" t="str">
        <f>MID(Tabla1[[#This Row],[Aplicación]],6,2)</f>
        <v>08</v>
      </c>
      <c r="T150" s="35" t="str">
        <f>VLOOKUP(Tabla1[[#This Row],[AREA]],Hoja1!A:B,2,FALSE)</f>
        <v>08. Movilidad y espacio urbano</v>
      </c>
      <c r="U150" s="56" t="str">
        <f>MID(Tabla1[[#This Row],[Aplicación]],9,4)</f>
        <v>1341</v>
      </c>
      <c r="V150" s="35" t="str">
        <f>VLOOKUP(Tabla1[[#This Row],[PROGRAMA]],Hoja1!A:B,2,FALSE)</f>
        <v>1341. Movilidad</v>
      </c>
      <c r="W150" s="56" t="str">
        <f>MID(Tabla1[[#This Row],[Aplicación]],14,2)</f>
        <v>61</v>
      </c>
      <c r="X150" s="56" t="str">
        <f>MID(Tabla1[[#This Row],[Aplicación]],14,6)</f>
        <v>619</v>
      </c>
    </row>
    <row r="151" spans="1:24" x14ac:dyDescent="0.25">
      <c r="A151" s="46">
        <v>220229000220</v>
      </c>
      <c r="B151" s="47" t="s">
        <v>507</v>
      </c>
      <c r="C151" s="52">
        <v>44927</v>
      </c>
      <c r="D151" s="46">
        <v>22023001921</v>
      </c>
      <c r="E151" s="47" t="s">
        <v>559</v>
      </c>
      <c r="F151" s="53">
        <v>116000</v>
      </c>
      <c r="G151" s="47" t="s">
        <v>84</v>
      </c>
      <c r="H151" s="47" t="s">
        <v>848</v>
      </c>
      <c r="I151" s="46" t="s">
        <v>511</v>
      </c>
      <c r="J151" s="47" t="s">
        <v>519</v>
      </c>
      <c r="K151" s="47" t="s">
        <v>519</v>
      </c>
      <c r="L151" s="47" t="s">
        <v>520</v>
      </c>
      <c r="M151" s="47" t="s">
        <v>514</v>
      </c>
      <c r="N151" s="47" t="s">
        <v>515</v>
      </c>
      <c r="O151" s="54" t="s">
        <v>371</v>
      </c>
      <c r="P151" s="44" t="s">
        <v>309</v>
      </c>
      <c r="Q151" s="59" t="str">
        <f>MID(Tabla1[[#This Row],[Aplicación]],14,1)</f>
        <v>6</v>
      </c>
      <c r="R151" s="35" t="s">
        <v>299</v>
      </c>
      <c r="S151" s="59" t="str">
        <f>MID(Tabla1[[#This Row],[Aplicación]],6,2)</f>
        <v>08</v>
      </c>
      <c r="T151" s="35" t="str">
        <f>VLOOKUP(Tabla1[[#This Row],[AREA]],Hoja1!A:B,2,FALSE)</f>
        <v>08. Movilidad y espacio urbano</v>
      </c>
      <c r="U151" s="35" t="str">
        <f>MID(Tabla1[[#This Row],[Aplicación]],9,4)</f>
        <v>1651</v>
      </c>
      <c r="V151" s="35" t="str">
        <f>VLOOKUP(Tabla1[[#This Row],[PROGRAMA]],Hoja1!A:B,2,FALSE)</f>
        <v>1651. Alumbrado público</v>
      </c>
      <c r="W151" s="56" t="str">
        <f>MID(Tabla1[[#This Row],[Aplicación]],14,2)</f>
        <v>61</v>
      </c>
      <c r="X151" s="56" t="str">
        <f>MID(Tabla1[[#This Row],[Aplicación]],14,6)</f>
        <v>619</v>
      </c>
    </row>
    <row r="152" spans="1:24" x14ac:dyDescent="0.25">
      <c r="A152" s="46">
        <v>220229000110</v>
      </c>
      <c r="B152" s="47" t="s">
        <v>507</v>
      </c>
      <c r="C152" s="52">
        <v>44927</v>
      </c>
      <c r="D152" s="46">
        <v>22023000713</v>
      </c>
      <c r="E152" s="47" t="s">
        <v>711</v>
      </c>
      <c r="F152" s="53">
        <v>114835.05</v>
      </c>
      <c r="G152" s="47" t="s">
        <v>82</v>
      </c>
      <c r="H152" s="47" t="s">
        <v>849</v>
      </c>
      <c r="I152" s="46" t="s">
        <v>511</v>
      </c>
      <c r="J152" s="47" t="s">
        <v>519</v>
      </c>
      <c r="K152" s="47" t="s">
        <v>519</v>
      </c>
      <c r="L152" s="47" t="s">
        <v>520</v>
      </c>
      <c r="M152" s="47" t="s">
        <v>514</v>
      </c>
      <c r="N152" s="47" t="s">
        <v>515</v>
      </c>
      <c r="O152" s="54" t="s">
        <v>371</v>
      </c>
      <c r="P152" s="44" t="s">
        <v>309</v>
      </c>
      <c r="Q152" s="59" t="str">
        <f>MID(Tabla1[[#This Row],[Aplicación]],14,1)</f>
        <v>6</v>
      </c>
      <c r="R152" s="35" t="s">
        <v>299</v>
      </c>
      <c r="S152" s="59" t="str">
        <f>MID(Tabla1[[#This Row],[Aplicación]],6,2)</f>
        <v>04</v>
      </c>
      <c r="T152" s="35" t="str">
        <f>VLOOKUP(Tabla1[[#This Row],[AREA]],Hoja1!A:B,2,FALSE)</f>
        <v>04. Planificación y recursos</v>
      </c>
      <c r="U152" s="35" t="str">
        <f>MID(Tabla1[[#This Row],[Aplicación]],9,4)</f>
        <v>9204</v>
      </c>
      <c r="V152" s="35" t="str">
        <f>VLOOKUP(Tabla1[[#This Row],[PROGRAMA]],Hoja1!A:B,2,FALSE)</f>
        <v>9204. Tecnologías de la información y comunicación</v>
      </c>
      <c r="W152" s="56" t="str">
        <f>MID(Tabla1[[#This Row],[Aplicación]],14,2)</f>
        <v>63</v>
      </c>
      <c r="X152" s="56" t="str">
        <f>MID(Tabla1[[#This Row],[Aplicación]],14,6)</f>
        <v>636</v>
      </c>
    </row>
    <row r="153" spans="1:24" x14ac:dyDescent="0.25">
      <c r="A153" s="46">
        <v>220229000194</v>
      </c>
      <c r="B153" s="47" t="s">
        <v>507</v>
      </c>
      <c r="C153" s="52">
        <v>44927</v>
      </c>
      <c r="D153" s="46">
        <v>22023000926</v>
      </c>
      <c r="E153" s="47" t="s">
        <v>539</v>
      </c>
      <c r="F153" s="53">
        <v>112381.26</v>
      </c>
      <c r="G153" s="47" t="s">
        <v>850</v>
      </c>
      <c r="H153" s="47" t="s">
        <v>851</v>
      </c>
      <c r="I153" s="46" t="s">
        <v>511</v>
      </c>
      <c r="J153" s="47" t="s">
        <v>852</v>
      </c>
      <c r="K153" s="47" t="s">
        <v>853</v>
      </c>
      <c r="L153" s="47" t="s">
        <v>520</v>
      </c>
      <c r="M153" s="47" t="s">
        <v>514</v>
      </c>
      <c r="N153" s="47" t="s">
        <v>515</v>
      </c>
      <c r="O153" s="45" t="s">
        <v>371</v>
      </c>
      <c r="P153" s="44" t="s">
        <v>309</v>
      </c>
      <c r="Q153" s="59" t="str">
        <f>MID(Tabla1[[#This Row],[Aplicación]],14,1)</f>
        <v>2</v>
      </c>
      <c r="R153" s="35" t="s">
        <v>298</v>
      </c>
      <c r="S153" s="59" t="str">
        <f>MID(Tabla1[[#This Row],[Aplicación]],6,2)</f>
        <v>10</v>
      </c>
      <c r="T153" s="35" t="str">
        <f>VLOOKUP(Tabla1[[#This Row],[AREA]],Hoja1!A:B,2,FALSE)</f>
        <v>10. Servicios sociales y mediación comunitaria</v>
      </c>
      <c r="U153" s="35" t="str">
        <f>MID(Tabla1[[#This Row],[Aplicación]],9,4)</f>
        <v>2312</v>
      </c>
      <c r="V153" s="35" t="str">
        <f>VLOOKUP(Tabla1[[#This Row],[PROGRAMA]],Hoja1!A:B,2,FALSE)</f>
        <v>2312. Iniciativas sociales</v>
      </c>
      <c r="W153" s="56" t="str">
        <f>MID(Tabla1[[#This Row],[Aplicación]],14,2)</f>
        <v>22</v>
      </c>
      <c r="X153" s="56" t="str">
        <f>MID(Tabla1[[#This Row],[Aplicación]],14,6)</f>
        <v>22799</v>
      </c>
    </row>
    <row r="154" spans="1:24" x14ac:dyDescent="0.25">
      <c r="A154" s="46">
        <v>220229000600</v>
      </c>
      <c r="B154" s="47" t="s">
        <v>507</v>
      </c>
      <c r="C154" s="52">
        <v>44927</v>
      </c>
      <c r="D154" s="46">
        <v>22023000738</v>
      </c>
      <c r="E154" s="47" t="s">
        <v>854</v>
      </c>
      <c r="F154" s="53">
        <v>109453.14</v>
      </c>
      <c r="G154" s="47" t="s">
        <v>855</v>
      </c>
      <c r="H154" s="47" t="s">
        <v>856</v>
      </c>
      <c r="I154" s="46" t="s">
        <v>511</v>
      </c>
      <c r="J154" s="47" t="s">
        <v>857</v>
      </c>
      <c r="K154" s="47" t="s">
        <v>858</v>
      </c>
      <c r="L154" s="47" t="s">
        <v>552</v>
      </c>
      <c r="M154" s="47" t="s">
        <v>514</v>
      </c>
      <c r="N154" s="47" t="s">
        <v>515</v>
      </c>
      <c r="O154" s="54" t="s">
        <v>371</v>
      </c>
      <c r="P154" s="44" t="s">
        <v>309</v>
      </c>
      <c r="Q154" s="59" t="str">
        <f>MID(Tabla1[[#This Row],[Aplicación]],14,1)</f>
        <v>6</v>
      </c>
      <c r="R154" s="35" t="s">
        <v>299</v>
      </c>
      <c r="S154" s="59" t="str">
        <f>MID(Tabla1[[#This Row],[Aplicación]],6,2)</f>
        <v>11</v>
      </c>
      <c r="T154" s="35" t="str">
        <f>VLOOKUP(Tabla1[[#This Row],[AREA]],Hoja1!A:B,2,FALSE)</f>
        <v>11. Salud pública y seguridad ciudadana</v>
      </c>
      <c r="U154" s="35" t="str">
        <f>MID(Tabla1[[#This Row],[Aplicación]],9,4)</f>
        <v>1321</v>
      </c>
      <c r="V154" s="35" t="str">
        <f>VLOOKUP(Tabla1[[#This Row],[PROGRAMA]],Hoja1!A:B,2,FALSE)</f>
        <v>1321. Policía municipal</v>
      </c>
      <c r="W154" s="56" t="str">
        <f>MID(Tabla1[[#This Row],[Aplicación]],14,2)</f>
        <v>64</v>
      </c>
      <c r="X154" s="56" t="str">
        <f>MID(Tabla1[[#This Row],[Aplicación]],14,6)</f>
        <v>641</v>
      </c>
    </row>
    <row r="155" spans="1:24" x14ac:dyDescent="0.25">
      <c r="A155" s="46">
        <v>220229000195</v>
      </c>
      <c r="B155" s="47" t="s">
        <v>507</v>
      </c>
      <c r="C155" s="52">
        <v>44927</v>
      </c>
      <c r="D155" s="46">
        <v>22023000927</v>
      </c>
      <c r="E155" s="47" t="s">
        <v>539</v>
      </c>
      <c r="F155" s="53">
        <v>106368.74</v>
      </c>
      <c r="G155" s="47" t="s">
        <v>850</v>
      </c>
      <c r="H155" s="47" t="s">
        <v>859</v>
      </c>
      <c r="I155" s="46" t="s">
        <v>511</v>
      </c>
      <c r="J155" s="47" t="s">
        <v>852</v>
      </c>
      <c r="K155" s="47" t="s">
        <v>853</v>
      </c>
      <c r="L155" s="47" t="s">
        <v>520</v>
      </c>
      <c r="M155" s="47" t="s">
        <v>514</v>
      </c>
      <c r="N155" s="47" t="s">
        <v>515</v>
      </c>
      <c r="O155" s="45" t="s">
        <v>371</v>
      </c>
      <c r="P155" s="44" t="s">
        <v>309</v>
      </c>
      <c r="Q155" s="59" t="str">
        <f>MID(Tabla1[[#This Row],[Aplicación]],14,1)</f>
        <v>2</v>
      </c>
      <c r="R155" s="35" t="s">
        <v>298</v>
      </c>
      <c r="S155" s="59" t="str">
        <f>MID(Tabla1[[#This Row],[Aplicación]],6,2)</f>
        <v>10</v>
      </c>
      <c r="T155" s="35" t="str">
        <f>VLOOKUP(Tabla1[[#This Row],[AREA]],Hoja1!A:B,2,FALSE)</f>
        <v>10. Servicios sociales y mediación comunitaria</v>
      </c>
      <c r="U155" s="35" t="str">
        <f>MID(Tabla1[[#This Row],[Aplicación]],9,4)</f>
        <v>2312</v>
      </c>
      <c r="V155" s="35" t="str">
        <f>VLOOKUP(Tabla1[[#This Row],[PROGRAMA]],Hoja1!A:B,2,FALSE)</f>
        <v>2312. Iniciativas sociales</v>
      </c>
      <c r="W155" s="56" t="str">
        <f>MID(Tabla1[[#This Row],[Aplicación]],14,2)</f>
        <v>22</v>
      </c>
      <c r="X155" s="56" t="str">
        <f>MID(Tabla1[[#This Row],[Aplicación]],14,6)</f>
        <v>22799</v>
      </c>
    </row>
    <row r="156" spans="1:24" x14ac:dyDescent="0.25">
      <c r="A156" s="46">
        <v>220229000807</v>
      </c>
      <c r="B156" s="47" t="s">
        <v>507</v>
      </c>
      <c r="C156" s="52">
        <v>44927</v>
      </c>
      <c r="D156" s="46">
        <v>22023001879</v>
      </c>
      <c r="E156" s="47" t="s">
        <v>669</v>
      </c>
      <c r="F156" s="53">
        <v>102835.32</v>
      </c>
      <c r="G156" s="47" t="s">
        <v>45</v>
      </c>
      <c r="H156" s="47" t="s">
        <v>860</v>
      </c>
      <c r="I156" s="46" t="s">
        <v>511</v>
      </c>
      <c r="J156" s="47" t="s">
        <v>519</v>
      </c>
      <c r="K156" s="47" t="s">
        <v>519</v>
      </c>
      <c r="L156" s="47" t="s">
        <v>520</v>
      </c>
      <c r="M156" s="47" t="s">
        <v>514</v>
      </c>
      <c r="N156" s="47" t="s">
        <v>515</v>
      </c>
      <c r="O156" s="45" t="s">
        <v>371</v>
      </c>
      <c r="P156" s="44" t="s">
        <v>309</v>
      </c>
      <c r="Q156" s="59" t="str">
        <f>MID(Tabla1[[#This Row],[Aplicación]],14,1)</f>
        <v>2</v>
      </c>
      <c r="R156" s="35" t="s">
        <v>298</v>
      </c>
      <c r="S156" s="59" t="str">
        <f>MID(Tabla1[[#This Row],[Aplicación]],6,2)</f>
        <v>06</v>
      </c>
      <c r="T156" s="35" t="str">
        <f>VLOOKUP(Tabla1[[#This Row],[AREA]],Hoja1!A:B,2,FALSE)</f>
        <v>06. Educación, infancia, juventud e igualdad</v>
      </c>
      <c r="U156" s="35" t="str">
        <f>MID(Tabla1[[#This Row],[Aplicación]],9,4)</f>
        <v>3232</v>
      </c>
      <c r="V156" s="35" t="str">
        <f>VLOOKUP(Tabla1[[#This Row],[PROGRAMA]],Hoja1!A:B,2,FALSE)</f>
        <v>3232. Conservación y mantenimiento centros educación infantil y primaria</v>
      </c>
      <c r="W156" s="56" t="str">
        <f>MID(Tabla1[[#This Row],[Aplicación]],14,2)</f>
        <v>21</v>
      </c>
      <c r="X156" s="56" t="str">
        <f>MID(Tabla1[[#This Row],[Aplicación]],14,6)</f>
        <v>213</v>
      </c>
    </row>
    <row r="157" spans="1:24" x14ac:dyDescent="0.25">
      <c r="A157" s="46">
        <v>220230000049</v>
      </c>
      <c r="B157" s="47" t="s">
        <v>507</v>
      </c>
      <c r="C157" s="52">
        <v>44927</v>
      </c>
      <c r="D157" s="46">
        <v>22023000537</v>
      </c>
      <c r="E157" s="47" t="s">
        <v>792</v>
      </c>
      <c r="F157" s="53">
        <v>97556.25</v>
      </c>
      <c r="G157" s="47" t="s">
        <v>434</v>
      </c>
      <c r="H157" s="47" t="s">
        <v>861</v>
      </c>
      <c r="I157" s="46" t="s">
        <v>511</v>
      </c>
      <c r="J157" s="47" t="s">
        <v>512</v>
      </c>
      <c r="K157" s="47" t="s">
        <v>512</v>
      </c>
      <c r="L157" s="47" t="s">
        <v>552</v>
      </c>
      <c r="M157" s="47" t="s">
        <v>514</v>
      </c>
      <c r="N157" s="47" t="s">
        <v>515</v>
      </c>
      <c r="O157" s="54" t="s">
        <v>371</v>
      </c>
      <c r="P157" s="44" t="s">
        <v>309</v>
      </c>
      <c r="Q157" s="59" t="str">
        <f>MID(Tabla1[[#This Row],[Aplicación]],14,1)</f>
        <v>6</v>
      </c>
      <c r="R157" s="35" t="s">
        <v>299</v>
      </c>
      <c r="S157" s="59" t="str">
        <f>MID(Tabla1[[#This Row],[Aplicación]],6,2)</f>
        <v>04</v>
      </c>
      <c r="T157" s="35" t="str">
        <f>VLOOKUP(Tabla1[[#This Row],[AREA]],Hoja1!A:B,2,FALSE)</f>
        <v>04. Planificación y recursos</v>
      </c>
      <c r="U157" s="35" t="str">
        <f>MID(Tabla1[[#This Row],[Aplicación]],9,4)</f>
        <v>9204</v>
      </c>
      <c r="V157" s="35" t="str">
        <f>VLOOKUP(Tabla1[[#This Row],[PROGRAMA]],Hoja1!A:B,2,FALSE)</f>
        <v>9204. Tecnologías de la información y comunicación</v>
      </c>
      <c r="W157" s="56" t="str">
        <f>MID(Tabla1[[#This Row],[Aplicación]],14,2)</f>
        <v>62</v>
      </c>
      <c r="X157" s="56" t="str">
        <f>MID(Tabla1[[#This Row],[Aplicación]],14,6)</f>
        <v>626</v>
      </c>
    </row>
    <row r="158" spans="1:24" x14ac:dyDescent="0.25">
      <c r="A158" s="46">
        <v>220229000365</v>
      </c>
      <c r="B158" s="47" t="s">
        <v>507</v>
      </c>
      <c r="C158" s="52">
        <v>44927</v>
      </c>
      <c r="D158" s="46">
        <v>22023001160</v>
      </c>
      <c r="E158" s="47" t="s">
        <v>862</v>
      </c>
      <c r="F158" s="53">
        <v>96000</v>
      </c>
      <c r="G158" s="47" t="s">
        <v>12</v>
      </c>
      <c r="H158" s="47" t="s">
        <v>863</v>
      </c>
      <c r="I158" s="46" t="s">
        <v>511</v>
      </c>
      <c r="J158" s="47" t="s">
        <v>512</v>
      </c>
      <c r="K158" s="47" t="s">
        <v>512</v>
      </c>
      <c r="L158" s="47" t="s">
        <v>552</v>
      </c>
      <c r="M158" s="47" t="s">
        <v>514</v>
      </c>
      <c r="N158" s="47" t="s">
        <v>515</v>
      </c>
      <c r="O158" s="45" t="s">
        <v>371</v>
      </c>
      <c r="P158" s="44" t="s">
        <v>309</v>
      </c>
      <c r="Q158" s="59" t="str">
        <f>MID(Tabla1[[#This Row],[Aplicación]],14,1)</f>
        <v>2</v>
      </c>
      <c r="R158" s="35" t="s">
        <v>298</v>
      </c>
      <c r="S158" s="59" t="str">
        <f>MID(Tabla1[[#This Row],[Aplicación]],6,2)</f>
        <v>11</v>
      </c>
      <c r="T158" s="35" t="str">
        <f>VLOOKUP(Tabla1[[#This Row],[AREA]],Hoja1!A:B,2,FALSE)</f>
        <v>11. Salud pública y seguridad ciudadana</v>
      </c>
      <c r="U158" s="35" t="str">
        <f>MID(Tabla1[[#This Row],[Aplicación]],9,4)</f>
        <v>1321</v>
      </c>
      <c r="V158" s="35" t="str">
        <f>VLOOKUP(Tabla1[[#This Row],[PROGRAMA]],Hoja1!A:B,2,FALSE)</f>
        <v>1321. Policía municipal</v>
      </c>
      <c r="W158" s="56" t="str">
        <f>MID(Tabla1[[#This Row],[Aplicación]],14,2)</f>
        <v>22</v>
      </c>
      <c r="X158" s="56" t="str">
        <f>MID(Tabla1[[#This Row],[Aplicación]],14,6)</f>
        <v>22103</v>
      </c>
    </row>
    <row r="159" spans="1:24" x14ac:dyDescent="0.25">
      <c r="A159" s="46">
        <v>220229000641</v>
      </c>
      <c r="B159" s="47" t="s">
        <v>507</v>
      </c>
      <c r="C159" s="52">
        <v>44927</v>
      </c>
      <c r="D159" s="46">
        <v>22023001252</v>
      </c>
      <c r="E159" s="47" t="s">
        <v>864</v>
      </c>
      <c r="F159" s="53">
        <v>94801.82</v>
      </c>
      <c r="G159" s="47" t="s">
        <v>865</v>
      </c>
      <c r="H159" s="47" t="s">
        <v>866</v>
      </c>
      <c r="I159" s="46" t="s">
        <v>511</v>
      </c>
      <c r="J159" s="47" t="s">
        <v>731</v>
      </c>
      <c r="K159" s="47" t="s">
        <v>519</v>
      </c>
      <c r="L159" s="47" t="s">
        <v>520</v>
      </c>
      <c r="M159" s="47" t="s">
        <v>514</v>
      </c>
      <c r="N159" s="47" t="s">
        <v>515</v>
      </c>
      <c r="O159" s="54" t="s">
        <v>371</v>
      </c>
      <c r="P159" s="44" t="s">
        <v>309</v>
      </c>
      <c r="Q159" s="59">
        <v>6</v>
      </c>
      <c r="R159" s="35" t="s">
        <v>299</v>
      </c>
      <c r="S159" s="59" t="str">
        <f>MID(Tabla1[[#This Row],[Aplicación]],6,2)</f>
        <v>04</v>
      </c>
      <c r="T159" s="35" t="str">
        <f>VLOOKUP(Tabla1[[#This Row],[AREA]],Hoja1!A:B,2,FALSE)</f>
        <v>04. Planificación y recursos</v>
      </c>
      <c r="U159" s="35">
        <v>9231</v>
      </c>
      <c r="V159" s="35" t="str">
        <f>VLOOKUP(Tabla1[[#This Row],[PROGRAMA]],Hoja1!A:B,2,FALSE)</f>
        <v>9231. Información, registro y gestión del padrón</v>
      </c>
      <c r="W159" s="56">
        <v>64</v>
      </c>
      <c r="X159" s="56">
        <v>641</v>
      </c>
    </row>
    <row r="160" spans="1:24" x14ac:dyDescent="0.25">
      <c r="A160" s="46">
        <v>220229000741</v>
      </c>
      <c r="B160" s="47" t="s">
        <v>507</v>
      </c>
      <c r="C160" s="52">
        <v>44927</v>
      </c>
      <c r="D160" s="46">
        <v>22023000740</v>
      </c>
      <c r="E160" s="47" t="s">
        <v>751</v>
      </c>
      <c r="F160" s="53">
        <v>141298.26</v>
      </c>
      <c r="G160" s="47" t="s">
        <v>828</v>
      </c>
      <c r="H160" s="47" t="s">
        <v>829</v>
      </c>
      <c r="I160" s="46" t="s">
        <v>511</v>
      </c>
      <c r="J160" s="47" t="s">
        <v>512</v>
      </c>
      <c r="K160" s="47" t="s">
        <v>512</v>
      </c>
      <c r="L160" s="47" t="s">
        <v>520</v>
      </c>
      <c r="M160" s="47" t="s">
        <v>514</v>
      </c>
      <c r="N160" s="47" t="s">
        <v>515</v>
      </c>
      <c r="O160" s="54" t="s">
        <v>371</v>
      </c>
      <c r="P160" s="44" t="s">
        <v>309</v>
      </c>
      <c r="Q160" s="59">
        <v>6</v>
      </c>
      <c r="R160" s="35" t="s">
        <v>299</v>
      </c>
      <c r="S160" s="59" t="str">
        <f>MID(Tabla1[[#This Row],[Aplicación]],6,2)</f>
        <v>10</v>
      </c>
      <c r="T160" s="35" t="str">
        <f>VLOOKUP(Tabla1[[#This Row],[AREA]],Hoja1!A:B,2,FALSE)</f>
        <v>10. Servicios sociales y mediación comunitaria</v>
      </c>
      <c r="U160" s="35">
        <v>2313</v>
      </c>
      <c r="V160" s="35" t="str">
        <f>VLOOKUP(Tabla1[[#This Row],[PROGRAMA]],Hoja1!A:B,2,FALSE)</f>
        <v>2313. Dirección del área de servicios sociales</v>
      </c>
      <c r="W160" s="56">
        <v>64</v>
      </c>
      <c r="X160" s="56">
        <v>641</v>
      </c>
    </row>
    <row r="161" spans="1:24" x14ac:dyDescent="0.25">
      <c r="A161" s="46">
        <v>220229000024</v>
      </c>
      <c r="B161" s="47" t="s">
        <v>507</v>
      </c>
      <c r="C161" s="52">
        <v>44927</v>
      </c>
      <c r="D161" s="46">
        <v>22023000680</v>
      </c>
      <c r="E161" s="47" t="s">
        <v>726</v>
      </c>
      <c r="F161" s="53">
        <v>90952.67</v>
      </c>
      <c r="G161" s="47" t="s">
        <v>719</v>
      </c>
      <c r="H161" s="47" t="s">
        <v>867</v>
      </c>
      <c r="I161" s="46" t="s">
        <v>511</v>
      </c>
      <c r="J161" s="47" t="s">
        <v>512</v>
      </c>
      <c r="K161" s="47" t="s">
        <v>512</v>
      </c>
      <c r="L161" s="47" t="s">
        <v>552</v>
      </c>
      <c r="M161" s="47" t="s">
        <v>514</v>
      </c>
      <c r="N161" s="47" t="s">
        <v>515</v>
      </c>
      <c r="O161" s="54" t="s">
        <v>371</v>
      </c>
      <c r="P161" s="44" t="s">
        <v>309</v>
      </c>
      <c r="Q161" s="59" t="str">
        <f>MID(Tabla1[[#This Row],[Aplicación]],14,1)</f>
        <v>6</v>
      </c>
      <c r="R161" s="35" t="s">
        <v>299</v>
      </c>
      <c r="S161" s="59" t="str">
        <f>MID(Tabla1[[#This Row],[Aplicación]],6,2)</f>
        <v>04</v>
      </c>
      <c r="T161" s="35" t="str">
        <f>VLOOKUP(Tabla1[[#This Row],[AREA]],Hoja1!A:B,2,FALSE)</f>
        <v>04. Planificación y recursos</v>
      </c>
      <c r="U161" s="35" t="str">
        <f>MID(Tabla1[[#This Row],[Aplicación]],9,4)</f>
        <v>9204</v>
      </c>
      <c r="V161" s="35" t="str">
        <f>VLOOKUP(Tabla1[[#This Row],[PROGRAMA]],Hoja1!A:B,2,FALSE)</f>
        <v>9204. Tecnologías de la información y comunicación</v>
      </c>
      <c r="W161" s="56" t="str">
        <f>MID(Tabla1[[#This Row],[Aplicación]],14,2)</f>
        <v>64</v>
      </c>
      <c r="X161" s="56" t="str">
        <f>MID(Tabla1[[#This Row],[Aplicación]],14,6)</f>
        <v>641</v>
      </c>
    </row>
    <row r="162" spans="1:24" x14ac:dyDescent="0.25">
      <c r="A162" s="46">
        <v>220229000292</v>
      </c>
      <c r="B162" s="47" t="s">
        <v>507</v>
      </c>
      <c r="C162" s="52">
        <v>44927</v>
      </c>
      <c r="D162" s="46">
        <v>22023000943</v>
      </c>
      <c r="E162" s="47" t="s">
        <v>868</v>
      </c>
      <c r="F162" s="53">
        <v>28000</v>
      </c>
      <c r="G162" s="47" t="s">
        <v>16</v>
      </c>
      <c r="H162" s="47" t="s">
        <v>869</v>
      </c>
      <c r="I162" s="46" t="s">
        <v>511</v>
      </c>
      <c r="J162" s="47" t="s">
        <v>837</v>
      </c>
      <c r="K162" s="47" t="s">
        <v>837</v>
      </c>
      <c r="L162" s="47" t="s">
        <v>552</v>
      </c>
      <c r="M162" s="47" t="s">
        <v>514</v>
      </c>
      <c r="N162" s="47" t="s">
        <v>515</v>
      </c>
      <c r="O162" s="45" t="s">
        <v>371</v>
      </c>
      <c r="P162" s="44" t="s">
        <v>309</v>
      </c>
      <c r="Q162" s="59" t="str">
        <f>MID(Tabla1[[#This Row],[Aplicación]],14,1)</f>
        <v>2</v>
      </c>
      <c r="R162" s="35" t="s">
        <v>298</v>
      </c>
      <c r="S162" s="59" t="str">
        <f>MID(Tabla1[[#This Row],[Aplicación]],6,2)</f>
        <v>11</v>
      </c>
      <c r="T162" s="35" t="str">
        <f>VLOOKUP(Tabla1[[#This Row],[AREA]],Hoja1!A:B,2,FALSE)</f>
        <v>11. Salud pública y seguridad ciudadana</v>
      </c>
      <c r="U162" s="35" t="str">
        <f>MID(Tabla1[[#This Row],[Aplicación]],9,4)</f>
        <v>1621</v>
      </c>
      <c r="V162" s="35" t="str">
        <f>VLOOKUP(Tabla1[[#This Row],[PROGRAMA]],Hoja1!A:B,2,FALSE)</f>
        <v>1621. Servicio de limpieza</v>
      </c>
      <c r="W162" s="56" t="str">
        <f>MID(Tabla1[[#This Row],[Aplicación]],14,2)</f>
        <v>22</v>
      </c>
      <c r="X162" s="56" t="str">
        <f>MID(Tabla1[[#This Row],[Aplicación]],14,6)</f>
        <v>22102</v>
      </c>
    </row>
    <row r="163" spans="1:24" x14ac:dyDescent="0.25">
      <c r="A163" s="46">
        <v>220229000063</v>
      </c>
      <c r="B163" s="47" t="s">
        <v>507</v>
      </c>
      <c r="C163" s="52">
        <v>44927</v>
      </c>
      <c r="D163" s="46">
        <v>22023000699</v>
      </c>
      <c r="E163" s="47" t="s">
        <v>726</v>
      </c>
      <c r="F163" s="53">
        <v>86978.83</v>
      </c>
      <c r="G163" s="47" t="s">
        <v>870</v>
      </c>
      <c r="H163" s="47" t="s">
        <v>871</v>
      </c>
      <c r="I163" s="46" t="s">
        <v>511</v>
      </c>
      <c r="J163" s="47" t="s">
        <v>512</v>
      </c>
      <c r="K163" s="47" t="s">
        <v>512</v>
      </c>
      <c r="L163" s="47" t="s">
        <v>520</v>
      </c>
      <c r="M163" s="47" t="s">
        <v>514</v>
      </c>
      <c r="N163" s="47" t="s">
        <v>515</v>
      </c>
      <c r="O163" s="54" t="s">
        <v>371</v>
      </c>
      <c r="P163" s="44" t="s">
        <v>309</v>
      </c>
      <c r="Q163" s="59" t="str">
        <f>MID(Tabla1[[#This Row],[Aplicación]],14,1)</f>
        <v>6</v>
      </c>
      <c r="R163" s="35" t="s">
        <v>299</v>
      </c>
      <c r="S163" s="59" t="str">
        <f>MID(Tabla1[[#This Row],[Aplicación]],6,2)</f>
        <v>04</v>
      </c>
      <c r="T163" s="35" t="str">
        <f>VLOOKUP(Tabla1[[#This Row],[AREA]],Hoja1!A:B,2,FALSE)</f>
        <v>04. Planificación y recursos</v>
      </c>
      <c r="U163" s="35" t="str">
        <f>MID(Tabla1[[#This Row],[Aplicación]],9,4)</f>
        <v>9204</v>
      </c>
      <c r="V163" s="35" t="str">
        <f>VLOOKUP(Tabla1[[#This Row],[PROGRAMA]],Hoja1!A:B,2,FALSE)</f>
        <v>9204. Tecnologías de la información y comunicación</v>
      </c>
      <c r="W163" s="56" t="str">
        <f>MID(Tabla1[[#This Row],[Aplicación]],14,2)</f>
        <v>64</v>
      </c>
      <c r="X163" s="56" t="str">
        <f>MID(Tabla1[[#This Row],[Aplicación]],14,6)</f>
        <v>641</v>
      </c>
    </row>
    <row r="164" spans="1:24" x14ac:dyDescent="0.25">
      <c r="A164" s="46">
        <v>220229000294</v>
      </c>
      <c r="B164" s="47" t="s">
        <v>507</v>
      </c>
      <c r="C164" s="52">
        <v>44927</v>
      </c>
      <c r="D164" s="46">
        <v>22023000945</v>
      </c>
      <c r="E164" s="47" t="s">
        <v>872</v>
      </c>
      <c r="F164" s="53">
        <v>16000</v>
      </c>
      <c r="G164" s="47" t="s">
        <v>16</v>
      </c>
      <c r="H164" s="47" t="s">
        <v>873</v>
      </c>
      <c r="I164" s="46" t="s">
        <v>511</v>
      </c>
      <c r="J164" s="47" t="s">
        <v>837</v>
      </c>
      <c r="K164" s="47" t="s">
        <v>837</v>
      </c>
      <c r="L164" s="47" t="s">
        <v>552</v>
      </c>
      <c r="M164" s="47" t="s">
        <v>514</v>
      </c>
      <c r="N164" s="47" t="s">
        <v>515</v>
      </c>
      <c r="O164" s="45" t="s">
        <v>371</v>
      </c>
      <c r="P164" s="44" t="s">
        <v>309</v>
      </c>
      <c r="Q164" s="59" t="str">
        <f>MID(Tabla1[[#This Row],[Aplicación]],14,1)</f>
        <v>2</v>
      </c>
      <c r="R164" s="35" t="s">
        <v>298</v>
      </c>
      <c r="S164" s="59" t="str">
        <f>MID(Tabla1[[#This Row],[Aplicación]],6,2)</f>
        <v>10</v>
      </c>
      <c r="T164" s="35" t="str">
        <f>VLOOKUP(Tabla1[[#This Row],[AREA]],Hoja1!A:B,2,FALSE)</f>
        <v>10. Servicios sociales y mediación comunitaria</v>
      </c>
      <c r="U164" s="35" t="str">
        <f>MID(Tabla1[[#This Row],[Aplicación]],9,4)</f>
        <v>2311</v>
      </c>
      <c r="V164" s="35" t="str">
        <f>VLOOKUP(Tabla1[[#This Row],[PROGRAMA]],Hoja1!A:B,2,FALSE)</f>
        <v>2311. Intervención social</v>
      </c>
      <c r="W164" s="56" t="str">
        <f>MID(Tabla1[[#This Row],[Aplicación]],14,2)</f>
        <v>22</v>
      </c>
      <c r="X164" s="56" t="str">
        <f>MID(Tabla1[[#This Row],[Aplicación]],14,6)</f>
        <v>22102</v>
      </c>
    </row>
    <row r="165" spans="1:24" x14ac:dyDescent="0.25">
      <c r="A165" s="46">
        <v>220229000295</v>
      </c>
      <c r="B165" s="47" t="s">
        <v>507</v>
      </c>
      <c r="C165" s="52">
        <v>44927</v>
      </c>
      <c r="D165" s="46">
        <v>22023000946</v>
      </c>
      <c r="E165" s="47" t="s">
        <v>872</v>
      </c>
      <c r="F165" s="53">
        <v>15000</v>
      </c>
      <c r="G165" s="47" t="s">
        <v>16</v>
      </c>
      <c r="H165" s="47" t="s">
        <v>874</v>
      </c>
      <c r="I165" s="46" t="s">
        <v>511</v>
      </c>
      <c r="J165" s="47" t="s">
        <v>837</v>
      </c>
      <c r="K165" s="47" t="s">
        <v>837</v>
      </c>
      <c r="L165" s="47" t="s">
        <v>552</v>
      </c>
      <c r="M165" s="47" t="s">
        <v>514</v>
      </c>
      <c r="N165" s="47" t="s">
        <v>515</v>
      </c>
      <c r="O165" s="45" t="s">
        <v>371</v>
      </c>
      <c r="P165" s="44" t="s">
        <v>309</v>
      </c>
      <c r="Q165" s="59" t="str">
        <f>MID(Tabla1[[#This Row],[Aplicación]],14,1)</f>
        <v>2</v>
      </c>
      <c r="R165" s="35" t="s">
        <v>298</v>
      </c>
      <c r="S165" s="59" t="str">
        <f>MID(Tabla1[[#This Row],[Aplicación]],6,2)</f>
        <v>10</v>
      </c>
      <c r="T165" s="35" t="str">
        <f>VLOOKUP(Tabla1[[#This Row],[AREA]],Hoja1!A:B,2,FALSE)</f>
        <v>10. Servicios sociales y mediación comunitaria</v>
      </c>
      <c r="U165" s="35" t="str">
        <f>MID(Tabla1[[#This Row],[Aplicación]],9,4)</f>
        <v>2311</v>
      </c>
      <c r="V165" s="35" t="str">
        <f>VLOOKUP(Tabla1[[#This Row],[PROGRAMA]],Hoja1!A:B,2,FALSE)</f>
        <v>2311. Intervención social</v>
      </c>
      <c r="W165" s="56" t="str">
        <f>MID(Tabla1[[#This Row],[Aplicación]],14,2)</f>
        <v>22</v>
      </c>
      <c r="X165" s="56" t="str">
        <f>MID(Tabla1[[#This Row],[Aplicación]],14,6)</f>
        <v>22102</v>
      </c>
    </row>
    <row r="166" spans="1:24" x14ac:dyDescent="0.25">
      <c r="A166" s="46">
        <v>220229000296</v>
      </c>
      <c r="B166" s="47" t="s">
        <v>507</v>
      </c>
      <c r="C166" s="52">
        <v>44927</v>
      </c>
      <c r="D166" s="46">
        <v>22023000947</v>
      </c>
      <c r="E166" s="47" t="s">
        <v>872</v>
      </c>
      <c r="F166" s="53">
        <v>5000</v>
      </c>
      <c r="G166" s="47" t="s">
        <v>16</v>
      </c>
      <c r="H166" s="47" t="s">
        <v>875</v>
      </c>
      <c r="I166" s="46" t="s">
        <v>511</v>
      </c>
      <c r="J166" s="47" t="s">
        <v>837</v>
      </c>
      <c r="K166" s="47" t="s">
        <v>837</v>
      </c>
      <c r="L166" s="47" t="s">
        <v>552</v>
      </c>
      <c r="M166" s="47" t="s">
        <v>514</v>
      </c>
      <c r="N166" s="47" t="s">
        <v>515</v>
      </c>
      <c r="O166" s="45" t="s">
        <v>371</v>
      </c>
      <c r="P166" s="44" t="s">
        <v>309</v>
      </c>
      <c r="Q166" s="59" t="str">
        <f>MID(Tabla1[[#This Row],[Aplicación]],14,1)</f>
        <v>2</v>
      </c>
      <c r="R166" s="35" t="s">
        <v>298</v>
      </c>
      <c r="S166" s="59" t="str">
        <f>MID(Tabla1[[#This Row],[Aplicación]],6,2)</f>
        <v>10</v>
      </c>
      <c r="T166" s="35" t="str">
        <f>VLOOKUP(Tabla1[[#This Row],[AREA]],Hoja1!A:B,2,FALSE)</f>
        <v>10. Servicios sociales y mediación comunitaria</v>
      </c>
      <c r="U166" s="35" t="str">
        <f>MID(Tabla1[[#This Row],[Aplicación]],9,4)</f>
        <v>2311</v>
      </c>
      <c r="V166" s="35" t="str">
        <f>VLOOKUP(Tabla1[[#This Row],[PROGRAMA]],Hoja1!A:B,2,FALSE)</f>
        <v>2311. Intervención social</v>
      </c>
      <c r="W166" s="56" t="str">
        <f>MID(Tabla1[[#This Row],[Aplicación]],14,2)</f>
        <v>22</v>
      </c>
      <c r="X166" s="56" t="str">
        <f>MID(Tabla1[[#This Row],[Aplicación]],14,6)</f>
        <v>22102</v>
      </c>
    </row>
    <row r="167" spans="1:24" x14ac:dyDescent="0.25">
      <c r="A167" s="46">
        <v>220229000297</v>
      </c>
      <c r="B167" s="47" t="s">
        <v>507</v>
      </c>
      <c r="C167" s="52">
        <v>44927</v>
      </c>
      <c r="D167" s="46">
        <v>22023000948</v>
      </c>
      <c r="E167" s="47" t="s">
        <v>876</v>
      </c>
      <c r="F167" s="53">
        <v>60000</v>
      </c>
      <c r="G167" s="47" t="s">
        <v>16</v>
      </c>
      <c r="H167" s="47" t="s">
        <v>877</v>
      </c>
      <c r="I167" s="46" t="s">
        <v>511</v>
      </c>
      <c r="J167" s="47" t="s">
        <v>837</v>
      </c>
      <c r="K167" s="47" t="s">
        <v>837</v>
      </c>
      <c r="L167" s="47" t="s">
        <v>552</v>
      </c>
      <c r="M167" s="47" t="s">
        <v>514</v>
      </c>
      <c r="N167" s="47" t="s">
        <v>515</v>
      </c>
      <c r="O167" s="45" t="s">
        <v>371</v>
      </c>
      <c r="P167" s="44" t="s">
        <v>309</v>
      </c>
      <c r="Q167" s="59" t="str">
        <f>MID(Tabla1[[#This Row],[Aplicación]],14,1)</f>
        <v>2</v>
      </c>
      <c r="R167" s="35" t="s">
        <v>298</v>
      </c>
      <c r="S167" s="59" t="str">
        <f>MID(Tabla1[[#This Row],[Aplicación]],6,2)</f>
        <v>11</v>
      </c>
      <c r="T167" s="35" t="str">
        <f>VLOOKUP(Tabla1[[#This Row],[AREA]],Hoja1!A:B,2,FALSE)</f>
        <v>11. Salud pública y seguridad ciudadana</v>
      </c>
      <c r="U167" s="35" t="str">
        <f>MID(Tabla1[[#This Row],[Aplicación]],9,4)</f>
        <v>1321</v>
      </c>
      <c r="V167" s="35" t="str">
        <f>VLOOKUP(Tabla1[[#This Row],[PROGRAMA]],Hoja1!A:B,2,FALSE)</f>
        <v>1321. Policía municipal</v>
      </c>
      <c r="W167" s="56" t="str">
        <f>MID(Tabla1[[#This Row],[Aplicación]],14,2)</f>
        <v>22</v>
      </c>
      <c r="X167" s="56" t="str">
        <f>MID(Tabla1[[#This Row],[Aplicación]],14,6)</f>
        <v>22102</v>
      </c>
    </row>
    <row r="168" spans="1:24" x14ac:dyDescent="0.25">
      <c r="A168" s="46">
        <v>220229000298</v>
      </c>
      <c r="B168" s="47" t="s">
        <v>507</v>
      </c>
      <c r="C168" s="52">
        <v>44927</v>
      </c>
      <c r="D168" s="46">
        <v>22023000949</v>
      </c>
      <c r="E168" s="47" t="s">
        <v>878</v>
      </c>
      <c r="F168" s="53">
        <v>30000</v>
      </c>
      <c r="G168" s="47" t="s">
        <v>16</v>
      </c>
      <c r="H168" s="47" t="s">
        <v>879</v>
      </c>
      <c r="I168" s="46" t="s">
        <v>511</v>
      </c>
      <c r="J168" s="47" t="s">
        <v>837</v>
      </c>
      <c r="K168" s="47" t="s">
        <v>837</v>
      </c>
      <c r="L168" s="47" t="s">
        <v>552</v>
      </c>
      <c r="M168" s="47" t="s">
        <v>514</v>
      </c>
      <c r="N168" s="47" t="s">
        <v>515</v>
      </c>
      <c r="O168" s="45" t="s">
        <v>371</v>
      </c>
      <c r="P168" s="44" t="s">
        <v>309</v>
      </c>
      <c r="Q168" s="59" t="str">
        <f>MID(Tabla1[[#This Row],[Aplicación]],14,1)</f>
        <v>2</v>
      </c>
      <c r="R168" s="35" t="s">
        <v>298</v>
      </c>
      <c r="S168" s="59" t="str">
        <f>MID(Tabla1[[#This Row],[Aplicación]],6,2)</f>
        <v>11</v>
      </c>
      <c r="T168" s="35" t="str">
        <f>VLOOKUP(Tabla1[[#This Row],[AREA]],Hoja1!A:B,2,FALSE)</f>
        <v>11. Salud pública y seguridad ciudadana</v>
      </c>
      <c r="U168" s="35" t="str">
        <f>MID(Tabla1[[#This Row],[Aplicación]],9,4)</f>
        <v>1361</v>
      </c>
      <c r="V168" s="35" t="str">
        <f>VLOOKUP(Tabla1[[#This Row],[PROGRAMA]],Hoja1!A:B,2,FALSE)</f>
        <v>1361. Prevención y extinción de incencios</v>
      </c>
      <c r="W168" s="56" t="str">
        <f>MID(Tabla1[[#This Row],[Aplicación]],14,2)</f>
        <v>22</v>
      </c>
      <c r="X168" s="56" t="str">
        <f>MID(Tabla1[[#This Row],[Aplicación]],14,6)</f>
        <v>22102</v>
      </c>
    </row>
    <row r="169" spans="1:24" x14ac:dyDescent="0.25">
      <c r="A169" s="46">
        <v>220229000299</v>
      </c>
      <c r="B169" s="47" t="s">
        <v>507</v>
      </c>
      <c r="C169" s="52">
        <v>44927</v>
      </c>
      <c r="D169" s="46">
        <v>22023000950</v>
      </c>
      <c r="E169" s="47" t="s">
        <v>880</v>
      </c>
      <c r="F169" s="53">
        <v>53680</v>
      </c>
      <c r="G169" s="47" t="s">
        <v>16</v>
      </c>
      <c r="H169" s="47" t="s">
        <v>881</v>
      </c>
      <c r="I169" s="46" t="s">
        <v>511</v>
      </c>
      <c r="J169" s="47" t="s">
        <v>837</v>
      </c>
      <c r="K169" s="47" t="s">
        <v>837</v>
      </c>
      <c r="L169" s="47" t="s">
        <v>552</v>
      </c>
      <c r="M169" s="47" t="s">
        <v>514</v>
      </c>
      <c r="N169" s="47" t="s">
        <v>604</v>
      </c>
      <c r="O169" s="45" t="s">
        <v>371</v>
      </c>
      <c r="P169" s="44" t="s">
        <v>309</v>
      </c>
      <c r="Q169" s="59" t="str">
        <f>MID(Tabla1[[#This Row],[Aplicación]],14,1)</f>
        <v>2</v>
      </c>
      <c r="R169" s="35" t="s">
        <v>298</v>
      </c>
      <c r="S169" s="59" t="str">
        <f>MID(Tabla1[[#This Row],[Aplicación]],6,2)</f>
        <v>06</v>
      </c>
      <c r="T169" s="35" t="str">
        <f>VLOOKUP(Tabla1[[#This Row],[AREA]],Hoja1!A:B,2,FALSE)</f>
        <v>06. Educación, infancia, juventud e igualdad</v>
      </c>
      <c r="U169" s="35" t="str">
        <f>MID(Tabla1[[#This Row],[Aplicación]],9,4)</f>
        <v>3231</v>
      </c>
      <c r="V169" s="35" t="str">
        <f>VLOOKUP(Tabla1[[#This Row],[PROGRAMA]],Hoja1!A:B,2,FALSE)</f>
        <v>3231. Escuelas infantiles</v>
      </c>
      <c r="W169" s="56" t="str">
        <f>MID(Tabla1[[#This Row],[Aplicación]],14,2)</f>
        <v>22</v>
      </c>
      <c r="X169" s="56" t="str">
        <f>MID(Tabla1[[#This Row],[Aplicación]],14,6)</f>
        <v>22102</v>
      </c>
    </row>
    <row r="170" spans="1:24" x14ac:dyDescent="0.25">
      <c r="A170" s="46">
        <v>220229000300</v>
      </c>
      <c r="B170" s="47" t="s">
        <v>507</v>
      </c>
      <c r="C170" s="52">
        <v>44927</v>
      </c>
      <c r="D170" s="46">
        <v>22023001926</v>
      </c>
      <c r="E170" s="47" t="s">
        <v>882</v>
      </c>
      <c r="F170" s="53">
        <v>524800</v>
      </c>
      <c r="G170" s="47" t="s">
        <v>16</v>
      </c>
      <c r="H170" s="47" t="s">
        <v>883</v>
      </c>
      <c r="I170" s="46" t="s">
        <v>511</v>
      </c>
      <c r="J170" s="47" t="s">
        <v>837</v>
      </c>
      <c r="K170" s="47" t="s">
        <v>837</v>
      </c>
      <c r="L170" s="47" t="s">
        <v>552</v>
      </c>
      <c r="M170" s="47" t="s">
        <v>514</v>
      </c>
      <c r="N170" s="47" t="s">
        <v>604</v>
      </c>
      <c r="O170" s="45" t="s">
        <v>371</v>
      </c>
      <c r="P170" s="44" t="s">
        <v>309</v>
      </c>
      <c r="Q170" s="59" t="str">
        <f>MID(Tabla1[[#This Row],[Aplicación]],14,1)</f>
        <v>2</v>
      </c>
      <c r="R170" s="35" t="s">
        <v>298</v>
      </c>
      <c r="S170" s="59" t="str">
        <f>MID(Tabla1[[#This Row],[Aplicación]],6,2)</f>
        <v>06</v>
      </c>
      <c r="T170" s="35" t="str">
        <f>VLOOKUP(Tabla1[[#This Row],[AREA]],Hoja1!A:B,2,FALSE)</f>
        <v>06. Educación, infancia, juventud e igualdad</v>
      </c>
      <c r="U170" s="35" t="str">
        <f>MID(Tabla1[[#This Row],[Aplicación]],9,4)</f>
        <v>3232</v>
      </c>
      <c r="V170" s="35" t="str">
        <f>VLOOKUP(Tabla1[[#This Row],[PROGRAMA]],Hoja1!A:B,2,FALSE)</f>
        <v>3232. Conservación y mantenimiento centros educación infantil y primaria</v>
      </c>
      <c r="W170" s="56" t="str">
        <f>MID(Tabla1[[#This Row],[Aplicación]],14,2)</f>
        <v>22</v>
      </c>
      <c r="X170" s="56" t="str">
        <f>MID(Tabla1[[#This Row],[Aplicación]],14,6)</f>
        <v>22102</v>
      </c>
    </row>
    <row r="171" spans="1:24" x14ac:dyDescent="0.25">
      <c r="A171" s="46">
        <v>220229000301</v>
      </c>
      <c r="B171" s="47" t="s">
        <v>507</v>
      </c>
      <c r="C171" s="52">
        <v>44927</v>
      </c>
      <c r="D171" s="46">
        <v>22023000951</v>
      </c>
      <c r="E171" s="47" t="s">
        <v>884</v>
      </c>
      <c r="F171" s="53">
        <v>7225</v>
      </c>
      <c r="G171" s="47" t="s">
        <v>16</v>
      </c>
      <c r="H171" s="47" t="s">
        <v>885</v>
      </c>
      <c r="I171" s="46" t="s">
        <v>511</v>
      </c>
      <c r="J171" s="47" t="s">
        <v>837</v>
      </c>
      <c r="K171" s="47" t="s">
        <v>837</v>
      </c>
      <c r="L171" s="47" t="s">
        <v>552</v>
      </c>
      <c r="M171" s="47" t="s">
        <v>514</v>
      </c>
      <c r="N171" s="47" t="s">
        <v>604</v>
      </c>
      <c r="O171" s="45" t="s">
        <v>371</v>
      </c>
      <c r="P171" s="44" t="s">
        <v>309</v>
      </c>
      <c r="Q171" s="59" t="str">
        <f>MID(Tabla1[[#This Row],[Aplicación]],14,1)</f>
        <v>2</v>
      </c>
      <c r="R171" s="35" t="s">
        <v>298</v>
      </c>
      <c r="S171" s="59" t="str">
        <f>MID(Tabla1[[#This Row],[Aplicación]],6,2)</f>
        <v>06</v>
      </c>
      <c r="T171" s="35" t="str">
        <f>VLOOKUP(Tabla1[[#This Row],[AREA]],Hoja1!A:B,2,FALSE)</f>
        <v>06. Educación, infancia, juventud e igualdad</v>
      </c>
      <c r="U171" s="35" t="str">
        <f>MID(Tabla1[[#This Row],[Aplicación]],9,4)</f>
        <v>3321</v>
      </c>
      <c r="V171" s="35" t="str">
        <f>VLOOKUP(Tabla1[[#This Row],[PROGRAMA]],Hoja1!A:B,2,FALSE)</f>
        <v>3321. Bibliotecas públicas</v>
      </c>
      <c r="W171" s="56" t="str">
        <f>MID(Tabla1[[#This Row],[Aplicación]],14,2)</f>
        <v>22</v>
      </c>
      <c r="X171" s="56" t="str">
        <f>MID(Tabla1[[#This Row],[Aplicación]],14,6)</f>
        <v>22102</v>
      </c>
    </row>
    <row r="172" spans="1:24" x14ac:dyDescent="0.25">
      <c r="A172" s="46">
        <v>220229000302</v>
      </c>
      <c r="B172" s="47" t="s">
        <v>507</v>
      </c>
      <c r="C172" s="52">
        <v>44927</v>
      </c>
      <c r="D172" s="46">
        <v>22023001135</v>
      </c>
      <c r="E172" s="47" t="s">
        <v>886</v>
      </c>
      <c r="F172" s="53">
        <v>4000</v>
      </c>
      <c r="G172" s="47" t="s">
        <v>16</v>
      </c>
      <c r="H172" s="47" t="s">
        <v>887</v>
      </c>
      <c r="I172" s="46" t="s">
        <v>511</v>
      </c>
      <c r="J172" s="47" t="s">
        <v>837</v>
      </c>
      <c r="K172" s="47" t="s">
        <v>837</v>
      </c>
      <c r="L172" s="47" t="s">
        <v>552</v>
      </c>
      <c r="M172" s="47" t="s">
        <v>514</v>
      </c>
      <c r="N172" s="47" t="s">
        <v>604</v>
      </c>
      <c r="O172" s="45" t="s">
        <v>371</v>
      </c>
      <c r="P172" s="44" t="s">
        <v>309</v>
      </c>
      <c r="Q172" s="59" t="str">
        <f>MID(Tabla1[[#This Row],[Aplicación]],14,1)</f>
        <v>2</v>
      </c>
      <c r="R172" s="35" t="s">
        <v>298</v>
      </c>
      <c r="S172" s="59" t="str">
        <f>MID(Tabla1[[#This Row],[Aplicación]],6,2)</f>
        <v>06</v>
      </c>
      <c r="T172" s="35" t="str">
        <f>VLOOKUP(Tabla1[[#This Row],[AREA]],Hoja1!A:B,2,FALSE)</f>
        <v>06. Educación, infancia, juventud e igualdad</v>
      </c>
      <c r="U172" s="35" t="str">
        <f>MID(Tabla1[[#This Row],[Aplicación]],9,4)</f>
        <v>2315</v>
      </c>
      <c r="V172" s="35" t="str">
        <f>VLOOKUP(Tabla1[[#This Row],[PROGRAMA]],Hoja1!A:B,2,FALSE)</f>
        <v>2315. Políticas de Igualdad e infancia</v>
      </c>
      <c r="W172" s="56" t="str">
        <f>MID(Tabla1[[#This Row],[Aplicación]],14,2)</f>
        <v>22</v>
      </c>
      <c r="X172" s="56" t="str">
        <f>MID(Tabla1[[#This Row],[Aplicación]],14,6)</f>
        <v>22102</v>
      </c>
    </row>
    <row r="173" spans="1:24" x14ac:dyDescent="0.25">
      <c r="A173" s="46">
        <v>220229000303</v>
      </c>
      <c r="B173" s="47" t="s">
        <v>507</v>
      </c>
      <c r="C173" s="52">
        <v>44927</v>
      </c>
      <c r="D173" s="46">
        <v>22023001136</v>
      </c>
      <c r="E173" s="47" t="s">
        <v>888</v>
      </c>
      <c r="F173" s="53">
        <v>55000</v>
      </c>
      <c r="G173" s="47" t="s">
        <v>16</v>
      </c>
      <c r="H173" s="47" t="s">
        <v>889</v>
      </c>
      <c r="I173" s="46" t="s">
        <v>511</v>
      </c>
      <c r="J173" s="47" t="s">
        <v>837</v>
      </c>
      <c r="K173" s="47" t="s">
        <v>837</v>
      </c>
      <c r="L173" s="47" t="s">
        <v>552</v>
      </c>
      <c r="M173" s="47" t="s">
        <v>514</v>
      </c>
      <c r="N173" s="47" t="s">
        <v>515</v>
      </c>
      <c r="O173" s="45" t="s">
        <v>371</v>
      </c>
      <c r="P173" s="44" t="s">
        <v>309</v>
      </c>
      <c r="Q173" s="59" t="str">
        <f>MID(Tabla1[[#This Row],[Aplicación]],14,1)</f>
        <v>2</v>
      </c>
      <c r="R173" s="35" t="s">
        <v>298</v>
      </c>
      <c r="S173" s="59" t="str">
        <f>MID(Tabla1[[#This Row],[Aplicación]],6,2)</f>
        <v>02</v>
      </c>
      <c r="T173" s="35" t="str">
        <f>VLOOKUP(Tabla1[[#This Row],[AREA]],Hoja1!A:B,2,FALSE)</f>
        <v>02. Planeamiento urbanístico y vivienda</v>
      </c>
      <c r="U173" s="35" t="str">
        <f>MID(Tabla1[[#This Row],[Aplicación]],9,4)</f>
        <v>9332</v>
      </c>
      <c r="V173" s="35" t="str">
        <f>VLOOKUP(Tabla1[[#This Row],[PROGRAMA]],Hoja1!A:B,2,FALSE)</f>
        <v>9332. Mantenimiento de edificios e instalaciones municipales</v>
      </c>
      <c r="W173" s="56" t="str">
        <f>MID(Tabla1[[#This Row],[Aplicación]],14,2)</f>
        <v>22</v>
      </c>
      <c r="X173" s="56" t="str">
        <f>MID(Tabla1[[#This Row],[Aplicación]],14,6)</f>
        <v>22102</v>
      </c>
    </row>
    <row r="174" spans="1:24" x14ac:dyDescent="0.25">
      <c r="A174" s="46">
        <v>220229000304</v>
      </c>
      <c r="B174" s="47" t="s">
        <v>507</v>
      </c>
      <c r="C174" s="52">
        <v>44927</v>
      </c>
      <c r="D174" s="46">
        <v>22023001137</v>
      </c>
      <c r="E174" s="47" t="s">
        <v>890</v>
      </c>
      <c r="F174" s="53">
        <v>32000</v>
      </c>
      <c r="G174" s="47" t="s">
        <v>16</v>
      </c>
      <c r="H174" s="47" t="s">
        <v>891</v>
      </c>
      <c r="I174" s="46" t="s">
        <v>511</v>
      </c>
      <c r="J174" s="47" t="s">
        <v>837</v>
      </c>
      <c r="K174" s="47" t="s">
        <v>837</v>
      </c>
      <c r="L174" s="47" t="s">
        <v>552</v>
      </c>
      <c r="M174" s="47" t="s">
        <v>514</v>
      </c>
      <c r="N174" s="47" t="s">
        <v>604</v>
      </c>
      <c r="O174" s="45" t="s">
        <v>371</v>
      </c>
      <c r="P174" s="44" t="s">
        <v>309</v>
      </c>
      <c r="Q174" s="59" t="str">
        <f>MID(Tabla1[[#This Row],[Aplicación]],14,1)</f>
        <v>2</v>
      </c>
      <c r="R174" s="35" t="s">
        <v>298</v>
      </c>
      <c r="S174" s="59" t="str">
        <f>MID(Tabla1[[#This Row],[Aplicación]],6,2)</f>
        <v>10</v>
      </c>
      <c r="T174" s="35" t="str">
        <f>VLOOKUP(Tabla1[[#This Row],[AREA]],Hoja1!A:B,2,FALSE)</f>
        <v>10. Servicios sociales y mediación comunitaria</v>
      </c>
      <c r="U174" s="35" t="str">
        <f>MID(Tabla1[[#This Row],[Aplicación]],9,4)</f>
        <v>2312</v>
      </c>
      <c r="V174" s="35" t="str">
        <f>VLOOKUP(Tabla1[[#This Row],[PROGRAMA]],Hoja1!A:B,2,FALSE)</f>
        <v>2312. Iniciativas sociales</v>
      </c>
      <c r="W174" s="56" t="str">
        <f>MID(Tabla1[[#This Row],[Aplicación]],14,2)</f>
        <v>22</v>
      </c>
      <c r="X174" s="56" t="str">
        <f>MID(Tabla1[[#This Row],[Aplicación]],14,6)</f>
        <v>22102</v>
      </c>
    </row>
    <row r="175" spans="1:24" x14ac:dyDescent="0.25">
      <c r="A175" s="46">
        <v>220229000305</v>
      </c>
      <c r="B175" s="47" t="s">
        <v>507</v>
      </c>
      <c r="C175" s="52">
        <v>44927</v>
      </c>
      <c r="D175" s="46">
        <v>22023001138</v>
      </c>
      <c r="E175" s="47" t="s">
        <v>890</v>
      </c>
      <c r="F175" s="53">
        <v>42000</v>
      </c>
      <c r="G175" s="47" t="s">
        <v>16</v>
      </c>
      <c r="H175" s="47" t="s">
        <v>892</v>
      </c>
      <c r="I175" s="46" t="s">
        <v>511</v>
      </c>
      <c r="J175" s="47" t="s">
        <v>837</v>
      </c>
      <c r="K175" s="47" t="s">
        <v>837</v>
      </c>
      <c r="L175" s="47" t="s">
        <v>552</v>
      </c>
      <c r="M175" s="47" t="s">
        <v>514</v>
      </c>
      <c r="N175" s="47" t="s">
        <v>604</v>
      </c>
      <c r="O175" s="45" t="s">
        <v>371</v>
      </c>
      <c r="P175" s="44" t="s">
        <v>309</v>
      </c>
      <c r="Q175" s="59" t="str">
        <f>MID(Tabla1[[#This Row],[Aplicación]],14,1)</f>
        <v>2</v>
      </c>
      <c r="R175" s="35" t="s">
        <v>298</v>
      </c>
      <c r="S175" s="59" t="str">
        <f>MID(Tabla1[[#This Row],[Aplicación]],6,2)</f>
        <v>10</v>
      </c>
      <c r="T175" s="35" t="str">
        <f>VLOOKUP(Tabla1[[#This Row],[AREA]],Hoja1!A:B,2,FALSE)</f>
        <v>10. Servicios sociales y mediación comunitaria</v>
      </c>
      <c r="U175" s="35" t="str">
        <f>MID(Tabla1[[#This Row],[Aplicación]],9,4)</f>
        <v>2312</v>
      </c>
      <c r="V175" s="35" t="str">
        <f>VLOOKUP(Tabla1[[#This Row],[PROGRAMA]],Hoja1!A:B,2,FALSE)</f>
        <v>2312. Iniciativas sociales</v>
      </c>
      <c r="W175" s="56" t="str">
        <f>MID(Tabla1[[#This Row],[Aplicación]],14,2)</f>
        <v>22</v>
      </c>
      <c r="X175" s="56" t="str">
        <f>MID(Tabla1[[#This Row],[Aplicación]],14,6)</f>
        <v>22102</v>
      </c>
    </row>
    <row r="176" spans="1:24" x14ac:dyDescent="0.25">
      <c r="A176" s="46">
        <v>220229000306</v>
      </c>
      <c r="B176" s="47" t="s">
        <v>507</v>
      </c>
      <c r="C176" s="52">
        <v>44927</v>
      </c>
      <c r="D176" s="46">
        <v>22023001139</v>
      </c>
      <c r="E176" s="47" t="s">
        <v>893</v>
      </c>
      <c r="F176" s="53">
        <v>10000</v>
      </c>
      <c r="G176" s="47" t="s">
        <v>16</v>
      </c>
      <c r="H176" s="47" t="s">
        <v>894</v>
      </c>
      <c r="I176" s="46" t="s">
        <v>511</v>
      </c>
      <c r="J176" s="47" t="s">
        <v>837</v>
      </c>
      <c r="K176" s="47" t="s">
        <v>837</v>
      </c>
      <c r="L176" s="47" t="s">
        <v>552</v>
      </c>
      <c r="M176" s="47" t="s">
        <v>514</v>
      </c>
      <c r="N176" s="47" t="s">
        <v>515</v>
      </c>
      <c r="O176" s="45" t="s">
        <v>371</v>
      </c>
      <c r="P176" s="44" t="s">
        <v>309</v>
      </c>
      <c r="Q176" s="59" t="str">
        <f>MID(Tabla1[[#This Row],[Aplicación]],14,1)</f>
        <v>2</v>
      </c>
      <c r="R176" s="35" t="s">
        <v>298</v>
      </c>
      <c r="S176" s="59" t="str">
        <f>MID(Tabla1[[#This Row],[Aplicación]],6,2)</f>
        <v>10</v>
      </c>
      <c r="T176" s="35" t="str">
        <f>VLOOKUP(Tabla1[[#This Row],[AREA]],Hoja1!A:B,2,FALSE)</f>
        <v>10. Servicios sociales y mediación comunitaria</v>
      </c>
      <c r="U176" s="35" t="str">
        <f>MID(Tabla1[[#This Row],[Aplicación]],9,4)</f>
        <v>2412</v>
      </c>
      <c r="V176" s="35" t="str">
        <f>VLOOKUP(Tabla1[[#This Row],[PROGRAMA]],Hoja1!A:B,2,FALSE)</f>
        <v>2412. Formación para el empleo</v>
      </c>
      <c r="W176" s="56" t="str">
        <f>MID(Tabla1[[#This Row],[Aplicación]],14,2)</f>
        <v>22</v>
      </c>
      <c r="X176" s="56" t="str">
        <f>MID(Tabla1[[#This Row],[Aplicación]],14,6)</f>
        <v>22102</v>
      </c>
    </row>
    <row r="177" spans="1:24" x14ac:dyDescent="0.25">
      <c r="A177" s="46">
        <v>220229000307</v>
      </c>
      <c r="B177" s="47" t="s">
        <v>507</v>
      </c>
      <c r="C177" s="52">
        <v>44927</v>
      </c>
      <c r="D177" s="46">
        <v>22023001140</v>
      </c>
      <c r="E177" s="47" t="s">
        <v>895</v>
      </c>
      <c r="F177" s="53">
        <v>315000</v>
      </c>
      <c r="G177" s="47" t="s">
        <v>16</v>
      </c>
      <c r="H177" s="47" t="s">
        <v>896</v>
      </c>
      <c r="I177" s="46" t="s">
        <v>511</v>
      </c>
      <c r="J177" s="47" t="s">
        <v>837</v>
      </c>
      <c r="K177" s="47" t="s">
        <v>837</v>
      </c>
      <c r="L177" s="47" t="s">
        <v>552</v>
      </c>
      <c r="M177" s="47" t="s">
        <v>514</v>
      </c>
      <c r="N177" s="47" t="s">
        <v>515</v>
      </c>
      <c r="O177" s="45" t="s">
        <v>371</v>
      </c>
      <c r="P177" s="44" t="s">
        <v>309</v>
      </c>
      <c r="Q177" s="59" t="str">
        <f>MID(Tabla1[[#This Row],[Aplicación]],14,1)</f>
        <v>2</v>
      </c>
      <c r="R177" s="35" t="s">
        <v>298</v>
      </c>
      <c r="S177" s="59" t="str">
        <f>MID(Tabla1[[#This Row],[Aplicación]],6,2)</f>
        <v>03</v>
      </c>
      <c r="T177" s="35" t="str">
        <f>VLOOKUP(Tabla1[[#This Row],[AREA]],Hoja1!A:B,2,FALSE)</f>
        <v>03. Participación ciudadana y deportes</v>
      </c>
      <c r="U177" s="35" t="str">
        <f>MID(Tabla1[[#This Row],[Aplicación]],9,4)</f>
        <v>9241</v>
      </c>
      <c r="V177" s="35" t="str">
        <f>VLOOKUP(Tabla1[[#This Row],[PROGRAMA]],Hoja1!A:B,2,FALSE)</f>
        <v>9241. Participación ciudadana</v>
      </c>
      <c r="W177" s="56" t="str">
        <f>MID(Tabla1[[#This Row],[Aplicación]],14,2)</f>
        <v>22</v>
      </c>
      <c r="X177" s="56" t="str">
        <f>MID(Tabla1[[#This Row],[Aplicación]],14,6)</f>
        <v>22102</v>
      </c>
    </row>
    <row r="178" spans="1:24" x14ac:dyDescent="0.25">
      <c r="A178" s="46">
        <v>220229000426</v>
      </c>
      <c r="B178" s="47" t="s">
        <v>507</v>
      </c>
      <c r="C178" s="52">
        <v>44927</v>
      </c>
      <c r="D178" s="46">
        <v>22023000461</v>
      </c>
      <c r="E178" s="47" t="s">
        <v>566</v>
      </c>
      <c r="F178" s="53">
        <v>84843.68</v>
      </c>
      <c r="G178" s="47" t="s">
        <v>824</v>
      </c>
      <c r="H178" s="47" t="s">
        <v>897</v>
      </c>
      <c r="I178" s="46" t="s">
        <v>511</v>
      </c>
      <c r="J178" s="47" t="s">
        <v>826</v>
      </c>
      <c r="K178" s="51" t="s">
        <v>827</v>
      </c>
      <c r="L178" s="47" t="s">
        <v>520</v>
      </c>
      <c r="M178" s="47" t="s">
        <v>514</v>
      </c>
      <c r="N178" s="47" t="s">
        <v>515</v>
      </c>
      <c r="O178" s="45" t="s">
        <v>371</v>
      </c>
      <c r="P178" s="44" t="s">
        <v>309</v>
      </c>
      <c r="Q178" s="59" t="str">
        <f>MID(Tabla1[[#This Row],[Aplicación]],14,1)</f>
        <v>2</v>
      </c>
      <c r="R178" s="35" t="s">
        <v>298</v>
      </c>
      <c r="S178" s="59" t="str">
        <f>MID(Tabla1[[#This Row],[Aplicación]],6,2)</f>
        <v>04</v>
      </c>
      <c r="T178" s="35" t="str">
        <f>VLOOKUP(Tabla1[[#This Row],[AREA]],Hoja1!A:B,2,FALSE)</f>
        <v>04. Planificación y recursos</v>
      </c>
      <c r="U178" s="35" t="str">
        <f>MID(Tabla1[[#This Row],[Aplicación]],9,4)</f>
        <v>9204</v>
      </c>
      <c r="V178" s="35" t="str">
        <f>VLOOKUP(Tabla1[[#This Row],[PROGRAMA]],Hoja1!A:B,2,FALSE)</f>
        <v>9204. Tecnologías de la información y comunicación</v>
      </c>
      <c r="W178" s="56" t="str">
        <f>MID(Tabla1[[#This Row],[Aplicación]],14,2)</f>
        <v>21</v>
      </c>
      <c r="X178" s="56" t="str">
        <f>MID(Tabla1[[#This Row],[Aplicación]],14,6)</f>
        <v>216</v>
      </c>
    </row>
    <row r="179" spans="1:24" x14ac:dyDescent="0.25">
      <c r="A179" s="46">
        <v>220229000154</v>
      </c>
      <c r="B179" s="47" t="s">
        <v>507</v>
      </c>
      <c r="C179" s="52">
        <v>44927</v>
      </c>
      <c r="D179" s="46">
        <v>22023000907</v>
      </c>
      <c r="E179" s="47" t="s">
        <v>898</v>
      </c>
      <c r="F179" s="53">
        <v>84064.15</v>
      </c>
      <c r="G179" s="47" t="s">
        <v>53</v>
      </c>
      <c r="H179" s="47" t="s">
        <v>899</v>
      </c>
      <c r="I179" s="46" t="s">
        <v>511</v>
      </c>
      <c r="J179" s="47" t="s">
        <v>519</v>
      </c>
      <c r="K179" s="47" t="s">
        <v>519</v>
      </c>
      <c r="L179" s="47" t="s">
        <v>520</v>
      </c>
      <c r="M179" s="47" t="s">
        <v>514</v>
      </c>
      <c r="N179" s="47" t="s">
        <v>604</v>
      </c>
      <c r="O179" s="45" t="s">
        <v>371</v>
      </c>
      <c r="P179" s="44" t="s">
        <v>309</v>
      </c>
      <c r="Q179" s="59" t="str">
        <f>MID(Tabla1[[#This Row],[Aplicación]],14,1)</f>
        <v>2</v>
      </c>
      <c r="R179" s="35" t="s">
        <v>298</v>
      </c>
      <c r="S179" s="59" t="str">
        <f>MID(Tabla1[[#This Row],[Aplicación]],6,2)</f>
        <v>06</v>
      </c>
      <c r="T179" s="35" t="str">
        <f>VLOOKUP(Tabla1[[#This Row],[AREA]],Hoja1!A:B,2,FALSE)</f>
        <v>06. Educación, infancia, juventud e igualdad</v>
      </c>
      <c r="U179" s="35" t="str">
        <f>MID(Tabla1[[#This Row],[Aplicación]],9,4)</f>
        <v>3232</v>
      </c>
      <c r="V179" s="35" t="str">
        <f>VLOOKUP(Tabla1[[#This Row],[PROGRAMA]],Hoja1!A:B,2,FALSE)</f>
        <v>3232. Conservación y mantenimiento centros educación infantil y primaria</v>
      </c>
      <c r="W179" s="56" t="str">
        <f>MID(Tabla1[[#This Row],[Aplicación]],14,2)</f>
        <v>22</v>
      </c>
      <c r="X179" s="56" t="str">
        <f>MID(Tabla1[[#This Row],[Aplicación]],14,6)</f>
        <v>22799</v>
      </c>
    </row>
    <row r="180" spans="1:24" x14ac:dyDescent="0.25">
      <c r="A180" s="46">
        <v>220229000371</v>
      </c>
      <c r="B180" s="47" t="s">
        <v>507</v>
      </c>
      <c r="C180" s="52">
        <v>44927</v>
      </c>
      <c r="D180" s="46">
        <v>22023001165</v>
      </c>
      <c r="E180" s="47" t="s">
        <v>900</v>
      </c>
      <c r="F180" s="53">
        <v>80000</v>
      </c>
      <c r="G180" s="47" t="s">
        <v>12</v>
      </c>
      <c r="H180" s="47" t="s">
        <v>901</v>
      </c>
      <c r="I180" s="46" t="s">
        <v>511</v>
      </c>
      <c r="J180" s="47" t="s">
        <v>512</v>
      </c>
      <c r="K180" s="47" t="s">
        <v>512</v>
      </c>
      <c r="L180" s="47" t="s">
        <v>552</v>
      </c>
      <c r="M180" s="47" t="s">
        <v>514</v>
      </c>
      <c r="N180" s="47" t="s">
        <v>515</v>
      </c>
      <c r="O180" s="45" t="s">
        <v>371</v>
      </c>
      <c r="P180" s="44" t="s">
        <v>309</v>
      </c>
      <c r="Q180" s="59" t="str">
        <f>MID(Tabla1[[#This Row],[Aplicación]],14,1)</f>
        <v>2</v>
      </c>
      <c r="R180" s="35" t="s">
        <v>298</v>
      </c>
      <c r="S180" s="59" t="str">
        <f>MID(Tabla1[[#This Row],[Aplicación]],6,2)</f>
        <v>07</v>
      </c>
      <c r="T180" s="35" t="str">
        <f>VLOOKUP(Tabla1[[#This Row],[AREA]],Hoja1!A:B,2,FALSE)</f>
        <v>07. Medio ambiente y desarrollo sostenible</v>
      </c>
      <c r="U180" s="35" t="str">
        <f>MID(Tabla1[[#This Row],[Aplicación]],9,4)</f>
        <v>1711</v>
      </c>
      <c r="V180" s="35" t="str">
        <f>VLOOKUP(Tabla1[[#This Row],[PROGRAMA]],Hoja1!A:B,2,FALSE)</f>
        <v>1711. Parques y jardines</v>
      </c>
      <c r="W180" s="56" t="str">
        <f>MID(Tabla1[[#This Row],[Aplicación]],14,2)</f>
        <v>22</v>
      </c>
      <c r="X180" s="56" t="str">
        <f>MID(Tabla1[[#This Row],[Aplicación]],14,6)</f>
        <v>22103</v>
      </c>
    </row>
    <row r="181" spans="1:24" x14ac:dyDescent="0.25">
      <c r="A181" s="46">
        <v>220219000658</v>
      </c>
      <c r="B181" s="47" t="s">
        <v>507</v>
      </c>
      <c r="C181" s="52">
        <v>44927</v>
      </c>
      <c r="D181" s="46">
        <v>22023003355</v>
      </c>
      <c r="E181" s="47" t="s">
        <v>516</v>
      </c>
      <c r="F181" s="53">
        <v>76377.66</v>
      </c>
      <c r="G181" s="47" t="s">
        <v>314</v>
      </c>
      <c r="H181" s="47" t="s">
        <v>902</v>
      </c>
      <c r="I181" s="46" t="s">
        <v>511</v>
      </c>
      <c r="J181" s="47" t="s">
        <v>519</v>
      </c>
      <c r="K181" s="47" t="s">
        <v>519</v>
      </c>
      <c r="L181" s="47" t="s">
        <v>520</v>
      </c>
      <c r="M181" s="47" t="s">
        <v>514</v>
      </c>
      <c r="N181" s="47" t="s">
        <v>515</v>
      </c>
      <c r="O181" s="45" t="s">
        <v>371</v>
      </c>
      <c r="P181" s="44" t="s">
        <v>309</v>
      </c>
      <c r="Q181" s="59" t="str">
        <f>MID(Tabla1[[#This Row],[Aplicación]],14,1)</f>
        <v>2</v>
      </c>
      <c r="R181" s="35" t="s">
        <v>298</v>
      </c>
      <c r="S181" s="59" t="str">
        <f>MID(Tabla1[[#This Row],[Aplicación]],6,2)</f>
        <v>10</v>
      </c>
      <c r="T181" s="35" t="str">
        <f>VLOOKUP(Tabla1[[#This Row],[AREA]],Hoja1!A:B,2,FALSE)</f>
        <v>10. Servicios sociales y mediación comunitaria</v>
      </c>
      <c r="U181" s="35" t="str">
        <f>MID(Tabla1[[#This Row],[Aplicación]],9,4)</f>
        <v>2311</v>
      </c>
      <c r="V181" s="35" t="str">
        <f>VLOOKUP(Tabla1[[#This Row],[PROGRAMA]],Hoja1!A:B,2,FALSE)</f>
        <v>2311. Intervención social</v>
      </c>
      <c r="W181" s="56" t="str">
        <f>MID(Tabla1[[#This Row],[Aplicación]],14,2)</f>
        <v>22</v>
      </c>
      <c r="X181" s="56" t="str">
        <f>MID(Tabla1[[#This Row],[Aplicación]],14,6)</f>
        <v>22799</v>
      </c>
    </row>
    <row r="182" spans="1:24" x14ac:dyDescent="0.25">
      <c r="A182" s="46">
        <v>220219000904</v>
      </c>
      <c r="B182" s="47" t="s">
        <v>507</v>
      </c>
      <c r="C182" s="52">
        <v>44927</v>
      </c>
      <c r="D182" s="46">
        <v>22023003372</v>
      </c>
      <c r="E182" s="47" t="s">
        <v>574</v>
      </c>
      <c r="F182" s="53">
        <v>75000</v>
      </c>
      <c r="G182" s="47" t="s">
        <v>422</v>
      </c>
      <c r="H182" s="47" t="s">
        <v>903</v>
      </c>
      <c r="I182" s="46" t="s">
        <v>511</v>
      </c>
      <c r="J182" s="47" t="s">
        <v>512</v>
      </c>
      <c r="K182" s="47" t="s">
        <v>512</v>
      </c>
      <c r="L182" s="47" t="s">
        <v>520</v>
      </c>
      <c r="M182" s="47" t="s">
        <v>514</v>
      </c>
      <c r="N182" s="47" t="s">
        <v>515</v>
      </c>
      <c r="O182" s="45" t="s">
        <v>371</v>
      </c>
      <c r="P182" s="44" t="s">
        <v>309</v>
      </c>
      <c r="Q182" s="59" t="str">
        <f>MID(Tabla1[[#This Row],[Aplicación]],14,1)</f>
        <v>2</v>
      </c>
      <c r="R182" s="35" t="s">
        <v>298</v>
      </c>
      <c r="S182" s="59" t="str">
        <f>MID(Tabla1[[#This Row],[Aplicación]],6,2)</f>
        <v>11</v>
      </c>
      <c r="T182" s="35" t="str">
        <f>VLOOKUP(Tabla1[[#This Row],[AREA]],Hoja1!A:B,2,FALSE)</f>
        <v>11. Salud pública y seguridad ciudadana</v>
      </c>
      <c r="U182" s="35" t="str">
        <f>MID(Tabla1[[#This Row],[Aplicación]],9,4)</f>
        <v>1621</v>
      </c>
      <c r="V182" s="35" t="str">
        <f>VLOOKUP(Tabla1[[#This Row],[PROGRAMA]],Hoja1!A:B,2,FALSE)</f>
        <v>1621. Servicio de limpieza</v>
      </c>
      <c r="W182" s="56" t="str">
        <f>MID(Tabla1[[#This Row],[Aplicación]],14,2)</f>
        <v>22</v>
      </c>
      <c r="X182" s="56" t="str">
        <f>MID(Tabla1[[#This Row],[Aplicación]],14,6)</f>
        <v>22700</v>
      </c>
    </row>
    <row r="183" spans="1:24" x14ac:dyDescent="0.25">
      <c r="A183" s="46">
        <v>220229000791</v>
      </c>
      <c r="B183" s="47" t="s">
        <v>507</v>
      </c>
      <c r="C183" s="52">
        <v>44927</v>
      </c>
      <c r="D183" s="46">
        <v>22023001936</v>
      </c>
      <c r="E183" s="47" t="s">
        <v>726</v>
      </c>
      <c r="F183" s="53">
        <v>73986.759999999995</v>
      </c>
      <c r="G183" s="47" t="s">
        <v>904</v>
      </c>
      <c r="H183" s="47" t="s">
        <v>905</v>
      </c>
      <c r="I183" s="46" t="s">
        <v>511</v>
      </c>
      <c r="J183" s="47" t="s">
        <v>532</v>
      </c>
      <c r="K183" s="47" t="s">
        <v>512</v>
      </c>
      <c r="L183" s="47" t="s">
        <v>520</v>
      </c>
      <c r="M183" s="47" t="s">
        <v>514</v>
      </c>
      <c r="N183" s="47" t="s">
        <v>515</v>
      </c>
      <c r="O183" s="54" t="s">
        <v>371</v>
      </c>
      <c r="P183" s="44" t="s">
        <v>309</v>
      </c>
      <c r="Q183" s="59" t="str">
        <f>MID(Tabla1[[#This Row],[Aplicación]],14,1)</f>
        <v>6</v>
      </c>
      <c r="R183" s="35" t="s">
        <v>299</v>
      </c>
      <c r="S183" s="59" t="str">
        <f>MID(Tabla1[[#This Row],[Aplicación]],6,2)</f>
        <v>04</v>
      </c>
      <c r="T183" s="35" t="str">
        <f>VLOOKUP(Tabla1[[#This Row],[AREA]],Hoja1!A:B,2,FALSE)</f>
        <v>04. Planificación y recursos</v>
      </c>
      <c r="U183" s="35" t="str">
        <f>MID(Tabla1[[#This Row],[Aplicación]],9,4)</f>
        <v>9204</v>
      </c>
      <c r="V183" s="35" t="str">
        <f>VLOOKUP(Tabla1[[#This Row],[PROGRAMA]],Hoja1!A:B,2,FALSE)</f>
        <v>9204. Tecnologías de la información y comunicación</v>
      </c>
      <c r="W183" s="56" t="str">
        <f>MID(Tabla1[[#This Row],[Aplicación]],14,2)</f>
        <v>64</v>
      </c>
      <c r="X183" s="56" t="str">
        <f>MID(Tabla1[[#This Row],[Aplicación]],14,6)</f>
        <v>641</v>
      </c>
    </row>
    <row r="184" spans="1:24" x14ac:dyDescent="0.25">
      <c r="A184" s="46">
        <v>220229000386</v>
      </c>
      <c r="B184" s="47" t="s">
        <v>507</v>
      </c>
      <c r="C184" s="52">
        <v>44927</v>
      </c>
      <c r="D184" s="46">
        <v>22023000456</v>
      </c>
      <c r="E184" s="47" t="s">
        <v>762</v>
      </c>
      <c r="F184" s="53">
        <v>70712.399999999994</v>
      </c>
      <c r="G184" s="47" t="s">
        <v>906</v>
      </c>
      <c r="H184" s="47" t="s">
        <v>907</v>
      </c>
      <c r="I184" s="46" t="s">
        <v>511</v>
      </c>
      <c r="J184" s="47" t="s">
        <v>908</v>
      </c>
      <c r="K184" s="51" t="s">
        <v>908</v>
      </c>
      <c r="L184" s="47" t="s">
        <v>552</v>
      </c>
      <c r="M184" s="47" t="s">
        <v>514</v>
      </c>
      <c r="N184" s="47" t="s">
        <v>515</v>
      </c>
      <c r="O184" s="45" t="s">
        <v>371</v>
      </c>
      <c r="P184" s="44" t="s">
        <v>309</v>
      </c>
      <c r="Q184" s="59" t="str">
        <f>MID(Tabla1[[#This Row],[Aplicación]],14,1)</f>
        <v>2</v>
      </c>
      <c r="R184" s="35" t="s">
        <v>298</v>
      </c>
      <c r="S184" s="59" t="str">
        <f>MID(Tabla1[[#This Row],[Aplicación]],6,2)</f>
        <v>11</v>
      </c>
      <c r="T184" s="35" t="str">
        <f>VLOOKUP(Tabla1[[#This Row],[AREA]],Hoja1!A:B,2,FALSE)</f>
        <v>11. Salud pública y seguridad ciudadana</v>
      </c>
      <c r="U184" s="35" t="str">
        <f>MID(Tabla1[[#This Row],[Aplicación]],9,4)</f>
        <v>1321</v>
      </c>
      <c r="V184" s="35" t="str">
        <f>VLOOKUP(Tabla1[[#This Row],[PROGRAMA]],Hoja1!A:B,2,FALSE)</f>
        <v>1321. Policía municipal</v>
      </c>
      <c r="W184" s="56" t="str">
        <f>MID(Tabla1[[#This Row],[Aplicación]],14,2)</f>
        <v>20</v>
      </c>
      <c r="X184" s="56" t="str">
        <f>MID(Tabla1[[#This Row],[Aplicación]],14,6)</f>
        <v>204</v>
      </c>
    </row>
    <row r="185" spans="1:24" x14ac:dyDescent="0.25">
      <c r="A185" s="46">
        <v>220219000098</v>
      </c>
      <c r="B185" s="47" t="s">
        <v>507</v>
      </c>
      <c r="C185" s="52">
        <v>44927</v>
      </c>
      <c r="D185" s="46">
        <v>22023000515</v>
      </c>
      <c r="E185" s="47" t="s">
        <v>772</v>
      </c>
      <c r="F185" s="53">
        <v>69142.960000000006</v>
      </c>
      <c r="G185" s="47" t="s">
        <v>778</v>
      </c>
      <c r="H185" s="47" t="s">
        <v>909</v>
      </c>
      <c r="I185" s="46" t="s">
        <v>511</v>
      </c>
      <c r="J185" s="47" t="s">
        <v>519</v>
      </c>
      <c r="K185" s="47" t="s">
        <v>519</v>
      </c>
      <c r="L185" s="47" t="s">
        <v>520</v>
      </c>
      <c r="M185" s="47" t="s">
        <v>514</v>
      </c>
      <c r="N185" s="47" t="s">
        <v>515</v>
      </c>
      <c r="O185" s="45" t="s">
        <v>371</v>
      </c>
      <c r="P185" s="44" t="s">
        <v>309</v>
      </c>
      <c r="Q185" s="59" t="str">
        <f>MID(Tabla1[[#This Row],[Aplicación]],14,1)</f>
        <v>2</v>
      </c>
      <c r="R185" s="35" t="s">
        <v>298</v>
      </c>
      <c r="S185" s="59" t="str">
        <f>MID(Tabla1[[#This Row],[Aplicación]],6,2)</f>
        <v>06</v>
      </c>
      <c r="T185" s="35" t="str">
        <f>VLOOKUP(Tabla1[[#This Row],[AREA]],Hoja1!A:B,2,FALSE)</f>
        <v>06. Educación, infancia, juventud e igualdad</v>
      </c>
      <c r="U185" s="35" t="str">
        <f>MID(Tabla1[[#This Row],[Aplicación]],9,4)</f>
        <v>2314</v>
      </c>
      <c r="V185" s="35" t="str">
        <f>VLOOKUP(Tabla1[[#This Row],[PROGRAMA]],Hoja1!A:B,2,FALSE)</f>
        <v>2314. Centro de programas juveniles</v>
      </c>
      <c r="W185" s="56" t="str">
        <f>MID(Tabla1[[#This Row],[Aplicación]],14,2)</f>
        <v>22</v>
      </c>
      <c r="X185" s="56" t="str">
        <f>MID(Tabla1[[#This Row],[Aplicación]],14,6)</f>
        <v>22799</v>
      </c>
    </row>
    <row r="186" spans="1:24" x14ac:dyDescent="0.25">
      <c r="A186" s="46">
        <v>220229000608</v>
      </c>
      <c r="B186" s="47" t="s">
        <v>507</v>
      </c>
      <c r="C186" s="52">
        <v>44927</v>
      </c>
      <c r="D186" s="46">
        <v>22023001227</v>
      </c>
      <c r="E186" s="47" t="s">
        <v>741</v>
      </c>
      <c r="F186" s="53">
        <v>65626.31</v>
      </c>
      <c r="G186" s="47" t="s">
        <v>769</v>
      </c>
      <c r="H186" s="47" t="s">
        <v>910</v>
      </c>
      <c r="I186" s="46" t="s">
        <v>511</v>
      </c>
      <c r="J186" s="47" t="s">
        <v>771</v>
      </c>
      <c r="K186" s="47" t="s">
        <v>771</v>
      </c>
      <c r="L186" s="47" t="s">
        <v>527</v>
      </c>
      <c r="M186" s="47" t="s">
        <v>514</v>
      </c>
      <c r="N186" s="47" t="s">
        <v>515</v>
      </c>
      <c r="O186" s="54" t="s">
        <v>371</v>
      </c>
      <c r="P186" s="44" t="s">
        <v>309</v>
      </c>
      <c r="Q186" s="59" t="str">
        <f>MID(Tabla1[[#This Row],[Aplicación]],14,1)</f>
        <v>6</v>
      </c>
      <c r="R186" s="35" t="s">
        <v>299</v>
      </c>
      <c r="S186" s="59" t="str">
        <f>MID(Tabla1[[#This Row],[Aplicación]],6,2)</f>
        <v>07</v>
      </c>
      <c r="T186" s="35" t="str">
        <f>VLOOKUP(Tabla1[[#This Row],[AREA]],Hoja1!A:B,2,FALSE)</f>
        <v>07. Medio ambiente y desarrollo sostenible</v>
      </c>
      <c r="U186" s="35" t="str">
        <f>MID(Tabla1[[#This Row],[Aplicación]],9,4)</f>
        <v>1711</v>
      </c>
      <c r="V186" s="35" t="str">
        <f>VLOOKUP(Tabla1[[#This Row],[PROGRAMA]],Hoja1!A:B,2,FALSE)</f>
        <v>1711. Parques y jardines</v>
      </c>
      <c r="W186" s="56" t="str">
        <f>MID(Tabla1[[#This Row],[Aplicación]],14,2)</f>
        <v>61</v>
      </c>
      <c r="X186" s="56" t="str">
        <f>MID(Tabla1[[#This Row],[Aplicación]],14,6)</f>
        <v>619</v>
      </c>
    </row>
    <row r="187" spans="1:24" x14ac:dyDescent="0.25">
      <c r="A187" s="46">
        <v>220229000707</v>
      </c>
      <c r="B187" s="47" t="s">
        <v>507</v>
      </c>
      <c r="C187" s="52">
        <v>44927</v>
      </c>
      <c r="D187" s="46">
        <v>22023001292</v>
      </c>
      <c r="E187" s="47" t="s">
        <v>808</v>
      </c>
      <c r="F187" s="53">
        <v>65266.67</v>
      </c>
      <c r="G187" s="47" t="s">
        <v>911</v>
      </c>
      <c r="H187" s="47" t="s">
        <v>912</v>
      </c>
      <c r="I187" s="46" t="s">
        <v>511</v>
      </c>
      <c r="J187" s="47" t="s">
        <v>519</v>
      </c>
      <c r="K187" s="47" t="s">
        <v>519</v>
      </c>
      <c r="L187" s="47" t="s">
        <v>527</v>
      </c>
      <c r="M187" s="47" t="s">
        <v>514</v>
      </c>
      <c r="N187" s="47" t="s">
        <v>515</v>
      </c>
      <c r="O187" s="54" t="s">
        <v>371</v>
      </c>
      <c r="P187" s="44" t="s">
        <v>309</v>
      </c>
      <c r="Q187" s="59" t="str">
        <f>MID(Tabla1[[#This Row],[Aplicación]],14,1)</f>
        <v>6</v>
      </c>
      <c r="R187" s="35" t="s">
        <v>299</v>
      </c>
      <c r="S187" s="59" t="str">
        <f>MID(Tabla1[[#This Row],[Aplicación]],6,2)</f>
        <v>03</v>
      </c>
      <c r="T187" s="35" t="str">
        <f>VLOOKUP(Tabla1[[#This Row],[AREA]],Hoja1!A:B,2,FALSE)</f>
        <v>03. Participación ciudadana y deportes</v>
      </c>
      <c r="U187" s="35" t="str">
        <f>MID(Tabla1[[#This Row],[Aplicación]],9,4)</f>
        <v>9241</v>
      </c>
      <c r="V187" s="35" t="str">
        <f>VLOOKUP(Tabla1[[#This Row],[PROGRAMA]],Hoja1!A:B,2,FALSE)</f>
        <v>9241. Participación ciudadana</v>
      </c>
      <c r="W187" s="56" t="str">
        <f>MID(Tabla1[[#This Row],[Aplicación]],14,2)</f>
        <v>63</v>
      </c>
      <c r="X187" s="56" t="str">
        <f>MID(Tabla1[[#This Row],[Aplicación]],14,6)</f>
        <v>632</v>
      </c>
    </row>
    <row r="188" spans="1:24" x14ac:dyDescent="0.25">
      <c r="A188" s="46">
        <v>220229000750</v>
      </c>
      <c r="B188" s="47" t="s">
        <v>507</v>
      </c>
      <c r="C188" s="52">
        <v>44927</v>
      </c>
      <c r="D188" s="46">
        <v>22023001319</v>
      </c>
      <c r="E188" s="47" t="s">
        <v>913</v>
      </c>
      <c r="F188" s="53">
        <v>62334.2</v>
      </c>
      <c r="G188" s="47" t="s">
        <v>914</v>
      </c>
      <c r="H188" s="47" t="s">
        <v>915</v>
      </c>
      <c r="I188" s="46" t="s">
        <v>511</v>
      </c>
      <c r="J188" s="47" t="s">
        <v>716</v>
      </c>
      <c r="K188" s="47" t="s">
        <v>717</v>
      </c>
      <c r="L188" s="47" t="s">
        <v>520</v>
      </c>
      <c r="M188" s="47" t="s">
        <v>514</v>
      </c>
      <c r="N188" s="47" t="s">
        <v>515</v>
      </c>
      <c r="O188" s="45" t="s">
        <v>371</v>
      </c>
      <c r="P188" s="44" t="s">
        <v>309</v>
      </c>
      <c r="Q188" s="59" t="str">
        <f>MID(Tabla1[[#This Row],[Aplicación]],14,1)</f>
        <v>2</v>
      </c>
      <c r="R188" s="35" t="s">
        <v>298</v>
      </c>
      <c r="S188" s="59" t="str">
        <f>MID(Tabla1[[#This Row],[Aplicación]],6,2)</f>
        <v>07</v>
      </c>
      <c r="T188" s="35" t="str">
        <f>VLOOKUP(Tabla1[[#This Row],[AREA]],Hoja1!A:B,2,FALSE)</f>
        <v>07. Medio ambiente y desarrollo sostenible</v>
      </c>
      <c r="U188" s="35" t="str">
        <f>MID(Tabla1[[#This Row],[Aplicación]],9,4)</f>
        <v>1701</v>
      </c>
      <c r="V188" s="35" t="str">
        <f>VLOOKUP(Tabla1[[#This Row],[PROGRAMA]],Hoja1!A:B,2,FALSE)</f>
        <v>1701. Dirección del área de medio ambiente</v>
      </c>
      <c r="W188" s="56" t="str">
        <f>MID(Tabla1[[#This Row],[Aplicación]],14,2)</f>
        <v>22</v>
      </c>
      <c r="X188" s="56" t="str">
        <f>MID(Tabla1[[#This Row],[Aplicación]],14,6)</f>
        <v>22700</v>
      </c>
    </row>
    <row r="189" spans="1:24" x14ac:dyDescent="0.25">
      <c r="A189" s="46">
        <v>220229000753</v>
      </c>
      <c r="B189" s="47" t="s">
        <v>507</v>
      </c>
      <c r="C189" s="52">
        <v>44927</v>
      </c>
      <c r="D189" s="46">
        <v>22023000751</v>
      </c>
      <c r="E189" s="47" t="s">
        <v>916</v>
      </c>
      <c r="F189" s="53">
        <v>62149.84</v>
      </c>
      <c r="G189" s="47" t="s">
        <v>917</v>
      </c>
      <c r="H189" s="47" t="s">
        <v>918</v>
      </c>
      <c r="I189" s="46" t="s">
        <v>511</v>
      </c>
      <c r="J189" s="47" t="s">
        <v>519</v>
      </c>
      <c r="K189" s="47" t="s">
        <v>519</v>
      </c>
      <c r="L189" s="47" t="s">
        <v>520</v>
      </c>
      <c r="M189" s="47" t="s">
        <v>514</v>
      </c>
      <c r="N189" s="47" t="s">
        <v>515</v>
      </c>
      <c r="O189" s="45" t="s">
        <v>371</v>
      </c>
      <c r="P189" s="44" t="s">
        <v>309</v>
      </c>
      <c r="Q189" s="59" t="str">
        <f>MID(Tabla1[[#This Row],[Aplicación]],14,1)</f>
        <v>2</v>
      </c>
      <c r="R189" s="35" t="s">
        <v>298</v>
      </c>
      <c r="S189" s="59" t="str">
        <f>MID(Tabla1[[#This Row],[Aplicación]],6,2)</f>
        <v>11</v>
      </c>
      <c r="T189" s="35" t="str">
        <f>VLOOKUP(Tabla1[[#This Row],[AREA]],Hoja1!A:B,2,FALSE)</f>
        <v>11. Salud pública y seguridad ciudadana</v>
      </c>
      <c r="U189" s="35" t="str">
        <f>MID(Tabla1[[#This Row],[Aplicación]],9,4)</f>
        <v>1361</v>
      </c>
      <c r="V189" s="35" t="str">
        <f>VLOOKUP(Tabla1[[#This Row],[PROGRAMA]],Hoja1!A:B,2,FALSE)</f>
        <v>1361. Prevención y extinción de incencios</v>
      </c>
      <c r="W189" s="56" t="str">
        <f>MID(Tabla1[[#This Row],[Aplicación]],14,2)</f>
        <v>22</v>
      </c>
      <c r="X189" s="56" t="str">
        <f>MID(Tabla1[[#This Row],[Aplicación]],14,6)</f>
        <v>22700</v>
      </c>
    </row>
    <row r="190" spans="1:24" x14ac:dyDescent="0.25">
      <c r="A190" s="46">
        <v>220229000122</v>
      </c>
      <c r="B190" s="47" t="s">
        <v>507</v>
      </c>
      <c r="C190" s="52">
        <v>44927</v>
      </c>
      <c r="D190" s="46">
        <v>22023000893</v>
      </c>
      <c r="E190" s="47" t="s">
        <v>726</v>
      </c>
      <c r="F190" s="53">
        <v>59533.75</v>
      </c>
      <c r="G190" s="47" t="s">
        <v>919</v>
      </c>
      <c r="H190" s="47" t="s">
        <v>920</v>
      </c>
      <c r="I190" s="46" t="s">
        <v>511</v>
      </c>
      <c r="J190" s="47" t="s">
        <v>729</v>
      </c>
      <c r="K190" s="47" t="s">
        <v>729</v>
      </c>
      <c r="L190" s="47" t="s">
        <v>520</v>
      </c>
      <c r="M190" s="47" t="s">
        <v>514</v>
      </c>
      <c r="N190" s="47" t="s">
        <v>515</v>
      </c>
      <c r="O190" s="54" t="s">
        <v>371</v>
      </c>
      <c r="P190" s="44" t="s">
        <v>309</v>
      </c>
      <c r="Q190" s="59" t="str">
        <f>MID(Tabla1[[#This Row],[Aplicación]],14,1)</f>
        <v>6</v>
      </c>
      <c r="R190" s="35" t="s">
        <v>299</v>
      </c>
      <c r="S190" s="59" t="str">
        <f>MID(Tabla1[[#This Row],[Aplicación]],6,2)</f>
        <v>04</v>
      </c>
      <c r="T190" s="35" t="str">
        <f>VLOOKUP(Tabla1[[#This Row],[AREA]],Hoja1!A:B,2,FALSE)</f>
        <v>04. Planificación y recursos</v>
      </c>
      <c r="U190" s="35" t="str">
        <f>MID(Tabla1[[#This Row],[Aplicación]],9,4)</f>
        <v>9204</v>
      </c>
      <c r="V190" s="35" t="str">
        <f>VLOOKUP(Tabla1[[#This Row],[PROGRAMA]],Hoja1!A:B,2,FALSE)</f>
        <v>9204. Tecnologías de la información y comunicación</v>
      </c>
      <c r="W190" s="56" t="str">
        <f>MID(Tabla1[[#This Row],[Aplicación]],14,2)</f>
        <v>64</v>
      </c>
      <c r="X190" s="56" t="str">
        <f>MID(Tabla1[[#This Row],[Aplicación]],14,6)</f>
        <v>641</v>
      </c>
    </row>
    <row r="191" spans="1:24" x14ac:dyDescent="0.25">
      <c r="A191" s="46">
        <v>220229000430</v>
      </c>
      <c r="B191" s="47" t="s">
        <v>507</v>
      </c>
      <c r="C191" s="52">
        <v>44927</v>
      </c>
      <c r="D191" s="46">
        <v>22023000729</v>
      </c>
      <c r="E191" s="47" t="s">
        <v>726</v>
      </c>
      <c r="F191" s="53">
        <v>57054.55</v>
      </c>
      <c r="G191" s="47" t="s">
        <v>824</v>
      </c>
      <c r="H191" s="47" t="s">
        <v>921</v>
      </c>
      <c r="I191" s="46" t="s">
        <v>511</v>
      </c>
      <c r="J191" s="47" t="s">
        <v>826</v>
      </c>
      <c r="K191" s="51" t="s">
        <v>827</v>
      </c>
      <c r="L191" s="47" t="s">
        <v>520</v>
      </c>
      <c r="M191" s="47" t="s">
        <v>514</v>
      </c>
      <c r="N191" s="47" t="s">
        <v>515</v>
      </c>
      <c r="O191" s="54" t="s">
        <v>371</v>
      </c>
      <c r="P191" s="44" t="s">
        <v>309</v>
      </c>
      <c r="Q191" s="59" t="str">
        <f>MID(Tabla1[[#This Row],[Aplicación]],14,1)</f>
        <v>6</v>
      </c>
      <c r="R191" s="35" t="s">
        <v>299</v>
      </c>
      <c r="S191" s="59" t="str">
        <f>MID(Tabla1[[#This Row],[Aplicación]],6,2)</f>
        <v>04</v>
      </c>
      <c r="T191" s="35" t="str">
        <f>VLOOKUP(Tabla1[[#This Row],[AREA]],Hoja1!A:B,2,FALSE)</f>
        <v>04. Planificación y recursos</v>
      </c>
      <c r="U191" s="35" t="str">
        <f>MID(Tabla1[[#This Row],[Aplicación]],9,4)</f>
        <v>9204</v>
      </c>
      <c r="V191" s="35" t="str">
        <f>VLOOKUP(Tabla1[[#This Row],[PROGRAMA]],Hoja1!A:B,2,FALSE)</f>
        <v>9204. Tecnologías de la información y comunicación</v>
      </c>
      <c r="W191" s="56" t="str">
        <f>MID(Tabla1[[#This Row],[Aplicación]],14,2)</f>
        <v>64</v>
      </c>
      <c r="X191" s="56" t="str">
        <f>MID(Tabla1[[#This Row],[Aplicación]],14,6)</f>
        <v>641</v>
      </c>
    </row>
    <row r="192" spans="1:24" x14ac:dyDescent="0.25">
      <c r="A192" s="46">
        <v>220229000755</v>
      </c>
      <c r="B192" s="47" t="s">
        <v>507</v>
      </c>
      <c r="C192" s="52">
        <v>44927</v>
      </c>
      <c r="D192" s="46">
        <v>22023000753</v>
      </c>
      <c r="E192" s="47" t="s">
        <v>922</v>
      </c>
      <c r="F192" s="53">
        <v>57032.33</v>
      </c>
      <c r="G192" s="47" t="s">
        <v>923</v>
      </c>
      <c r="H192" s="47" t="s">
        <v>924</v>
      </c>
      <c r="I192" s="46" t="s">
        <v>511</v>
      </c>
      <c r="J192" s="47" t="s">
        <v>519</v>
      </c>
      <c r="K192" s="47" t="s">
        <v>519</v>
      </c>
      <c r="L192" s="47" t="s">
        <v>520</v>
      </c>
      <c r="M192" s="47" t="s">
        <v>514</v>
      </c>
      <c r="N192" s="47" t="s">
        <v>515</v>
      </c>
      <c r="O192" s="45" t="s">
        <v>371</v>
      </c>
      <c r="P192" s="44" t="s">
        <v>309</v>
      </c>
      <c r="Q192" s="59" t="str">
        <f>MID(Tabla1[[#This Row],[Aplicación]],14,1)</f>
        <v>2</v>
      </c>
      <c r="R192" s="35" t="s">
        <v>298</v>
      </c>
      <c r="S192" s="59" t="str">
        <f>MID(Tabla1[[#This Row],[Aplicación]],6,2)</f>
        <v>10</v>
      </c>
      <c r="T192" s="35" t="str">
        <f>VLOOKUP(Tabla1[[#This Row],[AREA]],Hoja1!A:B,2,FALSE)</f>
        <v>10. Servicios sociales y mediación comunitaria</v>
      </c>
      <c r="U192" s="35" t="str">
        <f>MID(Tabla1[[#This Row],[Aplicación]],9,4)</f>
        <v>2311</v>
      </c>
      <c r="V192" s="35" t="str">
        <f>VLOOKUP(Tabla1[[#This Row],[PROGRAMA]],Hoja1!A:B,2,FALSE)</f>
        <v>2311. Intervención social</v>
      </c>
      <c r="W192" s="56" t="str">
        <f>MID(Tabla1[[#This Row],[Aplicación]],14,2)</f>
        <v>22</v>
      </c>
      <c r="X192" s="56" t="str">
        <f>MID(Tabla1[[#This Row],[Aplicación]],14,6)</f>
        <v>22700</v>
      </c>
    </row>
    <row r="193" spans="1:24" x14ac:dyDescent="0.25">
      <c r="A193" s="46">
        <v>220229000049</v>
      </c>
      <c r="B193" s="47" t="s">
        <v>507</v>
      </c>
      <c r="C193" s="52">
        <v>44927</v>
      </c>
      <c r="D193" s="46">
        <v>22023000872</v>
      </c>
      <c r="E193" s="47" t="s">
        <v>516</v>
      </c>
      <c r="F193" s="53">
        <v>56948.71</v>
      </c>
      <c r="G193" s="47" t="s">
        <v>743</v>
      </c>
      <c r="H193" s="47" t="s">
        <v>925</v>
      </c>
      <c r="I193" s="46" t="s">
        <v>511</v>
      </c>
      <c r="J193" s="47" t="s">
        <v>519</v>
      </c>
      <c r="K193" s="47" t="s">
        <v>519</v>
      </c>
      <c r="L193" s="47" t="s">
        <v>520</v>
      </c>
      <c r="M193" s="47" t="s">
        <v>514</v>
      </c>
      <c r="N193" s="47" t="s">
        <v>515</v>
      </c>
      <c r="O193" s="45" t="s">
        <v>371</v>
      </c>
      <c r="P193" s="44" t="s">
        <v>309</v>
      </c>
      <c r="Q193" s="59" t="str">
        <f>MID(Tabla1[[#This Row],[Aplicación]],14,1)</f>
        <v>2</v>
      </c>
      <c r="R193" s="35" t="s">
        <v>298</v>
      </c>
      <c r="S193" s="59" t="str">
        <f>MID(Tabla1[[#This Row],[Aplicación]],6,2)</f>
        <v>10</v>
      </c>
      <c r="T193" s="35" t="str">
        <f>VLOOKUP(Tabla1[[#This Row],[AREA]],Hoja1!A:B,2,FALSE)</f>
        <v>10. Servicios sociales y mediación comunitaria</v>
      </c>
      <c r="U193" s="35" t="str">
        <f>MID(Tabla1[[#This Row],[Aplicación]],9,4)</f>
        <v>2311</v>
      </c>
      <c r="V193" s="35" t="str">
        <f>VLOOKUP(Tabla1[[#This Row],[PROGRAMA]],Hoja1!A:B,2,FALSE)</f>
        <v>2311. Intervención social</v>
      </c>
      <c r="W193" s="56" t="str">
        <f>MID(Tabla1[[#This Row],[Aplicación]],14,2)</f>
        <v>22</v>
      </c>
      <c r="X193" s="56" t="str">
        <f>MID(Tabla1[[#This Row],[Aplicación]],14,6)</f>
        <v>22799</v>
      </c>
    </row>
    <row r="194" spans="1:24" x14ac:dyDescent="0.25">
      <c r="A194" s="46">
        <v>220229000428</v>
      </c>
      <c r="B194" s="47" t="s">
        <v>507</v>
      </c>
      <c r="C194" s="52">
        <v>44927</v>
      </c>
      <c r="D194" s="46">
        <v>22023000727</v>
      </c>
      <c r="E194" s="47" t="s">
        <v>726</v>
      </c>
      <c r="F194" s="53">
        <v>56546.11</v>
      </c>
      <c r="G194" s="47" t="s">
        <v>824</v>
      </c>
      <c r="H194" s="47" t="s">
        <v>926</v>
      </c>
      <c r="I194" s="46" t="s">
        <v>511</v>
      </c>
      <c r="J194" s="47" t="s">
        <v>826</v>
      </c>
      <c r="K194" s="51" t="s">
        <v>827</v>
      </c>
      <c r="L194" s="47" t="s">
        <v>520</v>
      </c>
      <c r="M194" s="47" t="s">
        <v>514</v>
      </c>
      <c r="N194" s="47" t="s">
        <v>515</v>
      </c>
      <c r="O194" s="54" t="s">
        <v>371</v>
      </c>
      <c r="P194" s="44" t="s">
        <v>309</v>
      </c>
      <c r="Q194" s="59" t="str">
        <f>MID(Tabla1[[#This Row],[Aplicación]],14,1)</f>
        <v>6</v>
      </c>
      <c r="R194" s="35" t="s">
        <v>299</v>
      </c>
      <c r="S194" s="59" t="str">
        <f>MID(Tabla1[[#This Row],[Aplicación]],6,2)</f>
        <v>04</v>
      </c>
      <c r="T194" s="35" t="str">
        <f>VLOOKUP(Tabla1[[#This Row],[AREA]],Hoja1!A:B,2,FALSE)</f>
        <v>04. Planificación y recursos</v>
      </c>
      <c r="U194" s="35" t="str">
        <f>MID(Tabla1[[#This Row],[Aplicación]],9,4)</f>
        <v>9204</v>
      </c>
      <c r="V194" s="35" t="str">
        <f>VLOOKUP(Tabla1[[#This Row],[PROGRAMA]],Hoja1!A:B,2,FALSE)</f>
        <v>9204. Tecnologías de la información y comunicación</v>
      </c>
      <c r="W194" s="56" t="str">
        <f>MID(Tabla1[[#This Row],[Aplicación]],14,2)</f>
        <v>64</v>
      </c>
      <c r="X194" s="56" t="str">
        <f>MID(Tabla1[[#This Row],[Aplicación]],14,6)</f>
        <v>641</v>
      </c>
    </row>
    <row r="195" spans="1:24" x14ac:dyDescent="0.25">
      <c r="A195" s="46">
        <v>220229000716</v>
      </c>
      <c r="B195" s="47" t="s">
        <v>507</v>
      </c>
      <c r="C195" s="52">
        <v>44927</v>
      </c>
      <c r="D195" s="46">
        <v>22023001929</v>
      </c>
      <c r="E195" s="47" t="s">
        <v>927</v>
      </c>
      <c r="F195" s="53">
        <v>55569.06</v>
      </c>
      <c r="G195" s="47" t="s">
        <v>760</v>
      </c>
      <c r="H195" s="47" t="s">
        <v>928</v>
      </c>
      <c r="I195" s="46" t="s">
        <v>511</v>
      </c>
      <c r="J195" s="47" t="s">
        <v>512</v>
      </c>
      <c r="K195" s="47" t="s">
        <v>512</v>
      </c>
      <c r="L195" s="47" t="s">
        <v>520</v>
      </c>
      <c r="M195" s="47" t="s">
        <v>514</v>
      </c>
      <c r="N195" s="47" t="s">
        <v>515</v>
      </c>
      <c r="O195" s="45" t="s">
        <v>371</v>
      </c>
      <c r="P195" s="44" t="s">
        <v>309</v>
      </c>
      <c r="Q195" s="59" t="str">
        <f>MID(Tabla1[[#This Row],[Aplicación]],14,1)</f>
        <v>2</v>
      </c>
      <c r="R195" s="35" t="s">
        <v>298</v>
      </c>
      <c r="S195" s="59" t="str">
        <f>MID(Tabla1[[#This Row],[Aplicación]],6,2)</f>
        <v>06</v>
      </c>
      <c r="T195" s="35" t="str">
        <f>VLOOKUP(Tabla1[[#This Row],[AREA]],Hoja1!A:B,2,FALSE)</f>
        <v>06. Educación, infancia, juventud e igualdad</v>
      </c>
      <c r="U195" s="35" t="str">
        <f>MID(Tabla1[[#This Row],[Aplicación]],9,4)</f>
        <v>2314</v>
      </c>
      <c r="V195" s="35" t="str">
        <f>VLOOKUP(Tabla1[[#This Row],[PROGRAMA]],Hoja1!A:B,2,FALSE)</f>
        <v>2314. Centro de programas juveniles</v>
      </c>
      <c r="W195" s="56" t="str">
        <f>MID(Tabla1[[#This Row],[Aplicación]],14,2)</f>
        <v>22</v>
      </c>
      <c r="X195" s="56" t="str">
        <f>MID(Tabla1[[#This Row],[Aplicación]],14,6)</f>
        <v>22700</v>
      </c>
    </row>
    <row r="196" spans="1:24" x14ac:dyDescent="0.25">
      <c r="A196" s="46">
        <v>220219000423</v>
      </c>
      <c r="B196" s="47" t="s">
        <v>507</v>
      </c>
      <c r="C196" s="52">
        <v>44927</v>
      </c>
      <c r="D196" s="46">
        <v>22023000544</v>
      </c>
      <c r="E196" s="47" t="s">
        <v>704</v>
      </c>
      <c r="F196" s="53">
        <v>54144.800000000003</v>
      </c>
      <c r="G196" s="47" t="s">
        <v>929</v>
      </c>
      <c r="H196" s="47" t="s">
        <v>930</v>
      </c>
      <c r="I196" s="46" t="s">
        <v>511</v>
      </c>
      <c r="J196" s="47" t="s">
        <v>837</v>
      </c>
      <c r="K196" s="47" t="s">
        <v>837</v>
      </c>
      <c r="L196" s="47" t="s">
        <v>520</v>
      </c>
      <c r="M196" s="47" t="s">
        <v>514</v>
      </c>
      <c r="N196" s="47" t="s">
        <v>515</v>
      </c>
      <c r="O196" s="45" t="s">
        <v>371</v>
      </c>
      <c r="P196" s="44" t="s">
        <v>309</v>
      </c>
      <c r="Q196" s="59" t="str">
        <f>MID(Tabla1[[#This Row],[Aplicación]],14,1)</f>
        <v>2</v>
      </c>
      <c r="R196" s="35" t="s">
        <v>298</v>
      </c>
      <c r="S196" s="59" t="str">
        <f>MID(Tabla1[[#This Row],[Aplicación]],6,2)</f>
        <v>11</v>
      </c>
      <c r="T196" s="35" t="str">
        <f>VLOOKUP(Tabla1[[#This Row],[AREA]],Hoja1!A:B,2,FALSE)</f>
        <v>11. Salud pública y seguridad ciudadana</v>
      </c>
      <c r="U196" s="35" t="str">
        <f>MID(Tabla1[[#This Row],[Aplicación]],9,4)</f>
        <v>1321</v>
      </c>
      <c r="V196" s="35" t="str">
        <f>VLOOKUP(Tabla1[[#This Row],[PROGRAMA]],Hoja1!A:B,2,FALSE)</f>
        <v>1321. Policía municipal</v>
      </c>
      <c r="W196" s="56" t="str">
        <f>MID(Tabla1[[#This Row],[Aplicación]],14,2)</f>
        <v>22</v>
      </c>
      <c r="X196" s="56" t="str">
        <f>MID(Tabla1[[#This Row],[Aplicación]],14,6)</f>
        <v>22799</v>
      </c>
    </row>
    <row r="197" spans="1:24" x14ac:dyDescent="0.25">
      <c r="A197" s="46">
        <v>220230000027</v>
      </c>
      <c r="B197" s="47" t="s">
        <v>507</v>
      </c>
      <c r="C197" s="52">
        <v>44927</v>
      </c>
      <c r="D197" s="46">
        <v>22023000506</v>
      </c>
      <c r="E197" s="47" t="s">
        <v>931</v>
      </c>
      <c r="F197" s="53">
        <v>53699.8</v>
      </c>
      <c r="G197" s="47" t="s">
        <v>932</v>
      </c>
      <c r="H197" s="47" t="s">
        <v>933</v>
      </c>
      <c r="I197" s="46" t="s">
        <v>511</v>
      </c>
      <c r="J197" s="47" t="s">
        <v>837</v>
      </c>
      <c r="K197" s="47" t="s">
        <v>837</v>
      </c>
      <c r="L197" s="47" t="s">
        <v>520</v>
      </c>
      <c r="M197" s="47" t="s">
        <v>514</v>
      </c>
      <c r="N197" s="47" t="s">
        <v>515</v>
      </c>
      <c r="O197" s="45" t="s">
        <v>371</v>
      </c>
      <c r="P197" s="44" t="s">
        <v>309</v>
      </c>
      <c r="Q197" s="59" t="str">
        <f>MID(Tabla1[[#This Row],[Aplicación]],14,1)</f>
        <v>2</v>
      </c>
      <c r="R197" s="35" t="s">
        <v>298</v>
      </c>
      <c r="S197" s="59" t="str">
        <f>MID(Tabla1[[#This Row],[Aplicación]],6,2)</f>
        <v>09</v>
      </c>
      <c r="T197" s="35" t="str">
        <f>VLOOKUP(Tabla1[[#This Row],[AREA]],Hoja1!A:B,2,FALSE)</f>
        <v>09. Cultura y turismo</v>
      </c>
      <c r="U197" s="35" t="str">
        <f>MID(Tabla1[[#This Row],[Aplicación]],9,4)</f>
        <v>3341</v>
      </c>
      <c r="V197" s="35" t="str">
        <f>VLOOKUP(Tabla1[[#This Row],[PROGRAMA]],Hoja1!A:B,2,FALSE)</f>
        <v>3341. Coordinación de políticas culturales</v>
      </c>
      <c r="W197" s="56" t="str">
        <f>MID(Tabla1[[#This Row],[Aplicación]],14,2)</f>
        <v>22</v>
      </c>
      <c r="X197" s="56" t="str">
        <f>MID(Tabla1[[#This Row],[Aplicación]],14,6)</f>
        <v>22799</v>
      </c>
    </row>
    <row r="198" spans="1:24" x14ac:dyDescent="0.25">
      <c r="A198" s="46">
        <v>220230000193</v>
      </c>
      <c r="B198" s="47" t="s">
        <v>507</v>
      </c>
      <c r="C198" s="52">
        <v>44927</v>
      </c>
      <c r="D198" s="46">
        <v>22023000829</v>
      </c>
      <c r="E198" s="47" t="s">
        <v>566</v>
      </c>
      <c r="F198" s="53">
        <v>53431.6</v>
      </c>
      <c r="G198" s="47" t="s">
        <v>567</v>
      </c>
      <c r="H198" s="47" t="s">
        <v>934</v>
      </c>
      <c r="I198" s="46" t="s">
        <v>511</v>
      </c>
      <c r="J198" s="47" t="s">
        <v>519</v>
      </c>
      <c r="K198" s="47" t="s">
        <v>519</v>
      </c>
      <c r="L198" s="47" t="s">
        <v>520</v>
      </c>
      <c r="M198" s="47" t="s">
        <v>514</v>
      </c>
      <c r="N198" s="47" t="s">
        <v>515</v>
      </c>
      <c r="O198" s="45" t="s">
        <v>371</v>
      </c>
      <c r="P198" s="44" t="s">
        <v>309</v>
      </c>
      <c r="Q198" s="59" t="str">
        <f>MID(Tabla1[[#This Row],[Aplicación]],14,1)</f>
        <v>2</v>
      </c>
      <c r="R198" s="35" t="s">
        <v>298</v>
      </c>
      <c r="S198" s="59" t="str">
        <f>MID(Tabla1[[#This Row],[Aplicación]],6,2)</f>
        <v>04</v>
      </c>
      <c r="T198" s="35" t="str">
        <f>VLOOKUP(Tabla1[[#This Row],[AREA]],Hoja1!A:B,2,FALSE)</f>
        <v>04. Planificación y recursos</v>
      </c>
      <c r="U198" s="35" t="str">
        <f>MID(Tabla1[[#This Row],[Aplicación]],9,4)</f>
        <v>9204</v>
      </c>
      <c r="V198" s="35" t="str">
        <f>VLOOKUP(Tabla1[[#This Row],[PROGRAMA]],Hoja1!A:B,2,FALSE)</f>
        <v>9204. Tecnologías de la información y comunicación</v>
      </c>
      <c r="W198" s="56" t="str">
        <f>MID(Tabla1[[#This Row],[Aplicación]],14,2)</f>
        <v>21</v>
      </c>
      <c r="X198" s="56" t="str">
        <f>MID(Tabla1[[#This Row],[Aplicación]],14,6)</f>
        <v>216</v>
      </c>
    </row>
    <row r="199" spans="1:24" x14ac:dyDescent="0.25">
      <c r="A199" s="46">
        <v>220229000762</v>
      </c>
      <c r="B199" s="47" t="s">
        <v>507</v>
      </c>
      <c r="C199" s="52">
        <v>44927</v>
      </c>
      <c r="D199" s="46">
        <v>22023000746</v>
      </c>
      <c r="E199" s="47" t="s">
        <v>739</v>
      </c>
      <c r="F199" s="53">
        <v>52213.98</v>
      </c>
      <c r="G199" s="47" t="s">
        <v>850</v>
      </c>
      <c r="H199" s="47" t="s">
        <v>935</v>
      </c>
      <c r="I199" s="46" t="s">
        <v>511</v>
      </c>
      <c r="J199" s="47" t="s">
        <v>852</v>
      </c>
      <c r="K199" s="47" t="s">
        <v>853</v>
      </c>
      <c r="L199" s="47" t="s">
        <v>520</v>
      </c>
      <c r="M199" s="47" t="s">
        <v>514</v>
      </c>
      <c r="N199" s="47" t="s">
        <v>515</v>
      </c>
      <c r="O199" s="45" t="s">
        <v>371</v>
      </c>
      <c r="P199" s="44" t="s">
        <v>309</v>
      </c>
      <c r="Q199" s="59" t="str">
        <f>MID(Tabla1[[#This Row],[Aplicación]],14,1)</f>
        <v>2</v>
      </c>
      <c r="R199" s="35" t="s">
        <v>298</v>
      </c>
      <c r="S199" s="59" t="str">
        <f>MID(Tabla1[[#This Row],[Aplicación]],6,2)</f>
        <v>02</v>
      </c>
      <c r="T199" s="35" t="str">
        <f>VLOOKUP(Tabla1[[#This Row],[AREA]],Hoja1!A:B,2,FALSE)</f>
        <v>02. Planeamiento urbanístico y vivienda</v>
      </c>
      <c r="U199" s="35" t="str">
        <f>MID(Tabla1[[#This Row],[Aplicación]],9,4)</f>
        <v>9332</v>
      </c>
      <c r="V199" s="35" t="str">
        <f>VLOOKUP(Tabla1[[#This Row],[PROGRAMA]],Hoja1!A:B,2,FALSE)</f>
        <v>9332. Mantenimiento de edificios e instalaciones municipales</v>
      </c>
      <c r="W199" s="56" t="str">
        <f>MID(Tabla1[[#This Row],[Aplicación]],14,2)</f>
        <v>22</v>
      </c>
      <c r="X199" s="56" t="str">
        <f>MID(Tabla1[[#This Row],[Aplicación]],14,6)</f>
        <v>22700</v>
      </c>
    </row>
    <row r="200" spans="1:24" x14ac:dyDescent="0.25">
      <c r="A200" s="46">
        <v>220229000052</v>
      </c>
      <c r="B200" s="47" t="s">
        <v>507</v>
      </c>
      <c r="C200" s="52">
        <v>44927</v>
      </c>
      <c r="D200" s="46">
        <v>22023000292</v>
      </c>
      <c r="E200" s="47" t="s">
        <v>936</v>
      </c>
      <c r="F200" s="53">
        <v>51904.26</v>
      </c>
      <c r="G200" s="47" t="s">
        <v>937</v>
      </c>
      <c r="H200" s="47" t="s">
        <v>938</v>
      </c>
      <c r="I200" s="46" t="s">
        <v>511</v>
      </c>
      <c r="J200" s="47" t="s">
        <v>858</v>
      </c>
      <c r="K200" s="47" t="s">
        <v>858</v>
      </c>
      <c r="L200" s="47" t="s">
        <v>520</v>
      </c>
      <c r="M200" s="47" t="s">
        <v>514</v>
      </c>
      <c r="N200" s="47" t="s">
        <v>515</v>
      </c>
      <c r="O200" s="45" t="s">
        <v>371</v>
      </c>
      <c r="P200" s="44" t="s">
        <v>309</v>
      </c>
      <c r="Q200" s="59" t="str">
        <f>MID(Tabla1[[#This Row],[Aplicación]],14,1)</f>
        <v>2</v>
      </c>
      <c r="R200" s="35" t="s">
        <v>298</v>
      </c>
      <c r="S200" s="59" t="str">
        <f>MID(Tabla1[[#This Row],[Aplicación]],6,2)</f>
        <v>04</v>
      </c>
      <c r="T200" s="35" t="str">
        <f>VLOOKUP(Tabla1[[#This Row],[AREA]],Hoja1!A:B,2,FALSE)</f>
        <v>04. Planificación y recursos</v>
      </c>
      <c r="U200" s="35" t="str">
        <f>MID(Tabla1[[#This Row],[Aplicación]],9,4)</f>
        <v>9341</v>
      </c>
      <c r="V200" s="35" t="str">
        <f>VLOOKUP(Tabla1[[#This Row],[PROGRAMA]],Hoja1!A:B,2,FALSE)</f>
        <v>9341. Tesorería y recaudación</v>
      </c>
      <c r="W200" s="56" t="str">
        <f>MID(Tabla1[[#This Row],[Aplicación]],14,2)</f>
        <v>22</v>
      </c>
      <c r="X200" s="56" t="str">
        <f>MID(Tabla1[[#This Row],[Aplicación]],14,6)</f>
        <v>22699</v>
      </c>
    </row>
    <row r="201" spans="1:24" x14ac:dyDescent="0.25">
      <c r="A201" s="46">
        <v>220229000208</v>
      </c>
      <c r="B201" s="47" t="s">
        <v>507</v>
      </c>
      <c r="C201" s="52">
        <v>44927</v>
      </c>
      <c r="D201" s="46">
        <v>22023000932</v>
      </c>
      <c r="E201" s="47" t="s">
        <v>796</v>
      </c>
      <c r="F201" s="53">
        <v>51895.6</v>
      </c>
      <c r="G201" s="47" t="s">
        <v>74</v>
      </c>
      <c r="H201" s="47" t="s">
        <v>939</v>
      </c>
      <c r="I201" s="46" t="s">
        <v>511</v>
      </c>
      <c r="J201" s="47" t="s">
        <v>940</v>
      </c>
      <c r="K201" s="47" t="s">
        <v>519</v>
      </c>
      <c r="L201" s="47" t="s">
        <v>520</v>
      </c>
      <c r="M201" s="47" t="s">
        <v>514</v>
      </c>
      <c r="N201" s="47" t="s">
        <v>515</v>
      </c>
      <c r="O201" s="45" t="s">
        <v>371</v>
      </c>
      <c r="P201" s="44" t="s">
        <v>309</v>
      </c>
      <c r="Q201" s="59" t="str">
        <f>MID(Tabla1[[#This Row],[Aplicación]],14,1)</f>
        <v>2</v>
      </c>
      <c r="R201" s="35" t="s">
        <v>298</v>
      </c>
      <c r="S201" s="59" t="str">
        <f>MID(Tabla1[[#This Row],[Aplicación]],6,2)</f>
        <v>03</v>
      </c>
      <c r="T201" s="35" t="str">
        <f>VLOOKUP(Tabla1[[#This Row],[AREA]],Hoja1!A:B,2,FALSE)</f>
        <v>03. Participación ciudadana y deportes</v>
      </c>
      <c r="U201" s="35" t="str">
        <f>MID(Tabla1[[#This Row],[Aplicación]],9,4)</f>
        <v>9241</v>
      </c>
      <c r="V201" s="35" t="str">
        <f>VLOOKUP(Tabla1[[#This Row],[PROGRAMA]],Hoja1!A:B,2,FALSE)</f>
        <v>9241. Participación ciudadana</v>
      </c>
      <c r="W201" s="56" t="str">
        <f>MID(Tabla1[[#This Row],[Aplicación]],14,2)</f>
        <v>22</v>
      </c>
      <c r="X201" s="56" t="str">
        <f>MID(Tabla1[[#This Row],[Aplicación]],14,6)</f>
        <v>22701</v>
      </c>
    </row>
    <row r="202" spans="1:24" x14ac:dyDescent="0.25">
      <c r="A202" s="46">
        <v>220229000196</v>
      </c>
      <c r="B202" s="47" t="s">
        <v>507</v>
      </c>
      <c r="C202" s="52">
        <v>44927</v>
      </c>
      <c r="D202" s="46">
        <v>22023000928</v>
      </c>
      <c r="E202" s="47" t="s">
        <v>516</v>
      </c>
      <c r="F202" s="53">
        <v>50047.25</v>
      </c>
      <c r="G202" s="47" t="s">
        <v>941</v>
      </c>
      <c r="H202" s="47" t="s">
        <v>942</v>
      </c>
      <c r="I202" s="46" t="s">
        <v>511</v>
      </c>
      <c r="J202" s="47" t="s">
        <v>519</v>
      </c>
      <c r="K202" s="47" t="s">
        <v>519</v>
      </c>
      <c r="L202" s="47" t="s">
        <v>520</v>
      </c>
      <c r="M202" s="47" t="s">
        <v>514</v>
      </c>
      <c r="N202" s="47" t="s">
        <v>515</v>
      </c>
      <c r="O202" s="45" t="s">
        <v>371</v>
      </c>
      <c r="P202" s="44" t="s">
        <v>309</v>
      </c>
      <c r="Q202" s="59" t="str">
        <f>MID(Tabla1[[#This Row],[Aplicación]],14,1)</f>
        <v>2</v>
      </c>
      <c r="R202" s="35" t="s">
        <v>298</v>
      </c>
      <c r="S202" s="59" t="str">
        <f>MID(Tabla1[[#This Row],[Aplicación]],6,2)</f>
        <v>10</v>
      </c>
      <c r="T202" s="35" t="str">
        <f>VLOOKUP(Tabla1[[#This Row],[AREA]],Hoja1!A:B,2,FALSE)</f>
        <v>10. Servicios sociales y mediación comunitaria</v>
      </c>
      <c r="U202" s="35" t="str">
        <f>MID(Tabla1[[#This Row],[Aplicación]],9,4)</f>
        <v>2311</v>
      </c>
      <c r="V202" s="35" t="str">
        <f>VLOOKUP(Tabla1[[#This Row],[PROGRAMA]],Hoja1!A:B,2,FALSE)</f>
        <v>2311. Intervención social</v>
      </c>
      <c r="W202" s="56" t="str">
        <f>MID(Tabla1[[#This Row],[Aplicación]],14,2)</f>
        <v>22</v>
      </c>
      <c r="X202" s="56" t="str">
        <f>MID(Tabla1[[#This Row],[Aplicación]],14,6)</f>
        <v>22799</v>
      </c>
    </row>
    <row r="203" spans="1:24" x14ac:dyDescent="0.25">
      <c r="A203" s="46">
        <v>220219000126</v>
      </c>
      <c r="B203" s="47" t="s">
        <v>507</v>
      </c>
      <c r="C203" s="52">
        <v>44927</v>
      </c>
      <c r="D203" s="46">
        <v>22023003371</v>
      </c>
      <c r="E203" s="47" t="s">
        <v>574</v>
      </c>
      <c r="F203" s="53">
        <v>50000</v>
      </c>
      <c r="G203" s="47" t="s">
        <v>422</v>
      </c>
      <c r="H203" s="47" t="s">
        <v>943</v>
      </c>
      <c r="I203" s="46" t="s">
        <v>511</v>
      </c>
      <c r="J203" s="47" t="s">
        <v>512</v>
      </c>
      <c r="K203" s="47" t="s">
        <v>512</v>
      </c>
      <c r="L203" s="47" t="s">
        <v>520</v>
      </c>
      <c r="M203" s="47" t="s">
        <v>514</v>
      </c>
      <c r="N203" s="47" t="s">
        <v>515</v>
      </c>
      <c r="O203" s="45" t="s">
        <v>371</v>
      </c>
      <c r="P203" s="44" t="s">
        <v>309</v>
      </c>
      <c r="Q203" s="59" t="str">
        <f>MID(Tabla1[[#This Row],[Aplicación]],14,1)</f>
        <v>2</v>
      </c>
      <c r="R203" s="35" t="s">
        <v>298</v>
      </c>
      <c r="S203" s="59" t="str">
        <f>MID(Tabla1[[#This Row],[Aplicación]],6,2)</f>
        <v>11</v>
      </c>
      <c r="T203" s="35" t="str">
        <f>VLOOKUP(Tabla1[[#This Row],[AREA]],Hoja1!A:B,2,FALSE)</f>
        <v>11. Salud pública y seguridad ciudadana</v>
      </c>
      <c r="U203" s="35" t="str">
        <f>MID(Tabla1[[#This Row],[Aplicación]],9,4)</f>
        <v>1621</v>
      </c>
      <c r="V203" s="35" t="str">
        <f>VLOOKUP(Tabla1[[#This Row],[PROGRAMA]],Hoja1!A:B,2,FALSE)</f>
        <v>1621. Servicio de limpieza</v>
      </c>
      <c r="W203" s="56" t="str">
        <f>MID(Tabla1[[#This Row],[Aplicación]],14,2)</f>
        <v>22</v>
      </c>
      <c r="X203" s="56" t="str">
        <f>MID(Tabla1[[#This Row],[Aplicación]],14,6)</f>
        <v>22700</v>
      </c>
    </row>
    <row r="204" spans="1:24" x14ac:dyDescent="0.25">
      <c r="A204" s="46">
        <v>220229000701</v>
      </c>
      <c r="B204" s="47" t="s">
        <v>507</v>
      </c>
      <c r="C204" s="52">
        <v>44927</v>
      </c>
      <c r="D204" s="46">
        <v>22023001286</v>
      </c>
      <c r="E204" s="47" t="s">
        <v>944</v>
      </c>
      <c r="F204" s="53">
        <v>48565</v>
      </c>
      <c r="G204" s="47" t="s">
        <v>945</v>
      </c>
      <c r="H204" s="47" t="s">
        <v>946</v>
      </c>
      <c r="I204" s="46" t="s">
        <v>511</v>
      </c>
      <c r="J204" s="47" t="s">
        <v>947</v>
      </c>
      <c r="K204" s="47" t="s">
        <v>947</v>
      </c>
      <c r="L204" s="47" t="s">
        <v>520</v>
      </c>
      <c r="M204" s="47" t="s">
        <v>514</v>
      </c>
      <c r="N204" s="47" t="s">
        <v>515</v>
      </c>
      <c r="O204" s="45" t="s">
        <v>371</v>
      </c>
      <c r="P204" s="44" t="s">
        <v>309</v>
      </c>
      <c r="Q204" s="59" t="str">
        <f>MID(Tabla1[[#This Row],[Aplicación]],14,1)</f>
        <v>2</v>
      </c>
      <c r="R204" s="35" t="s">
        <v>298</v>
      </c>
      <c r="S204" s="59" t="str">
        <f>MID(Tabla1[[#This Row],[Aplicación]],6,2)</f>
        <v>04</v>
      </c>
      <c r="T204" s="35" t="str">
        <f>VLOOKUP(Tabla1[[#This Row],[AREA]],Hoja1!A:B,2,FALSE)</f>
        <v>04. Planificación y recursos</v>
      </c>
      <c r="U204" s="35" t="str">
        <f>MID(Tabla1[[#This Row],[Aplicación]],9,4)</f>
        <v>9231</v>
      </c>
      <c r="V204" s="35" t="str">
        <f>VLOOKUP(Tabla1[[#This Row],[PROGRAMA]],Hoja1!A:B,2,FALSE)</f>
        <v>9231. Información, registro y gestión del padrón</v>
      </c>
      <c r="W204" s="56" t="str">
        <f>MID(Tabla1[[#This Row],[Aplicación]],14,2)</f>
        <v>22</v>
      </c>
      <c r="X204" s="56" t="str">
        <f>MID(Tabla1[[#This Row],[Aplicación]],14,6)</f>
        <v>22799</v>
      </c>
    </row>
    <row r="205" spans="1:24" x14ac:dyDescent="0.25">
      <c r="A205" s="46">
        <v>220230000101</v>
      </c>
      <c r="B205" s="47" t="s">
        <v>507</v>
      </c>
      <c r="C205" s="52">
        <v>44927</v>
      </c>
      <c r="D205" s="46">
        <v>22023000609</v>
      </c>
      <c r="E205" s="47" t="s">
        <v>732</v>
      </c>
      <c r="F205" s="53">
        <v>48400</v>
      </c>
      <c r="G205" s="47" t="s">
        <v>55</v>
      </c>
      <c r="H205" s="47" t="s">
        <v>948</v>
      </c>
      <c r="I205" s="46" t="s">
        <v>511</v>
      </c>
      <c r="J205" s="47" t="s">
        <v>949</v>
      </c>
      <c r="K205" s="47" t="s">
        <v>519</v>
      </c>
      <c r="L205" s="47" t="s">
        <v>520</v>
      </c>
      <c r="M205" s="47" t="s">
        <v>514</v>
      </c>
      <c r="N205" s="47" t="s">
        <v>515</v>
      </c>
      <c r="O205" s="45" t="s">
        <v>371</v>
      </c>
      <c r="P205" s="44" t="s">
        <v>309</v>
      </c>
      <c r="Q205" s="59" t="str">
        <f>MID(Tabla1[[#This Row],[Aplicación]],14,1)</f>
        <v>2</v>
      </c>
      <c r="R205" s="35" t="s">
        <v>298</v>
      </c>
      <c r="S205" s="59" t="str">
        <f>MID(Tabla1[[#This Row],[Aplicación]],6,2)</f>
        <v>06</v>
      </c>
      <c r="T205" s="35" t="str">
        <f>VLOOKUP(Tabla1[[#This Row],[AREA]],Hoja1!A:B,2,FALSE)</f>
        <v>06. Educación, infancia, juventud e igualdad</v>
      </c>
      <c r="U205" s="35" t="str">
        <f>MID(Tabla1[[#This Row],[Aplicación]],9,4)</f>
        <v>3321</v>
      </c>
      <c r="V205" s="35" t="str">
        <f>VLOOKUP(Tabla1[[#This Row],[PROGRAMA]],Hoja1!A:B,2,FALSE)</f>
        <v>3321. Bibliotecas públicas</v>
      </c>
      <c r="W205" s="56" t="str">
        <f>MID(Tabla1[[#This Row],[Aplicación]],14,2)</f>
        <v>22</v>
      </c>
      <c r="X205" s="56" t="str">
        <f>MID(Tabla1[[#This Row],[Aplicación]],14,6)</f>
        <v>22799</v>
      </c>
    </row>
    <row r="206" spans="1:24" x14ac:dyDescent="0.25">
      <c r="A206" s="46">
        <v>220229000461</v>
      </c>
      <c r="B206" s="47" t="s">
        <v>507</v>
      </c>
      <c r="C206" s="52">
        <v>44927</v>
      </c>
      <c r="D206" s="46">
        <v>22023001185</v>
      </c>
      <c r="E206" s="47" t="s">
        <v>950</v>
      </c>
      <c r="F206" s="53">
        <v>47365.120000000003</v>
      </c>
      <c r="G206" s="47" t="s">
        <v>951</v>
      </c>
      <c r="H206" s="47" t="s">
        <v>952</v>
      </c>
      <c r="I206" s="46" t="s">
        <v>511</v>
      </c>
      <c r="J206" s="47" t="s">
        <v>953</v>
      </c>
      <c r="K206" s="47" t="s">
        <v>519</v>
      </c>
      <c r="L206" s="47" t="s">
        <v>520</v>
      </c>
      <c r="M206" s="47" t="s">
        <v>514</v>
      </c>
      <c r="N206" s="47" t="s">
        <v>515</v>
      </c>
      <c r="O206" s="45" t="s">
        <v>371</v>
      </c>
      <c r="P206" s="44" t="s">
        <v>309</v>
      </c>
      <c r="Q206" s="59" t="str">
        <f>MID(Tabla1[[#This Row],[Aplicación]],14,1)</f>
        <v>2</v>
      </c>
      <c r="R206" s="35" t="s">
        <v>298</v>
      </c>
      <c r="S206" s="59" t="str">
        <f>MID(Tabla1[[#This Row],[Aplicación]],6,2)</f>
        <v>01</v>
      </c>
      <c r="T206" s="35" t="str">
        <f>VLOOKUP(Tabla1[[#This Row],[AREA]],Hoja1!A:B,2,FALSE)</f>
        <v>01. Alcaldía</v>
      </c>
      <c r="U206" s="35" t="str">
        <f>MID(Tabla1[[#This Row],[Aplicación]],9,4)</f>
        <v>9201</v>
      </c>
      <c r="V206" s="35" t="str">
        <f>VLOOKUP(Tabla1[[#This Row],[PROGRAMA]],Hoja1!A:B,2,FALSE)</f>
        <v>9201. Secretaría General</v>
      </c>
      <c r="W206" s="56" t="str">
        <f>MID(Tabla1[[#This Row],[Aplicación]],14,2)</f>
        <v>22</v>
      </c>
      <c r="X206" s="56" t="str">
        <f>MID(Tabla1[[#This Row],[Aplicación]],14,6)</f>
        <v>22799</v>
      </c>
    </row>
    <row r="207" spans="1:24" x14ac:dyDescent="0.25">
      <c r="A207" s="46">
        <v>220229000599</v>
      </c>
      <c r="B207" s="47" t="s">
        <v>507</v>
      </c>
      <c r="C207" s="52">
        <v>44927</v>
      </c>
      <c r="D207" s="46">
        <v>22023000737</v>
      </c>
      <c r="E207" s="47" t="s">
        <v>854</v>
      </c>
      <c r="F207" s="53">
        <v>46250.01</v>
      </c>
      <c r="G207" s="47" t="s">
        <v>954</v>
      </c>
      <c r="H207" s="47" t="s">
        <v>955</v>
      </c>
      <c r="I207" s="46" t="s">
        <v>511</v>
      </c>
      <c r="J207" s="47" t="s">
        <v>956</v>
      </c>
      <c r="K207" s="47" t="s">
        <v>512</v>
      </c>
      <c r="L207" s="47" t="s">
        <v>552</v>
      </c>
      <c r="M207" s="47" t="s">
        <v>514</v>
      </c>
      <c r="N207" s="47" t="s">
        <v>515</v>
      </c>
      <c r="O207" s="54" t="s">
        <v>371</v>
      </c>
      <c r="P207" s="44" t="s">
        <v>309</v>
      </c>
      <c r="Q207" s="59" t="str">
        <f>MID(Tabla1[[#This Row],[Aplicación]],14,1)</f>
        <v>6</v>
      </c>
      <c r="R207" s="35" t="s">
        <v>299</v>
      </c>
      <c r="S207" s="59" t="str">
        <f>MID(Tabla1[[#This Row],[Aplicación]],6,2)</f>
        <v>11</v>
      </c>
      <c r="T207" s="35" t="str">
        <f>VLOOKUP(Tabla1[[#This Row],[AREA]],Hoja1!A:B,2,FALSE)</f>
        <v>11. Salud pública y seguridad ciudadana</v>
      </c>
      <c r="U207" s="35" t="str">
        <f>MID(Tabla1[[#This Row],[Aplicación]],9,4)</f>
        <v>1321</v>
      </c>
      <c r="V207" s="35" t="str">
        <f>VLOOKUP(Tabla1[[#This Row],[PROGRAMA]],Hoja1!A:B,2,FALSE)</f>
        <v>1321. Policía municipal</v>
      </c>
      <c r="W207" s="56" t="str">
        <f>MID(Tabla1[[#This Row],[Aplicación]],14,2)</f>
        <v>64</v>
      </c>
      <c r="X207" s="56" t="str">
        <f>MID(Tabla1[[#This Row],[Aplicación]],14,6)</f>
        <v>641</v>
      </c>
    </row>
    <row r="208" spans="1:24" x14ac:dyDescent="0.25">
      <c r="A208" s="46">
        <v>220229000856</v>
      </c>
      <c r="B208" s="47" t="s">
        <v>507</v>
      </c>
      <c r="C208" s="52">
        <v>44927</v>
      </c>
      <c r="D208" s="46">
        <v>22023001952</v>
      </c>
      <c r="E208" s="47" t="s">
        <v>667</v>
      </c>
      <c r="F208" s="53">
        <v>45756.15</v>
      </c>
      <c r="G208" s="47" t="s">
        <v>72</v>
      </c>
      <c r="H208" s="47" t="s">
        <v>957</v>
      </c>
      <c r="I208" s="46" t="s">
        <v>511</v>
      </c>
      <c r="J208" s="47" t="s">
        <v>519</v>
      </c>
      <c r="K208" s="47" t="s">
        <v>519</v>
      </c>
      <c r="L208" s="47" t="s">
        <v>552</v>
      </c>
      <c r="M208" s="47" t="s">
        <v>514</v>
      </c>
      <c r="N208" s="47" t="s">
        <v>515</v>
      </c>
      <c r="O208" s="45" t="s">
        <v>371</v>
      </c>
      <c r="P208" s="44" t="s">
        <v>309</v>
      </c>
      <c r="Q208" s="59" t="str">
        <f>MID(Tabla1[[#This Row],[Aplicación]],14,1)</f>
        <v>2</v>
      </c>
      <c r="R208" s="35" t="s">
        <v>298</v>
      </c>
      <c r="S208" s="59" t="str">
        <f>MID(Tabla1[[#This Row],[Aplicación]],6,2)</f>
        <v>03</v>
      </c>
      <c r="T208" s="35" t="str">
        <f>VLOOKUP(Tabla1[[#This Row],[AREA]],Hoja1!A:B,2,FALSE)</f>
        <v>03. Participación ciudadana y deportes</v>
      </c>
      <c r="U208" s="35" t="str">
        <f>MID(Tabla1[[#This Row],[Aplicación]],9,4)</f>
        <v>9241</v>
      </c>
      <c r="V208" s="35" t="str">
        <f>VLOOKUP(Tabla1[[#This Row],[PROGRAMA]],Hoja1!A:B,2,FALSE)</f>
        <v>9241. Participación ciudadana</v>
      </c>
      <c r="W208" s="56" t="str">
        <f>MID(Tabla1[[#This Row],[Aplicación]],14,2)</f>
        <v>20</v>
      </c>
      <c r="X208" s="56" t="str">
        <f>MID(Tabla1[[#This Row],[Aplicación]],14,6)</f>
        <v>203</v>
      </c>
    </row>
    <row r="209" spans="1:24" x14ac:dyDescent="0.25">
      <c r="A209" s="46">
        <v>220229000373</v>
      </c>
      <c r="B209" s="47" t="s">
        <v>507</v>
      </c>
      <c r="C209" s="52">
        <v>44927</v>
      </c>
      <c r="D209" s="46">
        <v>22023001167</v>
      </c>
      <c r="E209" s="47" t="s">
        <v>958</v>
      </c>
      <c r="F209" s="53">
        <v>45600</v>
      </c>
      <c r="G209" s="47" t="s">
        <v>35</v>
      </c>
      <c r="H209" s="47" t="s">
        <v>959</v>
      </c>
      <c r="I209" s="46" t="s">
        <v>511</v>
      </c>
      <c r="J209" s="47" t="s">
        <v>519</v>
      </c>
      <c r="K209" s="47" t="s">
        <v>519</v>
      </c>
      <c r="L209" s="47" t="s">
        <v>552</v>
      </c>
      <c r="M209" s="47" t="s">
        <v>514</v>
      </c>
      <c r="N209" s="47" t="s">
        <v>515</v>
      </c>
      <c r="O209" s="45" t="s">
        <v>371</v>
      </c>
      <c r="P209" s="44" t="s">
        <v>309</v>
      </c>
      <c r="Q209" s="59" t="str">
        <f>MID(Tabla1[[#This Row],[Aplicación]],14,1)</f>
        <v>2</v>
      </c>
      <c r="R209" s="35" t="s">
        <v>298</v>
      </c>
      <c r="S209" s="59" t="str">
        <f>MID(Tabla1[[#This Row],[Aplicación]],6,2)</f>
        <v>08</v>
      </c>
      <c r="T209" s="35" t="str">
        <f>VLOOKUP(Tabla1[[#This Row],[AREA]],Hoja1!A:B,2,FALSE)</f>
        <v>08. Movilidad y espacio urbano</v>
      </c>
      <c r="U209" s="35" t="str">
        <f>MID(Tabla1[[#This Row],[Aplicación]],9,4)</f>
        <v>1532</v>
      </c>
      <c r="V209" s="35" t="str">
        <f>VLOOKUP(Tabla1[[#This Row],[PROGRAMA]],Hoja1!A:B,2,FALSE)</f>
        <v>1532. Pavimentación vias públicas y otros servicios urbanísticos</v>
      </c>
      <c r="W209" s="56" t="str">
        <f>MID(Tabla1[[#This Row],[Aplicación]],14,2)</f>
        <v>22</v>
      </c>
      <c r="X209" s="56" t="str">
        <f>MID(Tabla1[[#This Row],[Aplicación]],14,6)</f>
        <v>22103</v>
      </c>
    </row>
    <row r="210" spans="1:24" x14ac:dyDescent="0.25">
      <c r="A210" s="46">
        <v>220219000334</v>
      </c>
      <c r="B210" s="47" t="s">
        <v>507</v>
      </c>
      <c r="C210" s="52">
        <v>44927</v>
      </c>
      <c r="D210" s="46">
        <v>22023003289</v>
      </c>
      <c r="E210" s="47" t="s">
        <v>792</v>
      </c>
      <c r="F210" s="53">
        <v>45375</v>
      </c>
      <c r="G210" s="47" t="s">
        <v>960</v>
      </c>
      <c r="H210" s="47" t="s">
        <v>961</v>
      </c>
      <c r="I210" s="46" t="s">
        <v>511</v>
      </c>
      <c r="J210" s="47" t="s">
        <v>962</v>
      </c>
      <c r="K210" s="47" t="s">
        <v>512</v>
      </c>
      <c r="L210" s="47" t="s">
        <v>552</v>
      </c>
      <c r="M210" s="47" t="s">
        <v>514</v>
      </c>
      <c r="N210" s="47" t="s">
        <v>515</v>
      </c>
      <c r="O210" s="54" t="s">
        <v>371</v>
      </c>
      <c r="P210" s="44" t="s">
        <v>309</v>
      </c>
      <c r="Q210" s="59" t="str">
        <f>MID(Tabla1[[#This Row],[Aplicación]],14,1)</f>
        <v>6</v>
      </c>
      <c r="R210" s="35" t="s">
        <v>299</v>
      </c>
      <c r="S210" s="59" t="str">
        <f>MID(Tabla1[[#This Row],[Aplicación]],6,2)</f>
        <v>04</v>
      </c>
      <c r="T210" s="35" t="str">
        <f>VLOOKUP(Tabla1[[#This Row],[AREA]],Hoja1!A:B,2,FALSE)</f>
        <v>04. Planificación y recursos</v>
      </c>
      <c r="U210" s="35" t="str">
        <f>MID(Tabla1[[#This Row],[Aplicación]],9,4)</f>
        <v>9204</v>
      </c>
      <c r="V210" s="35" t="str">
        <f>VLOOKUP(Tabla1[[#This Row],[PROGRAMA]],Hoja1!A:B,2,FALSE)</f>
        <v>9204. Tecnologías de la información y comunicación</v>
      </c>
      <c r="W210" s="56" t="str">
        <f>MID(Tabla1[[#This Row],[Aplicación]],14,2)</f>
        <v>62</v>
      </c>
      <c r="X210" s="56" t="str">
        <f>MID(Tabla1[[#This Row],[Aplicación]],14,6)</f>
        <v>626</v>
      </c>
    </row>
    <row r="211" spans="1:24" x14ac:dyDescent="0.25">
      <c r="A211" s="46">
        <v>220229000929</v>
      </c>
      <c r="B211" s="47" t="s">
        <v>507</v>
      </c>
      <c r="C211" s="52">
        <v>44927</v>
      </c>
      <c r="D211" s="46">
        <v>22023002179</v>
      </c>
      <c r="E211" s="47" t="s">
        <v>529</v>
      </c>
      <c r="F211" s="53">
        <v>45375</v>
      </c>
      <c r="G211" s="47" t="s">
        <v>414</v>
      </c>
      <c r="H211" s="47" t="s">
        <v>963</v>
      </c>
      <c r="I211" s="46" t="s">
        <v>511</v>
      </c>
      <c r="J211" s="47" t="s">
        <v>572</v>
      </c>
      <c r="K211" s="47" t="s">
        <v>573</v>
      </c>
      <c r="L211" s="47" t="s">
        <v>520</v>
      </c>
      <c r="M211" s="47" t="s">
        <v>514</v>
      </c>
      <c r="N211" s="47" t="s">
        <v>515</v>
      </c>
      <c r="O211" s="54" t="s">
        <v>371</v>
      </c>
      <c r="P211" s="44" t="s">
        <v>309</v>
      </c>
      <c r="Q211" s="59" t="str">
        <f>MID(Tabla1[[#This Row],[Aplicación]],14,1)</f>
        <v>6</v>
      </c>
      <c r="R211" s="35" t="s">
        <v>299</v>
      </c>
      <c r="S211" s="59" t="str">
        <f>MID(Tabla1[[#This Row],[Aplicación]],6,2)</f>
        <v>07</v>
      </c>
      <c r="T211" s="35" t="str">
        <f>VLOOKUP(Tabla1[[#This Row],[AREA]],Hoja1!A:B,2,FALSE)</f>
        <v>07. Medio ambiente y desarrollo sostenible</v>
      </c>
      <c r="U211" s="35" t="str">
        <f>MID(Tabla1[[#This Row],[Aplicación]],9,4)</f>
        <v>1711</v>
      </c>
      <c r="V211" s="35" t="str">
        <f>VLOOKUP(Tabla1[[#This Row],[PROGRAMA]],Hoja1!A:B,2,FALSE)</f>
        <v>1711. Parques y jardines</v>
      </c>
      <c r="W211" s="56" t="str">
        <f>MID(Tabla1[[#This Row],[Aplicación]],14,2)</f>
        <v>61</v>
      </c>
      <c r="X211" s="56" t="str">
        <f>MID(Tabla1[[#This Row],[Aplicación]],14,6)</f>
        <v>610</v>
      </c>
    </row>
    <row r="212" spans="1:24" x14ac:dyDescent="0.25">
      <c r="A212" s="46">
        <v>220229000567</v>
      </c>
      <c r="B212" s="47" t="s">
        <v>507</v>
      </c>
      <c r="C212" s="52">
        <v>44927</v>
      </c>
      <c r="D212" s="46">
        <v>22023000692</v>
      </c>
      <c r="E212" s="47" t="s">
        <v>862</v>
      </c>
      <c r="F212" s="53">
        <v>45000</v>
      </c>
      <c r="G212" s="47" t="s">
        <v>964</v>
      </c>
      <c r="H212" s="47" t="s">
        <v>965</v>
      </c>
      <c r="I212" s="46" t="s">
        <v>511</v>
      </c>
      <c r="J212" s="47" t="s">
        <v>512</v>
      </c>
      <c r="K212" s="47" t="s">
        <v>512</v>
      </c>
      <c r="L212" s="47" t="s">
        <v>552</v>
      </c>
      <c r="M212" s="47" t="s">
        <v>514</v>
      </c>
      <c r="N212" s="47" t="s">
        <v>515</v>
      </c>
      <c r="O212" s="45" t="s">
        <v>371</v>
      </c>
      <c r="P212" s="44" t="s">
        <v>309</v>
      </c>
      <c r="Q212" s="59" t="str">
        <f>MID(Tabla1[[#This Row],[Aplicación]],14,1)</f>
        <v>2</v>
      </c>
      <c r="R212" s="35" t="s">
        <v>298</v>
      </c>
      <c r="S212" s="59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35" t="str">
        <f>MID(Tabla1[[#This Row],[Aplicación]],9,4)</f>
        <v>1321</v>
      </c>
      <c r="V212" s="35" t="str">
        <f>VLOOKUP(Tabla1[[#This Row],[PROGRAMA]],Hoja1!A:B,2,FALSE)</f>
        <v>1321. Policía municipal</v>
      </c>
      <c r="W212" s="56" t="str">
        <f>MID(Tabla1[[#This Row],[Aplicación]],14,2)</f>
        <v>22</v>
      </c>
      <c r="X212" s="56" t="str">
        <f>MID(Tabla1[[#This Row],[Aplicación]],14,6)</f>
        <v>22103</v>
      </c>
    </row>
    <row r="213" spans="1:24" x14ac:dyDescent="0.25">
      <c r="A213" s="46">
        <v>220219000597</v>
      </c>
      <c r="B213" s="47" t="s">
        <v>507</v>
      </c>
      <c r="C213" s="52">
        <v>44927</v>
      </c>
      <c r="D213" s="46">
        <v>22023003342</v>
      </c>
      <c r="E213" s="47" t="s">
        <v>559</v>
      </c>
      <c r="F213" s="53">
        <v>44756.61</v>
      </c>
      <c r="G213" s="47" t="s">
        <v>820</v>
      </c>
      <c r="H213" s="47" t="s">
        <v>966</v>
      </c>
      <c r="I213" s="46" t="s">
        <v>511</v>
      </c>
      <c r="J213" s="47" t="s">
        <v>512</v>
      </c>
      <c r="K213" s="47" t="s">
        <v>512</v>
      </c>
      <c r="L213" s="47" t="s">
        <v>520</v>
      </c>
      <c r="M213" s="47" t="s">
        <v>514</v>
      </c>
      <c r="N213" s="47" t="s">
        <v>515</v>
      </c>
      <c r="O213" s="54" t="s">
        <v>371</v>
      </c>
      <c r="P213" s="44" t="s">
        <v>309</v>
      </c>
      <c r="Q213" s="59" t="str">
        <f>MID(Tabla1[[#This Row],[Aplicación]],14,1)</f>
        <v>6</v>
      </c>
      <c r="R213" s="35" t="s">
        <v>299</v>
      </c>
      <c r="S213" s="59" t="str">
        <f>MID(Tabla1[[#This Row],[Aplicación]],6,2)</f>
        <v>08</v>
      </c>
      <c r="T213" s="35" t="str">
        <f>VLOOKUP(Tabla1[[#This Row],[AREA]],Hoja1!A:B,2,FALSE)</f>
        <v>08. Movilidad y espacio urbano</v>
      </c>
      <c r="U213" s="35" t="str">
        <f>MID(Tabla1[[#This Row],[Aplicación]],9,4)</f>
        <v>1651</v>
      </c>
      <c r="V213" s="35" t="str">
        <f>VLOOKUP(Tabla1[[#This Row],[PROGRAMA]],Hoja1!A:B,2,FALSE)</f>
        <v>1651. Alumbrado público</v>
      </c>
      <c r="W213" s="56" t="str">
        <f>MID(Tabla1[[#This Row],[Aplicación]],14,2)</f>
        <v>61</v>
      </c>
      <c r="X213" s="56" t="str">
        <f>MID(Tabla1[[#This Row],[Aplicación]],14,6)</f>
        <v>619</v>
      </c>
    </row>
    <row r="214" spans="1:24" x14ac:dyDescent="0.25">
      <c r="A214" s="46">
        <v>220230000197</v>
      </c>
      <c r="B214" s="47" t="s">
        <v>507</v>
      </c>
      <c r="C214" s="52">
        <v>44927</v>
      </c>
      <c r="D214" s="46">
        <v>22023000835</v>
      </c>
      <c r="E214" s="47" t="s">
        <v>967</v>
      </c>
      <c r="F214" s="53">
        <v>44413.53</v>
      </c>
      <c r="G214" s="47" t="s">
        <v>760</v>
      </c>
      <c r="H214" s="47" t="s">
        <v>968</v>
      </c>
      <c r="I214" s="46" t="s">
        <v>511</v>
      </c>
      <c r="J214" s="47" t="s">
        <v>512</v>
      </c>
      <c r="K214" s="47" t="s">
        <v>512</v>
      </c>
      <c r="L214" s="47" t="s">
        <v>520</v>
      </c>
      <c r="M214" s="47" t="s">
        <v>514</v>
      </c>
      <c r="N214" s="47" t="s">
        <v>515</v>
      </c>
      <c r="O214" s="45" t="s">
        <v>371</v>
      </c>
      <c r="P214" s="44" t="s">
        <v>309</v>
      </c>
      <c r="Q214" s="59" t="str">
        <f>MID(Tabla1[[#This Row],[Aplicación]],14,1)</f>
        <v>2</v>
      </c>
      <c r="R214" s="35" t="s">
        <v>298</v>
      </c>
      <c r="S214" s="59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35" t="str">
        <f>MID(Tabla1[[#This Row],[Aplicación]],9,4)</f>
        <v>1631</v>
      </c>
      <c r="V214" s="35" t="str">
        <f>VLOOKUP(Tabla1[[#This Row],[PROGRAMA]],Hoja1!A:B,2,FALSE)</f>
        <v>1631. Limpieza viaria</v>
      </c>
      <c r="W214" s="56" t="str">
        <f>MID(Tabla1[[#This Row],[Aplicación]],14,2)</f>
        <v>22</v>
      </c>
      <c r="X214" s="56" t="str">
        <f>MID(Tabla1[[#This Row],[Aplicación]],14,6)</f>
        <v>22700</v>
      </c>
    </row>
    <row r="215" spans="1:24" x14ac:dyDescent="0.25">
      <c r="A215" s="46">
        <v>220229000431</v>
      </c>
      <c r="B215" s="47" t="s">
        <v>507</v>
      </c>
      <c r="C215" s="52">
        <v>44927</v>
      </c>
      <c r="D215" s="46">
        <v>22023000730</v>
      </c>
      <c r="E215" s="47" t="s">
        <v>726</v>
      </c>
      <c r="F215" s="53">
        <v>43597.13</v>
      </c>
      <c r="G215" s="47" t="s">
        <v>824</v>
      </c>
      <c r="H215" s="47" t="s">
        <v>969</v>
      </c>
      <c r="I215" s="46" t="s">
        <v>511</v>
      </c>
      <c r="J215" s="47" t="s">
        <v>826</v>
      </c>
      <c r="K215" s="51" t="s">
        <v>827</v>
      </c>
      <c r="L215" s="47" t="s">
        <v>520</v>
      </c>
      <c r="M215" s="47" t="s">
        <v>514</v>
      </c>
      <c r="N215" s="47" t="s">
        <v>515</v>
      </c>
      <c r="O215" s="54" t="s">
        <v>371</v>
      </c>
      <c r="P215" s="44" t="s">
        <v>309</v>
      </c>
      <c r="Q215" s="59" t="str">
        <f>MID(Tabla1[[#This Row],[Aplicación]],14,1)</f>
        <v>6</v>
      </c>
      <c r="R215" s="35" t="s">
        <v>299</v>
      </c>
      <c r="S215" s="59" t="str">
        <f>MID(Tabla1[[#This Row],[Aplicación]],6,2)</f>
        <v>04</v>
      </c>
      <c r="T215" s="35" t="str">
        <f>VLOOKUP(Tabla1[[#This Row],[AREA]],Hoja1!A:B,2,FALSE)</f>
        <v>04. Planificación y recursos</v>
      </c>
      <c r="U215" s="35" t="str">
        <f>MID(Tabla1[[#This Row],[Aplicación]],9,4)</f>
        <v>9204</v>
      </c>
      <c r="V215" s="35" t="str">
        <f>VLOOKUP(Tabla1[[#This Row],[PROGRAMA]],Hoja1!A:B,2,FALSE)</f>
        <v>9204. Tecnologías de la información y comunicación</v>
      </c>
      <c r="W215" s="56" t="str">
        <f>MID(Tabla1[[#This Row],[Aplicación]],14,2)</f>
        <v>64</v>
      </c>
      <c r="X215" s="56" t="str">
        <f>MID(Tabla1[[#This Row],[Aplicación]],14,6)</f>
        <v>641</v>
      </c>
    </row>
    <row r="216" spans="1:24" x14ac:dyDescent="0.25">
      <c r="A216" s="46">
        <v>220229000742</v>
      </c>
      <c r="B216" s="47" t="s">
        <v>507</v>
      </c>
      <c r="C216" s="52">
        <v>44927</v>
      </c>
      <c r="D216" s="46">
        <v>22023001312</v>
      </c>
      <c r="E216" s="47" t="s">
        <v>970</v>
      </c>
      <c r="F216" s="53">
        <v>43297.08</v>
      </c>
      <c r="G216" s="47" t="s">
        <v>850</v>
      </c>
      <c r="H216" s="47" t="s">
        <v>971</v>
      </c>
      <c r="I216" s="46" t="s">
        <v>511</v>
      </c>
      <c r="J216" s="47" t="s">
        <v>852</v>
      </c>
      <c r="K216" s="47" t="s">
        <v>853</v>
      </c>
      <c r="L216" s="47" t="s">
        <v>520</v>
      </c>
      <c r="M216" s="47" t="s">
        <v>514</v>
      </c>
      <c r="N216" s="47" t="s">
        <v>515</v>
      </c>
      <c r="O216" s="45" t="s">
        <v>371</v>
      </c>
      <c r="P216" s="44" t="s">
        <v>309</v>
      </c>
      <c r="Q216" s="59" t="str">
        <f>MID(Tabla1[[#This Row],[Aplicación]],14,1)</f>
        <v>2</v>
      </c>
      <c r="R216" s="35" t="s">
        <v>298</v>
      </c>
      <c r="S216" s="59" t="str">
        <f>MID(Tabla1[[#This Row],[Aplicación]],6,2)</f>
        <v>05</v>
      </c>
      <c r="T216" s="35" t="str">
        <f>VLOOKUP(Tabla1[[#This Row],[AREA]],Hoja1!A:B,2,FALSE)</f>
        <v>05. Innovación, desarrollo económico, empleo y comercio</v>
      </c>
      <c r="U216" s="35" t="str">
        <f>MID(Tabla1[[#This Row],[Aplicación]],9,4)</f>
        <v>4331</v>
      </c>
      <c r="V216" s="35" t="str">
        <f>VLOOKUP(Tabla1[[#This Row],[PROGRAMA]],Hoja1!A:B,2,FALSE)</f>
        <v>4331. Desarrollo empresarial</v>
      </c>
      <c r="W216" s="56" t="str">
        <f>MID(Tabla1[[#This Row],[Aplicación]],14,2)</f>
        <v>22</v>
      </c>
      <c r="X216" s="56" t="str">
        <f>MID(Tabla1[[#This Row],[Aplicación]],14,6)</f>
        <v>22700</v>
      </c>
    </row>
    <row r="217" spans="1:24" x14ac:dyDescent="0.25">
      <c r="A217" s="46">
        <v>220229000793</v>
      </c>
      <c r="B217" s="47" t="s">
        <v>507</v>
      </c>
      <c r="C217" s="52">
        <v>44927</v>
      </c>
      <c r="D217" s="46">
        <v>22023001871</v>
      </c>
      <c r="E217" s="47" t="s">
        <v>972</v>
      </c>
      <c r="F217" s="53">
        <v>42500</v>
      </c>
      <c r="G217" s="47" t="s">
        <v>760</v>
      </c>
      <c r="H217" s="47" t="s">
        <v>973</v>
      </c>
      <c r="I217" s="46" t="s">
        <v>511</v>
      </c>
      <c r="J217" s="47" t="s">
        <v>512</v>
      </c>
      <c r="K217" s="47" t="s">
        <v>512</v>
      </c>
      <c r="L217" s="47" t="s">
        <v>520</v>
      </c>
      <c r="M217" s="47" t="s">
        <v>514</v>
      </c>
      <c r="N217" s="47" t="s">
        <v>515</v>
      </c>
      <c r="O217" s="45" t="s">
        <v>371</v>
      </c>
      <c r="P217" s="44" t="s">
        <v>309</v>
      </c>
      <c r="Q217" s="59" t="str">
        <f>MID(Tabla1[[#This Row],[Aplicación]],14,1)</f>
        <v>2</v>
      </c>
      <c r="R217" s="35" t="s">
        <v>298</v>
      </c>
      <c r="S217" s="59" t="str">
        <f>MID(Tabla1[[#This Row],[Aplicación]],6,2)</f>
        <v>06</v>
      </c>
      <c r="T217" s="35" t="str">
        <f>VLOOKUP(Tabla1[[#This Row],[AREA]],Hoja1!A:B,2,FALSE)</f>
        <v>06. Educación, infancia, juventud e igualdad</v>
      </c>
      <c r="U217" s="35" t="str">
        <f>MID(Tabla1[[#This Row],[Aplicación]],9,4)</f>
        <v>3321</v>
      </c>
      <c r="V217" s="35" t="str">
        <f>VLOOKUP(Tabla1[[#This Row],[PROGRAMA]],Hoja1!A:B,2,FALSE)</f>
        <v>3321. Bibliotecas públicas</v>
      </c>
      <c r="W217" s="56" t="str">
        <f>MID(Tabla1[[#This Row],[Aplicación]],14,2)</f>
        <v>22</v>
      </c>
      <c r="X217" s="56" t="str">
        <f>MID(Tabla1[[#This Row],[Aplicación]],14,6)</f>
        <v>22700</v>
      </c>
    </row>
    <row r="218" spans="1:24" x14ac:dyDescent="0.25">
      <c r="A218" s="46">
        <v>220229000667</v>
      </c>
      <c r="B218" s="47" t="s">
        <v>507</v>
      </c>
      <c r="C218" s="52">
        <v>44927</v>
      </c>
      <c r="D218" s="46">
        <v>22023001271</v>
      </c>
      <c r="E218" s="47" t="s">
        <v>974</v>
      </c>
      <c r="F218" s="53">
        <v>128.99</v>
      </c>
      <c r="G218" s="47" t="s">
        <v>346</v>
      </c>
      <c r="H218" s="47" t="s">
        <v>975</v>
      </c>
      <c r="I218" s="46" t="s">
        <v>511</v>
      </c>
      <c r="J218" s="47" t="s">
        <v>519</v>
      </c>
      <c r="K218" s="47" t="s">
        <v>519</v>
      </c>
      <c r="L218" s="47" t="s">
        <v>520</v>
      </c>
      <c r="M218" s="47" t="s">
        <v>976</v>
      </c>
      <c r="N218" s="47" t="s">
        <v>839</v>
      </c>
      <c r="O218" s="45" t="s">
        <v>383</v>
      </c>
      <c r="P218" s="44" t="s">
        <v>309</v>
      </c>
      <c r="Q218" s="59" t="str">
        <f>MID(Tabla1[[#This Row],[Aplicación]],14,1)</f>
        <v>2</v>
      </c>
      <c r="R218" s="35" t="s">
        <v>298</v>
      </c>
      <c r="S218" s="59" t="str">
        <f>MID(Tabla1[[#This Row],[Aplicación]],6,2)</f>
        <v>11</v>
      </c>
      <c r="T218" s="35" t="str">
        <f>VLOOKUP(Tabla1[[#This Row],[AREA]],Hoja1!A:B,2,FALSE)</f>
        <v>11. Salud pública y seguridad ciudadana</v>
      </c>
      <c r="U218" s="35" t="str">
        <f>MID(Tabla1[[#This Row],[Aplicación]],9,4)</f>
        <v>1621</v>
      </c>
      <c r="V218" s="35" t="str">
        <f>VLOOKUP(Tabla1[[#This Row],[PROGRAMA]],Hoja1!A:B,2,FALSE)</f>
        <v>1621. Servicio de limpieza</v>
      </c>
      <c r="W218" s="56" t="str">
        <f>MID(Tabla1[[#This Row],[Aplicación]],14,2)</f>
        <v>21</v>
      </c>
      <c r="X218" s="56" t="str">
        <f>MID(Tabla1[[#This Row],[Aplicación]],14,6)</f>
        <v>212</v>
      </c>
    </row>
    <row r="219" spans="1:24" x14ac:dyDescent="0.25">
      <c r="A219" s="46">
        <v>220229000377</v>
      </c>
      <c r="B219" s="47" t="s">
        <v>507</v>
      </c>
      <c r="C219" s="52">
        <v>44927</v>
      </c>
      <c r="D219" s="46">
        <v>22023000451</v>
      </c>
      <c r="E219" s="47" t="s">
        <v>977</v>
      </c>
      <c r="F219" s="53">
        <v>41400</v>
      </c>
      <c r="G219" s="47" t="s">
        <v>978</v>
      </c>
      <c r="H219" s="47" t="s">
        <v>979</v>
      </c>
      <c r="I219" s="46" t="s">
        <v>511</v>
      </c>
      <c r="J219" s="47" t="s">
        <v>731</v>
      </c>
      <c r="K219" s="47" t="s">
        <v>519</v>
      </c>
      <c r="L219" s="47" t="s">
        <v>520</v>
      </c>
      <c r="M219" s="47" t="s">
        <v>514</v>
      </c>
      <c r="N219" s="47" t="s">
        <v>515</v>
      </c>
      <c r="O219" s="45" t="s">
        <v>371</v>
      </c>
      <c r="P219" s="44" t="s">
        <v>309</v>
      </c>
      <c r="Q219" s="59" t="str">
        <f>MID(Tabla1[[#This Row],[Aplicación]],14,1)</f>
        <v>2</v>
      </c>
      <c r="R219" s="35" t="s">
        <v>298</v>
      </c>
      <c r="S219" s="59" t="str">
        <f>MID(Tabla1[[#This Row],[Aplicación]],6,2)</f>
        <v>06</v>
      </c>
      <c r="T219" s="35" t="str">
        <f>VLOOKUP(Tabla1[[#This Row],[AREA]],Hoja1!A:B,2,FALSE)</f>
        <v>06. Educación, infancia, juventud e igualdad</v>
      </c>
      <c r="U219" s="35" t="str">
        <f>MID(Tabla1[[#This Row],[Aplicación]],9,4)</f>
        <v>2315</v>
      </c>
      <c r="V219" s="35" t="str">
        <f>VLOOKUP(Tabla1[[#This Row],[PROGRAMA]],Hoja1!A:B,2,FALSE)</f>
        <v>2315. Políticas de Igualdad e infancia</v>
      </c>
      <c r="W219" s="56" t="str">
        <f>MID(Tabla1[[#This Row],[Aplicación]],14,2)</f>
        <v>22</v>
      </c>
      <c r="X219" s="56" t="str">
        <f>MID(Tabla1[[#This Row],[Aplicación]],14,6)</f>
        <v>22620</v>
      </c>
    </row>
    <row r="220" spans="1:24" x14ac:dyDescent="0.25">
      <c r="A220" s="46">
        <v>220229000445</v>
      </c>
      <c r="B220" s="47" t="s">
        <v>507</v>
      </c>
      <c r="C220" s="52">
        <v>44927</v>
      </c>
      <c r="D220" s="46">
        <v>22023000735</v>
      </c>
      <c r="E220" s="47" t="s">
        <v>726</v>
      </c>
      <c r="F220" s="53">
        <v>40657.21</v>
      </c>
      <c r="G220" s="47" t="s">
        <v>719</v>
      </c>
      <c r="H220" s="47" t="s">
        <v>980</v>
      </c>
      <c r="I220" s="46" t="s">
        <v>511</v>
      </c>
      <c r="J220" s="47" t="s">
        <v>512</v>
      </c>
      <c r="K220" s="47" t="s">
        <v>512</v>
      </c>
      <c r="L220" s="47" t="s">
        <v>552</v>
      </c>
      <c r="M220" s="47" t="s">
        <v>514</v>
      </c>
      <c r="N220" s="47" t="s">
        <v>604</v>
      </c>
      <c r="O220" s="54" t="s">
        <v>371</v>
      </c>
      <c r="P220" s="44" t="s">
        <v>309</v>
      </c>
      <c r="Q220" s="59" t="str">
        <f>MID(Tabla1[[#This Row],[Aplicación]],14,1)</f>
        <v>6</v>
      </c>
      <c r="R220" s="35" t="s">
        <v>299</v>
      </c>
      <c r="S220" s="59" t="str">
        <f>MID(Tabla1[[#This Row],[Aplicación]],6,2)</f>
        <v>04</v>
      </c>
      <c r="T220" s="35" t="str">
        <f>VLOOKUP(Tabla1[[#This Row],[AREA]],Hoja1!A:B,2,FALSE)</f>
        <v>04. Planificación y recursos</v>
      </c>
      <c r="U220" s="35" t="str">
        <f>MID(Tabla1[[#This Row],[Aplicación]],9,4)</f>
        <v>9204</v>
      </c>
      <c r="V220" s="35" t="str">
        <f>VLOOKUP(Tabla1[[#This Row],[PROGRAMA]],Hoja1!A:B,2,FALSE)</f>
        <v>9204. Tecnologías de la información y comunicación</v>
      </c>
      <c r="W220" s="56" t="str">
        <f>MID(Tabla1[[#This Row],[Aplicación]],14,2)</f>
        <v>64</v>
      </c>
      <c r="X220" s="56" t="str">
        <f>MID(Tabla1[[#This Row],[Aplicación]],14,6)</f>
        <v>641</v>
      </c>
    </row>
    <row r="221" spans="1:24" x14ac:dyDescent="0.25">
      <c r="A221" s="46">
        <v>220229000266</v>
      </c>
      <c r="B221" s="47" t="s">
        <v>507</v>
      </c>
      <c r="C221" s="52">
        <v>44927</v>
      </c>
      <c r="D221" s="46">
        <v>22023000937</v>
      </c>
      <c r="E221" s="47" t="s">
        <v>574</v>
      </c>
      <c r="F221" s="53">
        <v>142375.84</v>
      </c>
      <c r="G221" s="47" t="s">
        <v>981</v>
      </c>
      <c r="H221" s="47" t="s">
        <v>982</v>
      </c>
      <c r="I221" s="46" t="s">
        <v>511</v>
      </c>
      <c r="J221" s="47" t="s">
        <v>519</v>
      </c>
      <c r="K221" s="47" t="s">
        <v>519</v>
      </c>
      <c r="L221" s="47" t="s">
        <v>520</v>
      </c>
      <c r="M221" s="47" t="s">
        <v>514</v>
      </c>
      <c r="N221" s="47" t="s">
        <v>515</v>
      </c>
      <c r="O221" s="45" t="s">
        <v>371</v>
      </c>
      <c r="P221" s="44" t="s">
        <v>309</v>
      </c>
      <c r="Q221" s="59" t="str">
        <f>MID(Tabla1[[#This Row],[Aplicación]],14,1)</f>
        <v>2</v>
      </c>
      <c r="R221" s="35" t="s">
        <v>298</v>
      </c>
      <c r="S221" s="59" t="str">
        <f>MID(Tabla1[[#This Row],[Aplicación]],6,2)</f>
        <v>11</v>
      </c>
      <c r="T221" s="35" t="str">
        <f>VLOOKUP(Tabla1[[#This Row],[AREA]],Hoja1!A:B,2,FALSE)</f>
        <v>11. Salud pública y seguridad ciudadana</v>
      </c>
      <c r="U221" s="35" t="str">
        <f>MID(Tabla1[[#This Row],[Aplicación]],9,4)</f>
        <v>1621</v>
      </c>
      <c r="V221" s="35" t="str">
        <f>VLOOKUP(Tabla1[[#This Row],[PROGRAMA]],Hoja1!A:B,2,FALSE)</f>
        <v>1621. Servicio de limpieza</v>
      </c>
      <c r="W221" s="56" t="str">
        <f>MID(Tabla1[[#This Row],[Aplicación]],14,2)</f>
        <v>22</v>
      </c>
      <c r="X221" s="56" t="str">
        <f>MID(Tabla1[[#This Row],[Aplicación]],14,6)</f>
        <v>22700</v>
      </c>
    </row>
    <row r="222" spans="1:24" x14ac:dyDescent="0.25">
      <c r="A222" s="46">
        <v>220229000830</v>
      </c>
      <c r="B222" s="47" t="s">
        <v>507</v>
      </c>
      <c r="C222" s="52">
        <v>44927</v>
      </c>
      <c r="D222" s="46">
        <v>22023001895</v>
      </c>
      <c r="E222" s="47" t="s">
        <v>777</v>
      </c>
      <c r="F222" s="53">
        <v>40277.06</v>
      </c>
      <c r="G222" s="47" t="s">
        <v>983</v>
      </c>
      <c r="H222" s="47" t="s">
        <v>984</v>
      </c>
      <c r="I222" s="46" t="s">
        <v>511</v>
      </c>
      <c r="J222" s="47" t="s">
        <v>519</v>
      </c>
      <c r="K222" s="47" t="s">
        <v>519</v>
      </c>
      <c r="L222" s="47" t="s">
        <v>520</v>
      </c>
      <c r="M222" s="47" t="s">
        <v>514</v>
      </c>
      <c r="N222" s="47" t="s">
        <v>515</v>
      </c>
      <c r="O222" s="45" t="s">
        <v>371</v>
      </c>
      <c r="P222" s="44" t="s">
        <v>309</v>
      </c>
      <c r="Q222" s="59" t="str">
        <f>MID(Tabla1[[#This Row],[Aplicación]],14,1)</f>
        <v>2</v>
      </c>
      <c r="R222" s="35" t="s">
        <v>298</v>
      </c>
      <c r="S222" s="59" t="str">
        <f>MID(Tabla1[[#This Row],[Aplicación]],6,2)</f>
        <v>03</v>
      </c>
      <c r="T222" s="35" t="str">
        <f>VLOOKUP(Tabla1[[#This Row],[AREA]],Hoja1!A:B,2,FALSE)</f>
        <v>03. Participación ciudadana y deportes</v>
      </c>
      <c r="U222" s="35" t="str">
        <f>MID(Tabla1[[#This Row],[Aplicación]],9,4)</f>
        <v>9241</v>
      </c>
      <c r="V222" s="35" t="str">
        <f>VLOOKUP(Tabla1[[#This Row],[PROGRAMA]],Hoja1!A:B,2,FALSE)</f>
        <v>9241. Participación ciudadana</v>
      </c>
      <c r="W222" s="56" t="str">
        <f>MID(Tabla1[[#This Row],[Aplicación]],14,2)</f>
        <v>22</v>
      </c>
      <c r="X222" s="56" t="str">
        <f>MID(Tabla1[[#This Row],[Aplicación]],14,6)</f>
        <v>22799</v>
      </c>
    </row>
    <row r="223" spans="1:24" x14ac:dyDescent="0.25">
      <c r="A223" s="46">
        <v>220229000570</v>
      </c>
      <c r="B223" s="47" t="s">
        <v>507</v>
      </c>
      <c r="C223" s="52">
        <v>44927</v>
      </c>
      <c r="D223" s="46">
        <v>22023000695</v>
      </c>
      <c r="E223" s="47" t="s">
        <v>900</v>
      </c>
      <c r="F223" s="53">
        <v>40000</v>
      </c>
      <c r="G223" s="47" t="s">
        <v>964</v>
      </c>
      <c r="H223" s="47" t="s">
        <v>985</v>
      </c>
      <c r="I223" s="46" t="s">
        <v>511</v>
      </c>
      <c r="J223" s="47" t="s">
        <v>512</v>
      </c>
      <c r="K223" s="47" t="s">
        <v>512</v>
      </c>
      <c r="L223" s="47" t="s">
        <v>552</v>
      </c>
      <c r="M223" s="47" t="s">
        <v>514</v>
      </c>
      <c r="N223" s="47" t="s">
        <v>515</v>
      </c>
      <c r="O223" s="45" t="s">
        <v>371</v>
      </c>
      <c r="P223" s="44" t="s">
        <v>309</v>
      </c>
      <c r="Q223" s="59" t="str">
        <f>MID(Tabla1[[#This Row],[Aplicación]],14,1)</f>
        <v>2</v>
      </c>
      <c r="R223" s="35" t="s">
        <v>298</v>
      </c>
      <c r="S223" s="59" t="str">
        <f>MID(Tabla1[[#This Row],[Aplicación]],6,2)</f>
        <v>07</v>
      </c>
      <c r="T223" s="35" t="str">
        <f>VLOOKUP(Tabla1[[#This Row],[AREA]],Hoja1!A:B,2,FALSE)</f>
        <v>07. Medio ambiente y desarrollo sostenible</v>
      </c>
      <c r="U223" s="35" t="str">
        <f>MID(Tabla1[[#This Row],[Aplicación]],9,4)</f>
        <v>1711</v>
      </c>
      <c r="V223" s="35" t="str">
        <f>VLOOKUP(Tabla1[[#This Row],[PROGRAMA]],Hoja1!A:B,2,FALSE)</f>
        <v>1711. Parques y jardines</v>
      </c>
      <c r="W223" s="56" t="str">
        <f>MID(Tabla1[[#This Row],[Aplicación]],14,2)</f>
        <v>22</v>
      </c>
      <c r="X223" s="56" t="str">
        <f>MID(Tabla1[[#This Row],[Aplicación]],14,6)</f>
        <v>22103</v>
      </c>
    </row>
    <row r="224" spans="1:24" x14ac:dyDescent="0.25">
      <c r="A224" s="46">
        <v>220229000559</v>
      </c>
      <c r="B224" s="47" t="s">
        <v>507</v>
      </c>
      <c r="C224" s="52">
        <v>44927</v>
      </c>
      <c r="D224" s="46">
        <v>22023001219</v>
      </c>
      <c r="E224" s="47" t="s">
        <v>566</v>
      </c>
      <c r="F224" s="53">
        <v>37893.620000000003</v>
      </c>
      <c r="G224" s="47" t="s">
        <v>986</v>
      </c>
      <c r="H224" s="47" t="s">
        <v>987</v>
      </c>
      <c r="I224" s="46" t="s">
        <v>511</v>
      </c>
      <c r="J224" s="47" t="s">
        <v>988</v>
      </c>
      <c r="K224" s="47" t="s">
        <v>519</v>
      </c>
      <c r="L224" s="47" t="s">
        <v>520</v>
      </c>
      <c r="M224" s="47" t="s">
        <v>514</v>
      </c>
      <c r="N224" s="47" t="s">
        <v>515</v>
      </c>
      <c r="O224" s="45" t="s">
        <v>371</v>
      </c>
      <c r="P224" s="44" t="s">
        <v>309</v>
      </c>
      <c r="Q224" s="59" t="str">
        <f>MID(Tabla1[[#This Row],[Aplicación]],14,1)</f>
        <v>2</v>
      </c>
      <c r="R224" s="35" t="s">
        <v>298</v>
      </c>
      <c r="S224" s="59" t="str">
        <f>MID(Tabla1[[#This Row],[Aplicación]],6,2)</f>
        <v>04</v>
      </c>
      <c r="T224" s="35" t="str">
        <f>VLOOKUP(Tabla1[[#This Row],[AREA]],Hoja1!A:B,2,FALSE)</f>
        <v>04. Planificación y recursos</v>
      </c>
      <c r="U224" s="35" t="str">
        <f>MID(Tabla1[[#This Row],[Aplicación]],9,4)</f>
        <v>9204</v>
      </c>
      <c r="V224" s="35" t="str">
        <f>VLOOKUP(Tabla1[[#This Row],[PROGRAMA]],Hoja1!A:B,2,FALSE)</f>
        <v>9204. Tecnologías de la información y comunicación</v>
      </c>
      <c r="W224" s="56" t="str">
        <f>MID(Tabla1[[#This Row],[Aplicación]],14,2)</f>
        <v>21</v>
      </c>
      <c r="X224" s="56" t="str">
        <f>MID(Tabla1[[#This Row],[Aplicación]],14,6)</f>
        <v>216</v>
      </c>
    </row>
    <row r="225" spans="1:24" x14ac:dyDescent="0.25">
      <c r="A225" s="46">
        <v>220229000108</v>
      </c>
      <c r="B225" s="47" t="s">
        <v>507</v>
      </c>
      <c r="C225" s="52">
        <v>44927</v>
      </c>
      <c r="D225" s="46">
        <v>22023000890</v>
      </c>
      <c r="E225" s="47" t="s">
        <v>792</v>
      </c>
      <c r="F225" s="53">
        <v>36263.699999999997</v>
      </c>
      <c r="G225" s="47" t="s">
        <v>82</v>
      </c>
      <c r="H225" s="47" t="s">
        <v>989</v>
      </c>
      <c r="I225" s="46" t="s">
        <v>511</v>
      </c>
      <c r="J225" s="47" t="s">
        <v>519</v>
      </c>
      <c r="K225" s="47" t="s">
        <v>519</v>
      </c>
      <c r="L225" s="47" t="s">
        <v>520</v>
      </c>
      <c r="M225" s="47" t="s">
        <v>514</v>
      </c>
      <c r="N225" s="47" t="s">
        <v>515</v>
      </c>
      <c r="O225" s="54" t="s">
        <v>371</v>
      </c>
      <c r="P225" s="44" t="s">
        <v>309</v>
      </c>
      <c r="Q225" s="59" t="str">
        <f>MID(Tabla1[[#This Row],[Aplicación]],14,1)</f>
        <v>6</v>
      </c>
      <c r="R225" s="35" t="s">
        <v>299</v>
      </c>
      <c r="S225" s="59" t="str">
        <f>MID(Tabla1[[#This Row],[Aplicación]],6,2)</f>
        <v>04</v>
      </c>
      <c r="T225" s="35" t="str">
        <f>VLOOKUP(Tabla1[[#This Row],[AREA]],Hoja1!A:B,2,FALSE)</f>
        <v>04. Planificación y recursos</v>
      </c>
      <c r="U225" s="35" t="str">
        <f>MID(Tabla1[[#This Row],[Aplicación]],9,4)</f>
        <v>9204</v>
      </c>
      <c r="V225" s="35" t="str">
        <f>VLOOKUP(Tabla1[[#This Row],[PROGRAMA]],Hoja1!A:B,2,FALSE)</f>
        <v>9204. Tecnologías de la información y comunicación</v>
      </c>
      <c r="W225" s="56" t="str">
        <f>MID(Tabla1[[#This Row],[Aplicación]],14,2)</f>
        <v>62</v>
      </c>
      <c r="X225" s="56" t="str">
        <f>MID(Tabla1[[#This Row],[Aplicación]],14,6)</f>
        <v>626</v>
      </c>
    </row>
    <row r="226" spans="1:24" x14ac:dyDescent="0.25">
      <c r="A226" s="46">
        <v>220229000335</v>
      </c>
      <c r="B226" s="47" t="s">
        <v>507</v>
      </c>
      <c r="C226" s="52">
        <v>44927</v>
      </c>
      <c r="D226" s="46">
        <v>22023000724</v>
      </c>
      <c r="E226" s="47" t="s">
        <v>726</v>
      </c>
      <c r="F226" s="53">
        <v>131952.35999999999</v>
      </c>
      <c r="G226" s="47" t="s">
        <v>865</v>
      </c>
      <c r="H226" s="47" t="s">
        <v>990</v>
      </c>
      <c r="I226" s="46" t="s">
        <v>511</v>
      </c>
      <c r="J226" s="47" t="s">
        <v>731</v>
      </c>
      <c r="K226" s="47" t="s">
        <v>519</v>
      </c>
      <c r="L226" s="47" t="s">
        <v>520</v>
      </c>
      <c r="M226" s="47" t="s">
        <v>838</v>
      </c>
      <c r="N226" s="47" t="s">
        <v>839</v>
      </c>
      <c r="O226" s="54" t="s">
        <v>373</v>
      </c>
      <c r="P226" s="44" t="s">
        <v>309</v>
      </c>
      <c r="Q226" s="59" t="str">
        <f>MID(Tabla1[[#This Row],[Aplicación]],14,1)</f>
        <v>6</v>
      </c>
      <c r="R226" s="35" t="s">
        <v>299</v>
      </c>
      <c r="S226" s="59" t="str">
        <f>MID(Tabla1[[#This Row],[Aplicación]],6,2)</f>
        <v>04</v>
      </c>
      <c r="T226" s="35" t="str">
        <f>VLOOKUP(Tabla1[[#This Row],[AREA]],Hoja1!A:B,2,FALSE)</f>
        <v>04. Planificación y recursos</v>
      </c>
      <c r="U226" s="35" t="str">
        <f>MID(Tabla1[[#This Row],[Aplicación]],9,4)</f>
        <v>9204</v>
      </c>
      <c r="V226" s="35" t="str">
        <f>VLOOKUP(Tabla1[[#This Row],[PROGRAMA]],Hoja1!A:B,2,FALSE)</f>
        <v>9204. Tecnologías de la información y comunicación</v>
      </c>
      <c r="W226" s="56" t="str">
        <f>MID(Tabla1[[#This Row],[Aplicación]],14,2)</f>
        <v>64</v>
      </c>
      <c r="X226" s="56" t="str">
        <f>MID(Tabla1[[#This Row],[Aplicación]],14,6)</f>
        <v>641</v>
      </c>
    </row>
    <row r="227" spans="1:24" x14ac:dyDescent="0.25">
      <c r="A227" s="46">
        <v>220229000708</v>
      </c>
      <c r="B227" s="47" t="s">
        <v>507</v>
      </c>
      <c r="C227" s="52">
        <v>44927</v>
      </c>
      <c r="D227" s="46">
        <v>22023000476</v>
      </c>
      <c r="E227" s="47" t="s">
        <v>777</v>
      </c>
      <c r="F227" s="53">
        <v>128498.67</v>
      </c>
      <c r="G227" s="47" t="s">
        <v>991</v>
      </c>
      <c r="H227" s="47" t="s">
        <v>992</v>
      </c>
      <c r="I227" s="46" t="s">
        <v>511</v>
      </c>
      <c r="J227" s="47" t="s">
        <v>519</v>
      </c>
      <c r="K227" s="47" t="s">
        <v>519</v>
      </c>
      <c r="L227" s="47" t="s">
        <v>520</v>
      </c>
      <c r="M227" s="47" t="s">
        <v>838</v>
      </c>
      <c r="N227" s="47" t="s">
        <v>839</v>
      </c>
      <c r="O227" s="45" t="s">
        <v>373</v>
      </c>
      <c r="P227" s="44" t="s">
        <v>309</v>
      </c>
      <c r="Q227" s="59" t="str">
        <f>MID(Tabla1[[#This Row],[Aplicación]],14,1)</f>
        <v>2</v>
      </c>
      <c r="R227" s="35" t="s">
        <v>298</v>
      </c>
      <c r="S227" s="59" t="str">
        <f>MID(Tabla1[[#This Row],[Aplicación]],6,2)</f>
        <v>03</v>
      </c>
      <c r="T227" s="35" t="str">
        <f>VLOOKUP(Tabla1[[#This Row],[AREA]],Hoja1!A:B,2,FALSE)</f>
        <v>03. Participación ciudadana y deportes</v>
      </c>
      <c r="U227" s="35" t="str">
        <f>MID(Tabla1[[#This Row],[Aplicación]],9,4)</f>
        <v>9241</v>
      </c>
      <c r="V227" s="35" t="str">
        <f>VLOOKUP(Tabla1[[#This Row],[PROGRAMA]],Hoja1!A:B,2,FALSE)</f>
        <v>9241. Participación ciudadana</v>
      </c>
      <c r="W227" s="56" t="str">
        <f>MID(Tabla1[[#This Row],[Aplicación]],14,2)</f>
        <v>22</v>
      </c>
      <c r="X227" s="56" t="str">
        <f>MID(Tabla1[[#This Row],[Aplicación]],14,6)</f>
        <v>22799</v>
      </c>
    </row>
    <row r="228" spans="1:24" x14ac:dyDescent="0.25">
      <c r="A228" s="46">
        <v>220229000659</v>
      </c>
      <c r="B228" s="47" t="s">
        <v>507</v>
      </c>
      <c r="C228" s="52">
        <v>44927</v>
      </c>
      <c r="D228" s="46">
        <v>22023001267</v>
      </c>
      <c r="E228" s="47" t="s">
        <v>607</v>
      </c>
      <c r="F228" s="53">
        <v>3000</v>
      </c>
      <c r="G228" s="47" t="s">
        <v>592</v>
      </c>
      <c r="H228" s="47" t="s">
        <v>993</v>
      </c>
      <c r="I228" s="46" t="s">
        <v>511</v>
      </c>
      <c r="J228" s="47" t="s">
        <v>519</v>
      </c>
      <c r="K228" s="47" t="s">
        <v>519</v>
      </c>
      <c r="L228" s="47" t="s">
        <v>552</v>
      </c>
      <c r="M228" s="47" t="s">
        <v>514</v>
      </c>
      <c r="N228" s="47" t="s">
        <v>515</v>
      </c>
      <c r="O228" s="45" t="s">
        <v>371</v>
      </c>
      <c r="P228" s="44" t="s">
        <v>309</v>
      </c>
      <c r="Q228" s="59" t="str">
        <f>MID(Tabla1[[#This Row],[Aplicación]],14,1)</f>
        <v>2</v>
      </c>
      <c r="R228" s="35" t="s">
        <v>298</v>
      </c>
      <c r="S228" s="59" t="str">
        <f>MID(Tabla1[[#This Row],[Aplicación]],6,2)</f>
        <v>11</v>
      </c>
      <c r="T228" s="35" t="str">
        <f>VLOOKUP(Tabla1[[#This Row],[AREA]],Hoja1!A:B,2,FALSE)</f>
        <v>11. Salud pública y seguridad ciudadana</v>
      </c>
      <c r="U228" s="35" t="str">
        <f>MID(Tabla1[[#This Row],[Aplicación]],9,4)</f>
        <v>1621</v>
      </c>
      <c r="V228" s="35" t="str">
        <f>VLOOKUP(Tabla1[[#This Row],[PROGRAMA]],Hoja1!A:B,2,FALSE)</f>
        <v>1621. Servicio de limpieza</v>
      </c>
      <c r="W228" s="56" t="str">
        <f>MID(Tabla1[[#This Row],[Aplicación]],14,2)</f>
        <v>21</v>
      </c>
      <c r="X228" s="56" t="str">
        <f>MID(Tabla1[[#This Row],[Aplicación]],14,6)</f>
        <v>213</v>
      </c>
    </row>
    <row r="229" spans="1:24" x14ac:dyDescent="0.25">
      <c r="A229" s="46">
        <v>220229000615</v>
      </c>
      <c r="B229" s="47" t="s">
        <v>507</v>
      </c>
      <c r="C229" s="52">
        <v>44927</v>
      </c>
      <c r="D229" s="46">
        <v>22023001232</v>
      </c>
      <c r="E229" s="47" t="s">
        <v>994</v>
      </c>
      <c r="F229" s="53">
        <v>47895.83</v>
      </c>
      <c r="G229" s="47" t="s">
        <v>346</v>
      </c>
      <c r="H229" s="47" t="s">
        <v>995</v>
      </c>
      <c r="I229" s="46" t="s">
        <v>511</v>
      </c>
      <c r="J229" s="47" t="s">
        <v>519</v>
      </c>
      <c r="K229" s="47" t="s">
        <v>519</v>
      </c>
      <c r="L229" s="47" t="s">
        <v>520</v>
      </c>
      <c r="M229" s="47" t="s">
        <v>514</v>
      </c>
      <c r="N229" s="47" t="s">
        <v>515</v>
      </c>
      <c r="O229" s="54" t="s">
        <v>371</v>
      </c>
      <c r="P229" s="44" t="s">
        <v>309</v>
      </c>
      <c r="Q229" s="59" t="str">
        <f>MID(Tabla1[[#This Row],[Aplicación]],14,1)</f>
        <v>6</v>
      </c>
      <c r="R229" s="35" t="s">
        <v>299</v>
      </c>
      <c r="S229" s="59" t="str">
        <f>MID(Tabla1[[#This Row],[Aplicación]],6,2)</f>
        <v>02</v>
      </c>
      <c r="T229" s="35" t="str">
        <f>VLOOKUP(Tabla1[[#This Row],[AREA]],Hoja1!A:B,2,FALSE)</f>
        <v>02. Planeamiento urbanístico y vivienda</v>
      </c>
      <c r="U229" s="35" t="str">
        <f>MID(Tabla1[[#This Row],[Aplicación]],9,4)</f>
        <v>1501</v>
      </c>
      <c r="V229" s="35" t="str">
        <f>VLOOKUP(Tabla1[[#This Row],[PROGRAMA]],Hoja1!A:B,2,FALSE)</f>
        <v>1501. Dirección del área de urbanismo</v>
      </c>
      <c r="W229" s="56" t="str">
        <f>MID(Tabla1[[#This Row],[Aplicación]],14,2)</f>
        <v>61</v>
      </c>
      <c r="X229" s="56" t="str">
        <f>MID(Tabla1[[#This Row],[Aplicación]],14,6)</f>
        <v>619</v>
      </c>
    </row>
    <row r="230" spans="1:24" x14ac:dyDescent="0.25">
      <c r="A230" s="46">
        <v>220229000530</v>
      </c>
      <c r="B230" s="47" t="s">
        <v>507</v>
      </c>
      <c r="C230" s="52">
        <v>44927</v>
      </c>
      <c r="D230" s="46">
        <v>22023001208</v>
      </c>
      <c r="E230" s="47" t="s">
        <v>546</v>
      </c>
      <c r="F230" s="53">
        <v>44517.95</v>
      </c>
      <c r="G230" s="47" t="s">
        <v>400</v>
      </c>
      <c r="H230" s="47" t="s">
        <v>996</v>
      </c>
      <c r="I230" s="46" t="s">
        <v>511</v>
      </c>
      <c r="J230" s="47" t="s">
        <v>519</v>
      </c>
      <c r="K230" s="47" t="s">
        <v>519</v>
      </c>
      <c r="L230" s="47" t="s">
        <v>520</v>
      </c>
      <c r="M230" s="47" t="s">
        <v>514</v>
      </c>
      <c r="N230" s="47" t="s">
        <v>515</v>
      </c>
      <c r="O230" s="54" t="s">
        <v>371</v>
      </c>
      <c r="P230" s="44" t="s">
        <v>309</v>
      </c>
      <c r="Q230" s="59" t="str">
        <f>MID(Tabla1[[#This Row],[Aplicación]],14,1)</f>
        <v>6</v>
      </c>
      <c r="R230" s="35" t="s">
        <v>299</v>
      </c>
      <c r="S230" s="59" t="str">
        <f>MID(Tabla1[[#This Row],[Aplicación]],6,2)</f>
        <v>08</v>
      </c>
      <c r="T230" s="35" t="str">
        <f>VLOOKUP(Tabla1[[#This Row],[AREA]],Hoja1!A:B,2,FALSE)</f>
        <v>08. Movilidad y espacio urbano</v>
      </c>
      <c r="U230" s="35" t="str">
        <f>MID(Tabla1[[#This Row],[Aplicación]],9,4)</f>
        <v>1532</v>
      </c>
      <c r="V230" s="35" t="str">
        <f>VLOOKUP(Tabla1[[#This Row],[PROGRAMA]],Hoja1!A:B,2,FALSE)</f>
        <v>1532. Pavimentación vias públicas y otros servicios urbanísticos</v>
      </c>
      <c r="W230" s="56" t="str">
        <f>MID(Tabla1[[#This Row],[Aplicación]],14,2)</f>
        <v>61</v>
      </c>
      <c r="X230" s="56" t="str">
        <f>MID(Tabla1[[#This Row],[Aplicación]],14,6)</f>
        <v>619</v>
      </c>
    </row>
    <row r="231" spans="1:24" x14ac:dyDescent="0.25">
      <c r="A231" s="46">
        <v>220229000865</v>
      </c>
      <c r="B231" s="47" t="s">
        <v>507</v>
      </c>
      <c r="C231" s="52">
        <v>44927</v>
      </c>
      <c r="D231" s="46">
        <v>22023001907</v>
      </c>
      <c r="E231" s="47" t="s">
        <v>799</v>
      </c>
      <c r="F231" s="53">
        <v>42699.4</v>
      </c>
      <c r="G231" s="47" t="s">
        <v>800</v>
      </c>
      <c r="H231" s="47" t="s">
        <v>997</v>
      </c>
      <c r="I231" s="46" t="s">
        <v>511</v>
      </c>
      <c r="J231" s="47" t="s">
        <v>802</v>
      </c>
      <c r="K231" s="47" t="s">
        <v>590</v>
      </c>
      <c r="L231" s="47" t="s">
        <v>520</v>
      </c>
      <c r="M231" s="47" t="s">
        <v>514</v>
      </c>
      <c r="N231" s="47" t="s">
        <v>515</v>
      </c>
      <c r="O231" s="45" t="s">
        <v>371</v>
      </c>
      <c r="P231" s="44" t="s">
        <v>309</v>
      </c>
      <c r="Q231" s="59" t="str">
        <f>MID(Tabla1[[#This Row],[Aplicación]],14,1)</f>
        <v>2</v>
      </c>
      <c r="R231" s="35" t="s">
        <v>298</v>
      </c>
      <c r="S231" s="59" t="str">
        <f>MID(Tabla1[[#This Row],[Aplicación]],6,2)</f>
        <v>02</v>
      </c>
      <c r="T231" s="35" t="str">
        <f>VLOOKUP(Tabla1[[#This Row],[AREA]],Hoja1!A:B,2,FALSE)</f>
        <v>02. Planeamiento urbanístico y vivienda</v>
      </c>
      <c r="U231" s="35" t="str">
        <f>MID(Tabla1[[#This Row],[Aplicación]],9,4)</f>
        <v>9331</v>
      </c>
      <c r="V231" s="35" t="str">
        <f>VLOOKUP(Tabla1[[#This Row],[PROGRAMA]],Hoja1!A:B,2,FALSE)</f>
        <v>9331. Gestión del patrimonio</v>
      </c>
      <c r="W231" s="56" t="str">
        <f>MID(Tabla1[[#This Row],[Aplicación]],14,2)</f>
        <v>22</v>
      </c>
      <c r="X231" s="56" t="str">
        <f>MID(Tabla1[[#This Row],[Aplicación]],14,6)</f>
        <v>224</v>
      </c>
    </row>
    <row r="232" spans="1:24" x14ac:dyDescent="0.25">
      <c r="A232" s="46">
        <v>220229000429</v>
      </c>
      <c r="B232" s="47" t="s">
        <v>507</v>
      </c>
      <c r="C232" s="52">
        <v>44927</v>
      </c>
      <c r="D232" s="46">
        <v>22023000728</v>
      </c>
      <c r="E232" s="47" t="s">
        <v>726</v>
      </c>
      <c r="F232" s="53">
        <v>35446.5</v>
      </c>
      <c r="G232" s="47" t="s">
        <v>824</v>
      </c>
      <c r="H232" s="47" t="s">
        <v>998</v>
      </c>
      <c r="I232" s="46" t="s">
        <v>511</v>
      </c>
      <c r="J232" s="47" t="s">
        <v>826</v>
      </c>
      <c r="K232" s="51" t="s">
        <v>827</v>
      </c>
      <c r="L232" s="47" t="s">
        <v>520</v>
      </c>
      <c r="M232" s="47" t="s">
        <v>514</v>
      </c>
      <c r="N232" s="47" t="s">
        <v>515</v>
      </c>
      <c r="O232" s="54" t="s">
        <v>371</v>
      </c>
      <c r="P232" s="44" t="s">
        <v>309</v>
      </c>
      <c r="Q232" s="59" t="str">
        <f>MID(Tabla1[[#This Row],[Aplicación]],14,1)</f>
        <v>6</v>
      </c>
      <c r="R232" s="35" t="s">
        <v>299</v>
      </c>
      <c r="S232" s="59" t="str">
        <f>MID(Tabla1[[#This Row],[Aplicación]],6,2)</f>
        <v>04</v>
      </c>
      <c r="T232" s="35" t="str">
        <f>VLOOKUP(Tabla1[[#This Row],[AREA]],Hoja1!A:B,2,FALSE)</f>
        <v>04. Planificación y recursos</v>
      </c>
      <c r="U232" s="35" t="str">
        <f>MID(Tabla1[[#This Row],[Aplicación]],9,4)</f>
        <v>9204</v>
      </c>
      <c r="V232" s="35" t="str">
        <f>VLOOKUP(Tabla1[[#This Row],[PROGRAMA]],Hoja1!A:B,2,FALSE)</f>
        <v>9204. Tecnologías de la información y comunicación</v>
      </c>
      <c r="W232" s="56" t="str">
        <f>MID(Tabla1[[#This Row],[Aplicación]],14,2)</f>
        <v>64</v>
      </c>
      <c r="X232" s="56" t="str">
        <f>MID(Tabla1[[#This Row],[Aplicación]],14,6)</f>
        <v>641</v>
      </c>
    </row>
    <row r="233" spans="1:24" x14ac:dyDescent="0.25">
      <c r="A233" s="46">
        <v>220229000255</v>
      </c>
      <c r="B233" s="47" t="s">
        <v>507</v>
      </c>
      <c r="C233" s="52">
        <v>44927</v>
      </c>
      <c r="D233" s="46">
        <v>22023000718</v>
      </c>
      <c r="E233" s="47" t="s">
        <v>999</v>
      </c>
      <c r="F233" s="53">
        <v>35000</v>
      </c>
      <c r="G233" s="47" t="s">
        <v>1000</v>
      </c>
      <c r="H233" s="47" t="s">
        <v>1001</v>
      </c>
      <c r="I233" s="46" t="s">
        <v>511</v>
      </c>
      <c r="J233" s="47" t="s">
        <v>1002</v>
      </c>
      <c r="K233" s="47" t="s">
        <v>1003</v>
      </c>
      <c r="L233" s="47" t="s">
        <v>552</v>
      </c>
      <c r="M233" s="47" t="s">
        <v>514</v>
      </c>
      <c r="N233" s="47" t="s">
        <v>515</v>
      </c>
      <c r="O233" s="54" t="s">
        <v>371</v>
      </c>
      <c r="P233" s="44" t="s">
        <v>309</v>
      </c>
      <c r="Q233" s="59" t="str">
        <f>MID(Tabla1[[#This Row],[Aplicación]],14,1)</f>
        <v>6</v>
      </c>
      <c r="R233" s="35" t="s">
        <v>299</v>
      </c>
      <c r="S233" s="59" t="str">
        <f>MID(Tabla1[[#This Row],[Aplicación]],6,2)</f>
        <v>11</v>
      </c>
      <c r="T233" s="35" t="str">
        <f>VLOOKUP(Tabla1[[#This Row],[AREA]],Hoja1!A:B,2,FALSE)</f>
        <v>11. Salud pública y seguridad ciudadana</v>
      </c>
      <c r="U233" s="35" t="str">
        <f>MID(Tabla1[[#This Row],[Aplicación]],9,4)</f>
        <v>1321</v>
      </c>
      <c r="V233" s="35" t="str">
        <f>VLOOKUP(Tabla1[[#This Row],[PROGRAMA]],Hoja1!A:B,2,FALSE)</f>
        <v>1321. Policía municipal</v>
      </c>
      <c r="W233" s="56" t="str">
        <f>MID(Tabla1[[#This Row],[Aplicación]],14,2)</f>
        <v>62</v>
      </c>
      <c r="X233" s="56" t="str">
        <f>MID(Tabla1[[#This Row],[Aplicación]],14,6)</f>
        <v>629</v>
      </c>
    </row>
    <row r="234" spans="1:24" x14ac:dyDescent="0.25">
      <c r="A234" s="46">
        <v>220219001070</v>
      </c>
      <c r="B234" s="47" t="s">
        <v>507</v>
      </c>
      <c r="C234" s="52">
        <v>44927</v>
      </c>
      <c r="D234" s="46">
        <v>22023003346</v>
      </c>
      <c r="E234" s="47" t="s">
        <v>1004</v>
      </c>
      <c r="F234" s="53">
        <v>34384.18</v>
      </c>
      <c r="G234" s="47" t="s">
        <v>1005</v>
      </c>
      <c r="H234" s="47" t="s">
        <v>1006</v>
      </c>
      <c r="I234" s="46" t="s">
        <v>511</v>
      </c>
      <c r="J234" s="47" t="s">
        <v>1007</v>
      </c>
      <c r="K234" s="47" t="s">
        <v>512</v>
      </c>
      <c r="L234" s="47" t="s">
        <v>552</v>
      </c>
      <c r="M234" s="47" t="s">
        <v>514</v>
      </c>
      <c r="N234" s="47" t="s">
        <v>515</v>
      </c>
      <c r="O234" s="54" t="s">
        <v>371</v>
      </c>
      <c r="P234" s="44" t="s">
        <v>309</v>
      </c>
      <c r="Q234" s="59" t="str">
        <f>MID(Tabla1[[#This Row],[Aplicación]],14,1)</f>
        <v>2</v>
      </c>
      <c r="R234" s="35" t="s">
        <v>298</v>
      </c>
      <c r="S234" s="59" t="str">
        <f>MID(Tabla1[[#This Row],[Aplicación]],6,2)</f>
        <v>08</v>
      </c>
      <c r="T234" s="35" t="str">
        <f>VLOOKUP(Tabla1[[#This Row],[AREA]],Hoja1!A:B,2,FALSE)</f>
        <v>08. Movilidad y espacio urbano</v>
      </c>
      <c r="U234" s="35" t="str">
        <f>MID(Tabla1[[#This Row],[Aplicación]],9,4)</f>
        <v>1651</v>
      </c>
      <c r="V234" s="35" t="str">
        <f>VLOOKUP(Tabla1[[#This Row],[PROGRAMA]],Hoja1!A:B,2,FALSE)</f>
        <v>1651. Alumbrado público</v>
      </c>
      <c r="W234" s="56" t="str">
        <f>MID(Tabla1[[#This Row],[Aplicación]],14,2)</f>
        <v>21</v>
      </c>
      <c r="X234" s="56" t="str">
        <f>MID(Tabla1[[#This Row],[Aplicación]],14,6)</f>
        <v>213</v>
      </c>
    </row>
    <row r="235" spans="1:24" x14ac:dyDescent="0.25">
      <c r="A235" s="46">
        <v>220229000713</v>
      </c>
      <c r="B235" s="47" t="s">
        <v>507</v>
      </c>
      <c r="C235" s="52">
        <v>44927</v>
      </c>
      <c r="D235" s="46">
        <v>22023001296</v>
      </c>
      <c r="E235" s="47" t="s">
        <v>1008</v>
      </c>
      <c r="F235" s="53">
        <v>33880</v>
      </c>
      <c r="G235" s="47" t="s">
        <v>1009</v>
      </c>
      <c r="H235" s="47" t="s">
        <v>1010</v>
      </c>
      <c r="I235" s="46" t="s">
        <v>511</v>
      </c>
      <c r="J235" s="47" t="s">
        <v>519</v>
      </c>
      <c r="K235" s="47" t="s">
        <v>519</v>
      </c>
      <c r="L235" s="47" t="s">
        <v>520</v>
      </c>
      <c r="M235" s="47" t="s">
        <v>514</v>
      </c>
      <c r="N235" s="47" t="s">
        <v>604</v>
      </c>
      <c r="O235" s="54" t="s">
        <v>371</v>
      </c>
      <c r="P235" s="44" t="s">
        <v>309</v>
      </c>
      <c r="Q235" s="59" t="str">
        <f>MID(Tabla1[[#This Row],[Aplicación]],14,1)</f>
        <v>2</v>
      </c>
      <c r="R235" s="35" t="s">
        <v>298</v>
      </c>
      <c r="S235" s="59" t="str">
        <f>MID(Tabla1[[#This Row],[Aplicación]],6,2)</f>
        <v>04</v>
      </c>
      <c r="T235" s="35" t="str">
        <f>VLOOKUP(Tabla1[[#This Row],[AREA]],Hoja1!A:B,2,FALSE)</f>
        <v>04. Planificación y recursos</v>
      </c>
      <c r="U235" s="35" t="str">
        <f>MID(Tabla1[[#This Row],[Aplicación]],9,4)</f>
        <v>9204</v>
      </c>
      <c r="V235" s="35" t="str">
        <f>VLOOKUP(Tabla1[[#This Row],[PROGRAMA]],Hoja1!A:B,2,FALSE)</f>
        <v>9204. Tecnologías de la información y comunicación</v>
      </c>
      <c r="W235" s="56" t="str">
        <f>MID(Tabla1[[#This Row],[Aplicación]],14,2)</f>
        <v>22</v>
      </c>
      <c r="X235" s="56" t="str">
        <f>MID(Tabla1[[#This Row],[Aplicación]],14,6)</f>
        <v>22701</v>
      </c>
    </row>
    <row r="236" spans="1:24" x14ac:dyDescent="0.25">
      <c r="A236" s="46">
        <v>220229000126</v>
      </c>
      <c r="B236" s="47" t="s">
        <v>507</v>
      </c>
      <c r="C236" s="52">
        <v>44927</v>
      </c>
      <c r="D236" s="46">
        <v>22023000301</v>
      </c>
      <c r="E236" s="47" t="s">
        <v>1011</v>
      </c>
      <c r="F236" s="53">
        <v>30709.8</v>
      </c>
      <c r="G236" s="47" t="s">
        <v>1012</v>
      </c>
      <c r="H236" s="47" t="s">
        <v>1013</v>
      </c>
      <c r="I236" s="46" t="s">
        <v>511</v>
      </c>
      <c r="J236" s="47" t="s">
        <v>1014</v>
      </c>
      <c r="K236" s="47" t="s">
        <v>1003</v>
      </c>
      <c r="L236" s="47" t="s">
        <v>552</v>
      </c>
      <c r="M236" s="47" t="s">
        <v>514</v>
      </c>
      <c r="N236" s="47" t="s">
        <v>515</v>
      </c>
      <c r="O236" s="54" t="s">
        <v>371</v>
      </c>
      <c r="P236" s="44" t="s">
        <v>309</v>
      </c>
      <c r="Q236" s="59" t="str">
        <f>MID(Tabla1[[#This Row],[Aplicación]],14,1)</f>
        <v>2</v>
      </c>
      <c r="R236" s="35" t="s">
        <v>298</v>
      </c>
      <c r="S236" s="59" t="str">
        <f>MID(Tabla1[[#This Row],[Aplicación]],6,2)</f>
        <v>09</v>
      </c>
      <c r="T236" s="35" t="str">
        <f>VLOOKUP(Tabla1[[#This Row],[AREA]],Hoja1!A:B,2,FALSE)</f>
        <v>09. Cultura y turismo</v>
      </c>
      <c r="U236" s="35" t="str">
        <f>MID(Tabla1[[#This Row],[Aplicación]],9,4)</f>
        <v>3341</v>
      </c>
      <c r="V236" s="35" t="str">
        <f>VLOOKUP(Tabla1[[#This Row],[PROGRAMA]],Hoja1!A:B,2,FALSE)</f>
        <v>3341. Coordinación de políticas culturales</v>
      </c>
      <c r="W236" s="56" t="str">
        <f>MID(Tabla1[[#This Row],[Aplicación]],14,2)</f>
        <v>22</v>
      </c>
      <c r="X236" s="56" t="str">
        <f>MID(Tabla1[[#This Row],[Aplicación]],14,6)</f>
        <v>22609</v>
      </c>
    </row>
    <row r="237" spans="1:24" x14ac:dyDescent="0.25">
      <c r="A237" s="46">
        <v>220229000802</v>
      </c>
      <c r="B237" s="47" t="s">
        <v>507</v>
      </c>
      <c r="C237" s="52">
        <v>44927</v>
      </c>
      <c r="D237" s="46">
        <v>22023001874</v>
      </c>
      <c r="E237" s="47" t="s">
        <v>819</v>
      </c>
      <c r="F237" s="53">
        <v>30250</v>
      </c>
      <c r="G237" s="47" t="s">
        <v>1015</v>
      </c>
      <c r="H237" s="47" t="s">
        <v>1016</v>
      </c>
      <c r="I237" s="46" t="s">
        <v>511</v>
      </c>
      <c r="J237" s="47" t="s">
        <v>519</v>
      </c>
      <c r="K237" s="47" t="s">
        <v>519</v>
      </c>
      <c r="L237" s="47" t="s">
        <v>520</v>
      </c>
      <c r="M237" s="47" t="s">
        <v>514</v>
      </c>
      <c r="N237" s="47" t="s">
        <v>515</v>
      </c>
      <c r="O237" s="54" t="s">
        <v>371</v>
      </c>
      <c r="P237" s="44" t="s">
        <v>309</v>
      </c>
      <c r="Q237" s="59" t="str">
        <f>MID(Tabla1[[#This Row],[Aplicación]],14,1)</f>
        <v>8</v>
      </c>
      <c r="R237" s="56" t="s">
        <v>300</v>
      </c>
      <c r="S237" s="59" t="str">
        <f>MID(Tabla1[[#This Row],[Aplicación]],6,2)</f>
        <v>08</v>
      </c>
      <c r="T237" s="35" t="str">
        <f>VLOOKUP(Tabla1[[#This Row],[AREA]],Hoja1!A:B,2,FALSE)</f>
        <v>08. Movilidad y espacio urbano</v>
      </c>
      <c r="U237" s="35" t="str">
        <f>MID(Tabla1[[#This Row],[Aplicación]],9,4)</f>
        <v>1513</v>
      </c>
      <c r="V237" s="35" t="str">
        <f>VLOOKUP(Tabla1[[#This Row],[PROGRAMA]],Hoja1!A:B,2,FALSE)</f>
        <v>1513. Licencias urbanísticas</v>
      </c>
      <c r="W237" s="56" t="str">
        <f>MID(Tabla1[[#This Row],[Aplicación]],14,2)</f>
        <v>83</v>
      </c>
      <c r="X237" s="56" t="str">
        <f>MID(Tabla1[[#This Row],[Aplicación]],14,6)</f>
        <v>83100</v>
      </c>
    </row>
    <row r="238" spans="1:24" x14ac:dyDescent="0.25">
      <c r="A238" s="46">
        <v>220229000705</v>
      </c>
      <c r="B238" s="47" t="s">
        <v>507</v>
      </c>
      <c r="C238" s="52">
        <v>44927</v>
      </c>
      <c r="D238" s="46">
        <v>22023001290</v>
      </c>
      <c r="E238" s="47" t="s">
        <v>1017</v>
      </c>
      <c r="F238" s="53">
        <v>30000</v>
      </c>
      <c r="G238" s="47" t="s">
        <v>76</v>
      </c>
      <c r="H238" s="47" t="s">
        <v>1018</v>
      </c>
      <c r="I238" s="46" t="s">
        <v>511</v>
      </c>
      <c r="J238" s="47" t="s">
        <v>731</v>
      </c>
      <c r="K238" s="47" t="s">
        <v>519</v>
      </c>
      <c r="L238" s="47" t="s">
        <v>520</v>
      </c>
      <c r="M238" s="47" t="s">
        <v>514</v>
      </c>
      <c r="N238" s="47" t="s">
        <v>515</v>
      </c>
      <c r="O238" s="45" t="s">
        <v>371</v>
      </c>
      <c r="P238" s="44" t="s">
        <v>309</v>
      </c>
      <c r="Q238" s="59" t="str">
        <f>MID(Tabla1[[#This Row],[Aplicación]],14,1)</f>
        <v>2</v>
      </c>
      <c r="R238" s="35" t="s">
        <v>298</v>
      </c>
      <c r="S238" s="59" t="str">
        <f>MID(Tabla1[[#This Row],[Aplicación]],6,2)</f>
        <v>10</v>
      </c>
      <c r="T238" s="35" t="str">
        <f>VLOOKUP(Tabla1[[#This Row],[AREA]],Hoja1!A:B,2,FALSE)</f>
        <v>10. Servicios sociales y mediación comunitaria</v>
      </c>
      <c r="U238" s="35" t="str">
        <f>MID(Tabla1[[#This Row],[Aplicación]],9,4)</f>
        <v>2313</v>
      </c>
      <c r="V238" s="35" t="str">
        <f>VLOOKUP(Tabla1[[#This Row],[PROGRAMA]],Hoja1!A:B,2,FALSE)</f>
        <v>2313. Dirección del área de servicios sociales</v>
      </c>
      <c r="W238" s="56" t="str">
        <f>MID(Tabla1[[#This Row],[Aplicación]],14,2)</f>
        <v>22</v>
      </c>
      <c r="X238" s="56" t="str">
        <f>MID(Tabla1[[#This Row],[Aplicación]],14,6)</f>
        <v>22799</v>
      </c>
    </row>
    <row r="239" spans="1:24" x14ac:dyDescent="0.25">
      <c r="A239" s="46">
        <v>220229000085</v>
      </c>
      <c r="B239" s="47" t="s">
        <v>507</v>
      </c>
      <c r="C239" s="52">
        <v>44927</v>
      </c>
      <c r="D239" s="46">
        <v>22023000881</v>
      </c>
      <c r="E239" s="47" t="s">
        <v>726</v>
      </c>
      <c r="F239" s="53">
        <v>29407.11</v>
      </c>
      <c r="G239" s="47" t="s">
        <v>1019</v>
      </c>
      <c r="H239" s="47" t="s">
        <v>1020</v>
      </c>
      <c r="I239" s="46" t="s">
        <v>511</v>
      </c>
      <c r="J239" s="47" t="s">
        <v>1021</v>
      </c>
      <c r="K239" s="47" t="s">
        <v>729</v>
      </c>
      <c r="L239" s="47" t="s">
        <v>520</v>
      </c>
      <c r="M239" s="47" t="s">
        <v>838</v>
      </c>
      <c r="N239" s="47" t="s">
        <v>839</v>
      </c>
      <c r="O239" s="54" t="s">
        <v>373</v>
      </c>
      <c r="P239" s="44" t="s">
        <v>309</v>
      </c>
      <c r="Q239" s="59" t="str">
        <f>MID(Tabla1[[#This Row],[Aplicación]],14,1)</f>
        <v>6</v>
      </c>
      <c r="R239" s="35" t="s">
        <v>299</v>
      </c>
      <c r="S239" s="59" t="str">
        <f>MID(Tabla1[[#This Row],[Aplicación]],6,2)</f>
        <v>04</v>
      </c>
      <c r="T239" s="35" t="str">
        <f>VLOOKUP(Tabla1[[#This Row],[AREA]],Hoja1!A:B,2,FALSE)</f>
        <v>04. Planificación y recursos</v>
      </c>
      <c r="U239" s="35" t="str">
        <f>MID(Tabla1[[#This Row],[Aplicación]],9,4)</f>
        <v>9204</v>
      </c>
      <c r="V239" s="35" t="str">
        <f>VLOOKUP(Tabla1[[#This Row],[PROGRAMA]],Hoja1!A:B,2,FALSE)</f>
        <v>9204. Tecnologías de la información y comunicación</v>
      </c>
      <c r="W239" s="56" t="str">
        <f>MID(Tabla1[[#This Row],[Aplicación]],14,2)</f>
        <v>64</v>
      </c>
      <c r="X239" s="56" t="str">
        <f>MID(Tabla1[[#This Row],[Aplicación]],14,6)</f>
        <v>641</v>
      </c>
    </row>
    <row r="240" spans="1:24" x14ac:dyDescent="0.25">
      <c r="A240" s="46">
        <v>220229000280</v>
      </c>
      <c r="B240" s="47" t="s">
        <v>507</v>
      </c>
      <c r="C240" s="52">
        <v>44927</v>
      </c>
      <c r="D240" s="46">
        <v>22023000445</v>
      </c>
      <c r="E240" s="47" t="s">
        <v>1022</v>
      </c>
      <c r="F240" s="53">
        <v>29250.54</v>
      </c>
      <c r="G240" s="47" t="s">
        <v>1023</v>
      </c>
      <c r="H240" s="47" t="s">
        <v>1024</v>
      </c>
      <c r="I240" s="46" t="s">
        <v>511</v>
      </c>
      <c r="J240" s="47" t="s">
        <v>1025</v>
      </c>
      <c r="K240" s="47" t="s">
        <v>717</v>
      </c>
      <c r="L240" s="47" t="s">
        <v>552</v>
      </c>
      <c r="M240" s="47" t="s">
        <v>514</v>
      </c>
      <c r="N240" s="47" t="s">
        <v>515</v>
      </c>
      <c r="O240" s="45" t="s">
        <v>371</v>
      </c>
      <c r="P240" s="44" t="s">
        <v>309</v>
      </c>
      <c r="Q240" s="59" t="str">
        <f>MID(Tabla1[[#This Row],[Aplicación]],14,1)</f>
        <v>2</v>
      </c>
      <c r="R240" s="35" t="s">
        <v>298</v>
      </c>
      <c r="S240" s="59" t="str">
        <f>MID(Tabla1[[#This Row],[Aplicación]],6,2)</f>
        <v>11</v>
      </c>
      <c r="T240" s="35" t="str">
        <f>VLOOKUP(Tabla1[[#This Row],[AREA]],Hoja1!A:B,2,FALSE)</f>
        <v>11. Salud pública y seguridad ciudadana</v>
      </c>
      <c r="U240" s="35" t="str">
        <f>MID(Tabla1[[#This Row],[Aplicación]],9,4)</f>
        <v>1631</v>
      </c>
      <c r="V240" s="35" t="str">
        <f>VLOOKUP(Tabla1[[#This Row],[PROGRAMA]],Hoja1!A:B,2,FALSE)</f>
        <v>1631. Limpieza viaria</v>
      </c>
      <c r="W240" s="56" t="str">
        <f>MID(Tabla1[[#This Row],[Aplicación]],14,2)</f>
        <v>22</v>
      </c>
      <c r="X240" s="56" t="str">
        <f>MID(Tabla1[[#This Row],[Aplicación]],14,6)</f>
        <v>22104</v>
      </c>
    </row>
    <row r="241" spans="1:24" x14ac:dyDescent="0.25">
      <c r="A241" s="46">
        <v>220229000824</v>
      </c>
      <c r="B241" s="47" t="s">
        <v>507</v>
      </c>
      <c r="C241" s="52">
        <v>44927</v>
      </c>
      <c r="D241" s="46">
        <v>22023001890</v>
      </c>
      <c r="E241" s="47" t="s">
        <v>539</v>
      </c>
      <c r="F241" s="53">
        <v>29000</v>
      </c>
      <c r="G241" s="47" t="s">
        <v>804</v>
      </c>
      <c r="H241" s="47" t="s">
        <v>1026</v>
      </c>
      <c r="I241" s="46" t="s">
        <v>511</v>
      </c>
      <c r="J241" s="47" t="s">
        <v>519</v>
      </c>
      <c r="K241" s="47" t="s">
        <v>519</v>
      </c>
      <c r="L241" s="47" t="s">
        <v>520</v>
      </c>
      <c r="M241" s="47" t="s">
        <v>514</v>
      </c>
      <c r="N241" s="47" t="s">
        <v>515</v>
      </c>
      <c r="O241" s="45" t="s">
        <v>371</v>
      </c>
      <c r="P241" s="44" t="s">
        <v>309</v>
      </c>
      <c r="Q241" s="59" t="str">
        <f>MID(Tabla1[[#This Row],[Aplicación]],14,1)</f>
        <v>2</v>
      </c>
      <c r="R241" s="35" t="s">
        <v>298</v>
      </c>
      <c r="S241" s="59" t="str">
        <f>MID(Tabla1[[#This Row],[Aplicación]],6,2)</f>
        <v>10</v>
      </c>
      <c r="T241" s="35" t="str">
        <f>VLOOKUP(Tabla1[[#This Row],[AREA]],Hoja1!A:B,2,FALSE)</f>
        <v>10. Servicios sociales y mediación comunitaria</v>
      </c>
      <c r="U241" s="35" t="str">
        <f>MID(Tabla1[[#This Row],[Aplicación]],9,4)</f>
        <v>2312</v>
      </c>
      <c r="V241" s="35" t="str">
        <f>VLOOKUP(Tabla1[[#This Row],[PROGRAMA]],Hoja1!A:B,2,FALSE)</f>
        <v>2312. Iniciativas sociales</v>
      </c>
      <c r="W241" s="56" t="str">
        <f>MID(Tabla1[[#This Row],[Aplicación]],14,2)</f>
        <v>22</v>
      </c>
      <c r="X241" s="56" t="str">
        <f>MID(Tabla1[[#This Row],[Aplicación]],14,6)</f>
        <v>22799</v>
      </c>
    </row>
    <row r="242" spans="1:24" x14ac:dyDescent="0.25">
      <c r="A242" s="46">
        <v>220229000239</v>
      </c>
      <c r="B242" s="47" t="s">
        <v>507</v>
      </c>
      <c r="C242" s="52">
        <v>44927</v>
      </c>
      <c r="D242" s="46">
        <v>22023000935</v>
      </c>
      <c r="E242" s="47" t="s">
        <v>967</v>
      </c>
      <c r="F242" s="53">
        <v>28788.38</v>
      </c>
      <c r="G242" s="47" t="s">
        <v>1027</v>
      </c>
      <c r="H242" s="47" t="s">
        <v>1028</v>
      </c>
      <c r="I242" s="46" t="s">
        <v>511</v>
      </c>
      <c r="J242" s="47" t="s">
        <v>573</v>
      </c>
      <c r="K242" s="47" t="s">
        <v>573</v>
      </c>
      <c r="L242" s="47" t="s">
        <v>520</v>
      </c>
      <c r="M242" s="47" t="s">
        <v>514</v>
      </c>
      <c r="N242" s="47" t="s">
        <v>515</v>
      </c>
      <c r="O242" s="45" t="s">
        <v>371</v>
      </c>
      <c r="P242" s="44" t="s">
        <v>309</v>
      </c>
      <c r="Q242" s="59" t="str">
        <f>MID(Tabla1[[#This Row],[Aplicación]],14,1)</f>
        <v>2</v>
      </c>
      <c r="R242" s="35" t="s">
        <v>298</v>
      </c>
      <c r="S242" s="59" t="str">
        <f>MID(Tabla1[[#This Row],[Aplicación]],6,2)</f>
        <v>11</v>
      </c>
      <c r="T242" s="35" t="str">
        <f>VLOOKUP(Tabla1[[#This Row],[AREA]],Hoja1!A:B,2,FALSE)</f>
        <v>11. Salud pública y seguridad ciudadana</v>
      </c>
      <c r="U242" s="35" t="str">
        <f>MID(Tabla1[[#This Row],[Aplicación]],9,4)</f>
        <v>1631</v>
      </c>
      <c r="V242" s="35" t="str">
        <f>VLOOKUP(Tabla1[[#This Row],[PROGRAMA]],Hoja1!A:B,2,FALSE)</f>
        <v>1631. Limpieza viaria</v>
      </c>
      <c r="W242" s="56" t="str">
        <f>MID(Tabla1[[#This Row],[Aplicación]],14,2)</f>
        <v>22</v>
      </c>
      <c r="X242" s="56" t="str">
        <f>MID(Tabla1[[#This Row],[Aplicación]],14,6)</f>
        <v>22700</v>
      </c>
    </row>
    <row r="243" spans="1:24" x14ac:dyDescent="0.25">
      <c r="A243" s="46">
        <v>220219000523</v>
      </c>
      <c r="B243" s="47" t="s">
        <v>507</v>
      </c>
      <c r="C243" s="52">
        <v>44927</v>
      </c>
      <c r="D243" s="46">
        <v>22023003290</v>
      </c>
      <c r="E243" s="47" t="s">
        <v>1029</v>
      </c>
      <c r="F243" s="53">
        <v>28674.92</v>
      </c>
      <c r="G243" s="47" t="s">
        <v>1030</v>
      </c>
      <c r="H243" s="47" t="s">
        <v>1031</v>
      </c>
      <c r="I243" s="46" t="s">
        <v>511</v>
      </c>
      <c r="J243" s="47" t="s">
        <v>1032</v>
      </c>
      <c r="K243" s="47" t="s">
        <v>590</v>
      </c>
      <c r="L243" s="47" t="s">
        <v>552</v>
      </c>
      <c r="M243" s="47" t="s">
        <v>514</v>
      </c>
      <c r="N243" s="47" t="s">
        <v>604</v>
      </c>
      <c r="O243" s="45" t="s">
        <v>371</v>
      </c>
      <c r="P243" s="44" t="s">
        <v>309</v>
      </c>
      <c r="Q243" s="59" t="str">
        <f>MID(Tabla1[[#This Row],[Aplicación]],14,1)</f>
        <v>2</v>
      </c>
      <c r="R243" s="35" t="s">
        <v>298</v>
      </c>
      <c r="S243" s="59" t="str">
        <f>MID(Tabla1[[#This Row],[Aplicación]],6,2)</f>
        <v>04</v>
      </c>
      <c r="T243" s="35" t="str">
        <f>VLOOKUP(Tabla1[[#This Row],[AREA]],Hoja1!A:B,2,FALSE)</f>
        <v>04. Planificación y recursos</v>
      </c>
      <c r="U243" s="35" t="str">
        <f>MID(Tabla1[[#This Row],[Aplicación]],9,4)</f>
        <v>9204</v>
      </c>
      <c r="V243" s="35" t="str">
        <f>VLOOKUP(Tabla1[[#This Row],[PROGRAMA]],Hoja1!A:B,2,FALSE)</f>
        <v>9204. Tecnologías de la información y comunicación</v>
      </c>
      <c r="W243" s="56" t="str">
        <f>MID(Tabla1[[#This Row],[Aplicación]],14,2)</f>
        <v>22</v>
      </c>
      <c r="X243" s="56" t="str">
        <f>MID(Tabla1[[#This Row],[Aplicación]],14,6)</f>
        <v>22002</v>
      </c>
    </row>
    <row r="244" spans="1:24" x14ac:dyDescent="0.25">
      <c r="A244" s="55">
        <v>220220053078</v>
      </c>
      <c r="B244" s="47" t="s">
        <v>507</v>
      </c>
      <c r="C244" s="52">
        <v>45014</v>
      </c>
      <c r="D244" s="46">
        <v>22022003656</v>
      </c>
      <c r="E244" s="47" t="s">
        <v>745</v>
      </c>
      <c r="F244" s="53">
        <v>5580</v>
      </c>
      <c r="G244" s="47" t="s">
        <v>1838</v>
      </c>
      <c r="H244" s="47" t="s">
        <v>1839</v>
      </c>
      <c r="I244" s="46" t="s">
        <v>511</v>
      </c>
      <c r="J244" s="47" t="s">
        <v>1840</v>
      </c>
      <c r="K244" s="47" t="s">
        <v>1003</v>
      </c>
      <c r="L244" s="47" t="s">
        <v>552</v>
      </c>
      <c r="M244" s="47" t="s">
        <v>514</v>
      </c>
      <c r="N244" s="47" t="s">
        <v>515</v>
      </c>
      <c r="O244" s="54" t="s">
        <v>371</v>
      </c>
      <c r="P244" s="44" t="s">
        <v>309</v>
      </c>
      <c r="Q244" s="59">
        <v>6</v>
      </c>
      <c r="R244" s="35" t="s">
        <v>299</v>
      </c>
      <c r="S244" s="59" t="str">
        <f>MID(Tabla1[[#This Row],[Aplicación]],6,2)</f>
        <v>07</v>
      </c>
      <c r="T244" s="35" t="str">
        <f>VLOOKUP(Tabla1[[#This Row],[AREA]],Hoja1!A:B,2,FALSE)</f>
        <v>07. Medio ambiente y desarrollo sostenible</v>
      </c>
      <c r="U244" s="35">
        <v>1721</v>
      </c>
      <c r="V244" s="35" t="str">
        <f>VLOOKUP(Tabla1[[#This Row],[PROGRAMA]],Hoja1!A:B,2,FALSE)</f>
        <v>1721. Protección del medio ambiente</v>
      </c>
      <c r="W244" s="56">
        <v>62</v>
      </c>
      <c r="X244" s="56">
        <v>623</v>
      </c>
    </row>
    <row r="245" spans="1:24" x14ac:dyDescent="0.25">
      <c r="A245" s="46">
        <v>220229000205</v>
      </c>
      <c r="B245" s="47" t="s">
        <v>507</v>
      </c>
      <c r="C245" s="52">
        <v>44927</v>
      </c>
      <c r="D245" s="46">
        <v>22023000930</v>
      </c>
      <c r="E245" s="47" t="s">
        <v>898</v>
      </c>
      <c r="F245" s="53">
        <v>26821.67</v>
      </c>
      <c r="G245" s="47" t="s">
        <v>53</v>
      </c>
      <c r="H245" s="47" t="s">
        <v>1033</v>
      </c>
      <c r="I245" s="46" t="s">
        <v>511</v>
      </c>
      <c r="J245" s="47" t="s">
        <v>519</v>
      </c>
      <c r="K245" s="47" t="s">
        <v>519</v>
      </c>
      <c r="L245" s="47" t="s">
        <v>520</v>
      </c>
      <c r="M245" s="47" t="s">
        <v>514</v>
      </c>
      <c r="N245" s="47" t="s">
        <v>515</v>
      </c>
      <c r="O245" s="45" t="s">
        <v>371</v>
      </c>
      <c r="P245" s="44" t="s">
        <v>309</v>
      </c>
      <c r="Q245" s="59" t="str">
        <f>MID(Tabla1[[#This Row],[Aplicación]],14,1)</f>
        <v>2</v>
      </c>
      <c r="R245" s="35" t="s">
        <v>298</v>
      </c>
      <c r="S245" s="59" t="str">
        <f>MID(Tabla1[[#This Row],[Aplicación]],6,2)</f>
        <v>06</v>
      </c>
      <c r="T245" s="35" t="str">
        <f>VLOOKUP(Tabla1[[#This Row],[AREA]],Hoja1!A:B,2,FALSE)</f>
        <v>06. Educación, infancia, juventud e igualdad</v>
      </c>
      <c r="U245" s="35" t="str">
        <f>MID(Tabla1[[#This Row],[Aplicación]],9,4)</f>
        <v>3232</v>
      </c>
      <c r="V245" s="35" t="str">
        <f>VLOOKUP(Tabla1[[#This Row],[PROGRAMA]],Hoja1!A:B,2,FALSE)</f>
        <v>3232. Conservación y mantenimiento centros educación infantil y primaria</v>
      </c>
      <c r="W245" s="56" t="str">
        <f>MID(Tabla1[[#This Row],[Aplicación]],14,2)</f>
        <v>22</v>
      </c>
      <c r="X245" s="56" t="str">
        <f>MID(Tabla1[[#This Row],[Aplicación]],14,6)</f>
        <v>22799</v>
      </c>
    </row>
    <row r="246" spans="1:24" x14ac:dyDescent="0.25">
      <c r="A246" s="46">
        <v>220229000427</v>
      </c>
      <c r="B246" s="47" t="s">
        <v>507</v>
      </c>
      <c r="C246" s="52">
        <v>44927</v>
      </c>
      <c r="D246" s="46">
        <v>22023000726</v>
      </c>
      <c r="E246" s="47" t="s">
        <v>726</v>
      </c>
      <c r="F246" s="53">
        <v>26600</v>
      </c>
      <c r="G246" s="47" t="s">
        <v>824</v>
      </c>
      <c r="H246" s="47" t="s">
        <v>1034</v>
      </c>
      <c r="I246" s="46" t="s">
        <v>511</v>
      </c>
      <c r="J246" s="47" t="s">
        <v>826</v>
      </c>
      <c r="K246" s="51" t="s">
        <v>827</v>
      </c>
      <c r="L246" s="47" t="s">
        <v>520</v>
      </c>
      <c r="M246" s="47" t="s">
        <v>514</v>
      </c>
      <c r="N246" s="47" t="s">
        <v>515</v>
      </c>
      <c r="O246" s="45" t="s">
        <v>371</v>
      </c>
      <c r="P246" s="44" t="s">
        <v>309</v>
      </c>
      <c r="Q246" s="59" t="str">
        <f>MID(Tabla1[[#This Row],[Aplicación]],14,1)</f>
        <v>6</v>
      </c>
      <c r="R246" s="35" t="s">
        <v>299</v>
      </c>
      <c r="S246" s="59" t="str">
        <f>MID(Tabla1[[#This Row],[Aplicación]],6,2)</f>
        <v>04</v>
      </c>
      <c r="T246" s="35" t="str">
        <f>VLOOKUP(Tabla1[[#This Row],[AREA]],Hoja1!A:B,2,FALSE)</f>
        <v>04. Planificación y recursos</v>
      </c>
      <c r="U246" s="35" t="str">
        <f>MID(Tabla1[[#This Row],[Aplicación]],9,4)</f>
        <v>9204</v>
      </c>
      <c r="V246" s="35" t="str">
        <f>VLOOKUP(Tabla1[[#This Row],[PROGRAMA]],Hoja1!A:B,2,FALSE)</f>
        <v>9204. Tecnologías de la información y comunicación</v>
      </c>
      <c r="W246" s="56" t="str">
        <f>MID(Tabla1[[#This Row],[Aplicación]],14,2)</f>
        <v>64</v>
      </c>
      <c r="X246" s="56" t="str">
        <f>MID(Tabla1[[#This Row],[Aplicación]],14,6)</f>
        <v>641</v>
      </c>
    </row>
    <row r="247" spans="1:24" x14ac:dyDescent="0.25">
      <c r="A247" s="46">
        <v>220209000051</v>
      </c>
      <c r="B247" s="47" t="s">
        <v>507</v>
      </c>
      <c r="C247" s="52">
        <v>44927</v>
      </c>
      <c r="D247" s="46">
        <v>22023003348</v>
      </c>
      <c r="E247" s="47" t="s">
        <v>1035</v>
      </c>
      <c r="F247" s="53">
        <v>25690.46</v>
      </c>
      <c r="G247" s="47" t="s">
        <v>1036</v>
      </c>
      <c r="H247" s="47" t="s">
        <v>1037</v>
      </c>
      <c r="I247" s="46" t="s">
        <v>511</v>
      </c>
      <c r="J247" s="47" t="s">
        <v>545</v>
      </c>
      <c r="K247" s="47" t="s">
        <v>545</v>
      </c>
      <c r="L247" s="47" t="s">
        <v>520</v>
      </c>
      <c r="M247" s="47" t="s">
        <v>514</v>
      </c>
      <c r="N247" s="47" t="s">
        <v>515</v>
      </c>
      <c r="O247" s="45" t="s">
        <v>371</v>
      </c>
      <c r="P247" s="44" t="s">
        <v>309</v>
      </c>
      <c r="Q247" s="59" t="str">
        <f>MID(Tabla1[[#This Row],[Aplicación]],14,1)</f>
        <v>2</v>
      </c>
      <c r="R247" s="35" t="s">
        <v>298</v>
      </c>
      <c r="S247" s="59" t="str">
        <f>MID(Tabla1[[#This Row],[Aplicación]],6,2)</f>
        <v>09</v>
      </c>
      <c r="T247" s="35" t="str">
        <f>VLOOKUP(Tabla1[[#This Row],[AREA]],Hoja1!A:B,2,FALSE)</f>
        <v>09. Cultura y turismo</v>
      </c>
      <c r="U247" s="35" t="str">
        <f>MID(Tabla1[[#This Row],[Aplicación]],9,4)</f>
        <v>3301</v>
      </c>
      <c r="V247" s="35" t="str">
        <f>VLOOKUP(Tabla1[[#This Row],[PROGRAMA]],Hoja1!A:B,2,FALSE)</f>
        <v>3301. Dirección del área de cultura</v>
      </c>
      <c r="W247" s="56" t="str">
        <f>MID(Tabla1[[#This Row],[Aplicación]],14,2)</f>
        <v>22</v>
      </c>
      <c r="X247" s="56" t="str">
        <f>MID(Tabla1[[#This Row],[Aplicación]],14,6)</f>
        <v>22706</v>
      </c>
    </row>
    <row r="248" spans="1:24" x14ac:dyDescent="0.25">
      <c r="A248" s="46">
        <v>220219000596</v>
      </c>
      <c r="B248" s="47" t="s">
        <v>507</v>
      </c>
      <c r="C248" s="52">
        <v>44927</v>
      </c>
      <c r="D248" s="46">
        <v>22023003341</v>
      </c>
      <c r="E248" s="47" t="s">
        <v>559</v>
      </c>
      <c r="F248" s="53">
        <v>25575.21</v>
      </c>
      <c r="G248" s="47" t="s">
        <v>84</v>
      </c>
      <c r="H248" s="47" t="s">
        <v>1038</v>
      </c>
      <c r="I248" s="46" t="s">
        <v>511</v>
      </c>
      <c r="J248" s="47" t="s">
        <v>519</v>
      </c>
      <c r="K248" s="47" t="s">
        <v>519</v>
      </c>
      <c r="L248" s="47" t="s">
        <v>520</v>
      </c>
      <c r="M248" s="47" t="s">
        <v>514</v>
      </c>
      <c r="N248" s="47" t="s">
        <v>515</v>
      </c>
      <c r="O248" s="45" t="s">
        <v>371</v>
      </c>
      <c r="P248" s="44" t="s">
        <v>309</v>
      </c>
      <c r="Q248" s="59" t="str">
        <f>MID(Tabla1[[#This Row],[Aplicación]],14,1)</f>
        <v>6</v>
      </c>
      <c r="R248" s="35" t="s">
        <v>299</v>
      </c>
      <c r="S248" s="59" t="str">
        <f>MID(Tabla1[[#This Row],[Aplicación]],6,2)</f>
        <v>08</v>
      </c>
      <c r="T248" s="35" t="str">
        <f>VLOOKUP(Tabla1[[#This Row],[AREA]],Hoja1!A:B,2,FALSE)</f>
        <v>08. Movilidad y espacio urbano</v>
      </c>
      <c r="U248" s="35" t="str">
        <f>MID(Tabla1[[#This Row],[Aplicación]],9,4)</f>
        <v>1651</v>
      </c>
      <c r="V248" s="35" t="str">
        <f>VLOOKUP(Tabla1[[#This Row],[PROGRAMA]],Hoja1!A:B,2,FALSE)</f>
        <v>1651. Alumbrado público</v>
      </c>
      <c r="W248" s="56" t="str">
        <f>MID(Tabla1[[#This Row],[Aplicación]],14,2)</f>
        <v>61</v>
      </c>
      <c r="X248" s="56" t="str">
        <f>MID(Tabla1[[#This Row],[Aplicación]],14,6)</f>
        <v>619</v>
      </c>
    </row>
    <row r="249" spans="1:24" x14ac:dyDescent="0.25">
      <c r="A249" s="46">
        <v>220229000760</v>
      </c>
      <c r="B249" s="47" t="s">
        <v>507</v>
      </c>
      <c r="C249" s="52">
        <v>44927</v>
      </c>
      <c r="D249" s="46">
        <v>22023000744</v>
      </c>
      <c r="E249" s="47" t="s">
        <v>1039</v>
      </c>
      <c r="F249" s="53">
        <v>25193.72</v>
      </c>
      <c r="G249" s="47" t="s">
        <v>53</v>
      </c>
      <c r="H249" s="47" t="s">
        <v>1040</v>
      </c>
      <c r="I249" s="46" t="s">
        <v>511</v>
      </c>
      <c r="J249" s="47" t="s">
        <v>519</v>
      </c>
      <c r="K249" s="47" t="s">
        <v>519</v>
      </c>
      <c r="L249" s="47" t="s">
        <v>520</v>
      </c>
      <c r="M249" s="47" t="s">
        <v>514</v>
      </c>
      <c r="N249" s="47" t="s">
        <v>515</v>
      </c>
      <c r="O249" s="45" t="s">
        <v>371</v>
      </c>
      <c r="P249" s="44" t="s">
        <v>309</v>
      </c>
      <c r="Q249" s="59" t="str">
        <f>MID(Tabla1[[#This Row],[Aplicación]],14,1)</f>
        <v>2</v>
      </c>
      <c r="R249" s="35" t="s">
        <v>298</v>
      </c>
      <c r="S249" s="59" t="str">
        <f>MID(Tabla1[[#This Row],[Aplicación]],6,2)</f>
        <v>10</v>
      </c>
      <c r="T249" s="35" t="str">
        <f>VLOOKUP(Tabla1[[#This Row],[AREA]],Hoja1!A:B,2,FALSE)</f>
        <v>10. Servicios sociales y mediación comunitaria</v>
      </c>
      <c r="U249" s="35" t="str">
        <f>MID(Tabla1[[#This Row],[Aplicación]],9,4)</f>
        <v>2412</v>
      </c>
      <c r="V249" s="35" t="str">
        <f>VLOOKUP(Tabla1[[#This Row],[PROGRAMA]],Hoja1!A:B,2,FALSE)</f>
        <v>2412. Formación para el empleo</v>
      </c>
      <c r="W249" s="56" t="str">
        <f>MID(Tabla1[[#This Row],[Aplicación]],14,2)</f>
        <v>22</v>
      </c>
      <c r="X249" s="56" t="str">
        <f>MID(Tabla1[[#This Row],[Aplicación]],14,6)</f>
        <v>22700</v>
      </c>
    </row>
    <row r="250" spans="1:24" x14ac:dyDescent="0.25">
      <c r="A250" s="46">
        <v>220229000050</v>
      </c>
      <c r="B250" s="47" t="s">
        <v>507</v>
      </c>
      <c r="C250" s="52">
        <v>44927</v>
      </c>
      <c r="D250" s="46">
        <v>22023000873</v>
      </c>
      <c r="E250" s="47" t="s">
        <v>726</v>
      </c>
      <c r="F250" s="53">
        <v>24403.87</v>
      </c>
      <c r="G250" s="47" t="s">
        <v>1041</v>
      </c>
      <c r="H250" s="47" t="s">
        <v>1042</v>
      </c>
      <c r="I250" s="46" t="s">
        <v>511</v>
      </c>
      <c r="J250" s="47" t="s">
        <v>512</v>
      </c>
      <c r="K250" s="47" t="s">
        <v>512</v>
      </c>
      <c r="L250" s="47" t="s">
        <v>552</v>
      </c>
      <c r="M250" s="47" t="s">
        <v>514</v>
      </c>
      <c r="N250" s="47" t="s">
        <v>515</v>
      </c>
      <c r="O250" s="45" t="s">
        <v>371</v>
      </c>
      <c r="P250" s="44" t="s">
        <v>309</v>
      </c>
      <c r="Q250" s="59" t="str">
        <f>MID(Tabla1[[#This Row],[Aplicación]],14,1)</f>
        <v>6</v>
      </c>
      <c r="R250" s="35" t="s">
        <v>299</v>
      </c>
      <c r="S250" s="59" t="str">
        <f>MID(Tabla1[[#This Row],[Aplicación]],6,2)</f>
        <v>04</v>
      </c>
      <c r="T250" s="35" t="str">
        <f>VLOOKUP(Tabla1[[#This Row],[AREA]],Hoja1!A:B,2,FALSE)</f>
        <v>04. Planificación y recursos</v>
      </c>
      <c r="U250" s="35" t="str">
        <f>MID(Tabla1[[#This Row],[Aplicación]],9,4)</f>
        <v>9204</v>
      </c>
      <c r="V250" s="35" t="str">
        <f>VLOOKUP(Tabla1[[#This Row],[PROGRAMA]],Hoja1!A:B,2,FALSE)</f>
        <v>9204. Tecnologías de la información y comunicación</v>
      </c>
      <c r="W250" s="56" t="str">
        <f>MID(Tabla1[[#This Row],[Aplicación]],14,2)</f>
        <v>64</v>
      </c>
      <c r="X250" s="56" t="str">
        <f>MID(Tabla1[[#This Row],[Aplicación]],14,6)</f>
        <v>641</v>
      </c>
    </row>
    <row r="251" spans="1:24" x14ac:dyDescent="0.25">
      <c r="A251" s="46">
        <v>220229000837</v>
      </c>
      <c r="B251" s="47" t="s">
        <v>507</v>
      </c>
      <c r="C251" s="52">
        <v>44927</v>
      </c>
      <c r="D251" s="46">
        <v>22023001897</v>
      </c>
      <c r="E251" s="47" t="s">
        <v>1043</v>
      </c>
      <c r="F251" s="53">
        <v>8893.5</v>
      </c>
      <c r="G251" s="47" t="s">
        <v>1044</v>
      </c>
      <c r="H251" s="47" t="s">
        <v>1045</v>
      </c>
      <c r="I251" s="46" t="s">
        <v>511</v>
      </c>
      <c r="J251" s="47" t="s">
        <v>519</v>
      </c>
      <c r="K251" s="47" t="s">
        <v>519</v>
      </c>
      <c r="L251" s="47" t="s">
        <v>520</v>
      </c>
      <c r="M251" s="47" t="s">
        <v>976</v>
      </c>
      <c r="N251" s="47" t="s">
        <v>839</v>
      </c>
      <c r="O251" s="45" t="s">
        <v>383</v>
      </c>
      <c r="P251" s="44" t="s">
        <v>309</v>
      </c>
      <c r="Q251" s="59" t="str">
        <f>MID(Tabla1[[#This Row],[Aplicación]],14,1)</f>
        <v>2</v>
      </c>
      <c r="R251" s="35" t="s">
        <v>298</v>
      </c>
      <c r="S251" s="59" t="str">
        <f>MID(Tabla1[[#This Row],[Aplicación]],6,2)</f>
        <v>10</v>
      </c>
      <c r="T251" s="35" t="str">
        <f>VLOOKUP(Tabla1[[#This Row],[AREA]],Hoja1!A:B,2,FALSE)</f>
        <v>10. Servicios sociales y mediación comunitaria</v>
      </c>
      <c r="U251" s="35" t="str">
        <f>MID(Tabla1[[#This Row],[Aplicación]],9,4)</f>
        <v>2312</v>
      </c>
      <c r="V251" s="35" t="str">
        <f>VLOOKUP(Tabla1[[#This Row],[PROGRAMA]],Hoja1!A:B,2,FALSE)</f>
        <v>2312. Iniciativas sociales</v>
      </c>
      <c r="W251" s="56" t="str">
        <f>MID(Tabla1[[#This Row],[Aplicación]],14,2)</f>
        <v>22</v>
      </c>
      <c r="X251" s="56" t="str">
        <f>MID(Tabla1[[#This Row],[Aplicación]],14,6)</f>
        <v>22699</v>
      </c>
    </row>
    <row r="252" spans="1:24" x14ac:dyDescent="0.25">
      <c r="A252" s="46">
        <v>220229000781</v>
      </c>
      <c r="B252" s="47" t="s">
        <v>507</v>
      </c>
      <c r="C252" s="52">
        <v>44927</v>
      </c>
      <c r="D252" s="46">
        <v>22023001864</v>
      </c>
      <c r="E252" s="47" t="s">
        <v>600</v>
      </c>
      <c r="F252" s="53">
        <v>650</v>
      </c>
      <c r="G252" s="47" t="s">
        <v>592</v>
      </c>
      <c r="H252" s="47" t="s">
        <v>1046</v>
      </c>
      <c r="I252" s="46" t="s">
        <v>511</v>
      </c>
      <c r="J252" s="47" t="s">
        <v>519</v>
      </c>
      <c r="K252" s="47" t="s">
        <v>519</v>
      </c>
      <c r="L252" s="47" t="s">
        <v>520</v>
      </c>
      <c r="M252" s="47" t="s">
        <v>514</v>
      </c>
      <c r="N252" s="47" t="s">
        <v>515</v>
      </c>
      <c r="O252" s="45" t="s">
        <v>371</v>
      </c>
      <c r="P252" s="44" t="s">
        <v>309</v>
      </c>
      <c r="Q252" s="59" t="str">
        <f>MID(Tabla1[[#This Row],[Aplicación]],14,1)</f>
        <v>2</v>
      </c>
      <c r="R252" s="35" t="s">
        <v>298</v>
      </c>
      <c r="S252" s="59" t="str">
        <f>MID(Tabla1[[#This Row],[Aplicación]],6,2)</f>
        <v>01</v>
      </c>
      <c r="T252" s="35" t="str">
        <f>VLOOKUP(Tabla1[[#This Row],[AREA]],Hoja1!A:B,2,FALSE)</f>
        <v>01. Alcaldía</v>
      </c>
      <c r="U252" s="35" t="str">
        <f>MID(Tabla1[[#This Row],[Aplicación]],9,4)</f>
        <v>9207</v>
      </c>
      <c r="V252" s="35" t="str">
        <f>VLOOKUP(Tabla1[[#This Row],[PROGRAMA]],Hoja1!A:B,2,FALSE)</f>
        <v>9207. Gobierno y relaciones</v>
      </c>
      <c r="W252" s="56" t="str">
        <f>MID(Tabla1[[#This Row],[Aplicación]],14,2)</f>
        <v>21</v>
      </c>
      <c r="X252" s="56" t="str">
        <f>MID(Tabla1[[#This Row],[Aplicación]],14,6)</f>
        <v>213</v>
      </c>
    </row>
    <row r="253" spans="1:24" x14ac:dyDescent="0.25">
      <c r="A253" s="46">
        <v>220229000782</v>
      </c>
      <c r="B253" s="47" t="s">
        <v>507</v>
      </c>
      <c r="C253" s="52">
        <v>44927</v>
      </c>
      <c r="D253" s="46">
        <v>22023001865</v>
      </c>
      <c r="E253" s="47" t="s">
        <v>878</v>
      </c>
      <c r="F253" s="53">
        <v>30000</v>
      </c>
      <c r="G253" s="47" t="s">
        <v>16</v>
      </c>
      <c r="H253" s="47" t="s">
        <v>1047</v>
      </c>
      <c r="I253" s="46" t="s">
        <v>511</v>
      </c>
      <c r="J253" s="47" t="s">
        <v>837</v>
      </c>
      <c r="K253" s="47" t="s">
        <v>837</v>
      </c>
      <c r="L253" s="47" t="s">
        <v>552</v>
      </c>
      <c r="M253" s="47" t="s">
        <v>514</v>
      </c>
      <c r="N253" s="47" t="s">
        <v>515</v>
      </c>
      <c r="O253" s="45" t="s">
        <v>371</v>
      </c>
      <c r="P253" s="44" t="s">
        <v>309</v>
      </c>
      <c r="Q253" s="59" t="str">
        <f>MID(Tabla1[[#This Row],[Aplicación]],14,1)</f>
        <v>2</v>
      </c>
      <c r="R253" s="35" t="s">
        <v>298</v>
      </c>
      <c r="S253" s="59" t="str">
        <f>MID(Tabla1[[#This Row],[Aplicación]],6,2)</f>
        <v>11</v>
      </c>
      <c r="T253" s="35" t="str">
        <f>VLOOKUP(Tabla1[[#This Row],[AREA]],Hoja1!A:B,2,FALSE)</f>
        <v>11. Salud pública y seguridad ciudadana</v>
      </c>
      <c r="U253" s="35" t="str">
        <f>MID(Tabla1[[#This Row],[Aplicación]],9,4)</f>
        <v>1361</v>
      </c>
      <c r="V253" s="35" t="str">
        <f>VLOOKUP(Tabla1[[#This Row],[PROGRAMA]],Hoja1!A:B,2,FALSE)</f>
        <v>1361. Prevención y extinción de incencios</v>
      </c>
      <c r="W253" s="56" t="str">
        <f>MID(Tabla1[[#This Row],[Aplicación]],14,2)</f>
        <v>22</v>
      </c>
      <c r="X253" s="56" t="str">
        <f>MID(Tabla1[[#This Row],[Aplicación]],14,6)</f>
        <v>22102</v>
      </c>
    </row>
    <row r="254" spans="1:24" x14ac:dyDescent="0.25">
      <c r="A254" s="46">
        <v>220229000282</v>
      </c>
      <c r="B254" s="47" t="s">
        <v>507</v>
      </c>
      <c r="C254" s="52">
        <v>44927</v>
      </c>
      <c r="D254" s="46">
        <v>22023000447</v>
      </c>
      <c r="E254" s="47" t="s">
        <v>1022</v>
      </c>
      <c r="F254" s="53">
        <v>23244.1</v>
      </c>
      <c r="G254" s="47" t="s">
        <v>71</v>
      </c>
      <c r="H254" s="47" t="s">
        <v>1048</v>
      </c>
      <c r="I254" s="46" t="s">
        <v>511</v>
      </c>
      <c r="J254" s="47" t="s">
        <v>1049</v>
      </c>
      <c r="K254" s="47" t="s">
        <v>519</v>
      </c>
      <c r="L254" s="47" t="s">
        <v>552</v>
      </c>
      <c r="M254" s="47" t="s">
        <v>514</v>
      </c>
      <c r="N254" s="47" t="s">
        <v>515</v>
      </c>
      <c r="O254" s="45" t="s">
        <v>371</v>
      </c>
      <c r="P254" s="44" t="s">
        <v>309</v>
      </c>
      <c r="Q254" s="59" t="str">
        <f>MID(Tabla1[[#This Row],[Aplicación]],14,1)</f>
        <v>2</v>
      </c>
      <c r="R254" s="35" t="s">
        <v>298</v>
      </c>
      <c r="S254" s="59" t="str">
        <f>MID(Tabla1[[#This Row],[Aplicación]],6,2)</f>
        <v>11</v>
      </c>
      <c r="T254" s="35" t="str">
        <f>VLOOKUP(Tabla1[[#This Row],[AREA]],Hoja1!A:B,2,FALSE)</f>
        <v>11. Salud pública y seguridad ciudadana</v>
      </c>
      <c r="U254" s="35" t="str">
        <f>MID(Tabla1[[#This Row],[Aplicación]],9,4)</f>
        <v>1631</v>
      </c>
      <c r="V254" s="35" t="str">
        <f>VLOOKUP(Tabla1[[#This Row],[PROGRAMA]],Hoja1!A:B,2,FALSE)</f>
        <v>1631. Limpieza viaria</v>
      </c>
      <c r="W254" s="56" t="str">
        <f>MID(Tabla1[[#This Row],[Aplicación]],14,2)</f>
        <v>22</v>
      </c>
      <c r="X254" s="56" t="str">
        <f>MID(Tabla1[[#This Row],[Aplicación]],14,6)</f>
        <v>22104</v>
      </c>
    </row>
    <row r="255" spans="1:24" x14ac:dyDescent="0.25">
      <c r="A255" s="46">
        <v>220229000160</v>
      </c>
      <c r="B255" s="47" t="s">
        <v>507</v>
      </c>
      <c r="C255" s="52">
        <v>44927</v>
      </c>
      <c r="D255" s="46">
        <v>22023000307</v>
      </c>
      <c r="E255" s="47" t="s">
        <v>736</v>
      </c>
      <c r="F255" s="53">
        <v>22692</v>
      </c>
      <c r="G255" s="47" t="s">
        <v>1050</v>
      </c>
      <c r="H255" s="47" t="s">
        <v>1051</v>
      </c>
      <c r="I255" s="46" t="s">
        <v>511</v>
      </c>
      <c r="J255" s="47" t="s">
        <v>519</v>
      </c>
      <c r="K255" s="47" t="s">
        <v>519</v>
      </c>
      <c r="L255" s="47" t="s">
        <v>520</v>
      </c>
      <c r="M255" s="47" t="s">
        <v>514</v>
      </c>
      <c r="N255" s="47" t="s">
        <v>515</v>
      </c>
      <c r="O255" s="45" t="s">
        <v>371</v>
      </c>
      <c r="P255" s="44" t="s">
        <v>309</v>
      </c>
      <c r="Q255" s="59" t="str">
        <f>MID(Tabla1[[#This Row],[Aplicación]],14,1)</f>
        <v>2</v>
      </c>
      <c r="R255" s="35" t="s">
        <v>298</v>
      </c>
      <c r="S255" s="59" t="str">
        <f>MID(Tabla1[[#This Row],[Aplicación]],6,2)</f>
        <v>06</v>
      </c>
      <c r="T255" s="35" t="str">
        <f>VLOOKUP(Tabla1[[#This Row],[AREA]],Hoja1!A:B,2,FALSE)</f>
        <v>06. Educación, infancia, juventud e igualdad</v>
      </c>
      <c r="U255" s="35" t="str">
        <f>MID(Tabla1[[#This Row],[Aplicación]],9,4)</f>
        <v>3261</v>
      </c>
      <c r="V255" s="35" t="str">
        <f>VLOOKUP(Tabla1[[#This Row],[PROGRAMA]],Hoja1!A:B,2,FALSE)</f>
        <v>3261. Servicios complementarios de educación</v>
      </c>
      <c r="W255" s="56" t="str">
        <f>MID(Tabla1[[#This Row],[Aplicación]],14,2)</f>
        <v>22</v>
      </c>
      <c r="X255" s="56" t="str">
        <f>MID(Tabla1[[#This Row],[Aplicación]],14,6)</f>
        <v>22799</v>
      </c>
    </row>
    <row r="256" spans="1:24" x14ac:dyDescent="0.25">
      <c r="A256" s="46">
        <v>220230000173</v>
      </c>
      <c r="B256" s="47" t="s">
        <v>507</v>
      </c>
      <c r="C256" s="52">
        <v>44927</v>
      </c>
      <c r="D256" s="46">
        <v>22023000806</v>
      </c>
      <c r="E256" s="47" t="s">
        <v>1052</v>
      </c>
      <c r="F256" s="53">
        <v>22661.98</v>
      </c>
      <c r="G256" s="47" t="s">
        <v>1053</v>
      </c>
      <c r="H256" s="47" t="s">
        <v>1054</v>
      </c>
      <c r="I256" s="46" t="s">
        <v>511</v>
      </c>
      <c r="J256" s="47" t="s">
        <v>589</v>
      </c>
      <c r="K256" s="47" t="s">
        <v>590</v>
      </c>
      <c r="L256" s="47" t="s">
        <v>520</v>
      </c>
      <c r="M256" s="47" t="s">
        <v>514</v>
      </c>
      <c r="N256" s="47" t="s">
        <v>515</v>
      </c>
      <c r="O256" s="45" t="s">
        <v>371</v>
      </c>
      <c r="P256" s="44" t="s">
        <v>309</v>
      </c>
      <c r="Q256" s="59" t="str">
        <f>MID(Tabla1[[#This Row],[Aplicación]],14,1)</f>
        <v>2</v>
      </c>
      <c r="R256" s="35" t="s">
        <v>298</v>
      </c>
      <c r="S256" s="59" t="str">
        <f>MID(Tabla1[[#This Row],[Aplicación]],6,2)</f>
        <v>09</v>
      </c>
      <c r="T256" s="35" t="str">
        <f>VLOOKUP(Tabla1[[#This Row],[AREA]],Hoja1!A:B,2,FALSE)</f>
        <v>09. Cultura y turismo</v>
      </c>
      <c r="U256" s="35" t="str">
        <f>MID(Tabla1[[#This Row],[Aplicación]],9,4)</f>
        <v>4321</v>
      </c>
      <c r="V256" s="35" t="str">
        <f>VLOOKUP(Tabla1[[#This Row],[PROGRAMA]],Hoja1!A:B,2,FALSE)</f>
        <v>4321. Turismo</v>
      </c>
      <c r="W256" s="56" t="str">
        <f>MID(Tabla1[[#This Row],[Aplicación]],14,2)</f>
        <v>22</v>
      </c>
      <c r="X256" s="56" t="str">
        <f>MID(Tabla1[[#This Row],[Aplicación]],14,6)</f>
        <v>22799</v>
      </c>
    </row>
    <row r="257" spans="1:24" x14ac:dyDescent="0.25">
      <c r="A257" s="46">
        <v>220229000731</v>
      </c>
      <c r="B257" s="47" t="s">
        <v>507</v>
      </c>
      <c r="C257" s="52">
        <v>44927</v>
      </c>
      <c r="D257" s="46">
        <v>22023001311</v>
      </c>
      <c r="E257" s="47" t="s">
        <v>1055</v>
      </c>
      <c r="F257" s="53">
        <v>22235.13</v>
      </c>
      <c r="G257" s="47" t="s">
        <v>75</v>
      </c>
      <c r="H257" s="47" t="s">
        <v>1056</v>
      </c>
      <c r="I257" s="46" t="s">
        <v>511</v>
      </c>
      <c r="J257" s="47" t="s">
        <v>1057</v>
      </c>
      <c r="K257" s="47" t="s">
        <v>1057</v>
      </c>
      <c r="L257" s="47" t="s">
        <v>520</v>
      </c>
      <c r="M257" s="47" t="s">
        <v>514</v>
      </c>
      <c r="N257" s="47" t="s">
        <v>515</v>
      </c>
      <c r="O257" s="45" t="s">
        <v>371</v>
      </c>
      <c r="P257" s="44" t="s">
        <v>309</v>
      </c>
      <c r="Q257" s="59" t="str">
        <f>MID(Tabla1[[#This Row],[Aplicación]],14,1)</f>
        <v>2</v>
      </c>
      <c r="R257" s="35" t="s">
        <v>298</v>
      </c>
      <c r="S257" s="59" t="str">
        <f>MID(Tabla1[[#This Row],[Aplicación]],6,2)</f>
        <v>02</v>
      </c>
      <c r="T257" s="35" t="str">
        <f>VLOOKUP(Tabla1[[#This Row],[AREA]],Hoja1!A:B,2,FALSE)</f>
        <v>02. Planeamiento urbanístico y vivienda</v>
      </c>
      <c r="U257" s="35" t="str">
        <f>MID(Tabla1[[#This Row],[Aplicación]],9,4)</f>
        <v>9332</v>
      </c>
      <c r="V257" s="35" t="str">
        <f>VLOOKUP(Tabla1[[#This Row],[PROGRAMA]],Hoja1!A:B,2,FALSE)</f>
        <v>9332. Mantenimiento de edificios e instalaciones municipales</v>
      </c>
      <c r="W257" s="56" t="str">
        <f>MID(Tabla1[[#This Row],[Aplicación]],14,2)</f>
        <v>21</v>
      </c>
      <c r="X257" s="56" t="str">
        <f>MID(Tabla1[[#This Row],[Aplicación]],14,6)</f>
        <v>213</v>
      </c>
    </row>
    <row r="258" spans="1:24" x14ac:dyDescent="0.25">
      <c r="A258" s="46">
        <v>220189000209</v>
      </c>
      <c r="B258" s="47" t="s">
        <v>507</v>
      </c>
      <c r="C258" s="52">
        <v>44927</v>
      </c>
      <c r="D258" s="46">
        <v>22023003324</v>
      </c>
      <c r="E258" s="47" t="s">
        <v>1058</v>
      </c>
      <c r="F258" s="53">
        <v>22102.36</v>
      </c>
      <c r="G258" s="47" t="s">
        <v>1059</v>
      </c>
      <c r="H258" s="47" t="s">
        <v>1060</v>
      </c>
      <c r="I258" s="46" t="s">
        <v>511</v>
      </c>
      <c r="J258" s="47" t="s">
        <v>512</v>
      </c>
      <c r="K258" s="47" t="s">
        <v>512</v>
      </c>
      <c r="L258" s="47" t="s">
        <v>552</v>
      </c>
      <c r="M258" s="47" t="s">
        <v>514</v>
      </c>
      <c r="N258" s="47" t="s">
        <v>515</v>
      </c>
      <c r="O258" s="45" t="s">
        <v>371</v>
      </c>
      <c r="P258" s="44" t="s">
        <v>309</v>
      </c>
      <c r="Q258" s="59" t="str">
        <f>MID(Tabla1[[#This Row],[Aplicación]],14,1)</f>
        <v>2</v>
      </c>
      <c r="R258" s="35" t="s">
        <v>298</v>
      </c>
      <c r="S258" s="59" t="str">
        <f>MID(Tabla1[[#This Row],[Aplicación]],6,2)</f>
        <v>07</v>
      </c>
      <c r="T258" s="35" t="str">
        <f>VLOOKUP(Tabla1[[#This Row],[AREA]],Hoja1!A:B,2,FALSE)</f>
        <v>07. Medio ambiente y desarrollo sostenible</v>
      </c>
      <c r="U258" s="35" t="str">
        <f>MID(Tabla1[[#This Row],[Aplicación]],9,4)</f>
        <v>1701</v>
      </c>
      <c r="V258" s="35" t="str">
        <f>VLOOKUP(Tabla1[[#This Row],[PROGRAMA]],Hoja1!A:B,2,FALSE)</f>
        <v>1701. Dirección del área de medio ambiente</v>
      </c>
      <c r="W258" s="56" t="str">
        <f>MID(Tabla1[[#This Row],[Aplicación]],14,2)</f>
        <v>22</v>
      </c>
      <c r="X258" s="56" t="str">
        <f>MID(Tabla1[[#This Row],[Aplicación]],14,6)</f>
        <v>22102</v>
      </c>
    </row>
    <row r="259" spans="1:24" x14ac:dyDescent="0.25">
      <c r="A259" s="46">
        <v>220229000055</v>
      </c>
      <c r="B259" s="47" t="s">
        <v>507</v>
      </c>
      <c r="C259" s="52">
        <v>44927</v>
      </c>
      <c r="D259" s="46">
        <v>22023000874</v>
      </c>
      <c r="E259" s="47" t="s">
        <v>539</v>
      </c>
      <c r="F259" s="53">
        <v>22071.99</v>
      </c>
      <c r="G259" s="47" t="s">
        <v>788</v>
      </c>
      <c r="H259" s="47" t="s">
        <v>1061</v>
      </c>
      <c r="I259" s="46" t="s">
        <v>511</v>
      </c>
      <c r="J259" s="47" t="s">
        <v>512</v>
      </c>
      <c r="K259" s="47" t="s">
        <v>512</v>
      </c>
      <c r="L259" s="47" t="s">
        <v>520</v>
      </c>
      <c r="M259" s="47" t="s">
        <v>514</v>
      </c>
      <c r="N259" s="47" t="s">
        <v>515</v>
      </c>
      <c r="O259" s="45" t="s">
        <v>371</v>
      </c>
      <c r="P259" s="44" t="s">
        <v>309</v>
      </c>
      <c r="Q259" s="59" t="str">
        <f>MID(Tabla1[[#This Row],[Aplicación]],14,1)</f>
        <v>2</v>
      </c>
      <c r="R259" s="35" t="s">
        <v>298</v>
      </c>
      <c r="S259" s="59" t="str">
        <f>MID(Tabla1[[#This Row],[Aplicación]],6,2)</f>
        <v>10</v>
      </c>
      <c r="T259" s="35" t="str">
        <f>VLOOKUP(Tabla1[[#This Row],[AREA]],Hoja1!A:B,2,FALSE)</f>
        <v>10. Servicios sociales y mediación comunitaria</v>
      </c>
      <c r="U259" s="35" t="str">
        <f>MID(Tabla1[[#This Row],[Aplicación]],9,4)</f>
        <v>2312</v>
      </c>
      <c r="V259" s="35" t="str">
        <f>VLOOKUP(Tabla1[[#This Row],[PROGRAMA]],Hoja1!A:B,2,FALSE)</f>
        <v>2312. Iniciativas sociales</v>
      </c>
      <c r="W259" s="56" t="str">
        <f>MID(Tabla1[[#This Row],[Aplicación]],14,2)</f>
        <v>22</v>
      </c>
      <c r="X259" s="56" t="str">
        <f>MID(Tabla1[[#This Row],[Aplicación]],14,6)</f>
        <v>22799</v>
      </c>
    </row>
    <row r="260" spans="1:24" x14ac:dyDescent="0.25">
      <c r="A260" s="46">
        <v>220229000647</v>
      </c>
      <c r="B260" s="47" t="s">
        <v>507</v>
      </c>
      <c r="C260" s="52">
        <v>44927</v>
      </c>
      <c r="D260" s="46">
        <v>22023001254</v>
      </c>
      <c r="E260" s="47" t="s">
        <v>1062</v>
      </c>
      <c r="F260" s="53">
        <v>2013.16</v>
      </c>
      <c r="G260" s="47" t="s">
        <v>103</v>
      </c>
      <c r="H260" s="47" t="s">
        <v>1063</v>
      </c>
      <c r="I260" s="46" t="s">
        <v>511</v>
      </c>
      <c r="J260" s="47" t="s">
        <v>519</v>
      </c>
      <c r="K260" s="47" t="s">
        <v>519</v>
      </c>
      <c r="L260" s="47" t="s">
        <v>652</v>
      </c>
      <c r="M260" s="47" t="s">
        <v>514</v>
      </c>
      <c r="N260" s="47" t="s">
        <v>515</v>
      </c>
      <c r="O260" s="45" t="s">
        <v>371</v>
      </c>
      <c r="P260" s="44" t="s">
        <v>309</v>
      </c>
      <c r="Q260" s="59" t="str">
        <f>MID(Tabla1[[#This Row],[Aplicación]],14,1)</f>
        <v>2</v>
      </c>
      <c r="R260" s="35" t="s">
        <v>298</v>
      </c>
      <c r="S260" s="59" t="str">
        <f>MID(Tabla1[[#This Row],[Aplicación]],6,2)</f>
        <v>04</v>
      </c>
      <c r="T260" s="35" t="str">
        <f>VLOOKUP(Tabla1[[#This Row],[AREA]],Hoja1!A:B,2,FALSE)</f>
        <v>04. Planificación y recursos</v>
      </c>
      <c r="U260" s="35" t="str">
        <f>MID(Tabla1[[#This Row],[Aplicación]],9,4)</f>
        <v>9202</v>
      </c>
      <c r="V260" s="35" t="str">
        <f>VLOOKUP(Tabla1[[#This Row],[PROGRAMA]],Hoja1!A:B,2,FALSE)</f>
        <v>9202. Gestión de recursos humanos</v>
      </c>
      <c r="W260" s="56" t="str">
        <f>MID(Tabla1[[#This Row],[Aplicación]],14,2)</f>
        <v>22</v>
      </c>
      <c r="X260" s="56" t="str">
        <f>MID(Tabla1[[#This Row],[Aplicación]],14,6)</f>
        <v>22799</v>
      </c>
    </row>
    <row r="261" spans="1:24" x14ac:dyDescent="0.25">
      <c r="A261" s="46">
        <v>220229000221</v>
      </c>
      <c r="B261" s="47" t="s">
        <v>507</v>
      </c>
      <c r="C261" s="52">
        <v>44927</v>
      </c>
      <c r="D261" s="46">
        <v>22023000717</v>
      </c>
      <c r="E261" s="47" t="s">
        <v>792</v>
      </c>
      <c r="F261" s="53">
        <v>15427.5</v>
      </c>
      <c r="G261" s="47" t="s">
        <v>1064</v>
      </c>
      <c r="H261" s="47" t="s">
        <v>1065</v>
      </c>
      <c r="I261" s="46" t="s">
        <v>511</v>
      </c>
      <c r="J261" s="47" t="s">
        <v>837</v>
      </c>
      <c r="K261" s="47" t="s">
        <v>837</v>
      </c>
      <c r="L261" s="47" t="s">
        <v>520</v>
      </c>
      <c r="M261" s="47" t="s">
        <v>514</v>
      </c>
      <c r="N261" s="47" t="s">
        <v>515</v>
      </c>
      <c r="O261" s="54" t="s">
        <v>371</v>
      </c>
      <c r="P261" s="44" t="s">
        <v>309</v>
      </c>
      <c r="Q261" s="59" t="str">
        <f>MID(Tabla1[[#This Row],[Aplicación]],14,1)</f>
        <v>6</v>
      </c>
      <c r="R261" s="35" t="s">
        <v>299</v>
      </c>
      <c r="S261" s="59" t="str">
        <f>MID(Tabla1[[#This Row],[Aplicación]],6,2)</f>
        <v>04</v>
      </c>
      <c r="T261" s="35" t="str">
        <f>VLOOKUP(Tabla1[[#This Row],[AREA]],Hoja1!A:B,2,FALSE)</f>
        <v>04. Planificación y recursos</v>
      </c>
      <c r="U261" s="35" t="str">
        <f>MID(Tabla1[[#This Row],[Aplicación]],9,4)</f>
        <v>9204</v>
      </c>
      <c r="V261" s="35" t="str">
        <f>VLOOKUP(Tabla1[[#This Row],[PROGRAMA]],Hoja1!A:B,2,FALSE)</f>
        <v>9204. Tecnologías de la información y comunicación</v>
      </c>
      <c r="W261" s="56" t="str">
        <f>MID(Tabla1[[#This Row],[Aplicación]],14,2)</f>
        <v>62</v>
      </c>
      <c r="X261" s="56" t="str">
        <f>MID(Tabla1[[#This Row],[Aplicación]],14,6)</f>
        <v>626</v>
      </c>
    </row>
    <row r="262" spans="1:24" x14ac:dyDescent="0.25">
      <c r="A262" s="46">
        <v>220229000037</v>
      </c>
      <c r="B262" s="47" t="s">
        <v>507</v>
      </c>
      <c r="C262" s="52">
        <v>44927</v>
      </c>
      <c r="D262" s="46">
        <v>22023000871</v>
      </c>
      <c r="E262" s="47" t="s">
        <v>1066</v>
      </c>
      <c r="F262" s="53">
        <v>88</v>
      </c>
      <c r="G262" s="47" t="s">
        <v>328</v>
      </c>
      <c r="H262" s="47" t="s">
        <v>1067</v>
      </c>
      <c r="I262" s="46" t="s">
        <v>511</v>
      </c>
      <c r="J262" s="47" t="s">
        <v>1068</v>
      </c>
      <c r="K262" s="47" t="s">
        <v>729</v>
      </c>
      <c r="L262" s="47" t="s">
        <v>552</v>
      </c>
      <c r="M262" s="47" t="s">
        <v>976</v>
      </c>
      <c r="N262" s="47" t="s">
        <v>839</v>
      </c>
      <c r="O262" s="45" t="s">
        <v>383</v>
      </c>
      <c r="P262" s="44" t="s">
        <v>309</v>
      </c>
      <c r="Q262" s="59" t="str">
        <f>MID(Tabla1[[#This Row],[Aplicación]],14,1)</f>
        <v>2</v>
      </c>
      <c r="R262" s="35" t="s">
        <v>298</v>
      </c>
      <c r="S262" s="59" t="str">
        <f>MID(Tabla1[[#This Row],[Aplicación]],6,2)</f>
        <v>08</v>
      </c>
      <c r="T262" s="35" t="str">
        <f>VLOOKUP(Tabla1[[#This Row],[AREA]],Hoja1!A:B,2,FALSE)</f>
        <v>08. Movilidad y espacio urbano</v>
      </c>
      <c r="U262" s="35" t="str">
        <f>MID(Tabla1[[#This Row],[Aplicación]],9,4)</f>
        <v>1301</v>
      </c>
      <c r="V262" s="35" t="str">
        <f>VLOOKUP(Tabla1[[#This Row],[PROGRAMA]],Hoja1!A:B,2,FALSE)</f>
        <v>1301. Dirección del área de seguridad</v>
      </c>
      <c r="W262" s="56" t="str">
        <f>MID(Tabla1[[#This Row],[Aplicación]],14,2)</f>
        <v>22</v>
      </c>
      <c r="X262" s="56" t="str">
        <f>MID(Tabla1[[#This Row],[Aplicación]],14,6)</f>
        <v>22699</v>
      </c>
    </row>
    <row r="263" spans="1:24" x14ac:dyDescent="0.25">
      <c r="A263" s="46">
        <v>220229000127</v>
      </c>
      <c r="B263" s="47" t="s">
        <v>507</v>
      </c>
      <c r="C263" s="52">
        <v>44927</v>
      </c>
      <c r="D263" s="46">
        <v>22023000302</v>
      </c>
      <c r="E263" s="47" t="s">
        <v>1011</v>
      </c>
      <c r="F263" s="53">
        <v>21150.799999999999</v>
      </c>
      <c r="G263" s="47" t="s">
        <v>1069</v>
      </c>
      <c r="H263" s="47" t="s">
        <v>1070</v>
      </c>
      <c r="I263" s="46" t="s">
        <v>511</v>
      </c>
      <c r="J263" s="47" t="s">
        <v>519</v>
      </c>
      <c r="K263" s="47" t="s">
        <v>519</v>
      </c>
      <c r="L263" s="47" t="s">
        <v>520</v>
      </c>
      <c r="M263" s="47" t="s">
        <v>514</v>
      </c>
      <c r="N263" s="47" t="s">
        <v>515</v>
      </c>
      <c r="O263" s="45" t="s">
        <v>371</v>
      </c>
      <c r="P263" s="44" t="s">
        <v>309</v>
      </c>
      <c r="Q263" s="59" t="str">
        <f>MID(Tabla1[[#This Row],[Aplicación]],14,1)</f>
        <v>2</v>
      </c>
      <c r="R263" s="35" t="s">
        <v>298</v>
      </c>
      <c r="S263" s="59" t="str">
        <f>MID(Tabla1[[#This Row],[Aplicación]],6,2)</f>
        <v>09</v>
      </c>
      <c r="T263" s="35" t="str">
        <f>VLOOKUP(Tabla1[[#This Row],[AREA]],Hoja1!A:B,2,FALSE)</f>
        <v>09. Cultura y turismo</v>
      </c>
      <c r="U263" s="35" t="str">
        <f>MID(Tabla1[[#This Row],[Aplicación]],9,4)</f>
        <v>3341</v>
      </c>
      <c r="V263" s="35" t="str">
        <f>VLOOKUP(Tabla1[[#This Row],[PROGRAMA]],Hoja1!A:B,2,FALSE)</f>
        <v>3341. Coordinación de políticas culturales</v>
      </c>
      <c r="W263" s="56" t="str">
        <f>MID(Tabla1[[#This Row],[Aplicación]],14,2)</f>
        <v>22</v>
      </c>
      <c r="X263" s="56" t="str">
        <f>MID(Tabla1[[#This Row],[Aplicación]],14,6)</f>
        <v>22609</v>
      </c>
    </row>
    <row r="264" spans="1:24" x14ac:dyDescent="0.25">
      <c r="A264" s="46">
        <v>220209000052</v>
      </c>
      <c r="B264" s="47" t="s">
        <v>507</v>
      </c>
      <c r="C264" s="52">
        <v>44927</v>
      </c>
      <c r="D264" s="46">
        <v>22023003349</v>
      </c>
      <c r="E264" s="47" t="s">
        <v>1035</v>
      </c>
      <c r="F264" s="53">
        <v>1534.54</v>
      </c>
      <c r="G264" s="47" t="s">
        <v>1036</v>
      </c>
      <c r="H264" s="47" t="s">
        <v>1071</v>
      </c>
      <c r="I264" s="46" t="s">
        <v>511</v>
      </c>
      <c r="J264" s="47" t="s">
        <v>545</v>
      </c>
      <c r="K264" s="47" t="s">
        <v>545</v>
      </c>
      <c r="L264" s="47" t="s">
        <v>520</v>
      </c>
      <c r="M264" s="47" t="s">
        <v>514</v>
      </c>
      <c r="N264" s="47" t="s">
        <v>515</v>
      </c>
      <c r="O264" s="45" t="s">
        <v>371</v>
      </c>
      <c r="P264" s="44" t="s">
        <v>309</v>
      </c>
      <c r="Q264" s="59" t="str">
        <f>MID(Tabla1[[#This Row],[Aplicación]],14,1)</f>
        <v>2</v>
      </c>
      <c r="R264" s="35" t="s">
        <v>298</v>
      </c>
      <c r="S264" s="59" t="str">
        <f>MID(Tabla1[[#This Row],[Aplicación]],6,2)</f>
        <v>09</v>
      </c>
      <c r="T264" s="35" t="str">
        <f>VLOOKUP(Tabla1[[#This Row],[AREA]],Hoja1!A:B,2,FALSE)</f>
        <v>09. Cultura y turismo</v>
      </c>
      <c r="U264" s="35" t="str">
        <f>MID(Tabla1[[#This Row],[Aplicación]],9,4)</f>
        <v>3301</v>
      </c>
      <c r="V264" s="35" t="str">
        <f>VLOOKUP(Tabla1[[#This Row],[PROGRAMA]],Hoja1!A:B,2,FALSE)</f>
        <v>3301. Dirección del área de cultura</v>
      </c>
      <c r="W264" s="56" t="str">
        <f>MID(Tabla1[[#This Row],[Aplicación]],14,2)</f>
        <v>22</v>
      </c>
      <c r="X264" s="56" t="str">
        <f>MID(Tabla1[[#This Row],[Aplicación]],14,6)</f>
        <v>22706</v>
      </c>
    </row>
    <row r="265" spans="1:24" x14ac:dyDescent="0.25">
      <c r="A265" s="46">
        <v>220229000123</v>
      </c>
      <c r="B265" s="47" t="s">
        <v>507</v>
      </c>
      <c r="C265" s="52">
        <v>44927</v>
      </c>
      <c r="D265" s="46">
        <v>22023000894</v>
      </c>
      <c r="E265" s="47" t="s">
        <v>1072</v>
      </c>
      <c r="F265" s="53">
        <v>11468.38</v>
      </c>
      <c r="G265" s="47" t="s">
        <v>1073</v>
      </c>
      <c r="H265" s="47" t="s">
        <v>1074</v>
      </c>
      <c r="I265" s="46" t="s">
        <v>511</v>
      </c>
      <c r="J265" s="47" t="s">
        <v>512</v>
      </c>
      <c r="K265" s="47" t="s">
        <v>512</v>
      </c>
      <c r="L265" s="47" t="s">
        <v>552</v>
      </c>
      <c r="M265" s="47" t="s">
        <v>514</v>
      </c>
      <c r="N265" s="47" t="s">
        <v>515</v>
      </c>
      <c r="O265" s="45" t="s">
        <v>371</v>
      </c>
      <c r="P265" s="44" t="s">
        <v>309</v>
      </c>
      <c r="Q265" s="59" t="str">
        <f>MID(Tabla1[[#This Row],[Aplicación]],14,1)</f>
        <v>2</v>
      </c>
      <c r="R265" s="35" t="s">
        <v>298</v>
      </c>
      <c r="S265" s="59" t="str">
        <f>MID(Tabla1[[#This Row],[Aplicación]],6,2)</f>
        <v>07</v>
      </c>
      <c r="T265" s="35" t="str">
        <f>VLOOKUP(Tabla1[[#This Row],[AREA]],Hoja1!A:B,2,FALSE)</f>
        <v>07. Medio ambiente y desarrollo sostenible</v>
      </c>
      <c r="U265" s="35" t="str">
        <f>MID(Tabla1[[#This Row],[Aplicación]],9,4)</f>
        <v>1721</v>
      </c>
      <c r="V265" s="35" t="str">
        <f>VLOOKUP(Tabla1[[#This Row],[PROGRAMA]],Hoja1!A:B,2,FALSE)</f>
        <v>1721. Protección del medio ambiente</v>
      </c>
      <c r="W265" s="56" t="str">
        <f>MID(Tabla1[[#This Row],[Aplicación]],14,2)</f>
        <v>22</v>
      </c>
      <c r="X265" s="56" t="str">
        <f>MID(Tabla1[[#This Row],[Aplicación]],14,6)</f>
        <v>22199</v>
      </c>
    </row>
    <row r="266" spans="1:24" x14ac:dyDescent="0.25">
      <c r="A266" s="46">
        <v>220229000020</v>
      </c>
      <c r="B266" s="47" t="s">
        <v>507</v>
      </c>
      <c r="C266" s="52">
        <v>44927</v>
      </c>
      <c r="D266" s="46">
        <v>22023000866</v>
      </c>
      <c r="E266" s="47" t="s">
        <v>931</v>
      </c>
      <c r="F266" s="53">
        <v>14923.33</v>
      </c>
      <c r="G266" s="47" t="s">
        <v>1075</v>
      </c>
      <c r="H266" s="47" t="s">
        <v>1076</v>
      </c>
      <c r="I266" s="46" t="s">
        <v>511</v>
      </c>
      <c r="J266" s="47" t="s">
        <v>519</v>
      </c>
      <c r="K266" s="47" t="s">
        <v>519</v>
      </c>
      <c r="L266" s="47" t="s">
        <v>520</v>
      </c>
      <c r="M266" s="47" t="s">
        <v>514</v>
      </c>
      <c r="N266" s="47" t="s">
        <v>515</v>
      </c>
      <c r="O266" s="45" t="s">
        <v>371</v>
      </c>
      <c r="P266" s="44" t="s">
        <v>309</v>
      </c>
      <c r="Q266" s="59" t="str">
        <f>MID(Tabla1[[#This Row],[Aplicación]],14,1)</f>
        <v>2</v>
      </c>
      <c r="R266" s="35" t="s">
        <v>298</v>
      </c>
      <c r="S266" s="59" t="str">
        <f>MID(Tabla1[[#This Row],[Aplicación]],6,2)</f>
        <v>09</v>
      </c>
      <c r="T266" s="35" t="str">
        <f>VLOOKUP(Tabla1[[#This Row],[AREA]],Hoja1!A:B,2,FALSE)</f>
        <v>09. Cultura y turismo</v>
      </c>
      <c r="U266" s="35" t="str">
        <f>MID(Tabla1[[#This Row],[Aplicación]],9,4)</f>
        <v>3341</v>
      </c>
      <c r="V266" s="35" t="str">
        <f>VLOOKUP(Tabla1[[#This Row],[PROGRAMA]],Hoja1!A:B,2,FALSE)</f>
        <v>3341. Coordinación de políticas culturales</v>
      </c>
      <c r="W266" s="56" t="str">
        <f>MID(Tabla1[[#This Row],[Aplicación]],14,2)</f>
        <v>22</v>
      </c>
      <c r="X266" s="56" t="str">
        <f>MID(Tabla1[[#This Row],[Aplicación]],14,6)</f>
        <v>22799</v>
      </c>
    </row>
    <row r="267" spans="1:24" x14ac:dyDescent="0.25">
      <c r="A267" s="46">
        <v>220229000240</v>
      </c>
      <c r="B267" s="47" t="s">
        <v>507</v>
      </c>
      <c r="C267" s="52">
        <v>44927</v>
      </c>
      <c r="D267" s="46">
        <v>22023001915</v>
      </c>
      <c r="E267" s="47" t="s">
        <v>602</v>
      </c>
      <c r="F267" s="53">
        <v>616</v>
      </c>
      <c r="G267" s="47" t="s">
        <v>464</v>
      </c>
      <c r="H267" s="47" t="s">
        <v>1077</v>
      </c>
      <c r="I267" s="46" t="s">
        <v>511</v>
      </c>
      <c r="J267" s="47" t="s">
        <v>1078</v>
      </c>
      <c r="K267" s="47" t="s">
        <v>519</v>
      </c>
      <c r="L267" s="47" t="s">
        <v>552</v>
      </c>
      <c r="M267" s="47" t="s">
        <v>976</v>
      </c>
      <c r="N267" s="47" t="s">
        <v>839</v>
      </c>
      <c r="O267" s="45" t="s">
        <v>383</v>
      </c>
      <c r="P267" s="44" t="s">
        <v>309</v>
      </c>
      <c r="Q267" s="59" t="str">
        <f>MID(Tabla1[[#This Row],[Aplicación]],14,1)</f>
        <v>2</v>
      </c>
      <c r="R267" s="35" t="s">
        <v>298</v>
      </c>
      <c r="S267" s="59" t="str">
        <f>MID(Tabla1[[#This Row],[Aplicación]],6,2)</f>
        <v>11</v>
      </c>
      <c r="T267" s="35" t="str">
        <f>VLOOKUP(Tabla1[[#This Row],[AREA]],Hoja1!A:B,2,FALSE)</f>
        <v>11. Salud pública y seguridad ciudadana</v>
      </c>
      <c r="U267" s="35" t="str">
        <f>MID(Tabla1[[#This Row],[Aplicación]],9,4)</f>
        <v>3111</v>
      </c>
      <c r="V267" s="35" t="str">
        <f>VLOOKUP(Tabla1[[#This Row],[PROGRAMA]],Hoja1!A:B,2,FALSE)</f>
        <v>3111. Protección de la salubridad pública</v>
      </c>
      <c r="W267" s="56" t="str">
        <f>MID(Tabla1[[#This Row],[Aplicación]],14,2)</f>
        <v>20</v>
      </c>
      <c r="X267" s="56" t="str">
        <f>MID(Tabla1[[#This Row],[Aplicación]],14,6)</f>
        <v>203</v>
      </c>
    </row>
    <row r="268" spans="1:24" x14ac:dyDescent="0.25">
      <c r="A268" s="46">
        <v>220229000840</v>
      </c>
      <c r="B268" s="47" t="s">
        <v>507</v>
      </c>
      <c r="C268" s="52">
        <v>44927</v>
      </c>
      <c r="D268" s="46">
        <v>22023001900</v>
      </c>
      <c r="E268" s="47" t="s">
        <v>598</v>
      </c>
      <c r="F268" s="53">
        <v>40</v>
      </c>
      <c r="G268" s="47" t="s">
        <v>592</v>
      </c>
      <c r="H268" s="47" t="s">
        <v>1079</v>
      </c>
      <c r="I268" s="46" t="s">
        <v>511</v>
      </c>
      <c r="J268" s="47" t="s">
        <v>519</v>
      </c>
      <c r="K268" s="47" t="s">
        <v>519</v>
      </c>
      <c r="L268" s="47" t="s">
        <v>520</v>
      </c>
      <c r="M268" s="47" t="s">
        <v>514</v>
      </c>
      <c r="N268" s="47" t="s">
        <v>515</v>
      </c>
      <c r="O268" s="45" t="s">
        <v>371</v>
      </c>
      <c r="P268" s="44" t="s">
        <v>309</v>
      </c>
      <c r="Q268" s="59" t="str">
        <f>MID(Tabla1[[#This Row],[Aplicación]],14,1)</f>
        <v>2</v>
      </c>
      <c r="R268" s="35" t="s">
        <v>298</v>
      </c>
      <c r="S268" s="59" t="str">
        <f>MID(Tabla1[[#This Row],[Aplicación]],6,2)</f>
        <v>01</v>
      </c>
      <c r="T268" s="35" t="str">
        <f>VLOOKUP(Tabla1[[#This Row],[AREA]],Hoja1!A:B,2,FALSE)</f>
        <v>01. Alcaldía</v>
      </c>
      <c r="U268" s="35" t="str">
        <f>MID(Tabla1[[#This Row],[Aplicación]],9,4)</f>
        <v>9205</v>
      </c>
      <c r="V268" s="35" t="str">
        <f>VLOOKUP(Tabla1[[#This Row],[PROGRAMA]],Hoja1!A:B,2,FALSE)</f>
        <v>9205. Imprenta municipal</v>
      </c>
      <c r="W268" s="56" t="str">
        <f>MID(Tabla1[[#This Row],[Aplicación]],14,2)</f>
        <v>21</v>
      </c>
      <c r="X268" s="56" t="str">
        <f>MID(Tabla1[[#This Row],[Aplicación]],14,6)</f>
        <v>213</v>
      </c>
    </row>
    <row r="269" spans="1:24" x14ac:dyDescent="0.25">
      <c r="A269" s="46">
        <v>220229000828</v>
      </c>
      <c r="B269" s="47" t="s">
        <v>507</v>
      </c>
      <c r="C269" s="52">
        <v>44927</v>
      </c>
      <c r="D269" s="46">
        <v>22023001893</v>
      </c>
      <c r="E269" s="47" t="s">
        <v>762</v>
      </c>
      <c r="F269" s="53">
        <v>11484.84</v>
      </c>
      <c r="G269" s="47" t="s">
        <v>763</v>
      </c>
      <c r="H269" s="47" t="s">
        <v>1080</v>
      </c>
      <c r="I269" s="46" t="s">
        <v>511</v>
      </c>
      <c r="J269" s="47" t="s">
        <v>765</v>
      </c>
      <c r="K269" s="47" t="s">
        <v>512</v>
      </c>
      <c r="L269" s="47" t="s">
        <v>520</v>
      </c>
      <c r="M269" s="47" t="s">
        <v>976</v>
      </c>
      <c r="N269" s="47" t="s">
        <v>839</v>
      </c>
      <c r="O269" s="45" t="s">
        <v>383</v>
      </c>
      <c r="P269" s="44" t="s">
        <v>309</v>
      </c>
      <c r="Q269" s="59" t="str">
        <f>MID(Tabla1[[#This Row],[Aplicación]],14,1)</f>
        <v>2</v>
      </c>
      <c r="R269" s="35" t="s">
        <v>298</v>
      </c>
      <c r="S269" s="59" t="str">
        <f>MID(Tabla1[[#This Row],[Aplicación]],6,2)</f>
        <v>11</v>
      </c>
      <c r="T269" s="35" t="str">
        <f>VLOOKUP(Tabla1[[#This Row],[AREA]],Hoja1!A:B,2,FALSE)</f>
        <v>11. Salud pública y seguridad ciudadana</v>
      </c>
      <c r="U269" s="35" t="str">
        <f>MID(Tabla1[[#This Row],[Aplicación]],9,4)</f>
        <v>1321</v>
      </c>
      <c r="V269" s="35" t="str">
        <f>VLOOKUP(Tabla1[[#This Row],[PROGRAMA]],Hoja1!A:B,2,FALSE)</f>
        <v>1321. Policía municipal</v>
      </c>
      <c r="W269" s="56" t="str">
        <f>MID(Tabla1[[#This Row],[Aplicación]],14,2)</f>
        <v>20</v>
      </c>
      <c r="X269" s="56" t="str">
        <f>MID(Tabla1[[#This Row],[Aplicación]],14,6)</f>
        <v>204</v>
      </c>
    </row>
    <row r="270" spans="1:24" x14ac:dyDescent="0.25">
      <c r="A270" s="46">
        <v>220229000876</v>
      </c>
      <c r="B270" s="47" t="s">
        <v>507</v>
      </c>
      <c r="C270" s="52">
        <v>44927</v>
      </c>
      <c r="D270" s="46">
        <v>22023002050</v>
      </c>
      <c r="E270" s="47" t="s">
        <v>1022</v>
      </c>
      <c r="F270" s="53">
        <v>7768.2</v>
      </c>
      <c r="G270" s="47" t="s">
        <v>1081</v>
      </c>
      <c r="H270" s="47" t="s">
        <v>1082</v>
      </c>
      <c r="I270" s="46" t="s">
        <v>511</v>
      </c>
      <c r="J270" s="47" t="s">
        <v>1083</v>
      </c>
      <c r="K270" s="47" t="s">
        <v>837</v>
      </c>
      <c r="L270" s="47" t="s">
        <v>552</v>
      </c>
      <c r="M270" s="47" t="s">
        <v>514</v>
      </c>
      <c r="N270" s="47" t="s">
        <v>515</v>
      </c>
      <c r="O270" s="45" t="s">
        <v>371</v>
      </c>
      <c r="P270" s="44" t="s">
        <v>309</v>
      </c>
      <c r="Q270" s="59" t="str">
        <f>MID(Tabla1[[#This Row],[Aplicación]],14,1)</f>
        <v>2</v>
      </c>
      <c r="R270" s="35" t="s">
        <v>298</v>
      </c>
      <c r="S270" s="59" t="str">
        <f>MID(Tabla1[[#This Row],[Aplicación]],6,2)</f>
        <v>11</v>
      </c>
      <c r="T270" s="35" t="str">
        <f>VLOOKUP(Tabla1[[#This Row],[AREA]],Hoja1!A:B,2,FALSE)</f>
        <v>11. Salud pública y seguridad ciudadana</v>
      </c>
      <c r="U270" s="35" t="str">
        <f>MID(Tabla1[[#This Row],[Aplicación]],9,4)</f>
        <v>1631</v>
      </c>
      <c r="V270" s="35" t="str">
        <f>VLOOKUP(Tabla1[[#This Row],[PROGRAMA]],Hoja1!A:B,2,FALSE)</f>
        <v>1631. Limpieza viaria</v>
      </c>
      <c r="W270" s="56" t="str">
        <f>MID(Tabla1[[#This Row],[Aplicación]],14,2)</f>
        <v>22</v>
      </c>
      <c r="X270" s="56" t="str">
        <f>MID(Tabla1[[#This Row],[Aplicación]],14,6)</f>
        <v>22104</v>
      </c>
    </row>
    <row r="271" spans="1:24" x14ac:dyDescent="0.25">
      <c r="A271" s="46">
        <v>220229000689</v>
      </c>
      <c r="B271" s="47" t="s">
        <v>507</v>
      </c>
      <c r="C271" s="52">
        <v>44927</v>
      </c>
      <c r="D271" s="46">
        <v>22023000473</v>
      </c>
      <c r="E271" s="47" t="s">
        <v>1084</v>
      </c>
      <c r="F271" s="53">
        <v>4585.8</v>
      </c>
      <c r="G271" s="47" t="s">
        <v>1081</v>
      </c>
      <c r="H271" s="47" t="s">
        <v>1085</v>
      </c>
      <c r="I271" s="46" t="s">
        <v>511</v>
      </c>
      <c r="J271" s="47" t="s">
        <v>1083</v>
      </c>
      <c r="K271" s="47" t="s">
        <v>837</v>
      </c>
      <c r="L271" s="47" t="s">
        <v>552</v>
      </c>
      <c r="M271" s="47" t="s">
        <v>514</v>
      </c>
      <c r="N271" s="47" t="s">
        <v>515</v>
      </c>
      <c r="O271" s="45" t="s">
        <v>371</v>
      </c>
      <c r="P271" s="44" t="s">
        <v>309</v>
      </c>
      <c r="Q271" s="59" t="str">
        <f>MID(Tabla1[[#This Row],[Aplicación]],14,1)</f>
        <v>2</v>
      </c>
      <c r="R271" s="35" t="s">
        <v>298</v>
      </c>
      <c r="S271" s="59" t="str">
        <f>MID(Tabla1[[#This Row],[Aplicación]],6,2)</f>
        <v>11</v>
      </c>
      <c r="T271" s="35" t="str">
        <f>VLOOKUP(Tabla1[[#This Row],[AREA]],Hoja1!A:B,2,FALSE)</f>
        <v>11. Salud pública y seguridad ciudadana</v>
      </c>
      <c r="U271" s="35" t="str">
        <f>MID(Tabla1[[#This Row],[Aplicación]],9,4)</f>
        <v>1621</v>
      </c>
      <c r="V271" s="35" t="str">
        <f>VLOOKUP(Tabla1[[#This Row],[PROGRAMA]],Hoja1!A:B,2,FALSE)</f>
        <v>1621. Servicio de limpieza</v>
      </c>
      <c r="W271" s="56" t="str">
        <f>MID(Tabla1[[#This Row],[Aplicación]],14,2)</f>
        <v>22</v>
      </c>
      <c r="X271" s="56" t="str">
        <f>MID(Tabla1[[#This Row],[Aplicación]],14,6)</f>
        <v>22104</v>
      </c>
    </row>
    <row r="272" spans="1:24" x14ac:dyDescent="0.25">
      <c r="A272" s="46">
        <v>220229000115</v>
      </c>
      <c r="B272" s="47" t="s">
        <v>507</v>
      </c>
      <c r="C272" s="52">
        <v>44927</v>
      </c>
      <c r="D272" s="46">
        <v>22023001364</v>
      </c>
      <c r="E272" s="47" t="s">
        <v>711</v>
      </c>
      <c r="F272" s="53">
        <v>19038.439999999999</v>
      </c>
      <c r="G272" s="47" t="s">
        <v>82</v>
      </c>
      <c r="H272" s="47" t="s">
        <v>989</v>
      </c>
      <c r="I272" s="46" t="s">
        <v>511</v>
      </c>
      <c r="J272" s="47" t="s">
        <v>519</v>
      </c>
      <c r="K272" s="47" t="s">
        <v>519</v>
      </c>
      <c r="L272" s="47" t="s">
        <v>520</v>
      </c>
      <c r="M272" s="47" t="s">
        <v>514</v>
      </c>
      <c r="N272" s="47" t="s">
        <v>515</v>
      </c>
      <c r="O272" s="54" t="s">
        <v>371</v>
      </c>
      <c r="P272" s="44" t="s">
        <v>309</v>
      </c>
      <c r="Q272" s="59" t="str">
        <f>MID(Tabla1[[#This Row],[Aplicación]],14,1)</f>
        <v>6</v>
      </c>
      <c r="R272" s="35" t="s">
        <v>299</v>
      </c>
      <c r="S272" s="59" t="str">
        <f>MID(Tabla1[[#This Row],[Aplicación]],6,2)</f>
        <v>04</v>
      </c>
      <c r="T272" s="35" t="str">
        <f>VLOOKUP(Tabla1[[#This Row],[AREA]],Hoja1!A:B,2,FALSE)</f>
        <v>04. Planificación y recursos</v>
      </c>
      <c r="U272" s="35" t="str">
        <f>MID(Tabla1[[#This Row],[Aplicación]],9,4)</f>
        <v>9204</v>
      </c>
      <c r="V272" s="35" t="str">
        <f>VLOOKUP(Tabla1[[#This Row],[PROGRAMA]],Hoja1!A:B,2,FALSE)</f>
        <v>9204. Tecnologías de la información y comunicación</v>
      </c>
      <c r="W272" s="56" t="str">
        <f>MID(Tabla1[[#This Row],[Aplicación]],14,2)</f>
        <v>63</v>
      </c>
      <c r="X272" s="56" t="str">
        <f>MID(Tabla1[[#This Row],[Aplicación]],14,6)</f>
        <v>636</v>
      </c>
    </row>
    <row r="273" spans="1:24" x14ac:dyDescent="0.25">
      <c r="A273" s="46">
        <v>220229000699</v>
      </c>
      <c r="B273" s="47" t="s">
        <v>507</v>
      </c>
      <c r="C273" s="52">
        <v>44927</v>
      </c>
      <c r="D273" s="46">
        <v>22023000475</v>
      </c>
      <c r="E273" s="47" t="s">
        <v>931</v>
      </c>
      <c r="F273" s="53">
        <v>16471.45</v>
      </c>
      <c r="G273" s="47" t="s">
        <v>1086</v>
      </c>
      <c r="H273" s="47" t="s">
        <v>1087</v>
      </c>
      <c r="I273" s="46" t="s">
        <v>511</v>
      </c>
      <c r="J273" s="47" t="s">
        <v>519</v>
      </c>
      <c r="K273" s="47" t="s">
        <v>519</v>
      </c>
      <c r="L273" s="47" t="s">
        <v>520</v>
      </c>
      <c r="M273" s="47" t="s">
        <v>838</v>
      </c>
      <c r="N273" s="47" t="s">
        <v>839</v>
      </c>
      <c r="O273" s="45" t="s">
        <v>373</v>
      </c>
      <c r="P273" s="44" t="s">
        <v>309</v>
      </c>
      <c r="Q273" s="59" t="str">
        <f>MID(Tabla1[[#This Row],[Aplicación]],14,1)</f>
        <v>2</v>
      </c>
      <c r="R273" s="35" t="s">
        <v>298</v>
      </c>
      <c r="S273" s="59" t="str">
        <f>MID(Tabla1[[#This Row],[Aplicación]],6,2)</f>
        <v>09</v>
      </c>
      <c r="T273" s="35" t="str">
        <f>VLOOKUP(Tabla1[[#This Row],[AREA]],Hoja1!A:B,2,FALSE)</f>
        <v>09. Cultura y turismo</v>
      </c>
      <c r="U273" s="35" t="str">
        <f>MID(Tabla1[[#This Row],[Aplicación]],9,4)</f>
        <v>3341</v>
      </c>
      <c r="V273" s="35" t="str">
        <f>VLOOKUP(Tabla1[[#This Row],[PROGRAMA]],Hoja1!A:B,2,FALSE)</f>
        <v>3341. Coordinación de políticas culturales</v>
      </c>
      <c r="W273" s="56" t="str">
        <f>MID(Tabla1[[#This Row],[Aplicación]],14,2)</f>
        <v>22</v>
      </c>
      <c r="X273" s="56" t="str">
        <f>MID(Tabla1[[#This Row],[Aplicación]],14,6)</f>
        <v>22799</v>
      </c>
    </row>
    <row r="274" spans="1:24" x14ac:dyDescent="0.25">
      <c r="A274" s="46">
        <v>220229000757</v>
      </c>
      <c r="B274" s="47" t="s">
        <v>507</v>
      </c>
      <c r="C274" s="52">
        <v>44927</v>
      </c>
      <c r="D274" s="46">
        <v>22023000755</v>
      </c>
      <c r="E274" s="47" t="s">
        <v>922</v>
      </c>
      <c r="F274" s="53">
        <v>7237.16</v>
      </c>
      <c r="G274" s="47" t="s">
        <v>923</v>
      </c>
      <c r="H274" s="47" t="s">
        <v>1088</v>
      </c>
      <c r="I274" s="46" t="s">
        <v>511</v>
      </c>
      <c r="J274" s="47" t="s">
        <v>519</v>
      </c>
      <c r="K274" s="47" t="s">
        <v>519</v>
      </c>
      <c r="L274" s="47" t="s">
        <v>520</v>
      </c>
      <c r="M274" s="47" t="s">
        <v>514</v>
      </c>
      <c r="N274" s="47" t="s">
        <v>515</v>
      </c>
      <c r="O274" s="45" t="s">
        <v>371</v>
      </c>
      <c r="P274" s="44" t="s">
        <v>309</v>
      </c>
      <c r="Q274" s="59" t="str">
        <f>MID(Tabla1[[#This Row],[Aplicación]],14,1)</f>
        <v>2</v>
      </c>
      <c r="R274" s="35" t="s">
        <v>298</v>
      </c>
      <c r="S274" s="59" t="str">
        <f>MID(Tabla1[[#This Row],[Aplicación]],6,2)</f>
        <v>10</v>
      </c>
      <c r="T274" s="35" t="str">
        <f>VLOOKUP(Tabla1[[#This Row],[AREA]],Hoja1!A:B,2,FALSE)</f>
        <v>10. Servicios sociales y mediación comunitaria</v>
      </c>
      <c r="U274" s="35" t="str">
        <f>MID(Tabla1[[#This Row],[Aplicación]],9,4)</f>
        <v>2311</v>
      </c>
      <c r="V274" s="35" t="str">
        <f>VLOOKUP(Tabla1[[#This Row],[PROGRAMA]],Hoja1!A:B,2,FALSE)</f>
        <v>2311. Intervención social</v>
      </c>
      <c r="W274" s="56" t="str">
        <f>MID(Tabla1[[#This Row],[Aplicación]],14,2)</f>
        <v>22</v>
      </c>
      <c r="X274" s="56" t="str">
        <f>MID(Tabla1[[#This Row],[Aplicación]],14,6)</f>
        <v>22700</v>
      </c>
    </row>
    <row r="275" spans="1:24" x14ac:dyDescent="0.25">
      <c r="A275" s="46">
        <v>220229000756</v>
      </c>
      <c r="B275" s="47" t="s">
        <v>507</v>
      </c>
      <c r="C275" s="52">
        <v>44927</v>
      </c>
      <c r="D275" s="46">
        <v>22023000754</v>
      </c>
      <c r="E275" s="47" t="s">
        <v>922</v>
      </c>
      <c r="F275" s="53">
        <v>3535.76</v>
      </c>
      <c r="G275" s="47" t="s">
        <v>923</v>
      </c>
      <c r="H275" s="47" t="s">
        <v>1089</v>
      </c>
      <c r="I275" s="46" t="s">
        <v>511</v>
      </c>
      <c r="J275" s="47" t="s">
        <v>519</v>
      </c>
      <c r="K275" s="47" t="s">
        <v>519</v>
      </c>
      <c r="L275" s="47" t="s">
        <v>520</v>
      </c>
      <c r="M275" s="47" t="s">
        <v>514</v>
      </c>
      <c r="N275" s="47" t="s">
        <v>515</v>
      </c>
      <c r="O275" s="45" t="s">
        <v>371</v>
      </c>
      <c r="P275" s="44" t="s">
        <v>309</v>
      </c>
      <c r="Q275" s="59" t="str">
        <f>MID(Tabla1[[#This Row],[Aplicación]],14,1)</f>
        <v>2</v>
      </c>
      <c r="R275" s="35" t="s">
        <v>298</v>
      </c>
      <c r="S275" s="59" t="str">
        <f>MID(Tabla1[[#This Row],[Aplicación]],6,2)</f>
        <v>10</v>
      </c>
      <c r="T275" s="35" t="str">
        <f>VLOOKUP(Tabla1[[#This Row],[AREA]],Hoja1!A:B,2,FALSE)</f>
        <v>10. Servicios sociales y mediación comunitaria</v>
      </c>
      <c r="U275" s="35" t="str">
        <f>MID(Tabla1[[#This Row],[Aplicación]],9,4)</f>
        <v>2311</v>
      </c>
      <c r="V275" s="35" t="str">
        <f>VLOOKUP(Tabla1[[#This Row],[PROGRAMA]],Hoja1!A:B,2,FALSE)</f>
        <v>2311. Intervención social</v>
      </c>
      <c r="W275" s="56" t="str">
        <f>MID(Tabla1[[#This Row],[Aplicación]],14,2)</f>
        <v>22</v>
      </c>
      <c r="X275" s="56" t="str">
        <f>MID(Tabla1[[#This Row],[Aplicación]],14,6)</f>
        <v>22700</v>
      </c>
    </row>
    <row r="276" spans="1:24" x14ac:dyDescent="0.25">
      <c r="A276" s="46">
        <v>220219001104</v>
      </c>
      <c r="B276" s="47" t="s">
        <v>507</v>
      </c>
      <c r="C276" s="52">
        <v>44927</v>
      </c>
      <c r="D276" s="46">
        <v>22023003264</v>
      </c>
      <c r="E276" s="47" t="s">
        <v>1090</v>
      </c>
      <c r="F276" s="53">
        <v>40250</v>
      </c>
      <c r="G276" s="47" t="s">
        <v>1091</v>
      </c>
      <c r="H276" s="47" t="s">
        <v>1092</v>
      </c>
      <c r="I276" s="46" t="s">
        <v>511</v>
      </c>
      <c r="J276" s="47" t="s">
        <v>519</v>
      </c>
      <c r="K276" s="47" t="s">
        <v>519</v>
      </c>
      <c r="L276" s="47" t="s">
        <v>520</v>
      </c>
      <c r="M276" s="47" t="s">
        <v>514</v>
      </c>
      <c r="N276" s="47" t="s">
        <v>515</v>
      </c>
      <c r="O276" s="45" t="s">
        <v>371</v>
      </c>
      <c r="P276" s="44" t="s">
        <v>309</v>
      </c>
      <c r="Q276" s="59" t="str">
        <f>MID(Tabla1[[#This Row],[Aplicación]],14,1)</f>
        <v>2</v>
      </c>
      <c r="R276" s="35" t="s">
        <v>298</v>
      </c>
      <c r="S276" s="59" t="str">
        <f>MID(Tabla1[[#This Row],[Aplicación]],6,2)</f>
        <v>01</v>
      </c>
      <c r="T276" s="35" t="str">
        <f>VLOOKUP(Tabla1[[#This Row],[AREA]],Hoja1!A:B,2,FALSE)</f>
        <v>01. Alcaldía</v>
      </c>
      <c r="U276" s="35" t="str">
        <f>MID(Tabla1[[#This Row],[Aplicación]],9,4)</f>
        <v>9206</v>
      </c>
      <c r="V276" s="35" t="str">
        <f>VLOOKUP(Tabla1[[#This Row],[PROGRAMA]],Hoja1!A:B,2,FALSE)</f>
        <v>9206. Archivo municipal</v>
      </c>
      <c r="W276" s="56" t="str">
        <f>MID(Tabla1[[#This Row],[Aplicación]],14,2)</f>
        <v>22</v>
      </c>
      <c r="X276" s="56" t="str">
        <f>MID(Tabla1[[#This Row],[Aplicación]],14,6)</f>
        <v>22706</v>
      </c>
    </row>
    <row r="277" spans="1:24" x14ac:dyDescent="0.25">
      <c r="A277" s="46">
        <v>220229000325</v>
      </c>
      <c r="B277" s="47" t="s">
        <v>507</v>
      </c>
      <c r="C277" s="52">
        <v>44927</v>
      </c>
      <c r="D277" s="46">
        <v>22023001150</v>
      </c>
      <c r="E277" s="47" t="s">
        <v>1093</v>
      </c>
      <c r="F277" s="53">
        <v>11887.26</v>
      </c>
      <c r="G277" s="47" t="s">
        <v>1094</v>
      </c>
      <c r="H277" s="47" t="s">
        <v>1095</v>
      </c>
      <c r="I277" s="46" t="s">
        <v>511</v>
      </c>
      <c r="J277" s="47" t="s">
        <v>519</v>
      </c>
      <c r="K277" s="47" t="s">
        <v>519</v>
      </c>
      <c r="L277" s="47" t="s">
        <v>552</v>
      </c>
      <c r="M277" s="47" t="s">
        <v>514</v>
      </c>
      <c r="N277" s="47" t="s">
        <v>515</v>
      </c>
      <c r="O277" s="45" t="s">
        <v>371</v>
      </c>
      <c r="P277" s="44" t="s">
        <v>309</v>
      </c>
      <c r="Q277" s="59" t="str">
        <f>MID(Tabla1[[#This Row],[Aplicación]],14,1)</f>
        <v>2</v>
      </c>
      <c r="R277" s="35" t="s">
        <v>298</v>
      </c>
      <c r="S277" s="59" t="str">
        <f>MID(Tabla1[[#This Row],[Aplicación]],6,2)</f>
        <v>11</v>
      </c>
      <c r="T277" s="35" t="str">
        <f>VLOOKUP(Tabla1[[#This Row],[AREA]],Hoja1!A:B,2,FALSE)</f>
        <v>11. Salud pública y seguridad ciudadana</v>
      </c>
      <c r="U277" s="35" t="str">
        <f>MID(Tabla1[[#This Row],[Aplicación]],9,4)</f>
        <v>3111</v>
      </c>
      <c r="V277" s="35" t="str">
        <f>VLOOKUP(Tabla1[[#This Row],[PROGRAMA]],Hoja1!A:B,2,FALSE)</f>
        <v>3111. Protección de la salubridad pública</v>
      </c>
      <c r="W277" s="56" t="str">
        <f>MID(Tabla1[[#This Row],[Aplicación]],14,2)</f>
        <v>22</v>
      </c>
      <c r="X277" s="56" t="str">
        <f>MID(Tabla1[[#This Row],[Aplicación]],14,6)</f>
        <v>22106</v>
      </c>
    </row>
    <row r="278" spans="1:24" x14ac:dyDescent="0.25">
      <c r="A278" s="46">
        <v>220230000074</v>
      </c>
      <c r="B278" s="47" t="s">
        <v>507</v>
      </c>
      <c r="C278" s="52">
        <v>44927</v>
      </c>
      <c r="D278" s="46">
        <v>22023000581</v>
      </c>
      <c r="E278" s="47" t="s">
        <v>1096</v>
      </c>
      <c r="F278" s="53">
        <v>7000</v>
      </c>
      <c r="G278" s="47" t="s">
        <v>587</v>
      </c>
      <c r="H278" s="47" t="s">
        <v>1097</v>
      </c>
      <c r="I278" s="46" t="s">
        <v>511</v>
      </c>
      <c r="J278" s="47" t="s">
        <v>589</v>
      </c>
      <c r="K278" s="47" t="s">
        <v>590</v>
      </c>
      <c r="L278" s="47" t="s">
        <v>552</v>
      </c>
      <c r="M278" s="47" t="s">
        <v>514</v>
      </c>
      <c r="N278" s="47" t="s">
        <v>515</v>
      </c>
      <c r="O278" s="45" t="s">
        <v>371</v>
      </c>
      <c r="P278" s="44" t="s">
        <v>309</v>
      </c>
      <c r="Q278" s="59" t="str">
        <f>MID(Tabla1[[#This Row],[Aplicación]],14,1)</f>
        <v>2</v>
      </c>
      <c r="R278" s="35" t="s">
        <v>298</v>
      </c>
      <c r="S278" s="59" t="str">
        <f>MID(Tabla1[[#This Row],[Aplicación]],6,2)</f>
        <v>01</v>
      </c>
      <c r="T278" s="35" t="str">
        <f>VLOOKUP(Tabla1[[#This Row],[AREA]],Hoja1!A:B,2,FALSE)</f>
        <v>01. Alcaldía</v>
      </c>
      <c r="U278" s="35" t="str">
        <f>MID(Tabla1[[#This Row],[Aplicación]],9,4)</f>
        <v>9205</v>
      </c>
      <c r="V278" s="35" t="str">
        <f>VLOOKUP(Tabla1[[#This Row],[PROGRAMA]],Hoja1!A:B,2,FALSE)</f>
        <v>9205. Imprenta municipal</v>
      </c>
      <c r="W278" s="56" t="str">
        <f>MID(Tabla1[[#This Row],[Aplicación]],14,2)</f>
        <v>22</v>
      </c>
      <c r="X278" s="56" t="str">
        <f>MID(Tabla1[[#This Row],[Aplicación]],14,6)</f>
        <v>22100</v>
      </c>
    </row>
    <row r="279" spans="1:24" x14ac:dyDescent="0.25">
      <c r="A279" s="46">
        <v>220230000075</v>
      </c>
      <c r="B279" s="47" t="s">
        <v>507</v>
      </c>
      <c r="C279" s="52">
        <v>44927</v>
      </c>
      <c r="D279" s="46">
        <v>22023000582</v>
      </c>
      <c r="E279" s="47" t="s">
        <v>1098</v>
      </c>
      <c r="F279" s="53">
        <v>250000</v>
      </c>
      <c r="G279" s="47" t="s">
        <v>587</v>
      </c>
      <c r="H279" s="47" t="s">
        <v>1099</v>
      </c>
      <c r="I279" s="46" t="s">
        <v>511</v>
      </c>
      <c r="J279" s="47" t="s">
        <v>589</v>
      </c>
      <c r="K279" s="47" t="s">
        <v>590</v>
      </c>
      <c r="L279" s="47" t="s">
        <v>552</v>
      </c>
      <c r="M279" s="47" t="s">
        <v>514</v>
      </c>
      <c r="N279" s="47" t="s">
        <v>515</v>
      </c>
      <c r="O279" s="45" t="s">
        <v>371</v>
      </c>
      <c r="P279" s="44" t="s">
        <v>309</v>
      </c>
      <c r="Q279" s="59" t="str">
        <f>MID(Tabla1[[#This Row],[Aplicación]],14,1)</f>
        <v>2</v>
      </c>
      <c r="R279" s="35" t="s">
        <v>298</v>
      </c>
      <c r="S279" s="59" t="str">
        <f>MID(Tabla1[[#This Row],[Aplicación]],6,2)</f>
        <v>02</v>
      </c>
      <c r="T279" s="35" t="str">
        <f>VLOOKUP(Tabla1[[#This Row],[AREA]],Hoja1!A:B,2,FALSE)</f>
        <v>02. Planeamiento urbanístico y vivienda</v>
      </c>
      <c r="U279" s="35" t="str">
        <f>MID(Tabla1[[#This Row],[Aplicación]],9,4)</f>
        <v>9332</v>
      </c>
      <c r="V279" s="35" t="str">
        <f>VLOOKUP(Tabla1[[#This Row],[PROGRAMA]],Hoja1!A:B,2,FALSE)</f>
        <v>9332. Mantenimiento de edificios e instalaciones municipales</v>
      </c>
      <c r="W279" s="56" t="str">
        <f>MID(Tabla1[[#This Row],[Aplicación]],14,2)</f>
        <v>22</v>
      </c>
      <c r="X279" s="56" t="str">
        <f>MID(Tabla1[[#This Row],[Aplicación]],14,6)</f>
        <v>22100</v>
      </c>
    </row>
    <row r="280" spans="1:24" x14ac:dyDescent="0.25">
      <c r="A280" s="46">
        <v>220230000076</v>
      </c>
      <c r="B280" s="47" t="s">
        <v>507</v>
      </c>
      <c r="C280" s="52">
        <v>44927</v>
      </c>
      <c r="D280" s="46">
        <v>22023000583</v>
      </c>
      <c r="E280" s="47" t="s">
        <v>1100</v>
      </c>
      <c r="F280" s="53">
        <v>8800</v>
      </c>
      <c r="G280" s="47" t="s">
        <v>587</v>
      </c>
      <c r="H280" s="47" t="s">
        <v>1101</v>
      </c>
      <c r="I280" s="46" t="s">
        <v>511</v>
      </c>
      <c r="J280" s="47" t="s">
        <v>589</v>
      </c>
      <c r="K280" s="47" t="s">
        <v>590</v>
      </c>
      <c r="L280" s="47" t="s">
        <v>552</v>
      </c>
      <c r="M280" s="47" t="s">
        <v>514</v>
      </c>
      <c r="N280" s="47" t="s">
        <v>515</v>
      </c>
      <c r="O280" s="45" t="s">
        <v>371</v>
      </c>
      <c r="P280" s="44" t="s">
        <v>309</v>
      </c>
      <c r="Q280" s="59" t="str">
        <f>MID(Tabla1[[#This Row],[Aplicación]],14,1)</f>
        <v>2</v>
      </c>
      <c r="R280" s="35" t="s">
        <v>298</v>
      </c>
      <c r="S280" s="59" t="str">
        <f>MID(Tabla1[[#This Row],[Aplicación]],6,2)</f>
        <v>10</v>
      </c>
      <c r="T280" s="35" t="str">
        <f>VLOOKUP(Tabla1[[#This Row],[AREA]],Hoja1!A:B,2,FALSE)</f>
        <v>10. Servicios sociales y mediación comunitaria</v>
      </c>
      <c r="U280" s="35" t="str">
        <f>MID(Tabla1[[#This Row],[Aplicación]],9,4)</f>
        <v>2311</v>
      </c>
      <c r="V280" s="35" t="str">
        <f>VLOOKUP(Tabla1[[#This Row],[PROGRAMA]],Hoja1!A:B,2,FALSE)</f>
        <v>2311. Intervención social</v>
      </c>
      <c r="W280" s="56" t="str">
        <f>MID(Tabla1[[#This Row],[Aplicación]],14,2)</f>
        <v>22</v>
      </c>
      <c r="X280" s="56" t="str">
        <f>MID(Tabla1[[#This Row],[Aplicación]],14,6)</f>
        <v>22100</v>
      </c>
    </row>
    <row r="281" spans="1:24" x14ac:dyDescent="0.25">
      <c r="A281" s="46">
        <v>220230000077</v>
      </c>
      <c r="B281" s="47" t="s">
        <v>507</v>
      </c>
      <c r="C281" s="52">
        <v>44927</v>
      </c>
      <c r="D281" s="46">
        <v>22023000584</v>
      </c>
      <c r="E281" s="47" t="s">
        <v>1100</v>
      </c>
      <c r="F281" s="53">
        <v>41200</v>
      </c>
      <c r="G281" s="47" t="s">
        <v>587</v>
      </c>
      <c r="H281" s="47" t="s">
        <v>1102</v>
      </c>
      <c r="I281" s="46" t="s">
        <v>511</v>
      </c>
      <c r="J281" s="47" t="s">
        <v>589</v>
      </c>
      <c r="K281" s="47" t="s">
        <v>590</v>
      </c>
      <c r="L281" s="47" t="s">
        <v>552</v>
      </c>
      <c r="M281" s="47" t="s">
        <v>514</v>
      </c>
      <c r="N281" s="47" t="s">
        <v>515</v>
      </c>
      <c r="O281" s="45" t="s">
        <v>371</v>
      </c>
      <c r="P281" s="44" t="s">
        <v>309</v>
      </c>
      <c r="Q281" s="59" t="str">
        <f>MID(Tabla1[[#This Row],[Aplicación]],14,1)</f>
        <v>2</v>
      </c>
      <c r="R281" s="35" t="s">
        <v>298</v>
      </c>
      <c r="S281" s="59" t="str">
        <f>MID(Tabla1[[#This Row],[Aplicación]],6,2)</f>
        <v>10</v>
      </c>
      <c r="T281" s="35" t="str">
        <f>VLOOKUP(Tabla1[[#This Row],[AREA]],Hoja1!A:B,2,FALSE)</f>
        <v>10. Servicios sociales y mediación comunitaria</v>
      </c>
      <c r="U281" s="35" t="str">
        <f>MID(Tabla1[[#This Row],[Aplicación]],9,4)</f>
        <v>2311</v>
      </c>
      <c r="V281" s="35" t="str">
        <f>VLOOKUP(Tabla1[[#This Row],[PROGRAMA]],Hoja1!A:B,2,FALSE)</f>
        <v>2311. Intervención social</v>
      </c>
      <c r="W281" s="56" t="str">
        <f>MID(Tabla1[[#This Row],[Aplicación]],14,2)</f>
        <v>22</v>
      </c>
      <c r="X281" s="56" t="str">
        <f>MID(Tabla1[[#This Row],[Aplicación]],14,6)</f>
        <v>22100</v>
      </c>
    </row>
    <row r="282" spans="1:24" x14ac:dyDescent="0.25">
      <c r="A282" s="46">
        <v>220230000078</v>
      </c>
      <c r="B282" s="47" t="s">
        <v>507</v>
      </c>
      <c r="C282" s="52">
        <v>44927</v>
      </c>
      <c r="D282" s="46">
        <v>22023000585</v>
      </c>
      <c r="E282" s="47" t="s">
        <v>1103</v>
      </c>
      <c r="F282" s="53">
        <v>65000</v>
      </c>
      <c r="G282" s="47" t="s">
        <v>587</v>
      </c>
      <c r="H282" s="47" t="s">
        <v>1104</v>
      </c>
      <c r="I282" s="46" t="s">
        <v>511</v>
      </c>
      <c r="J282" s="47" t="s">
        <v>589</v>
      </c>
      <c r="K282" s="47" t="s">
        <v>590</v>
      </c>
      <c r="L282" s="47" t="s">
        <v>552</v>
      </c>
      <c r="M282" s="47" t="s">
        <v>514</v>
      </c>
      <c r="N282" s="47" t="s">
        <v>515</v>
      </c>
      <c r="O282" s="45" t="s">
        <v>371</v>
      </c>
      <c r="P282" s="44" t="s">
        <v>309</v>
      </c>
      <c r="Q282" s="59" t="str">
        <f>MID(Tabla1[[#This Row],[Aplicación]],14,1)</f>
        <v>2</v>
      </c>
      <c r="R282" s="35" t="s">
        <v>298</v>
      </c>
      <c r="S282" s="59" t="str">
        <f>MID(Tabla1[[#This Row],[Aplicación]],6,2)</f>
        <v>10</v>
      </c>
      <c r="T282" s="35" t="str">
        <f>VLOOKUP(Tabla1[[#This Row],[AREA]],Hoja1!A:B,2,FALSE)</f>
        <v>10. Servicios sociales y mediación comunitaria</v>
      </c>
      <c r="U282" s="35" t="str">
        <f>MID(Tabla1[[#This Row],[Aplicación]],9,4)</f>
        <v>2312</v>
      </c>
      <c r="V282" s="35" t="str">
        <f>VLOOKUP(Tabla1[[#This Row],[PROGRAMA]],Hoja1!A:B,2,FALSE)</f>
        <v>2312. Iniciativas sociales</v>
      </c>
      <c r="W282" s="56" t="str">
        <f>MID(Tabla1[[#This Row],[Aplicación]],14,2)</f>
        <v>22</v>
      </c>
      <c r="X282" s="56" t="str">
        <f>MID(Tabla1[[#This Row],[Aplicación]],14,6)</f>
        <v>22100</v>
      </c>
    </row>
    <row r="283" spans="1:24" x14ac:dyDescent="0.25">
      <c r="A283" s="46">
        <v>220230000079</v>
      </c>
      <c r="B283" s="47" t="s">
        <v>507</v>
      </c>
      <c r="C283" s="52">
        <v>44927</v>
      </c>
      <c r="D283" s="46">
        <v>22023000586</v>
      </c>
      <c r="E283" s="47" t="s">
        <v>1103</v>
      </c>
      <c r="F283" s="53">
        <v>115000</v>
      </c>
      <c r="G283" s="47" t="s">
        <v>587</v>
      </c>
      <c r="H283" s="47" t="s">
        <v>1105</v>
      </c>
      <c r="I283" s="46" t="s">
        <v>511</v>
      </c>
      <c r="J283" s="47" t="s">
        <v>589</v>
      </c>
      <c r="K283" s="47" t="s">
        <v>590</v>
      </c>
      <c r="L283" s="47" t="s">
        <v>552</v>
      </c>
      <c r="M283" s="47" t="s">
        <v>514</v>
      </c>
      <c r="N283" s="47" t="s">
        <v>515</v>
      </c>
      <c r="O283" s="45" t="s">
        <v>371</v>
      </c>
      <c r="P283" s="44" t="s">
        <v>309</v>
      </c>
      <c r="Q283" s="59" t="str">
        <f>MID(Tabla1[[#This Row],[Aplicación]],14,1)</f>
        <v>2</v>
      </c>
      <c r="R283" s="35" t="s">
        <v>298</v>
      </c>
      <c r="S283" s="59" t="str">
        <f>MID(Tabla1[[#This Row],[Aplicación]],6,2)</f>
        <v>10</v>
      </c>
      <c r="T283" s="35" t="str">
        <f>VLOOKUP(Tabla1[[#This Row],[AREA]],Hoja1!A:B,2,FALSE)</f>
        <v>10. Servicios sociales y mediación comunitaria</v>
      </c>
      <c r="U283" s="35" t="str">
        <f>MID(Tabla1[[#This Row],[Aplicación]],9,4)</f>
        <v>2312</v>
      </c>
      <c r="V283" s="35" t="str">
        <f>VLOOKUP(Tabla1[[#This Row],[PROGRAMA]],Hoja1!A:B,2,FALSE)</f>
        <v>2312. Iniciativas sociales</v>
      </c>
      <c r="W283" s="56" t="str">
        <f>MID(Tabla1[[#This Row],[Aplicación]],14,2)</f>
        <v>22</v>
      </c>
      <c r="X283" s="56" t="str">
        <f>MID(Tabla1[[#This Row],[Aplicación]],14,6)</f>
        <v>22100</v>
      </c>
    </row>
    <row r="284" spans="1:24" x14ac:dyDescent="0.25">
      <c r="A284" s="46">
        <v>220230000080</v>
      </c>
      <c r="B284" s="47" t="s">
        <v>507</v>
      </c>
      <c r="C284" s="52">
        <v>44927</v>
      </c>
      <c r="D284" s="46">
        <v>22023000587</v>
      </c>
      <c r="E284" s="47" t="s">
        <v>1106</v>
      </c>
      <c r="F284" s="53">
        <v>55000</v>
      </c>
      <c r="G284" s="47" t="s">
        <v>587</v>
      </c>
      <c r="H284" s="47" t="s">
        <v>1107</v>
      </c>
      <c r="I284" s="46" t="s">
        <v>511</v>
      </c>
      <c r="J284" s="47" t="s">
        <v>589</v>
      </c>
      <c r="K284" s="47" t="s">
        <v>590</v>
      </c>
      <c r="L284" s="47" t="s">
        <v>552</v>
      </c>
      <c r="M284" s="47" t="s">
        <v>514</v>
      </c>
      <c r="N284" s="47" t="s">
        <v>604</v>
      </c>
      <c r="O284" s="45" t="s">
        <v>371</v>
      </c>
      <c r="P284" s="44" t="s">
        <v>309</v>
      </c>
      <c r="Q284" s="59" t="str">
        <f>MID(Tabla1[[#This Row],[Aplicación]],14,1)</f>
        <v>2</v>
      </c>
      <c r="R284" s="35" t="s">
        <v>298</v>
      </c>
      <c r="S284" s="59" t="str">
        <f>MID(Tabla1[[#This Row],[Aplicación]],6,2)</f>
        <v>06</v>
      </c>
      <c r="T284" s="35" t="str">
        <f>VLOOKUP(Tabla1[[#This Row],[AREA]],Hoja1!A:B,2,FALSE)</f>
        <v>06. Educación, infancia, juventud e igualdad</v>
      </c>
      <c r="U284" s="35" t="str">
        <f>MID(Tabla1[[#This Row],[Aplicación]],9,4)</f>
        <v>3231</v>
      </c>
      <c r="V284" s="35" t="str">
        <f>VLOOKUP(Tabla1[[#This Row],[PROGRAMA]],Hoja1!A:B,2,FALSE)</f>
        <v>3231. Escuelas infantiles</v>
      </c>
      <c r="W284" s="56" t="str">
        <f>MID(Tabla1[[#This Row],[Aplicación]],14,2)</f>
        <v>22</v>
      </c>
      <c r="X284" s="56" t="str">
        <f>MID(Tabla1[[#This Row],[Aplicación]],14,6)</f>
        <v>22100</v>
      </c>
    </row>
    <row r="285" spans="1:24" x14ac:dyDescent="0.25">
      <c r="A285" s="46">
        <v>220230000081</v>
      </c>
      <c r="B285" s="47" t="s">
        <v>507</v>
      </c>
      <c r="C285" s="52">
        <v>44927</v>
      </c>
      <c r="D285" s="46">
        <v>22023000588</v>
      </c>
      <c r="E285" s="47" t="s">
        <v>1108</v>
      </c>
      <c r="F285" s="53">
        <v>5000</v>
      </c>
      <c r="G285" s="47" t="s">
        <v>587</v>
      </c>
      <c r="H285" s="47" t="s">
        <v>1109</v>
      </c>
      <c r="I285" s="46" t="s">
        <v>511</v>
      </c>
      <c r="J285" s="47" t="s">
        <v>589</v>
      </c>
      <c r="K285" s="47" t="s">
        <v>590</v>
      </c>
      <c r="L285" s="47" t="s">
        <v>552</v>
      </c>
      <c r="M285" s="47" t="s">
        <v>514</v>
      </c>
      <c r="N285" s="47" t="s">
        <v>604</v>
      </c>
      <c r="O285" s="45" t="s">
        <v>371</v>
      </c>
      <c r="P285" s="44" t="s">
        <v>309</v>
      </c>
      <c r="Q285" s="59" t="str">
        <f>MID(Tabla1[[#This Row],[Aplicación]],14,1)</f>
        <v>2</v>
      </c>
      <c r="R285" s="35" t="s">
        <v>298</v>
      </c>
      <c r="S285" s="59" t="str">
        <f>MID(Tabla1[[#This Row],[Aplicación]],6,2)</f>
        <v>06</v>
      </c>
      <c r="T285" s="35" t="str">
        <f>VLOOKUP(Tabla1[[#This Row],[AREA]],Hoja1!A:B,2,FALSE)</f>
        <v>06. Educación, infancia, juventud e igualdad</v>
      </c>
      <c r="U285" s="35" t="str">
        <f>MID(Tabla1[[#This Row],[Aplicación]],9,4)</f>
        <v>3321</v>
      </c>
      <c r="V285" s="35" t="str">
        <f>VLOOKUP(Tabla1[[#This Row],[PROGRAMA]],Hoja1!A:B,2,FALSE)</f>
        <v>3321. Bibliotecas públicas</v>
      </c>
      <c r="W285" s="56" t="str">
        <f>MID(Tabla1[[#This Row],[Aplicación]],14,2)</f>
        <v>22</v>
      </c>
      <c r="X285" s="56" t="str">
        <f>MID(Tabla1[[#This Row],[Aplicación]],14,6)</f>
        <v>22100</v>
      </c>
    </row>
    <row r="286" spans="1:24" x14ac:dyDescent="0.25">
      <c r="A286" s="46">
        <v>220230000082</v>
      </c>
      <c r="B286" s="47" t="s">
        <v>507</v>
      </c>
      <c r="C286" s="52">
        <v>44927</v>
      </c>
      <c r="D286" s="46">
        <v>22023000589</v>
      </c>
      <c r="E286" s="47" t="s">
        <v>1110</v>
      </c>
      <c r="F286" s="53">
        <v>65000</v>
      </c>
      <c r="G286" s="47" t="s">
        <v>587</v>
      </c>
      <c r="H286" s="47" t="s">
        <v>1111</v>
      </c>
      <c r="I286" s="46" t="s">
        <v>511</v>
      </c>
      <c r="J286" s="47" t="s">
        <v>589</v>
      </c>
      <c r="K286" s="47" t="s">
        <v>590</v>
      </c>
      <c r="L286" s="47" t="s">
        <v>552</v>
      </c>
      <c r="M286" s="47" t="s">
        <v>514</v>
      </c>
      <c r="N286" s="47" t="s">
        <v>604</v>
      </c>
      <c r="O286" s="45" t="s">
        <v>371</v>
      </c>
      <c r="P286" s="44" t="s">
        <v>309</v>
      </c>
      <c r="Q286" s="59" t="str">
        <f>MID(Tabla1[[#This Row],[Aplicación]],14,1)</f>
        <v>2</v>
      </c>
      <c r="R286" s="35" t="s">
        <v>298</v>
      </c>
      <c r="S286" s="59" t="str">
        <f>MID(Tabla1[[#This Row],[Aplicación]],6,2)</f>
        <v>06</v>
      </c>
      <c r="T286" s="35" t="str">
        <f>VLOOKUP(Tabla1[[#This Row],[AREA]],Hoja1!A:B,2,FALSE)</f>
        <v>06. Educación, infancia, juventud e igualdad</v>
      </c>
      <c r="U286" s="35" t="str">
        <f>MID(Tabla1[[#This Row],[Aplicación]],9,4)</f>
        <v>2314</v>
      </c>
      <c r="V286" s="35" t="str">
        <f>VLOOKUP(Tabla1[[#This Row],[PROGRAMA]],Hoja1!A:B,2,FALSE)</f>
        <v>2314. Centro de programas juveniles</v>
      </c>
      <c r="W286" s="56" t="str">
        <f>MID(Tabla1[[#This Row],[Aplicación]],14,2)</f>
        <v>22</v>
      </c>
      <c r="X286" s="56" t="str">
        <f>MID(Tabla1[[#This Row],[Aplicación]],14,6)</f>
        <v>22100</v>
      </c>
    </row>
    <row r="287" spans="1:24" x14ac:dyDescent="0.25">
      <c r="A287" s="46">
        <v>220230000083</v>
      </c>
      <c r="B287" s="47" t="s">
        <v>507</v>
      </c>
      <c r="C287" s="52">
        <v>44927</v>
      </c>
      <c r="D287" s="46">
        <v>22023000590</v>
      </c>
      <c r="E287" s="47" t="s">
        <v>1112</v>
      </c>
      <c r="F287" s="53">
        <v>3500</v>
      </c>
      <c r="G287" s="47" t="s">
        <v>587</v>
      </c>
      <c r="H287" s="47" t="s">
        <v>1113</v>
      </c>
      <c r="I287" s="46" t="s">
        <v>511</v>
      </c>
      <c r="J287" s="47" t="s">
        <v>589</v>
      </c>
      <c r="K287" s="47" t="s">
        <v>590</v>
      </c>
      <c r="L287" s="47" t="s">
        <v>552</v>
      </c>
      <c r="M287" s="47" t="s">
        <v>514</v>
      </c>
      <c r="N287" s="47" t="s">
        <v>604</v>
      </c>
      <c r="O287" s="45" t="s">
        <v>371</v>
      </c>
      <c r="P287" s="44" t="s">
        <v>309</v>
      </c>
      <c r="Q287" s="59" t="str">
        <f>MID(Tabla1[[#This Row],[Aplicación]],14,1)</f>
        <v>2</v>
      </c>
      <c r="R287" s="35" t="s">
        <v>298</v>
      </c>
      <c r="S287" s="59" t="str">
        <f>MID(Tabla1[[#This Row],[Aplicación]],6,2)</f>
        <v>06</v>
      </c>
      <c r="T287" s="35" t="str">
        <f>VLOOKUP(Tabla1[[#This Row],[AREA]],Hoja1!A:B,2,FALSE)</f>
        <v>06. Educación, infancia, juventud e igualdad</v>
      </c>
      <c r="U287" s="35" t="str">
        <f>MID(Tabla1[[#This Row],[Aplicación]],9,4)</f>
        <v>2315</v>
      </c>
      <c r="V287" s="35" t="str">
        <f>VLOOKUP(Tabla1[[#This Row],[PROGRAMA]],Hoja1!A:B,2,FALSE)</f>
        <v>2315. Políticas de Igualdad e infancia</v>
      </c>
      <c r="W287" s="56" t="str">
        <f>MID(Tabla1[[#This Row],[Aplicación]],14,2)</f>
        <v>22</v>
      </c>
      <c r="X287" s="56" t="str">
        <f>MID(Tabla1[[#This Row],[Aplicación]],14,6)</f>
        <v>22100</v>
      </c>
    </row>
    <row r="288" spans="1:24" x14ac:dyDescent="0.25">
      <c r="A288" s="46">
        <v>220230000084</v>
      </c>
      <c r="B288" s="47" t="s">
        <v>507</v>
      </c>
      <c r="C288" s="52">
        <v>44927</v>
      </c>
      <c r="D288" s="46">
        <v>22023000591</v>
      </c>
      <c r="E288" s="47" t="s">
        <v>1114</v>
      </c>
      <c r="F288" s="53">
        <v>38000</v>
      </c>
      <c r="G288" s="47" t="s">
        <v>587</v>
      </c>
      <c r="H288" s="47" t="s">
        <v>1115</v>
      </c>
      <c r="I288" s="46" t="s">
        <v>511</v>
      </c>
      <c r="J288" s="47" t="s">
        <v>589</v>
      </c>
      <c r="K288" s="47" t="s">
        <v>590</v>
      </c>
      <c r="L288" s="47" t="s">
        <v>520</v>
      </c>
      <c r="M288" s="47" t="s">
        <v>514</v>
      </c>
      <c r="N288" s="47" t="s">
        <v>515</v>
      </c>
      <c r="O288" s="45" t="s">
        <v>371</v>
      </c>
      <c r="P288" s="44" t="s">
        <v>309</v>
      </c>
      <c r="Q288" s="59" t="str">
        <f>MID(Tabla1[[#This Row],[Aplicación]],14,1)</f>
        <v>2</v>
      </c>
      <c r="R288" s="35" t="s">
        <v>298</v>
      </c>
      <c r="S288" s="59" t="str">
        <f>MID(Tabla1[[#This Row],[Aplicación]],6,2)</f>
        <v>11</v>
      </c>
      <c r="T288" s="35" t="str">
        <f>VLOOKUP(Tabla1[[#This Row],[AREA]],Hoja1!A:B,2,FALSE)</f>
        <v>11. Salud pública y seguridad ciudadana</v>
      </c>
      <c r="U288" s="35" t="str">
        <f>MID(Tabla1[[#This Row],[Aplicación]],9,4)</f>
        <v>1361</v>
      </c>
      <c r="V288" s="35" t="str">
        <f>VLOOKUP(Tabla1[[#This Row],[PROGRAMA]],Hoja1!A:B,2,FALSE)</f>
        <v>1361. Prevención y extinción de incencios</v>
      </c>
      <c r="W288" s="56" t="str">
        <f>MID(Tabla1[[#This Row],[Aplicación]],14,2)</f>
        <v>22</v>
      </c>
      <c r="X288" s="56" t="str">
        <f>MID(Tabla1[[#This Row],[Aplicación]],14,6)</f>
        <v>22100</v>
      </c>
    </row>
    <row r="289" spans="1:24" x14ac:dyDescent="0.25">
      <c r="A289" s="46">
        <v>220230000085</v>
      </c>
      <c r="B289" s="47" t="s">
        <v>507</v>
      </c>
      <c r="C289" s="52">
        <v>44927</v>
      </c>
      <c r="D289" s="46">
        <v>22023000592</v>
      </c>
      <c r="E289" s="47" t="s">
        <v>1116</v>
      </c>
      <c r="F289" s="53">
        <v>83000</v>
      </c>
      <c r="G289" s="47" t="s">
        <v>587</v>
      </c>
      <c r="H289" s="47" t="s">
        <v>1117</v>
      </c>
      <c r="I289" s="46" t="s">
        <v>511</v>
      </c>
      <c r="J289" s="47" t="s">
        <v>589</v>
      </c>
      <c r="K289" s="47" t="s">
        <v>590</v>
      </c>
      <c r="L289" s="47" t="s">
        <v>552</v>
      </c>
      <c r="M289" s="47" t="s">
        <v>514</v>
      </c>
      <c r="N289" s="47" t="s">
        <v>515</v>
      </c>
      <c r="O289" s="45" t="s">
        <v>371</v>
      </c>
      <c r="P289" s="44" t="s">
        <v>309</v>
      </c>
      <c r="Q289" s="59" t="str">
        <f>MID(Tabla1[[#This Row],[Aplicación]],14,1)</f>
        <v>2</v>
      </c>
      <c r="R289" s="35" t="s">
        <v>298</v>
      </c>
      <c r="S289" s="59" t="str">
        <f>MID(Tabla1[[#This Row],[Aplicación]],6,2)</f>
        <v>09</v>
      </c>
      <c r="T289" s="35" t="str">
        <f>VLOOKUP(Tabla1[[#This Row],[AREA]],Hoja1!A:B,2,FALSE)</f>
        <v>09. Cultura y turismo</v>
      </c>
      <c r="U289" s="35" t="str">
        <f>MID(Tabla1[[#This Row],[Aplicación]],9,4)</f>
        <v>3341</v>
      </c>
      <c r="V289" s="35" t="str">
        <f>VLOOKUP(Tabla1[[#This Row],[PROGRAMA]],Hoja1!A:B,2,FALSE)</f>
        <v>3341. Coordinación de políticas culturales</v>
      </c>
      <c r="W289" s="56" t="str">
        <f>MID(Tabla1[[#This Row],[Aplicación]],14,2)</f>
        <v>22</v>
      </c>
      <c r="X289" s="56" t="str">
        <f>MID(Tabla1[[#This Row],[Aplicación]],14,6)</f>
        <v>22100</v>
      </c>
    </row>
    <row r="290" spans="1:24" x14ac:dyDescent="0.25">
      <c r="A290" s="46">
        <v>220230000086</v>
      </c>
      <c r="B290" s="47" t="s">
        <v>507</v>
      </c>
      <c r="C290" s="52">
        <v>44927</v>
      </c>
      <c r="D290" s="46">
        <v>22023000593</v>
      </c>
      <c r="E290" s="47" t="s">
        <v>1118</v>
      </c>
      <c r="F290" s="53">
        <v>27000</v>
      </c>
      <c r="G290" s="47" t="s">
        <v>587</v>
      </c>
      <c r="H290" s="47" t="s">
        <v>1119</v>
      </c>
      <c r="I290" s="46" t="s">
        <v>511</v>
      </c>
      <c r="J290" s="47" t="s">
        <v>589</v>
      </c>
      <c r="K290" s="47" t="s">
        <v>590</v>
      </c>
      <c r="L290" s="47" t="s">
        <v>552</v>
      </c>
      <c r="M290" s="47" t="s">
        <v>514</v>
      </c>
      <c r="N290" s="47" t="s">
        <v>515</v>
      </c>
      <c r="O290" s="45" t="s">
        <v>371</v>
      </c>
      <c r="P290" s="44" t="s">
        <v>309</v>
      </c>
      <c r="Q290" s="59" t="str">
        <f>MID(Tabla1[[#This Row],[Aplicación]],14,1)</f>
        <v>2</v>
      </c>
      <c r="R290" s="35" t="s">
        <v>298</v>
      </c>
      <c r="S290" s="59" t="str">
        <f>MID(Tabla1[[#This Row],[Aplicación]],6,2)</f>
        <v>09</v>
      </c>
      <c r="T290" s="35" t="str">
        <f>VLOOKUP(Tabla1[[#This Row],[AREA]],Hoja1!A:B,2,FALSE)</f>
        <v>09. Cultura y turismo</v>
      </c>
      <c r="U290" s="35" t="str">
        <f>MID(Tabla1[[#This Row],[Aplicación]],9,4)</f>
        <v>4321</v>
      </c>
      <c r="V290" s="35" t="str">
        <f>VLOOKUP(Tabla1[[#This Row],[PROGRAMA]],Hoja1!A:B,2,FALSE)</f>
        <v>4321. Turismo</v>
      </c>
      <c r="W290" s="56" t="str">
        <f>MID(Tabla1[[#This Row],[Aplicación]],14,2)</f>
        <v>22</v>
      </c>
      <c r="X290" s="56" t="str">
        <f>MID(Tabla1[[#This Row],[Aplicación]],14,6)</f>
        <v>22100</v>
      </c>
    </row>
    <row r="291" spans="1:24" x14ac:dyDescent="0.25">
      <c r="A291" s="46">
        <v>220230000087</v>
      </c>
      <c r="B291" s="47" t="s">
        <v>507</v>
      </c>
      <c r="C291" s="52">
        <v>44927</v>
      </c>
      <c r="D291" s="46">
        <v>22023000595</v>
      </c>
      <c r="E291" s="47" t="s">
        <v>1120</v>
      </c>
      <c r="F291" s="53">
        <v>13500</v>
      </c>
      <c r="G291" s="47" t="s">
        <v>587</v>
      </c>
      <c r="H291" s="47" t="s">
        <v>1121</v>
      </c>
      <c r="I291" s="46" t="s">
        <v>511</v>
      </c>
      <c r="J291" s="47" t="s">
        <v>589</v>
      </c>
      <c r="K291" s="47" t="s">
        <v>590</v>
      </c>
      <c r="L291" s="47" t="s">
        <v>552</v>
      </c>
      <c r="M291" s="47" t="s">
        <v>514</v>
      </c>
      <c r="N291" s="47" t="s">
        <v>515</v>
      </c>
      <c r="O291" s="45" t="s">
        <v>371</v>
      </c>
      <c r="P291" s="44" t="s">
        <v>309</v>
      </c>
      <c r="Q291" s="59" t="str">
        <f>MID(Tabla1[[#This Row],[Aplicación]],14,1)</f>
        <v>2</v>
      </c>
      <c r="R291" s="35" t="s">
        <v>298</v>
      </c>
      <c r="S291" s="59" t="str">
        <f>MID(Tabla1[[#This Row],[Aplicación]],6,2)</f>
        <v>10</v>
      </c>
      <c r="T291" s="35" t="str">
        <f>VLOOKUP(Tabla1[[#This Row],[AREA]],Hoja1!A:B,2,FALSE)</f>
        <v>10. Servicios sociales y mediación comunitaria</v>
      </c>
      <c r="U291" s="35" t="str">
        <f>MID(Tabla1[[#This Row],[Aplicación]],9,4)</f>
        <v>2412</v>
      </c>
      <c r="V291" s="35" t="str">
        <f>VLOOKUP(Tabla1[[#This Row],[PROGRAMA]],Hoja1!A:B,2,FALSE)</f>
        <v>2412. Formación para el empleo</v>
      </c>
      <c r="W291" s="56" t="str">
        <f>MID(Tabla1[[#This Row],[Aplicación]],14,2)</f>
        <v>22</v>
      </c>
      <c r="X291" s="56" t="str">
        <f>MID(Tabla1[[#This Row],[Aplicación]],14,6)</f>
        <v>22100</v>
      </c>
    </row>
    <row r="292" spans="1:24" x14ac:dyDescent="0.25">
      <c r="A292" s="46">
        <v>220230000088</v>
      </c>
      <c r="B292" s="47" t="s">
        <v>507</v>
      </c>
      <c r="C292" s="52">
        <v>44927</v>
      </c>
      <c r="D292" s="46">
        <v>22023000596</v>
      </c>
      <c r="E292" s="47" t="s">
        <v>1122</v>
      </c>
      <c r="F292" s="53">
        <v>38000</v>
      </c>
      <c r="G292" s="47" t="s">
        <v>587</v>
      </c>
      <c r="H292" s="47" t="s">
        <v>1123</v>
      </c>
      <c r="I292" s="46" t="s">
        <v>511</v>
      </c>
      <c r="J292" s="47" t="s">
        <v>589</v>
      </c>
      <c r="K292" s="47" t="s">
        <v>590</v>
      </c>
      <c r="L292" s="47" t="s">
        <v>552</v>
      </c>
      <c r="M292" s="47" t="s">
        <v>514</v>
      </c>
      <c r="N292" s="47" t="s">
        <v>515</v>
      </c>
      <c r="O292" s="45" t="s">
        <v>371</v>
      </c>
      <c r="P292" s="44" t="s">
        <v>309</v>
      </c>
      <c r="Q292" s="59" t="str">
        <f>MID(Tabla1[[#This Row],[Aplicación]],14,1)</f>
        <v>2</v>
      </c>
      <c r="R292" s="35" t="s">
        <v>298</v>
      </c>
      <c r="S292" s="59" t="str">
        <f>MID(Tabla1[[#This Row],[Aplicación]],6,2)</f>
        <v>11</v>
      </c>
      <c r="T292" s="35" t="str">
        <f>VLOOKUP(Tabla1[[#This Row],[AREA]],Hoja1!A:B,2,FALSE)</f>
        <v>11. Salud pública y seguridad ciudadana</v>
      </c>
      <c r="U292" s="35" t="str">
        <f>MID(Tabla1[[#This Row],[Aplicación]],9,4)</f>
        <v>1621</v>
      </c>
      <c r="V292" s="35" t="str">
        <f>VLOOKUP(Tabla1[[#This Row],[PROGRAMA]],Hoja1!A:B,2,FALSE)</f>
        <v>1621. Servicio de limpieza</v>
      </c>
      <c r="W292" s="56" t="str">
        <f>MID(Tabla1[[#This Row],[Aplicación]],14,2)</f>
        <v>22</v>
      </c>
      <c r="X292" s="56" t="str">
        <f>MID(Tabla1[[#This Row],[Aplicación]],14,6)</f>
        <v>22100</v>
      </c>
    </row>
    <row r="293" spans="1:24" x14ac:dyDescent="0.25">
      <c r="A293" s="46">
        <v>220230000089</v>
      </c>
      <c r="B293" s="47" t="s">
        <v>507</v>
      </c>
      <c r="C293" s="52">
        <v>44927</v>
      </c>
      <c r="D293" s="46">
        <v>22023000597</v>
      </c>
      <c r="E293" s="47" t="s">
        <v>1124</v>
      </c>
      <c r="F293" s="53">
        <v>65000</v>
      </c>
      <c r="G293" s="47" t="s">
        <v>587</v>
      </c>
      <c r="H293" s="47" t="s">
        <v>1125</v>
      </c>
      <c r="I293" s="46" t="s">
        <v>511</v>
      </c>
      <c r="J293" s="47" t="s">
        <v>589</v>
      </c>
      <c r="K293" s="47" t="s">
        <v>590</v>
      </c>
      <c r="L293" s="47" t="s">
        <v>552</v>
      </c>
      <c r="M293" s="47" t="s">
        <v>514</v>
      </c>
      <c r="N293" s="47" t="s">
        <v>515</v>
      </c>
      <c r="O293" s="45" t="s">
        <v>371</v>
      </c>
      <c r="P293" s="44" t="s">
        <v>309</v>
      </c>
      <c r="Q293" s="59" t="str">
        <f>MID(Tabla1[[#This Row],[Aplicación]],14,1)</f>
        <v>2</v>
      </c>
      <c r="R293" s="35" t="s">
        <v>298</v>
      </c>
      <c r="S293" s="59" t="str">
        <f>MID(Tabla1[[#This Row],[Aplicación]],6,2)</f>
        <v>11</v>
      </c>
      <c r="T293" s="35" t="str">
        <f>VLOOKUP(Tabla1[[#This Row],[AREA]],Hoja1!A:B,2,FALSE)</f>
        <v>11. Salud pública y seguridad ciudadana</v>
      </c>
      <c r="U293" s="35" t="str">
        <f>MID(Tabla1[[#This Row],[Aplicación]],9,4)</f>
        <v>1631</v>
      </c>
      <c r="V293" s="35" t="str">
        <f>VLOOKUP(Tabla1[[#This Row],[PROGRAMA]],Hoja1!A:B,2,FALSE)</f>
        <v>1631. Limpieza viaria</v>
      </c>
      <c r="W293" s="56" t="str">
        <f>MID(Tabla1[[#This Row],[Aplicación]],14,2)</f>
        <v>22</v>
      </c>
      <c r="X293" s="56" t="str">
        <f>MID(Tabla1[[#This Row],[Aplicación]],14,6)</f>
        <v>22100</v>
      </c>
    </row>
    <row r="294" spans="1:24" x14ac:dyDescent="0.25">
      <c r="A294" s="46">
        <v>220230000090</v>
      </c>
      <c r="B294" s="47" t="s">
        <v>507</v>
      </c>
      <c r="C294" s="52">
        <v>44927</v>
      </c>
      <c r="D294" s="46">
        <v>22023000598</v>
      </c>
      <c r="E294" s="47" t="s">
        <v>1126</v>
      </c>
      <c r="F294" s="53">
        <v>50000</v>
      </c>
      <c r="G294" s="47" t="s">
        <v>587</v>
      </c>
      <c r="H294" s="47" t="s">
        <v>1127</v>
      </c>
      <c r="I294" s="46" t="s">
        <v>511</v>
      </c>
      <c r="J294" s="47" t="s">
        <v>589</v>
      </c>
      <c r="K294" s="47" t="s">
        <v>590</v>
      </c>
      <c r="L294" s="47" t="s">
        <v>520</v>
      </c>
      <c r="M294" s="47" t="s">
        <v>514</v>
      </c>
      <c r="N294" s="47" t="s">
        <v>604</v>
      </c>
      <c r="O294" s="45" t="s">
        <v>371</v>
      </c>
      <c r="P294" s="44" t="s">
        <v>309</v>
      </c>
      <c r="Q294" s="59" t="str">
        <f>MID(Tabla1[[#This Row],[Aplicación]],14,1)</f>
        <v>2</v>
      </c>
      <c r="R294" s="35" t="s">
        <v>298</v>
      </c>
      <c r="S294" s="59" t="str">
        <f>MID(Tabla1[[#This Row],[Aplicación]],6,2)</f>
        <v>05</v>
      </c>
      <c r="T294" s="35" t="str">
        <f>VLOOKUP(Tabla1[[#This Row],[AREA]],Hoja1!A:B,2,FALSE)</f>
        <v>05. Innovación, desarrollo económico, empleo y comercio</v>
      </c>
      <c r="U294" s="35" t="str">
        <f>MID(Tabla1[[#This Row],[Aplicación]],9,4)</f>
        <v>4331</v>
      </c>
      <c r="V294" s="35" t="str">
        <f>VLOOKUP(Tabla1[[#This Row],[PROGRAMA]],Hoja1!A:B,2,FALSE)</f>
        <v>4331. Desarrollo empresarial</v>
      </c>
      <c r="W294" s="56" t="str">
        <f>MID(Tabla1[[#This Row],[Aplicación]],14,2)</f>
        <v>22</v>
      </c>
      <c r="X294" s="56" t="str">
        <f>MID(Tabla1[[#This Row],[Aplicación]],14,6)</f>
        <v>22100</v>
      </c>
    </row>
    <row r="295" spans="1:24" x14ac:dyDescent="0.25">
      <c r="A295" s="46">
        <v>220230000091</v>
      </c>
      <c r="B295" s="47" t="s">
        <v>507</v>
      </c>
      <c r="C295" s="52">
        <v>44927</v>
      </c>
      <c r="D295" s="46">
        <v>22023000599</v>
      </c>
      <c r="E295" s="47" t="s">
        <v>1128</v>
      </c>
      <c r="F295" s="53">
        <v>210000</v>
      </c>
      <c r="G295" s="47" t="s">
        <v>587</v>
      </c>
      <c r="H295" s="47" t="s">
        <v>1129</v>
      </c>
      <c r="I295" s="46" t="s">
        <v>511</v>
      </c>
      <c r="J295" s="47" t="s">
        <v>589</v>
      </c>
      <c r="K295" s="47" t="s">
        <v>590</v>
      </c>
      <c r="L295" s="47" t="s">
        <v>552</v>
      </c>
      <c r="M295" s="47" t="s">
        <v>514</v>
      </c>
      <c r="N295" s="47" t="s">
        <v>515</v>
      </c>
      <c r="O295" s="45" t="s">
        <v>371</v>
      </c>
      <c r="P295" s="44" t="s">
        <v>309</v>
      </c>
      <c r="Q295" s="59" t="str">
        <f>MID(Tabla1[[#This Row],[Aplicación]],14,1)</f>
        <v>2</v>
      </c>
      <c r="R295" s="35" t="s">
        <v>298</v>
      </c>
      <c r="S295" s="59" t="str">
        <f>MID(Tabla1[[#This Row],[Aplicación]],6,2)</f>
        <v>08</v>
      </c>
      <c r="T295" s="35" t="str">
        <f>VLOOKUP(Tabla1[[#This Row],[AREA]],Hoja1!A:B,2,FALSE)</f>
        <v>08. Movilidad y espacio urbano</v>
      </c>
      <c r="U295" s="56" t="str">
        <f>MID(Tabla1[[#This Row],[Aplicación]],9,4)</f>
        <v>1341</v>
      </c>
      <c r="V295" s="35" t="str">
        <f>VLOOKUP(Tabla1[[#This Row],[PROGRAMA]],Hoja1!A:B,2,FALSE)</f>
        <v>1341. Movilidad</v>
      </c>
      <c r="W295" s="56" t="str">
        <f>MID(Tabla1[[#This Row],[Aplicación]],14,2)</f>
        <v>22</v>
      </c>
      <c r="X295" s="56" t="str">
        <f>MID(Tabla1[[#This Row],[Aplicación]],14,6)</f>
        <v>22100</v>
      </c>
    </row>
    <row r="296" spans="1:24" x14ac:dyDescent="0.25">
      <c r="A296" s="46">
        <v>220230000092</v>
      </c>
      <c r="B296" s="47" t="s">
        <v>507</v>
      </c>
      <c r="C296" s="52">
        <v>44927</v>
      </c>
      <c r="D296" s="46">
        <v>22023000600</v>
      </c>
      <c r="E296" s="47" t="s">
        <v>1130</v>
      </c>
      <c r="F296" s="53">
        <v>6000</v>
      </c>
      <c r="G296" s="47" t="s">
        <v>587</v>
      </c>
      <c r="H296" s="47" t="s">
        <v>1131</v>
      </c>
      <c r="I296" s="46" t="s">
        <v>511</v>
      </c>
      <c r="J296" s="47" t="s">
        <v>589</v>
      </c>
      <c r="K296" s="47" t="s">
        <v>590</v>
      </c>
      <c r="L296" s="47" t="s">
        <v>552</v>
      </c>
      <c r="M296" s="47" t="s">
        <v>514</v>
      </c>
      <c r="N296" s="47" t="s">
        <v>604</v>
      </c>
      <c r="O296" s="45" t="s">
        <v>371</v>
      </c>
      <c r="P296" s="44" t="s">
        <v>309</v>
      </c>
      <c r="Q296" s="59" t="str">
        <f>MID(Tabla1[[#This Row],[Aplicación]],14,1)</f>
        <v>2</v>
      </c>
      <c r="R296" s="35" t="s">
        <v>298</v>
      </c>
      <c r="S296" s="59" t="str">
        <f>MID(Tabla1[[#This Row],[Aplicación]],6,2)</f>
        <v>11</v>
      </c>
      <c r="T296" s="35" t="str">
        <f>VLOOKUP(Tabla1[[#This Row],[AREA]],Hoja1!A:B,2,FALSE)</f>
        <v>11. Salud pública y seguridad ciudadana</v>
      </c>
      <c r="U296" s="35" t="str">
        <f>MID(Tabla1[[#This Row],[Aplicación]],9,4)</f>
        <v>3111</v>
      </c>
      <c r="V296" s="35" t="str">
        <f>VLOOKUP(Tabla1[[#This Row],[PROGRAMA]],Hoja1!A:B,2,FALSE)</f>
        <v>3111. Protección de la salubridad pública</v>
      </c>
      <c r="W296" s="56" t="str">
        <f>MID(Tabla1[[#This Row],[Aplicación]],14,2)</f>
        <v>22</v>
      </c>
      <c r="X296" s="56" t="str">
        <f>MID(Tabla1[[#This Row],[Aplicación]],14,6)</f>
        <v>22100</v>
      </c>
    </row>
    <row r="297" spans="1:24" x14ac:dyDescent="0.25">
      <c r="A297" s="46">
        <v>220230000093</v>
      </c>
      <c r="B297" s="47" t="s">
        <v>507</v>
      </c>
      <c r="C297" s="52">
        <v>44927</v>
      </c>
      <c r="D297" s="46">
        <v>22023000601</v>
      </c>
      <c r="E297" s="47" t="s">
        <v>1132</v>
      </c>
      <c r="F297" s="53">
        <v>20000</v>
      </c>
      <c r="G297" s="47" t="s">
        <v>587</v>
      </c>
      <c r="H297" s="47" t="s">
        <v>1133</v>
      </c>
      <c r="I297" s="46" t="s">
        <v>511</v>
      </c>
      <c r="J297" s="47" t="s">
        <v>589</v>
      </c>
      <c r="K297" s="47" t="s">
        <v>590</v>
      </c>
      <c r="L297" s="47" t="s">
        <v>552</v>
      </c>
      <c r="M297" s="47" t="s">
        <v>514</v>
      </c>
      <c r="N297" s="47" t="s">
        <v>604</v>
      </c>
      <c r="O297" s="45" t="s">
        <v>371</v>
      </c>
      <c r="P297" s="44" t="s">
        <v>309</v>
      </c>
      <c r="Q297" s="59" t="str">
        <f>MID(Tabla1[[#This Row],[Aplicación]],14,1)</f>
        <v>2</v>
      </c>
      <c r="R297" s="35" t="s">
        <v>298</v>
      </c>
      <c r="S297" s="59" t="str">
        <f>MID(Tabla1[[#This Row],[Aplicación]],6,2)</f>
        <v>07</v>
      </c>
      <c r="T297" s="35" t="str">
        <f>VLOOKUP(Tabla1[[#This Row],[AREA]],Hoja1!A:B,2,FALSE)</f>
        <v>07. Medio ambiente y desarrollo sostenible</v>
      </c>
      <c r="U297" s="35" t="str">
        <f>MID(Tabla1[[#This Row],[Aplicación]],9,4)</f>
        <v>1721</v>
      </c>
      <c r="V297" s="35" t="str">
        <f>VLOOKUP(Tabla1[[#This Row],[PROGRAMA]],Hoja1!A:B,2,FALSE)</f>
        <v>1721. Protección del medio ambiente</v>
      </c>
      <c r="W297" s="56" t="str">
        <f>MID(Tabla1[[#This Row],[Aplicación]],14,2)</f>
        <v>22</v>
      </c>
      <c r="X297" s="56" t="str">
        <f>MID(Tabla1[[#This Row],[Aplicación]],14,6)</f>
        <v>22100</v>
      </c>
    </row>
    <row r="298" spans="1:24" x14ac:dyDescent="0.25">
      <c r="A298" s="46">
        <v>220230000094</v>
      </c>
      <c r="B298" s="47" t="s">
        <v>507</v>
      </c>
      <c r="C298" s="52">
        <v>44927</v>
      </c>
      <c r="D298" s="46">
        <v>22023000602</v>
      </c>
      <c r="E298" s="47" t="s">
        <v>1134</v>
      </c>
      <c r="F298" s="53">
        <v>340000</v>
      </c>
      <c r="G298" s="47" t="s">
        <v>587</v>
      </c>
      <c r="H298" s="47" t="s">
        <v>1135</v>
      </c>
      <c r="I298" s="46" t="s">
        <v>511</v>
      </c>
      <c r="J298" s="47" t="s">
        <v>589</v>
      </c>
      <c r="K298" s="47" t="s">
        <v>590</v>
      </c>
      <c r="L298" s="47" t="s">
        <v>552</v>
      </c>
      <c r="M298" s="47" t="s">
        <v>514</v>
      </c>
      <c r="N298" s="47" t="s">
        <v>515</v>
      </c>
      <c r="O298" s="45" t="s">
        <v>371</v>
      </c>
      <c r="P298" s="44" t="s">
        <v>309</v>
      </c>
      <c r="Q298" s="59" t="str">
        <f>MID(Tabla1[[#This Row],[Aplicación]],14,1)</f>
        <v>2</v>
      </c>
      <c r="R298" s="35" t="s">
        <v>298</v>
      </c>
      <c r="S298" s="59" t="str">
        <f>MID(Tabla1[[#This Row],[Aplicación]],6,2)</f>
        <v>07</v>
      </c>
      <c r="T298" s="35" t="str">
        <f>VLOOKUP(Tabla1[[#This Row],[AREA]],Hoja1!A:B,2,FALSE)</f>
        <v>07. Medio ambiente y desarrollo sostenible</v>
      </c>
      <c r="U298" s="35" t="str">
        <f>MID(Tabla1[[#This Row],[Aplicación]],9,4)</f>
        <v>1711</v>
      </c>
      <c r="V298" s="35" t="str">
        <f>VLOOKUP(Tabla1[[#This Row],[PROGRAMA]],Hoja1!A:B,2,FALSE)</f>
        <v>1711. Parques y jardines</v>
      </c>
      <c r="W298" s="56" t="str">
        <f>MID(Tabla1[[#This Row],[Aplicación]],14,2)</f>
        <v>22</v>
      </c>
      <c r="X298" s="56" t="str">
        <f>MID(Tabla1[[#This Row],[Aplicación]],14,6)</f>
        <v>22100</v>
      </c>
    </row>
    <row r="299" spans="1:24" x14ac:dyDescent="0.25">
      <c r="A299" s="46">
        <v>220230000095</v>
      </c>
      <c r="B299" s="47" t="s">
        <v>507</v>
      </c>
      <c r="C299" s="52">
        <v>44927</v>
      </c>
      <c r="D299" s="46">
        <v>22023000603</v>
      </c>
      <c r="E299" s="47" t="s">
        <v>1136</v>
      </c>
      <c r="F299" s="53">
        <v>21000</v>
      </c>
      <c r="G299" s="47" t="s">
        <v>587</v>
      </c>
      <c r="H299" s="47" t="s">
        <v>1137</v>
      </c>
      <c r="I299" s="46" t="s">
        <v>511</v>
      </c>
      <c r="J299" s="47" t="s">
        <v>589</v>
      </c>
      <c r="K299" s="47" t="s">
        <v>590</v>
      </c>
      <c r="L299" s="47" t="s">
        <v>552</v>
      </c>
      <c r="M299" s="47" t="s">
        <v>514</v>
      </c>
      <c r="N299" s="47" t="s">
        <v>515</v>
      </c>
      <c r="O299" s="45" t="s">
        <v>371</v>
      </c>
      <c r="P299" s="44" t="s">
        <v>309</v>
      </c>
      <c r="Q299" s="59" t="str">
        <f>MID(Tabla1[[#This Row],[Aplicación]],14,1)</f>
        <v>2</v>
      </c>
      <c r="R299" s="35" t="s">
        <v>298</v>
      </c>
      <c r="S299" s="59" t="str">
        <f>MID(Tabla1[[#This Row],[Aplicación]],6,2)</f>
        <v>07</v>
      </c>
      <c r="T299" s="35" t="str">
        <f>VLOOKUP(Tabla1[[#This Row],[AREA]],Hoja1!A:B,2,FALSE)</f>
        <v>07. Medio ambiente y desarrollo sostenible</v>
      </c>
      <c r="U299" s="35" t="str">
        <f>MID(Tabla1[[#This Row],[Aplicación]],9,4)</f>
        <v>1701</v>
      </c>
      <c r="V299" s="35" t="str">
        <f>VLOOKUP(Tabla1[[#This Row],[PROGRAMA]],Hoja1!A:B,2,FALSE)</f>
        <v>1701. Dirección del área de medio ambiente</v>
      </c>
      <c r="W299" s="56" t="str">
        <f>MID(Tabla1[[#This Row],[Aplicación]],14,2)</f>
        <v>22</v>
      </c>
      <c r="X299" s="56" t="str">
        <f>MID(Tabla1[[#This Row],[Aplicación]],14,6)</f>
        <v>22100</v>
      </c>
    </row>
    <row r="300" spans="1:24" x14ac:dyDescent="0.25">
      <c r="A300" s="46">
        <v>220230000097</v>
      </c>
      <c r="B300" s="47" t="s">
        <v>507</v>
      </c>
      <c r="C300" s="52">
        <v>44927</v>
      </c>
      <c r="D300" s="46">
        <v>22023000605</v>
      </c>
      <c r="E300" s="47" t="s">
        <v>1138</v>
      </c>
      <c r="F300" s="53">
        <v>8000</v>
      </c>
      <c r="G300" s="47" t="s">
        <v>587</v>
      </c>
      <c r="H300" s="47" t="s">
        <v>1139</v>
      </c>
      <c r="I300" s="46" t="s">
        <v>511</v>
      </c>
      <c r="J300" s="47" t="s">
        <v>589</v>
      </c>
      <c r="K300" s="47" t="s">
        <v>590</v>
      </c>
      <c r="L300" s="47" t="s">
        <v>520</v>
      </c>
      <c r="M300" s="47" t="s">
        <v>514</v>
      </c>
      <c r="N300" s="47" t="s">
        <v>515</v>
      </c>
      <c r="O300" s="45" t="s">
        <v>371</v>
      </c>
      <c r="P300" s="44" t="s">
        <v>309</v>
      </c>
      <c r="Q300" s="59" t="str">
        <f>MID(Tabla1[[#This Row],[Aplicación]],14,1)</f>
        <v>2</v>
      </c>
      <c r="R300" s="35" t="s">
        <v>298</v>
      </c>
      <c r="S300" s="59" t="str">
        <f>MID(Tabla1[[#This Row],[Aplicación]],6,2)</f>
        <v>05</v>
      </c>
      <c r="T300" s="35" t="str">
        <f>VLOOKUP(Tabla1[[#This Row],[AREA]],Hoja1!A:B,2,FALSE)</f>
        <v>05. Innovación, desarrollo económico, empleo y comercio</v>
      </c>
      <c r="U300" s="35" t="str">
        <f>MID(Tabla1[[#This Row],[Aplicación]],9,4)</f>
        <v>4312</v>
      </c>
      <c r="V300" s="35" t="str">
        <f>VLOOKUP(Tabla1[[#This Row],[PROGRAMA]],Hoja1!A:B,2,FALSE)</f>
        <v>4312. Mercados, abastos y lonjas</v>
      </c>
      <c r="W300" s="56" t="str">
        <f>MID(Tabla1[[#This Row],[Aplicación]],14,2)</f>
        <v>22</v>
      </c>
      <c r="X300" s="56" t="str">
        <f>MID(Tabla1[[#This Row],[Aplicación]],14,6)</f>
        <v>22100</v>
      </c>
    </row>
    <row r="301" spans="1:24" x14ac:dyDescent="0.25">
      <c r="A301" s="46">
        <v>220230000098</v>
      </c>
      <c r="B301" s="47" t="s">
        <v>507</v>
      </c>
      <c r="C301" s="52">
        <v>44927</v>
      </c>
      <c r="D301" s="46">
        <v>22023000606</v>
      </c>
      <c r="E301" s="47" t="s">
        <v>1140</v>
      </c>
      <c r="F301" s="53">
        <v>13500</v>
      </c>
      <c r="G301" s="47" t="s">
        <v>587</v>
      </c>
      <c r="H301" s="47" t="s">
        <v>1141</v>
      </c>
      <c r="I301" s="46" t="s">
        <v>511</v>
      </c>
      <c r="J301" s="47" t="s">
        <v>589</v>
      </c>
      <c r="K301" s="47" t="s">
        <v>590</v>
      </c>
      <c r="L301" s="47" t="s">
        <v>552</v>
      </c>
      <c r="M301" s="47" t="s">
        <v>514</v>
      </c>
      <c r="N301" s="47" t="s">
        <v>515</v>
      </c>
      <c r="O301" s="45" t="s">
        <v>371</v>
      </c>
      <c r="P301" s="44" t="s">
        <v>309</v>
      </c>
      <c r="Q301" s="59" t="str">
        <f>MID(Tabla1[[#This Row],[Aplicación]],14,1)</f>
        <v>2</v>
      </c>
      <c r="R301" s="35" t="s">
        <v>298</v>
      </c>
      <c r="S301" s="59" t="str">
        <f>MID(Tabla1[[#This Row],[Aplicación]],6,2)</f>
        <v>08</v>
      </c>
      <c r="T301" s="35" t="str">
        <f>VLOOKUP(Tabla1[[#This Row],[AREA]],Hoja1!A:B,2,FALSE)</f>
        <v>08. Movilidad y espacio urbano</v>
      </c>
      <c r="U301" s="35" t="str">
        <f>MID(Tabla1[[#This Row],[Aplicación]],9,4)</f>
        <v>1532</v>
      </c>
      <c r="V301" s="35" t="str">
        <f>VLOOKUP(Tabla1[[#This Row],[PROGRAMA]],Hoja1!A:B,2,FALSE)</f>
        <v>1532. Pavimentación vias públicas y otros servicios urbanísticos</v>
      </c>
      <c r="W301" s="56" t="str">
        <f>MID(Tabla1[[#This Row],[Aplicación]],14,2)</f>
        <v>22</v>
      </c>
      <c r="X301" s="56" t="str">
        <f>MID(Tabla1[[#This Row],[Aplicación]],14,6)</f>
        <v>22100</v>
      </c>
    </row>
    <row r="302" spans="1:24" x14ac:dyDescent="0.25">
      <c r="A302" s="46">
        <v>220230000099</v>
      </c>
      <c r="B302" s="47" t="s">
        <v>507</v>
      </c>
      <c r="C302" s="52">
        <v>44927</v>
      </c>
      <c r="D302" s="46">
        <v>22023000607</v>
      </c>
      <c r="E302" s="47" t="s">
        <v>1142</v>
      </c>
      <c r="F302" s="53">
        <v>85000</v>
      </c>
      <c r="G302" s="47" t="s">
        <v>587</v>
      </c>
      <c r="H302" s="47" t="s">
        <v>1143</v>
      </c>
      <c r="I302" s="46" t="s">
        <v>511</v>
      </c>
      <c r="J302" s="47" t="s">
        <v>589</v>
      </c>
      <c r="K302" s="47" t="s">
        <v>590</v>
      </c>
      <c r="L302" s="47" t="s">
        <v>552</v>
      </c>
      <c r="M302" s="47" t="s">
        <v>514</v>
      </c>
      <c r="N302" s="47" t="s">
        <v>604</v>
      </c>
      <c r="O302" s="45" t="s">
        <v>371</v>
      </c>
      <c r="P302" s="44" t="s">
        <v>309</v>
      </c>
      <c r="Q302" s="59" t="str">
        <f>MID(Tabla1[[#This Row],[Aplicación]],14,1)</f>
        <v>2</v>
      </c>
      <c r="R302" s="35" t="s">
        <v>298</v>
      </c>
      <c r="S302" s="59" t="str">
        <f>MID(Tabla1[[#This Row],[Aplicación]],6,2)</f>
        <v>04</v>
      </c>
      <c r="T302" s="35" t="str">
        <f>VLOOKUP(Tabla1[[#This Row],[AREA]],Hoja1!A:B,2,FALSE)</f>
        <v>04. Planificación y recursos</v>
      </c>
      <c r="U302" s="35" t="str">
        <f>MID(Tabla1[[#This Row],[Aplicación]],9,4)</f>
        <v>9204</v>
      </c>
      <c r="V302" s="35" t="str">
        <f>VLOOKUP(Tabla1[[#This Row],[PROGRAMA]],Hoja1!A:B,2,FALSE)</f>
        <v>9204. Tecnologías de la información y comunicación</v>
      </c>
      <c r="W302" s="56" t="str">
        <f>MID(Tabla1[[#This Row],[Aplicación]],14,2)</f>
        <v>22</v>
      </c>
      <c r="X302" s="56" t="str">
        <f>MID(Tabla1[[#This Row],[Aplicación]],14,6)</f>
        <v>22100</v>
      </c>
    </row>
    <row r="303" spans="1:24" x14ac:dyDescent="0.25">
      <c r="A303" s="46">
        <v>220230000133</v>
      </c>
      <c r="B303" s="47" t="s">
        <v>507</v>
      </c>
      <c r="C303" s="52">
        <v>44927</v>
      </c>
      <c r="D303" s="46">
        <v>22023000761</v>
      </c>
      <c r="E303" s="47" t="s">
        <v>1144</v>
      </c>
      <c r="F303" s="53">
        <v>460000</v>
      </c>
      <c r="G303" s="47" t="s">
        <v>587</v>
      </c>
      <c r="H303" s="47" t="s">
        <v>1145</v>
      </c>
      <c r="I303" s="46" t="s">
        <v>511</v>
      </c>
      <c r="J303" s="47" t="s">
        <v>589</v>
      </c>
      <c r="K303" s="47" t="s">
        <v>590</v>
      </c>
      <c r="L303" s="47" t="s">
        <v>552</v>
      </c>
      <c r="M303" s="47" t="s">
        <v>514</v>
      </c>
      <c r="N303" s="47" t="s">
        <v>604</v>
      </c>
      <c r="O303" s="45" t="s">
        <v>371</v>
      </c>
      <c r="P303" s="44" t="s">
        <v>309</v>
      </c>
      <c r="Q303" s="59" t="str">
        <f>MID(Tabla1[[#This Row],[Aplicación]],14,1)</f>
        <v>2</v>
      </c>
      <c r="R303" s="35" t="s">
        <v>298</v>
      </c>
      <c r="S303" s="59" t="str">
        <f>MID(Tabla1[[#This Row],[Aplicación]],6,2)</f>
        <v>06</v>
      </c>
      <c r="T303" s="35" t="str">
        <f>VLOOKUP(Tabla1[[#This Row],[AREA]],Hoja1!A:B,2,FALSE)</f>
        <v>06. Educación, infancia, juventud e igualdad</v>
      </c>
      <c r="U303" s="35" t="str">
        <f>MID(Tabla1[[#This Row],[Aplicación]],9,4)</f>
        <v>3232</v>
      </c>
      <c r="V303" s="35" t="str">
        <f>VLOOKUP(Tabla1[[#This Row],[PROGRAMA]],Hoja1!A:B,2,FALSE)</f>
        <v>3232. Conservación y mantenimiento centros educación infantil y primaria</v>
      </c>
      <c r="W303" s="56" t="str">
        <f>MID(Tabla1[[#This Row],[Aplicación]],14,2)</f>
        <v>22</v>
      </c>
      <c r="X303" s="56" t="str">
        <f>MID(Tabla1[[#This Row],[Aplicación]],14,6)</f>
        <v>22100</v>
      </c>
    </row>
    <row r="304" spans="1:24" x14ac:dyDescent="0.25">
      <c r="A304" s="46">
        <v>220230000134</v>
      </c>
      <c r="B304" s="47" t="s">
        <v>507</v>
      </c>
      <c r="C304" s="52">
        <v>44927</v>
      </c>
      <c r="D304" s="46">
        <v>22023000762</v>
      </c>
      <c r="E304" s="47" t="s">
        <v>1146</v>
      </c>
      <c r="F304" s="53">
        <v>95000</v>
      </c>
      <c r="G304" s="47" t="s">
        <v>587</v>
      </c>
      <c r="H304" s="47" t="s">
        <v>1147</v>
      </c>
      <c r="I304" s="46" t="s">
        <v>511</v>
      </c>
      <c r="J304" s="47" t="s">
        <v>589</v>
      </c>
      <c r="K304" s="47" t="s">
        <v>590</v>
      </c>
      <c r="L304" s="47" t="s">
        <v>552</v>
      </c>
      <c r="M304" s="47" t="s">
        <v>514</v>
      </c>
      <c r="N304" s="47" t="s">
        <v>515</v>
      </c>
      <c r="O304" s="45" t="s">
        <v>371</v>
      </c>
      <c r="P304" s="44" t="s">
        <v>309</v>
      </c>
      <c r="Q304" s="59" t="str">
        <f>MID(Tabla1[[#This Row],[Aplicación]],14,1)</f>
        <v>2</v>
      </c>
      <c r="R304" s="35" t="s">
        <v>298</v>
      </c>
      <c r="S304" s="59" t="str">
        <f>MID(Tabla1[[#This Row],[Aplicación]],6,2)</f>
        <v>11</v>
      </c>
      <c r="T304" s="35" t="str">
        <f>VLOOKUP(Tabla1[[#This Row],[AREA]],Hoja1!A:B,2,FALSE)</f>
        <v>11. Salud pública y seguridad ciudadana</v>
      </c>
      <c r="U304" s="35" t="str">
        <f>MID(Tabla1[[#This Row],[Aplicación]],9,4)</f>
        <v>1321</v>
      </c>
      <c r="V304" s="35" t="str">
        <f>VLOOKUP(Tabla1[[#This Row],[PROGRAMA]],Hoja1!A:B,2,FALSE)</f>
        <v>1321. Policía municipal</v>
      </c>
      <c r="W304" s="56" t="str">
        <f>MID(Tabla1[[#This Row],[Aplicación]],14,2)</f>
        <v>22</v>
      </c>
      <c r="X304" s="56" t="str">
        <f>MID(Tabla1[[#This Row],[Aplicación]],14,6)</f>
        <v>22100</v>
      </c>
    </row>
    <row r="305" spans="1:24" x14ac:dyDescent="0.25">
      <c r="A305" s="46">
        <v>220230000135</v>
      </c>
      <c r="B305" s="47" t="s">
        <v>507</v>
      </c>
      <c r="C305" s="52">
        <v>44927</v>
      </c>
      <c r="D305" s="46">
        <v>22023000763</v>
      </c>
      <c r="E305" s="47" t="s">
        <v>1148</v>
      </c>
      <c r="F305" s="53">
        <v>423506</v>
      </c>
      <c r="G305" s="47" t="s">
        <v>587</v>
      </c>
      <c r="H305" s="47" t="s">
        <v>1149</v>
      </c>
      <c r="I305" s="46" t="s">
        <v>511</v>
      </c>
      <c r="J305" s="47" t="s">
        <v>589</v>
      </c>
      <c r="K305" s="47" t="s">
        <v>590</v>
      </c>
      <c r="L305" s="47" t="s">
        <v>552</v>
      </c>
      <c r="M305" s="47" t="s">
        <v>514</v>
      </c>
      <c r="N305" s="47" t="s">
        <v>515</v>
      </c>
      <c r="O305" s="45" t="s">
        <v>371</v>
      </c>
      <c r="P305" s="44" t="s">
        <v>309</v>
      </c>
      <c r="Q305" s="59" t="str">
        <f>MID(Tabla1[[#This Row],[Aplicación]],14,1)</f>
        <v>2</v>
      </c>
      <c r="R305" s="35" t="s">
        <v>298</v>
      </c>
      <c r="S305" s="59" t="str">
        <f>MID(Tabla1[[#This Row],[Aplicación]],6,2)</f>
        <v>03</v>
      </c>
      <c r="T305" s="35" t="str">
        <f>VLOOKUP(Tabla1[[#This Row],[AREA]],Hoja1!A:B,2,FALSE)</f>
        <v>03. Participación ciudadana y deportes</v>
      </c>
      <c r="U305" s="35" t="str">
        <f>MID(Tabla1[[#This Row],[Aplicación]],9,4)</f>
        <v>9241</v>
      </c>
      <c r="V305" s="35" t="str">
        <f>VLOOKUP(Tabla1[[#This Row],[PROGRAMA]],Hoja1!A:B,2,FALSE)</f>
        <v>9241. Participación ciudadana</v>
      </c>
      <c r="W305" s="56" t="str">
        <f>MID(Tabla1[[#This Row],[Aplicación]],14,2)</f>
        <v>22</v>
      </c>
      <c r="X305" s="56" t="str">
        <f>MID(Tabla1[[#This Row],[Aplicación]],14,6)</f>
        <v>22100</v>
      </c>
    </row>
    <row r="306" spans="1:24" x14ac:dyDescent="0.25">
      <c r="A306" s="46">
        <v>220230000039</v>
      </c>
      <c r="B306" s="47" t="s">
        <v>507</v>
      </c>
      <c r="C306" s="52">
        <v>44927</v>
      </c>
      <c r="D306" s="46">
        <v>22023000526</v>
      </c>
      <c r="E306" s="47" t="s">
        <v>1150</v>
      </c>
      <c r="F306" s="53">
        <v>2488.3000000000002</v>
      </c>
      <c r="G306" s="47" t="s">
        <v>39</v>
      </c>
      <c r="H306" s="47" t="s">
        <v>1151</v>
      </c>
      <c r="I306" s="46" t="s">
        <v>511</v>
      </c>
      <c r="J306" s="47" t="s">
        <v>1152</v>
      </c>
      <c r="K306" s="47" t="s">
        <v>771</v>
      </c>
      <c r="L306" s="47" t="s">
        <v>520</v>
      </c>
      <c r="M306" s="47" t="s">
        <v>514</v>
      </c>
      <c r="N306" s="47" t="s">
        <v>604</v>
      </c>
      <c r="O306" s="45" t="s">
        <v>371</v>
      </c>
      <c r="P306" s="44" t="s">
        <v>309</v>
      </c>
      <c r="Q306" s="59" t="str">
        <f>MID(Tabla1[[#This Row],[Aplicación]],14,1)</f>
        <v>2</v>
      </c>
      <c r="R306" s="35" t="s">
        <v>298</v>
      </c>
      <c r="S306" s="59" t="str">
        <f>MID(Tabla1[[#This Row],[Aplicación]],6,2)</f>
        <v>03</v>
      </c>
      <c r="T306" s="35" t="str">
        <f>VLOOKUP(Tabla1[[#This Row],[AREA]],Hoja1!A:B,2,FALSE)</f>
        <v>03. Participación ciudadana y deportes</v>
      </c>
      <c r="U306" s="35" t="str">
        <f>MID(Tabla1[[#This Row],[Aplicación]],9,4)</f>
        <v>9241</v>
      </c>
      <c r="V306" s="35" t="str">
        <f>VLOOKUP(Tabla1[[#This Row],[PROGRAMA]],Hoja1!A:B,2,FALSE)</f>
        <v>9241. Participación ciudadana</v>
      </c>
      <c r="W306" s="56" t="str">
        <f>MID(Tabla1[[#This Row],[Aplicación]],14,2)</f>
        <v>21</v>
      </c>
      <c r="X306" s="56" t="str">
        <f>MID(Tabla1[[#This Row],[Aplicación]],14,6)</f>
        <v>213</v>
      </c>
    </row>
    <row r="307" spans="1:24" x14ac:dyDescent="0.25">
      <c r="A307" s="46">
        <v>220229000723</v>
      </c>
      <c r="B307" s="47" t="s">
        <v>507</v>
      </c>
      <c r="C307" s="52">
        <v>44927</v>
      </c>
      <c r="D307" s="46">
        <v>22023001304</v>
      </c>
      <c r="E307" s="47" t="s">
        <v>1153</v>
      </c>
      <c r="F307" s="53">
        <v>457.38</v>
      </c>
      <c r="G307" s="47" t="s">
        <v>39</v>
      </c>
      <c r="H307" s="47" t="s">
        <v>1154</v>
      </c>
      <c r="I307" s="46" t="s">
        <v>511</v>
      </c>
      <c r="J307" s="47" t="s">
        <v>1152</v>
      </c>
      <c r="K307" s="47" t="s">
        <v>771</v>
      </c>
      <c r="L307" s="47" t="s">
        <v>520</v>
      </c>
      <c r="M307" s="47" t="s">
        <v>514</v>
      </c>
      <c r="N307" s="47" t="s">
        <v>604</v>
      </c>
      <c r="O307" s="45" t="s">
        <v>371</v>
      </c>
      <c r="P307" s="44" t="s">
        <v>309</v>
      </c>
      <c r="Q307" s="59" t="str">
        <f>MID(Tabla1[[#This Row],[Aplicación]],14,1)</f>
        <v>2</v>
      </c>
      <c r="R307" s="35" t="s">
        <v>298</v>
      </c>
      <c r="S307" s="59" t="str">
        <f>MID(Tabla1[[#This Row],[Aplicación]],6,2)</f>
        <v>06</v>
      </c>
      <c r="T307" s="35" t="str">
        <f>VLOOKUP(Tabla1[[#This Row],[AREA]],Hoja1!A:B,2,FALSE)</f>
        <v>06. Educación, infancia, juventud e igualdad</v>
      </c>
      <c r="U307" s="35" t="str">
        <f>MID(Tabla1[[#This Row],[Aplicación]],9,4)</f>
        <v>3261</v>
      </c>
      <c r="V307" s="35" t="str">
        <f>VLOOKUP(Tabla1[[#This Row],[PROGRAMA]],Hoja1!A:B,2,FALSE)</f>
        <v>3261. Servicios complementarios de educación</v>
      </c>
      <c r="W307" s="56" t="str">
        <f>MID(Tabla1[[#This Row],[Aplicación]],14,2)</f>
        <v>21</v>
      </c>
      <c r="X307" s="56" t="str">
        <f>MID(Tabla1[[#This Row],[Aplicación]],14,6)</f>
        <v>213</v>
      </c>
    </row>
    <row r="308" spans="1:24" x14ac:dyDescent="0.25">
      <c r="A308" s="46">
        <v>220229000725</v>
      </c>
      <c r="B308" s="47" t="s">
        <v>507</v>
      </c>
      <c r="C308" s="52">
        <v>44927</v>
      </c>
      <c r="D308" s="46">
        <v>22023001305</v>
      </c>
      <c r="E308" s="47" t="s">
        <v>1155</v>
      </c>
      <c r="F308" s="53">
        <v>457.38</v>
      </c>
      <c r="G308" s="47" t="s">
        <v>39</v>
      </c>
      <c r="H308" s="47" t="s">
        <v>1156</v>
      </c>
      <c r="I308" s="46" t="s">
        <v>511</v>
      </c>
      <c r="J308" s="47" t="s">
        <v>1152</v>
      </c>
      <c r="K308" s="47" t="s">
        <v>771</v>
      </c>
      <c r="L308" s="47" t="s">
        <v>520</v>
      </c>
      <c r="M308" s="47" t="s">
        <v>514</v>
      </c>
      <c r="N308" s="47" t="s">
        <v>604</v>
      </c>
      <c r="O308" s="45" t="s">
        <v>371</v>
      </c>
      <c r="P308" s="44" t="s">
        <v>309</v>
      </c>
      <c r="Q308" s="59" t="str">
        <f>MID(Tabla1[[#This Row],[Aplicación]],14,1)</f>
        <v>2</v>
      </c>
      <c r="R308" s="35" t="s">
        <v>298</v>
      </c>
      <c r="S308" s="59" t="str">
        <f>MID(Tabla1[[#This Row],[Aplicación]],6,2)</f>
        <v>06</v>
      </c>
      <c r="T308" s="35" t="str">
        <f>VLOOKUP(Tabla1[[#This Row],[AREA]],Hoja1!A:B,2,FALSE)</f>
        <v>06. Educación, infancia, juventud e igualdad</v>
      </c>
      <c r="U308" s="35" t="str">
        <f>MID(Tabla1[[#This Row],[Aplicación]],9,4)</f>
        <v>2314</v>
      </c>
      <c r="V308" s="35" t="str">
        <f>VLOOKUP(Tabla1[[#This Row],[PROGRAMA]],Hoja1!A:B,2,FALSE)</f>
        <v>2314. Centro de programas juveniles</v>
      </c>
      <c r="W308" s="56" t="str">
        <f>MID(Tabla1[[#This Row],[Aplicación]],14,2)</f>
        <v>21</v>
      </c>
      <c r="X308" s="56" t="str">
        <f>MID(Tabla1[[#This Row],[Aplicación]],14,6)</f>
        <v>213</v>
      </c>
    </row>
    <row r="309" spans="1:24" x14ac:dyDescent="0.25">
      <c r="A309" s="46">
        <v>220229000729</v>
      </c>
      <c r="B309" s="47" t="s">
        <v>507</v>
      </c>
      <c r="C309" s="52">
        <v>44927</v>
      </c>
      <c r="D309" s="46">
        <v>22023001309</v>
      </c>
      <c r="E309" s="47" t="s">
        <v>669</v>
      </c>
      <c r="F309" s="53">
        <v>6860.7</v>
      </c>
      <c r="G309" s="47" t="s">
        <v>39</v>
      </c>
      <c r="H309" s="47" t="s">
        <v>1157</v>
      </c>
      <c r="I309" s="46" t="s">
        <v>511</v>
      </c>
      <c r="J309" s="47" t="s">
        <v>1152</v>
      </c>
      <c r="K309" s="47" t="s">
        <v>771</v>
      </c>
      <c r="L309" s="47" t="s">
        <v>520</v>
      </c>
      <c r="M309" s="47" t="s">
        <v>514</v>
      </c>
      <c r="N309" s="47" t="s">
        <v>604</v>
      </c>
      <c r="O309" s="45" t="s">
        <v>371</v>
      </c>
      <c r="P309" s="44" t="s">
        <v>309</v>
      </c>
      <c r="Q309" s="59" t="str">
        <f>MID(Tabla1[[#This Row],[Aplicación]],14,1)</f>
        <v>2</v>
      </c>
      <c r="R309" s="35" t="s">
        <v>298</v>
      </c>
      <c r="S309" s="59" t="str">
        <f>MID(Tabla1[[#This Row],[Aplicación]],6,2)</f>
        <v>06</v>
      </c>
      <c r="T309" s="35" t="str">
        <f>VLOOKUP(Tabla1[[#This Row],[AREA]],Hoja1!A:B,2,FALSE)</f>
        <v>06. Educación, infancia, juventud e igualdad</v>
      </c>
      <c r="U309" s="35" t="str">
        <f>MID(Tabla1[[#This Row],[Aplicación]],9,4)</f>
        <v>3232</v>
      </c>
      <c r="V309" s="35" t="str">
        <f>VLOOKUP(Tabla1[[#This Row],[PROGRAMA]],Hoja1!A:B,2,FALSE)</f>
        <v>3232. Conservación y mantenimiento centros educación infantil y primaria</v>
      </c>
      <c r="W309" s="56" t="str">
        <f>MID(Tabla1[[#This Row],[Aplicación]],14,2)</f>
        <v>21</v>
      </c>
      <c r="X309" s="56" t="str">
        <f>MID(Tabla1[[#This Row],[Aplicación]],14,6)</f>
        <v>213</v>
      </c>
    </row>
    <row r="310" spans="1:24" x14ac:dyDescent="0.25">
      <c r="A310" s="46">
        <v>220230001934</v>
      </c>
      <c r="B310" s="47" t="s">
        <v>507</v>
      </c>
      <c r="C310" s="52">
        <v>44960</v>
      </c>
      <c r="D310" s="46">
        <v>22023001341</v>
      </c>
      <c r="E310" s="47" t="s">
        <v>659</v>
      </c>
      <c r="F310" s="53">
        <v>3518.64</v>
      </c>
      <c r="G310" s="47" t="s">
        <v>39</v>
      </c>
      <c r="H310" s="47" t="s">
        <v>1158</v>
      </c>
      <c r="I310" s="46" t="s">
        <v>511</v>
      </c>
      <c r="J310" s="47" t="s">
        <v>1152</v>
      </c>
      <c r="K310" s="47" t="s">
        <v>771</v>
      </c>
      <c r="L310" s="47" t="s">
        <v>520</v>
      </c>
      <c r="M310" s="47" t="s">
        <v>976</v>
      </c>
      <c r="N310" s="47" t="s">
        <v>839</v>
      </c>
      <c r="O310" s="45" t="s">
        <v>383</v>
      </c>
      <c r="P310" s="44" t="s">
        <v>309</v>
      </c>
      <c r="Q310" s="59" t="str">
        <f>MID(Tabla1[[#This Row],[Aplicación]],14,1)</f>
        <v>2</v>
      </c>
      <c r="R310" s="35" t="s">
        <v>298</v>
      </c>
      <c r="S310" s="59" t="str">
        <f>MID(Tabla1[[#This Row],[Aplicación]],6,2)</f>
        <v>11</v>
      </c>
      <c r="T310" s="35" t="str">
        <f>VLOOKUP(Tabla1[[#This Row],[AREA]],Hoja1!A:B,2,FALSE)</f>
        <v>11. Salud pública y seguridad ciudadana</v>
      </c>
      <c r="U310" s="35" t="str">
        <f>MID(Tabla1[[#This Row],[Aplicación]],9,4)</f>
        <v>1321</v>
      </c>
      <c r="V310" s="35" t="str">
        <f>VLOOKUP(Tabla1[[#This Row],[PROGRAMA]],Hoja1!A:B,2,FALSE)</f>
        <v>1321. Policía municipal</v>
      </c>
      <c r="W310" s="56" t="str">
        <f>MID(Tabla1[[#This Row],[Aplicación]],14,2)</f>
        <v>21</v>
      </c>
      <c r="X310" s="56" t="str">
        <f>MID(Tabla1[[#This Row],[Aplicación]],14,6)</f>
        <v>213</v>
      </c>
    </row>
    <row r="311" spans="1:24" x14ac:dyDescent="0.25">
      <c r="A311" s="46">
        <v>220229000650</v>
      </c>
      <c r="B311" s="47" t="s">
        <v>507</v>
      </c>
      <c r="C311" s="52">
        <v>44927</v>
      </c>
      <c r="D311" s="46">
        <v>22023001257</v>
      </c>
      <c r="E311" s="47" t="s">
        <v>618</v>
      </c>
      <c r="F311" s="53">
        <v>439.96</v>
      </c>
      <c r="G311" s="47" t="s">
        <v>15</v>
      </c>
      <c r="H311" s="47" t="s">
        <v>1159</v>
      </c>
      <c r="I311" s="46" t="s">
        <v>511</v>
      </c>
      <c r="J311" s="47" t="s">
        <v>519</v>
      </c>
      <c r="K311" s="47" t="s">
        <v>519</v>
      </c>
      <c r="L311" s="47" t="s">
        <v>520</v>
      </c>
      <c r="M311" s="47" t="s">
        <v>976</v>
      </c>
      <c r="N311" s="47" t="s">
        <v>839</v>
      </c>
      <c r="O311" s="45" t="s">
        <v>383</v>
      </c>
      <c r="P311" s="44" t="s">
        <v>309</v>
      </c>
      <c r="Q311" s="59" t="str">
        <f>MID(Tabla1[[#This Row],[Aplicación]],14,1)</f>
        <v>2</v>
      </c>
      <c r="R311" s="35" t="s">
        <v>298</v>
      </c>
      <c r="S311" s="59" t="str">
        <f>MID(Tabla1[[#This Row],[Aplicación]],6,2)</f>
        <v>10</v>
      </c>
      <c r="T311" s="35" t="str">
        <f>VLOOKUP(Tabla1[[#This Row],[AREA]],Hoja1!A:B,2,FALSE)</f>
        <v>10. Servicios sociales y mediación comunitaria</v>
      </c>
      <c r="U311" s="35" t="str">
        <f>MID(Tabla1[[#This Row],[Aplicación]],9,4)</f>
        <v>2311</v>
      </c>
      <c r="V311" s="35" t="str">
        <f>VLOOKUP(Tabla1[[#This Row],[PROGRAMA]],Hoja1!A:B,2,FALSE)</f>
        <v>2311. Intervención social</v>
      </c>
      <c r="W311" s="56" t="str">
        <f>MID(Tabla1[[#This Row],[Aplicación]],14,2)</f>
        <v>21</v>
      </c>
      <c r="X311" s="56" t="str">
        <f>MID(Tabla1[[#This Row],[Aplicación]],14,6)</f>
        <v>213</v>
      </c>
    </row>
    <row r="312" spans="1:24" x14ac:dyDescent="0.25">
      <c r="A312" s="46">
        <v>220229000651</v>
      </c>
      <c r="B312" s="47" t="s">
        <v>507</v>
      </c>
      <c r="C312" s="52">
        <v>44927</v>
      </c>
      <c r="D312" s="46">
        <v>22023001258</v>
      </c>
      <c r="E312" s="47" t="s">
        <v>618</v>
      </c>
      <c r="F312" s="53">
        <v>879.92</v>
      </c>
      <c r="G312" s="47" t="s">
        <v>15</v>
      </c>
      <c r="H312" s="47" t="s">
        <v>1160</v>
      </c>
      <c r="I312" s="46" t="s">
        <v>511</v>
      </c>
      <c r="J312" s="47" t="s">
        <v>519</v>
      </c>
      <c r="K312" s="47" t="s">
        <v>519</v>
      </c>
      <c r="L312" s="47" t="s">
        <v>520</v>
      </c>
      <c r="M312" s="47" t="s">
        <v>976</v>
      </c>
      <c r="N312" s="47" t="s">
        <v>839</v>
      </c>
      <c r="O312" s="45" t="s">
        <v>383</v>
      </c>
      <c r="P312" s="44" t="s">
        <v>309</v>
      </c>
      <c r="Q312" s="59" t="str">
        <f>MID(Tabla1[[#This Row],[Aplicación]],14,1)</f>
        <v>2</v>
      </c>
      <c r="R312" s="35" t="s">
        <v>298</v>
      </c>
      <c r="S312" s="59" t="str">
        <f>MID(Tabla1[[#This Row],[Aplicación]],6,2)</f>
        <v>10</v>
      </c>
      <c r="T312" s="35" t="str">
        <f>VLOOKUP(Tabla1[[#This Row],[AREA]],Hoja1!A:B,2,FALSE)</f>
        <v>10. Servicios sociales y mediación comunitaria</v>
      </c>
      <c r="U312" s="35" t="str">
        <f>MID(Tabla1[[#This Row],[Aplicación]],9,4)</f>
        <v>2311</v>
      </c>
      <c r="V312" s="35" t="str">
        <f>VLOOKUP(Tabla1[[#This Row],[PROGRAMA]],Hoja1!A:B,2,FALSE)</f>
        <v>2311. Intervención social</v>
      </c>
      <c r="W312" s="56" t="str">
        <f>MID(Tabla1[[#This Row],[Aplicación]],14,2)</f>
        <v>21</v>
      </c>
      <c r="X312" s="56" t="str">
        <f>MID(Tabla1[[#This Row],[Aplicación]],14,6)</f>
        <v>213</v>
      </c>
    </row>
    <row r="313" spans="1:24" x14ac:dyDescent="0.25">
      <c r="A313" s="46">
        <v>220229000655</v>
      </c>
      <c r="B313" s="47" t="s">
        <v>507</v>
      </c>
      <c r="C313" s="52">
        <v>44927</v>
      </c>
      <c r="D313" s="46">
        <v>22023001263</v>
      </c>
      <c r="E313" s="47" t="s">
        <v>613</v>
      </c>
      <c r="F313" s="53">
        <v>1759.84</v>
      </c>
      <c r="G313" s="47" t="s">
        <v>15</v>
      </c>
      <c r="H313" s="47" t="s">
        <v>1161</v>
      </c>
      <c r="I313" s="46" t="s">
        <v>511</v>
      </c>
      <c r="J313" s="47" t="s">
        <v>519</v>
      </c>
      <c r="K313" s="47" t="s">
        <v>519</v>
      </c>
      <c r="L313" s="47" t="s">
        <v>520</v>
      </c>
      <c r="M313" s="47" t="s">
        <v>976</v>
      </c>
      <c r="N313" s="47" t="s">
        <v>839</v>
      </c>
      <c r="O313" s="45" t="s">
        <v>383</v>
      </c>
      <c r="P313" s="44" t="s">
        <v>309</v>
      </c>
      <c r="Q313" s="59" t="str">
        <f>MID(Tabla1[[#This Row],[Aplicación]],14,1)</f>
        <v>2</v>
      </c>
      <c r="R313" s="35" t="s">
        <v>298</v>
      </c>
      <c r="S313" s="59" t="str">
        <f>MID(Tabla1[[#This Row],[Aplicación]],6,2)</f>
        <v>10</v>
      </c>
      <c r="T313" s="35" t="str">
        <f>VLOOKUP(Tabla1[[#This Row],[AREA]],Hoja1!A:B,2,FALSE)</f>
        <v>10. Servicios sociales y mediación comunitaria</v>
      </c>
      <c r="U313" s="35" t="str">
        <f>MID(Tabla1[[#This Row],[Aplicación]],9,4)</f>
        <v>2312</v>
      </c>
      <c r="V313" s="35" t="str">
        <f>VLOOKUP(Tabla1[[#This Row],[PROGRAMA]],Hoja1!A:B,2,FALSE)</f>
        <v>2312. Iniciativas sociales</v>
      </c>
      <c r="W313" s="56" t="str">
        <f>MID(Tabla1[[#This Row],[Aplicación]],14,2)</f>
        <v>21</v>
      </c>
      <c r="X313" s="56" t="str">
        <f>MID(Tabla1[[#This Row],[Aplicación]],14,6)</f>
        <v>213</v>
      </c>
    </row>
    <row r="314" spans="1:24" x14ac:dyDescent="0.25">
      <c r="A314" s="46">
        <v>220229000656</v>
      </c>
      <c r="B314" s="47" t="s">
        <v>507</v>
      </c>
      <c r="C314" s="52">
        <v>44927</v>
      </c>
      <c r="D314" s="46">
        <v>22023001264</v>
      </c>
      <c r="E314" s="47" t="s">
        <v>613</v>
      </c>
      <c r="F314" s="53">
        <v>3079.72</v>
      </c>
      <c r="G314" s="47" t="s">
        <v>15</v>
      </c>
      <c r="H314" s="47" t="s">
        <v>1162</v>
      </c>
      <c r="I314" s="46" t="s">
        <v>511</v>
      </c>
      <c r="J314" s="47" t="s">
        <v>519</v>
      </c>
      <c r="K314" s="47" t="s">
        <v>519</v>
      </c>
      <c r="L314" s="47" t="s">
        <v>520</v>
      </c>
      <c r="M314" s="47" t="s">
        <v>514</v>
      </c>
      <c r="N314" s="47" t="s">
        <v>515</v>
      </c>
      <c r="O314" s="45" t="s">
        <v>371</v>
      </c>
      <c r="P314" s="44" t="s">
        <v>309</v>
      </c>
      <c r="Q314" s="59" t="str">
        <f>MID(Tabla1[[#This Row],[Aplicación]],14,1)</f>
        <v>2</v>
      </c>
      <c r="R314" s="35" t="s">
        <v>298</v>
      </c>
      <c r="S314" s="59" t="str">
        <f>MID(Tabla1[[#This Row],[Aplicación]],6,2)</f>
        <v>10</v>
      </c>
      <c r="T314" s="35" t="str">
        <f>VLOOKUP(Tabla1[[#This Row],[AREA]],Hoja1!A:B,2,FALSE)</f>
        <v>10. Servicios sociales y mediación comunitaria</v>
      </c>
      <c r="U314" s="35" t="str">
        <f>MID(Tabla1[[#This Row],[Aplicación]],9,4)</f>
        <v>2312</v>
      </c>
      <c r="V314" s="35" t="str">
        <f>VLOOKUP(Tabla1[[#This Row],[PROGRAMA]],Hoja1!A:B,2,FALSE)</f>
        <v>2312. Iniciativas sociales</v>
      </c>
      <c r="W314" s="56" t="str">
        <f>MID(Tabla1[[#This Row],[Aplicación]],14,2)</f>
        <v>21</v>
      </c>
      <c r="X314" s="56" t="str">
        <f>MID(Tabla1[[#This Row],[Aplicación]],14,6)</f>
        <v>213</v>
      </c>
    </row>
    <row r="315" spans="1:24" x14ac:dyDescent="0.25">
      <c r="A315" s="46">
        <v>220229000057</v>
      </c>
      <c r="B315" s="47" t="s">
        <v>507</v>
      </c>
      <c r="C315" s="52">
        <v>44927</v>
      </c>
      <c r="D315" s="46">
        <v>22023001369</v>
      </c>
      <c r="E315" s="47" t="s">
        <v>561</v>
      </c>
      <c r="F315" s="53">
        <v>7158</v>
      </c>
      <c r="G315" s="47" t="s">
        <v>1163</v>
      </c>
      <c r="H315" s="47" t="s">
        <v>1164</v>
      </c>
      <c r="I315" s="46" t="s">
        <v>511</v>
      </c>
      <c r="J315" s="47" t="s">
        <v>1165</v>
      </c>
      <c r="K315" s="47" t="s">
        <v>837</v>
      </c>
      <c r="L315" s="47" t="s">
        <v>520</v>
      </c>
      <c r="M315" s="47" t="s">
        <v>514</v>
      </c>
      <c r="N315" s="47" t="s">
        <v>604</v>
      </c>
      <c r="O315" s="54" t="s">
        <v>382</v>
      </c>
      <c r="P315" s="44" t="s">
        <v>309</v>
      </c>
      <c r="Q315" s="59">
        <v>6</v>
      </c>
      <c r="R315" s="35" t="s">
        <v>299</v>
      </c>
      <c r="S315" s="59" t="str">
        <f>MID(Tabla1[[#This Row],[Aplicación]],6,2)</f>
        <v>08</v>
      </c>
      <c r="T315" s="35" t="str">
        <f>VLOOKUP(Tabla1[[#This Row],[AREA]],Hoja1!A:B,2,FALSE)</f>
        <v>08. Movilidad y espacio urbano</v>
      </c>
      <c r="U315" s="56">
        <v>1341</v>
      </c>
      <c r="V315" s="35" t="str">
        <f>VLOOKUP(Tabla1[[#This Row],[PROGRAMA]],Hoja1!A:B,2,FALSE)</f>
        <v>1341. Movilidad</v>
      </c>
      <c r="W315" s="56">
        <v>60</v>
      </c>
      <c r="X315" s="56">
        <v>609</v>
      </c>
    </row>
    <row r="316" spans="1:24" x14ac:dyDescent="0.25">
      <c r="A316" s="46">
        <v>220229000657</v>
      </c>
      <c r="B316" s="47" t="s">
        <v>507</v>
      </c>
      <c r="C316" s="52">
        <v>44927</v>
      </c>
      <c r="D316" s="46">
        <v>22023001265</v>
      </c>
      <c r="E316" s="47" t="s">
        <v>616</v>
      </c>
      <c r="F316" s="53">
        <v>439.96</v>
      </c>
      <c r="G316" s="47" t="s">
        <v>15</v>
      </c>
      <c r="H316" s="47" t="s">
        <v>1166</v>
      </c>
      <c r="I316" s="46" t="s">
        <v>511</v>
      </c>
      <c r="J316" s="47" t="s">
        <v>519</v>
      </c>
      <c r="K316" s="47" t="s">
        <v>519</v>
      </c>
      <c r="L316" s="47" t="s">
        <v>520</v>
      </c>
      <c r="M316" s="47" t="s">
        <v>514</v>
      </c>
      <c r="N316" s="47" t="s">
        <v>515</v>
      </c>
      <c r="O316" s="45" t="s">
        <v>371</v>
      </c>
      <c r="P316" s="44" t="s">
        <v>309</v>
      </c>
      <c r="Q316" s="59" t="str">
        <f>MID(Tabla1[[#This Row],[Aplicación]],14,1)</f>
        <v>2</v>
      </c>
      <c r="R316" s="35" t="s">
        <v>298</v>
      </c>
      <c r="S316" s="59" t="str">
        <f>MID(Tabla1[[#This Row],[Aplicación]],6,2)</f>
        <v>10</v>
      </c>
      <c r="T316" s="35" t="str">
        <f>VLOOKUP(Tabla1[[#This Row],[AREA]],Hoja1!A:B,2,FALSE)</f>
        <v>10. Servicios sociales y mediación comunitaria</v>
      </c>
      <c r="U316" s="35" t="str">
        <f>MID(Tabla1[[#This Row],[Aplicación]],9,4)</f>
        <v>2412</v>
      </c>
      <c r="V316" s="35" t="str">
        <f>VLOOKUP(Tabla1[[#This Row],[PROGRAMA]],Hoja1!A:B,2,FALSE)</f>
        <v>2412. Formación para el empleo</v>
      </c>
      <c r="W316" s="56" t="str">
        <f>MID(Tabla1[[#This Row],[Aplicación]],14,2)</f>
        <v>21</v>
      </c>
      <c r="X316" s="56" t="str">
        <f>MID(Tabla1[[#This Row],[Aplicación]],14,6)</f>
        <v>213</v>
      </c>
    </row>
    <row r="317" spans="1:24" x14ac:dyDescent="0.25">
      <c r="A317" s="46">
        <v>220229000378</v>
      </c>
      <c r="B317" s="47" t="s">
        <v>507</v>
      </c>
      <c r="C317" s="52">
        <v>44927</v>
      </c>
      <c r="D317" s="46">
        <v>22023000452</v>
      </c>
      <c r="E317" s="47" t="s">
        <v>977</v>
      </c>
      <c r="F317" s="53">
        <v>9936</v>
      </c>
      <c r="G317" s="47" t="s">
        <v>1167</v>
      </c>
      <c r="H317" s="47" t="s">
        <v>1168</v>
      </c>
      <c r="I317" s="46" t="s">
        <v>511</v>
      </c>
      <c r="J317" s="47" t="s">
        <v>519</v>
      </c>
      <c r="K317" s="47" t="s">
        <v>519</v>
      </c>
      <c r="L317" s="47" t="s">
        <v>520</v>
      </c>
      <c r="M317" s="47" t="s">
        <v>514</v>
      </c>
      <c r="N317" s="47" t="s">
        <v>515</v>
      </c>
      <c r="O317" s="45" t="s">
        <v>371</v>
      </c>
      <c r="P317" s="44" t="s">
        <v>309</v>
      </c>
      <c r="Q317" s="59" t="str">
        <f>MID(Tabla1[[#This Row],[Aplicación]],14,1)</f>
        <v>2</v>
      </c>
      <c r="R317" s="35" t="s">
        <v>298</v>
      </c>
      <c r="S317" s="59" t="str">
        <f>MID(Tabla1[[#This Row],[Aplicación]],6,2)</f>
        <v>06</v>
      </c>
      <c r="T317" s="35" t="str">
        <f>VLOOKUP(Tabla1[[#This Row],[AREA]],Hoja1!A:B,2,FALSE)</f>
        <v>06. Educación, infancia, juventud e igualdad</v>
      </c>
      <c r="U317" s="35" t="str">
        <f>MID(Tabla1[[#This Row],[Aplicación]],9,4)</f>
        <v>2315</v>
      </c>
      <c r="V317" s="35" t="str">
        <f>VLOOKUP(Tabla1[[#This Row],[PROGRAMA]],Hoja1!A:B,2,FALSE)</f>
        <v>2315. Políticas de Igualdad e infancia</v>
      </c>
      <c r="W317" s="56" t="str">
        <f>MID(Tabla1[[#This Row],[Aplicación]],14,2)</f>
        <v>22</v>
      </c>
      <c r="X317" s="56" t="str">
        <f>MID(Tabla1[[#This Row],[Aplicación]],14,6)</f>
        <v>22620</v>
      </c>
    </row>
    <row r="318" spans="1:24" x14ac:dyDescent="0.25">
      <c r="A318" s="46">
        <v>220229000069</v>
      </c>
      <c r="B318" s="47" t="s">
        <v>507</v>
      </c>
      <c r="C318" s="52">
        <v>44927</v>
      </c>
      <c r="D318" s="46">
        <v>22023000878</v>
      </c>
      <c r="E318" s="47" t="s">
        <v>808</v>
      </c>
      <c r="F318" s="53">
        <v>1634.94</v>
      </c>
      <c r="G318" s="47" t="s">
        <v>1163</v>
      </c>
      <c r="H318" s="47" t="s">
        <v>1169</v>
      </c>
      <c r="I318" s="46" t="s">
        <v>511</v>
      </c>
      <c r="J318" s="47" t="s">
        <v>1165</v>
      </c>
      <c r="K318" s="47" t="s">
        <v>837</v>
      </c>
      <c r="L318" s="47" t="s">
        <v>520</v>
      </c>
      <c r="M318" s="47" t="s">
        <v>514</v>
      </c>
      <c r="N318" s="47" t="s">
        <v>515</v>
      </c>
      <c r="O318" s="54" t="s">
        <v>382</v>
      </c>
      <c r="P318" s="44" t="s">
        <v>309</v>
      </c>
      <c r="Q318" s="59" t="str">
        <f>MID(Tabla1[[#This Row],[Aplicación]],14,1)</f>
        <v>6</v>
      </c>
      <c r="R318" s="35" t="s">
        <v>299</v>
      </c>
      <c r="S318" s="59" t="str">
        <f>MID(Tabla1[[#This Row],[Aplicación]],6,2)</f>
        <v>03</v>
      </c>
      <c r="T318" s="35" t="str">
        <f>VLOOKUP(Tabla1[[#This Row],[AREA]],Hoja1!A:B,2,FALSE)</f>
        <v>03. Participación ciudadana y deportes</v>
      </c>
      <c r="U318" s="35" t="str">
        <f>MID(Tabla1[[#This Row],[Aplicación]],9,4)</f>
        <v>9241</v>
      </c>
      <c r="V318" s="35" t="str">
        <f>VLOOKUP(Tabla1[[#This Row],[PROGRAMA]],Hoja1!A:B,2,FALSE)</f>
        <v>9241. Participación ciudadana</v>
      </c>
      <c r="W318" s="56" t="str">
        <f>MID(Tabla1[[#This Row],[Aplicación]],14,2)</f>
        <v>63</v>
      </c>
      <c r="X318" s="56" t="str">
        <f>MID(Tabla1[[#This Row],[Aplicación]],14,6)</f>
        <v>632</v>
      </c>
    </row>
    <row r="319" spans="1:24" x14ac:dyDescent="0.25">
      <c r="A319" s="46">
        <v>220229000379</v>
      </c>
      <c r="B319" s="47" t="s">
        <v>507</v>
      </c>
      <c r="C319" s="52">
        <v>44927</v>
      </c>
      <c r="D319" s="46">
        <v>22023000453</v>
      </c>
      <c r="E319" s="47" t="s">
        <v>977</v>
      </c>
      <c r="F319" s="53">
        <v>6439.86</v>
      </c>
      <c r="G319" s="47" t="s">
        <v>1170</v>
      </c>
      <c r="H319" s="47" t="s">
        <v>1171</v>
      </c>
      <c r="I319" s="46" t="s">
        <v>511</v>
      </c>
      <c r="J319" s="47" t="s">
        <v>512</v>
      </c>
      <c r="K319" s="47" t="s">
        <v>512</v>
      </c>
      <c r="L319" s="47" t="s">
        <v>520</v>
      </c>
      <c r="M319" s="47" t="s">
        <v>514</v>
      </c>
      <c r="N319" s="47" t="s">
        <v>515</v>
      </c>
      <c r="O319" s="45" t="s">
        <v>371</v>
      </c>
      <c r="P319" s="44" t="s">
        <v>309</v>
      </c>
      <c r="Q319" s="59" t="str">
        <f>MID(Tabla1[[#This Row],[Aplicación]],14,1)</f>
        <v>2</v>
      </c>
      <c r="R319" s="35" t="s">
        <v>298</v>
      </c>
      <c r="S319" s="59" t="str">
        <f>MID(Tabla1[[#This Row],[Aplicación]],6,2)</f>
        <v>06</v>
      </c>
      <c r="T319" s="35" t="str">
        <f>VLOOKUP(Tabla1[[#This Row],[AREA]],Hoja1!A:B,2,FALSE)</f>
        <v>06. Educación, infancia, juventud e igualdad</v>
      </c>
      <c r="U319" s="35" t="str">
        <f>MID(Tabla1[[#This Row],[Aplicación]],9,4)</f>
        <v>2315</v>
      </c>
      <c r="V319" s="35" t="str">
        <f>VLOOKUP(Tabla1[[#This Row],[PROGRAMA]],Hoja1!A:B,2,FALSE)</f>
        <v>2315. Políticas de Igualdad e infancia</v>
      </c>
      <c r="W319" s="56" t="str">
        <f>MID(Tabla1[[#This Row],[Aplicación]],14,2)</f>
        <v>22</v>
      </c>
      <c r="X319" s="56" t="str">
        <f>MID(Tabla1[[#This Row],[Aplicación]],14,6)</f>
        <v>22620</v>
      </c>
    </row>
    <row r="320" spans="1:24" x14ac:dyDescent="0.25">
      <c r="A320" s="46">
        <v>220229000812</v>
      </c>
      <c r="B320" s="47" t="s">
        <v>507</v>
      </c>
      <c r="C320" s="52">
        <v>44927</v>
      </c>
      <c r="D320" s="46">
        <v>22023001884</v>
      </c>
      <c r="E320" s="47" t="s">
        <v>1172</v>
      </c>
      <c r="F320" s="53">
        <v>3811.5</v>
      </c>
      <c r="G320" s="47" t="s">
        <v>1173</v>
      </c>
      <c r="H320" s="47" t="s">
        <v>1174</v>
      </c>
      <c r="I320" s="46" t="s">
        <v>511</v>
      </c>
      <c r="J320" s="47" t="s">
        <v>519</v>
      </c>
      <c r="K320" s="47" t="s">
        <v>519</v>
      </c>
      <c r="L320" s="47" t="s">
        <v>520</v>
      </c>
      <c r="M320" s="47" t="s">
        <v>514</v>
      </c>
      <c r="N320" s="47" t="s">
        <v>604</v>
      </c>
      <c r="O320" s="45" t="s">
        <v>371</v>
      </c>
      <c r="P320" s="44" t="s">
        <v>309</v>
      </c>
      <c r="Q320" s="59" t="str">
        <f>MID(Tabla1[[#This Row],[Aplicación]],14,1)</f>
        <v>2</v>
      </c>
      <c r="R320" s="35" t="s">
        <v>298</v>
      </c>
      <c r="S320" s="59" t="str">
        <f>MID(Tabla1[[#This Row],[Aplicación]],6,2)</f>
        <v>04</v>
      </c>
      <c r="T320" s="35" t="str">
        <f>VLOOKUP(Tabla1[[#This Row],[AREA]],Hoja1!A:B,2,FALSE)</f>
        <v>04. Planificación y recursos</v>
      </c>
      <c r="U320" s="35" t="str">
        <f>MID(Tabla1[[#This Row],[Aplicación]],9,4)</f>
        <v>9311</v>
      </c>
      <c r="V320" s="35" t="str">
        <f>VLOOKUP(Tabla1[[#This Row],[PROGRAMA]],Hoja1!A:B,2,FALSE)</f>
        <v>9311. Planificación económico financiera</v>
      </c>
      <c r="W320" s="56" t="str">
        <f>MID(Tabla1[[#This Row],[Aplicación]],14,2)</f>
        <v>22</v>
      </c>
      <c r="X320" s="56" t="str">
        <f>MID(Tabla1[[#This Row],[Aplicación]],14,6)</f>
        <v>22799</v>
      </c>
    </row>
    <row r="321" spans="1:24" x14ac:dyDescent="0.25">
      <c r="A321" s="46">
        <v>220229000811</v>
      </c>
      <c r="B321" s="47" t="s">
        <v>507</v>
      </c>
      <c r="C321" s="52">
        <v>44927</v>
      </c>
      <c r="D321" s="46">
        <v>22023001883</v>
      </c>
      <c r="E321" s="47" t="s">
        <v>1172</v>
      </c>
      <c r="F321" s="53">
        <v>1270.5</v>
      </c>
      <c r="G321" s="47" t="s">
        <v>1173</v>
      </c>
      <c r="H321" s="47" t="s">
        <v>1175</v>
      </c>
      <c r="I321" s="46" t="s">
        <v>511</v>
      </c>
      <c r="J321" s="47" t="s">
        <v>519</v>
      </c>
      <c r="K321" s="47" t="s">
        <v>519</v>
      </c>
      <c r="L321" s="47" t="s">
        <v>520</v>
      </c>
      <c r="M321" s="47" t="s">
        <v>514</v>
      </c>
      <c r="N321" s="47" t="s">
        <v>604</v>
      </c>
      <c r="O321" s="45" t="s">
        <v>371</v>
      </c>
      <c r="P321" s="44" t="s">
        <v>309</v>
      </c>
      <c r="Q321" s="59" t="str">
        <f>MID(Tabla1[[#This Row],[Aplicación]],14,1)</f>
        <v>2</v>
      </c>
      <c r="R321" s="35" t="s">
        <v>298</v>
      </c>
      <c r="S321" s="59" t="str">
        <f>MID(Tabla1[[#This Row],[Aplicación]],6,2)</f>
        <v>04</v>
      </c>
      <c r="T321" s="35" t="str">
        <f>VLOOKUP(Tabla1[[#This Row],[AREA]],Hoja1!A:B,2,FALSE)</f>
        <v>04. Planificación y recursos</v>
      </c>
      <c r="U321" s="35" t="str">
        <f>MID(Tabla1[[#This Row],[Aplicación]],9,4)</f>
        <v>9311</v>
      </c>
      <c r="V321" s="35" t="str">
        <f>VLOOKUP(Tabla1[[#This Row],[PROGRAMA]],Hoja1!A:B,2,FALSE)</f>
        <v>9311. Planificación económico financiera</v>
      </c>
      <c r="W321" s="56" t="str">
        <f>MID(Tabla1[[#This Row],[Aplicación]],14,2)</f>
        <v>22</v>
      </c>
      <c r="X321" s="56" t="str">
        <f>MID(Tabla1[[#This Row],[Aplicación]],14,6)</f>
        <v>22799</v>
      </c>
    </row>
    <row r="322" spans="1:24" x14ac:dyDescent="0.25">
      <c r="A322" s="46">
        <v>220229000388</v>
      </c>
      <c r="B322" s="47" t="s">
        <v>507</v>
      </c>
      <c r="C322" s="52">
        <v>44927</v>
      </c>
      <c r="D322" s="46">
        <v>22023000458</v>
      </c>
      <c r="E322" s="47" t="s">
        <v>524</v>
      </c>
      <c r="F322" s="53">
        <v>8453.1</v>
      </c>
      <c r="G322" s="47" t="s">
        <v>1163</v>
      </c>
      <c r="H322" s="47" t="s">
        <v>1176</v>
      </c>
      <c r="I322" s="46" t="s">
        <v>511</v>
      </c>
      <c r="J322" s="47" t="s">
        <v>1165</v>
      </c>
      <c r="K322" s="47" t="s">
        <v>837</v>
      </c>
      <c r="L322" s="47" t="s">
        <v>520</v>
      </c>
      <c r="M322" s="47" t="s">
        <v>514</v>
      </c>
      <c r="N322" s="47" t="s">
        <v>515</v>
      </c>
      <c r="O322" s="54" t="s">
        <v>382</v>
      </c>
      <c r="P322" s="44" t="s">
        <v>309</v>
      </c>
      <c r="Q322" s="59" t="str">
        <f>MID(Tabla1[[#This Row],[Aplicación]],14,1)</f>
        <v>6</v>
      </c>
      <c r="R322" s="35" t="s">
        <v>299</v>
      </c>
      <c r="S322" s="59" t="str">
        <f>MID(Tabla1[[#This Row],[Aplicación]],6,2)</f>
        <v>02</v>
      </c>
      <c r="T322" s="35" t="str">
        <f>VLOOKUP(Tabla1[[#This Row],[AREA]],Hoja1!A:B,2,FALSE)</f>
        <v>02. Planeamiento urbanístico y vivienda</v>
      </c>
      <c r="U322" s="35" t="str">
        <f>MID(Tabla1[[#This Row],[Aplicación]],9,4)</f>
        <v>1511</v>
      </c>
      <c r="V322" s="35" t="str">
        <f>VLOOKUP(Tabla1[[#This Row],[PROGRAMA]],Hoja1!A:B,2,FALSE)</f>
        <v>1511. Planficación y gestión del urbanismo</v>
      </c>
      <c r="W322" s="56" t="str">
        <f>MID(Tabla1[[#This Row],[Aplicación]],14,2)</f>
        <v>61</v>
      </c>
      <c r="X322" s="56" t="str">
        <f>MID(Tabla1[[#This Row],[Aplicación]],14,6)</f>
        <v>619</v>
      </c>
    </row>
    <row r="323" spans="1:24" x14ac:dyDescent="0.25">
      <c r="A323" s="46">
        <v>220229000679</v>
      </c>
      <c r="B323" s="47" t="s">
        <v>507</v>
      </c>
      <c r="C323" s="52">
        <v>44927</v>
      </c>
      <c r="D323" s="46">
        <v>22023001282</v>
      </c>
      <c r="E323" s="47" t="s">
        <v>817</v>
      </c>
      <c r="F323" s="53">
        <v>19.420000000000002</v>
      </c>
      <c r="G323" s="47" t="s">
        <v>1163</v>
      </c>
      <c r="H323" s="47" t="s">
        <v>1177</v>
      </c>
      <c r="I323" s="46" t="s">
        <v>511</v>
      </c>
      <c r="J323" s="47" t="s">
        <v>1165</v>
      </c>
      <c r="K323" s="47" t="s">
        <v>837</v>
      </c>
      <c r="L323" s="47" t="s">
        <v>520</v>
      </c>
      <c r="M323" s="47" t="s">
        <v>514</v>
      </c>
      <c r="N323" s="47" t="s">
        <v>515</v>
      </c>
      <c r="O323" s="54" t="s">
        <v>382</v>
      </c>
      <c r="P323" s="44" t="s">
        <v>309</v>
      </c>
      <c r="Q323" s="59" t="str">
        <f>MID(Tabla1[[#This Row],[Aplicación]],14,1)</f>
        <v>6</v>
      </c>
      <c r="R323" s="35" t="s">
        <v>299</v>
      </c>
      <c r="S323" s="59" t="str">
        <f>MID(Tabla1[[#This Row],[Aplicación]],6,2)</f>
        <v>05</v>
      </c>
      <c r="T323" s="35" t="str">
        <f>VLOOKUP(Tabla1[[#This Row],[AREA]],Hoja1!A:B,2,FALSE)</f>
        <v>05. Innovación, desarrollo económico, empleo y comercio</v>
      </c>
      <c r="U323" s="35" t="str">
        <f>MID(Tabla1[[#This Row],[Aplicación]],9,4)</f>
        <v>4331</v>
      </c>
      <c r="V323" s="35" t="str">
        <f>VLOOKUP(Tabla1[[#This Row],[PROGRAMA]],Hoja1!A:B,2,FALSE)</f>
        <v>4331. Desarrollo empresarial</v>
      </c>
      <c r="W323" s="56" t="str">
        <f>MID(Tabla1[[#This Row],[Aplicación]],14,2)</f>
        <v>60</v>
      </c>
      <c r="X323" s="56" t="str">
        <f>MID(Tabla1[[#This Row],[Aplicación]],14,6)</f>
        <v>609</v>
      </c>
    </row>
    <row r="324" spans="1:24" x14ac:dyDescent="0.25">
      <c r="A324" s="46">
        <v>220229000444</v>
      </c>
      <c r="B324" s="47" t="s">
        <v>507</v>
      </c>
      <c r="C324" s="52">
        <v>44927</v>
      </c>
      <c r="D324" s="46">
        <v>22023000734</v>
      </c>
      <c r="E324" s="47" t="s">
        <v>726</v>
      </c>
      <c r="F324" s="53">
        <v>15511.9</v>
      </c>
      <c r="G324" s="47" t="s">
        <v>420</v>
      </c>
      <c r="H324" s="47" t="s">
        <v>1178</v>
      </c>
      <c r="I324" s="46" t="s">
        <v>511</v>
      </c>
      <c r="J324" s="47" t="s">
        <v>519</v>
      </c>
      <c r="K324" s="47" t="s">
        <v>519</v>
      </c>
      <c r="L324" s="47" t="s">
        <v>552</v>
      </c>
      <c r="M324" s="47" t="s">
        <v>514</v>
      </c>
      <c r="N324" s="47" t="s">
        <v>604</v>
      </c>
      <c r="O324" s="54" t="s">
        <v>371</v>
      </c>
      <c r="P324" s="44" t="s">
        <v>309</v>
      </c>
      <c r="Q324" s="59" t="str">
        <f>MID(Tabla1[[#This Row],[Aplicación]],14,1)</f>
        <v>6</v>
      </c>
      <c r="R324" s="35" t="s">
        <v>299</v>
      </c>
      <c r="S324" s="59" t="str">
        <f>MID(Tabla1[[#This Row],[Aplicación]],6,2)</f>
        <v>04</v>
      </c>
      <c r="T324" s="35" t="str">
        <f>VLOOKUP(Tabla1[[#This Row],[AREA]],Hoja1!A:B,2,FALSE)</f>
        <v>04. Planificación y recursos</v>
      </c>
      <c r="U324" s="35" t="str">
        <f>MID(Tabla1[[#This Row],[Aplicación]],9,4)</f>
        <v>9204</v>
      </c>
      <c r="V324" s="35" t="str">
        <f>VLOOKUP(Tabla1[[#This Row],[PROGRAMA]],Hoja1!A:B,2,FALSE)</f>
        <v>9204. Tecnologías de la información y comunicación</v>
      </c>
      <c r="W324" s="56" t="str">
        <f>MID(Tabla1[[#This Row],[Aplicación]],14,2)</f>
        <v>64</v>
      </c>
      <c r="X324" s="56" t="str">
        <f>MID(Tabla1[[#This Row],[Aplicación]],14,6)</f>
        <v>641</v>
      </c>
    </row>
    <row r="325" spans="1:24" x14ac:dyDescent="0.25">
      <c r="A325" s="46">
        <v>220229000023</v>
      </c>
      <c r="B325" s="47" t="s">
        <v>507</v>
      </c>
      <c r="C325" s="52">
        <v>44927</v>
      </c>
      <c r="D325" s="46">
        <v>22023000288</v>
      </c>
      <c r="E325" s="47" t="s">
        <v>726</v>
      </c>
      <c r="F325" s="53">
        <v>14707.74</v>
      </c>
      <c r="G325" s="47" t="s">
        <v>420</v>
      </c>
      <c r="H325" s="47" t="s">
        <v>1179</v>
      </c>
      <c r="I325" s="46" t="s">
        <v>511</v>
      </c>
      <c r="J325" s="47" t="s">
        <v>519</v>
      </c>
      <c r="K325" s="47" t="s">
        <v>519</v>
      </c>
      <c r="L325" s="47" t="s">
        <v>552</v>
      </c>
      <c r="M325" s="47" t="s">
        <v>514</v>
      </c>
      <c r="N325" s="47" t="s">
        <v>515</v>
      </c>
      <c r="O325" s="54" t="s">
        <v>371</v>
      </c>
      <c r="P325" s="44" t="s">
        <v>309</v>
      </c>
      <c r="Q325" s="59" t="str">
        <f>MID(Tabla1[[#This Row],[Aplicación]],14,1)</f>
        <v>6</v>
      </c>
      <c r="R325" s="35" t="s">
        <v>299</v>
      </c>
      <c r="S325" s="59" t="str">
        <f>MID(Tabla1[[#This Row],[Aplicación]],6,2)</f>
        <v>04</v>
      </c>
      <c r="T325" s="35" t="str">
        <f>VLOOKUP(Tabla1[[#This Row],[AREA]],Hoja1!A:B,2,FALSE)</f>
        <v>04. Planificación y recursos</v>
      </c>
      <c r="U325" s="35" t="str">
        <f>MID(Tabla1[[#This Row],[Aplicación]],9,4)</f>
        <v>9204</v>
      </c>
      <c r="V325" s="35" t="str">
        <f>VLOOKUP(Tabla1[[#This Row],[PROGRAMA]],Hoja1!A:B,2,FALSE)</f>
        <v>9204. Tecnologías de la información y comunicación</v>
      </c>
      <c r="W325" s="56" t="str">
        <f>MID(Tabla1[[#This Row],[Aplicación]],14,2)</f>
        <v>64</v>
      </c>
      <c r="X325" s="56" t="str">
        <f>MID(Tabla1[[#This Row],[Aplicación]],14,6)</f>
        <v>641</v>
      </c>
    </row>
    <row r="326" spans="1:24" x14ac:dyDescent="0.25">
      <c r="A326" s="46">
        <v>220229000442</v>
      </c>
      <c r="B326" s="47" t="s">
        <v>507</v>
      </c>
      <c r="C326" s="52">
        <v>44927</v>
      </c>
      <c r="D326" s="46">
        <v>22023000732</v>
      </c>
      <c r="E326" s="47" t="s">
        <v>726</v>
      </c>
      <c r="F326" s="53">
        <v>11495</v>
      </c>
      <c r="G326" s="47" t="s">
        <v>420</v>
      </c>
      <c r="H326" s="47" t="s">
        <v>1180</v>
      </c>
      <c r="I326" s="46" t="s">
        <v>511</v>
      </c>
      <c r="J326" s="47" t="s">
        <v>519</v>
      </c>
      <c r="K326" s="47" t="s">
        <v>519</v>
      </c>
      <c r="L326" s="47" t="s">
        <v>552</v>
      </c>
      <c r="M326" s="47" t="s">
        <v>514</v>
      </c>
      <c r="N326" s="47" t="s">
        <v>604</v>
      </c>
      <c r="O326" s="54" t="s">
        <v>371</v>
      </c>
      <c r="P326" s="44" t="s">
        <v>309</v>
      </c>
      <c r="Q326" s="59" t="str">
        <f>MID(Tabla1[[#This Row],[Aplicación]],14,1)</f>
        <v>6</v>
      </c>
      <c r="R326" s="35" t="s">
        <v>299</v>
      </c>
      <c r="S326" s="59" t="str">
        <f>MID(Tabla1[[#This Row],[Aplicación]],6,2)</f>
        <v>04</v>
      </c>
      <c r="T326" s="35" t="str">
        <f>VLOOKUP(Tabla1[[#This Row],[AREA]],Hoja1!A:B,2,FALSE)</f>
        <v>04. Planificación y recursos</v>
      </c>
      <c r="U326" s="35" t="str">
        <f>MID(Tabla1[[#This Row],[Aplicación]],9,4)</f>
        <v>9204</v>
      </c>
      <c r="V326" s="35" t="str">
        <f>VLOOKUP(Tabla1[[#This Row],[PROGRAMA]],Hoja1!A:B,2,FALSE)</f>
        <v>9204. Tecnologías de la información y comunicación</v>
      </c>
      <c r="W326" s="56" t="str">
        <f>MID(Tabla1[[#This Row],[Aplicación]],14,2)</f>
        <v>64</v>
      </c>
      <c r="X326" s="56" t="str">
        <f>MID(Tabla1[[#This Row],[Aplicación]],14,6)</f>
        <v>641</v>
      </c>
    </row>
    <row r="327" spans="1:24" x14ac:dyDescent="0.25">
      <c r="A327" s="46">
        <v>220229000100</v>
      </c>
      <c r="B327" s="47" t="s">
        <v>507</v>
      </c>
      <c r="C327" s="52">
        <v>44927</v>
      </c>
      <c r="D327" s="46">
        <v>22023000886</v>
      </c>
      <c r="E327" s="47" t="s">
        <v>1181</v>
      </c>
      <c r="F327" s="53">
        <v>573.54</v>
      </c>
      <c r="G327" s="47" t="s">
        <v>420</v>
      </c>
      <c r="H327" s="47" t="s">
        <v>1182</v>
      </c>
      <c r="I327" s="46" t="s">
        <v>511</v>
      </c>
      <c r="J327" s="47" t="s">
        <v>519</v>
      </c>
      <c r="K327" s="47" t="s">
        <v>519</v>
      </c>
      <c r="L327" s="47" t="s">
        <v>520</v>
      </c>
      <c r="M327" s="47" t="s">
        <v>976</v>
      </c>
      <c r="N327" s="47" t="s">
        <v>839</v>
      </c>
      <c r="O327" s="45" t="s">
        <v>383</v>
      </c>
      <c r="P327" s="44" t="s">
        <v>309</v>
      </c>
      <c r="Q327" s="59" t="str">
        <f>MID(Tabla1[[#This Row],[Aplicación]],14,1)</f>
        <v>2</v>
      </c>
      <c r="R327" s="35" t="s">
        <v>298</v>
      </c>
      <c r="S327" s="59" t="str">
        <f>MID(Tabla1[[#This Row],[Aplicación]],6,2)</f>
        <v>09</v>
      </c>
      <c r="T327" s="35" t="str">
        <f>VLOOKUP(Tabla1[[#This Row],[AREA]],Hoja1!A:B,2,FALSE)</f>
        <v>09. Cultura y turismo</v>
      </c>
      <c r="U327" s="35" t="str">
        <f>MID(Tabla1[[#This Row],[Aplicación]],9,4)</f>
        <v>3341</v>
      </c>
      <c r="V327" s="35" t="str">
        <f>VLOOKUP(Tabla1[[#This Row],[PROGRAMA]],Hoja1!A:B,2,FALSE)</f>
        <v>3341. Coordinación de políticas culturales</v>
      </c>
      <c r="W327" s="56" t="str">
        <f>MID(Tabla1[[#This Row],[Aplicación]],14,2)</f>
        <v>22</v>
      </c>
      <c r="X327" s="56" t="str">
        <f>MID(Tabla1[[#This Row],[Aplicación]],14,6)</f>
        <v>22200</v>
      </c>
    </row>
    <row r="328" spans="1:24" x14ac:dyDescent="0.25">
      <c r="A328" s="46">
        <v>220229000517</v>
      </c>
      <c r="B328" s="47" t="s">
        <v>507</v>
      </c>
      <c r="C328" s="52">
        <v>44927</v>
      </c>
      <c r="D328" s="46">
        <v>22023001205</v>
      </c>
      <c r="E328" s="47" t="s">
        <v>1183</v>
      </c>
      <c r="F328" s="53">
        <v>4627.04</v>
      </c>
      <c r="G328" s="47" t="s">
        <v>1184</v>
      </c>
      <c r="H328" s="47" t="s">
        <v>1185</v>
      </c>
      <c r="I328" s="46" t="s">
        <v>511</v>
      </c>
      <c r="J328" s="47" t="s">
        <v>519</v>
      </c>
      <c r="K328" s="47" t="s">
        <v>519</v>
      </c>
      <c r="L328" s="47" t="s">
        <v>520</v>
      </c>
      <c r="M328" s="47" t="s">
        <v>976</v>
      </c>
      <c r="N328" s="47" t="s">
        <v>839</v>
      </c>
      <c r="O328" s="45" t="s">
        <v>383</v>
      </c>
      <c r="P328" s="44" t="s">
        <v>309</v>
      </c>
      <c r="Q328" s="59" t="str">
        <f>MID(Tabla1[[#This Row],[Aplicación]],14,1)</f>
        <v>2</v>
      </c>
      <c r="R328" s="35" t="s">
        <v>298</v>
      </c>
      <c r="S328" s="59" t="str">
        <f>MID(Tabla1[[#This Row],[Aplicación]],6,2)</f>
        <v>09</v>
      </c>
      <c r="T328" s="35" t="str">
        <f>VLOOKUP(Tabla1[[#This Row],[AREA]],Hoja1!A:B,2,FALSE)</f>
        <v>09. Cultura y turismo</v>
      </c>
      <c r="U328" s="35" t="str">
        <f>MID(Tabla1[[#This Row],[Aplicación]],9,4)</f>
        <v>3341</v>
      </c>
      <c r="V328" s="35" t="str">
        <f>VLOOKUP(Tabla1[[#This Row],[PROGRAMA]],Hoja1!A:B,2,FALSE)</f>
        <v>3341. Coordinación de políticas culturales</v>
      </c>
      <c r="W328" s="56" t="str">
        <f>MID(Tabla1[[#This Row],[Aplicación]],14,2)</f>
        <v>22</v>
      </c>
      <c r="X328" s="56" t="str">
        <f>MID(Tabla1[[#This Row],[Aplicación]],14,6)</f>
        <v>22602</v>
      </c>
    </row>
    <row r="329" spans="1:24" x14ac:dyDescent="0.25">
      <c r="A329" s="46">
        <v>220229000268</v>
      </c>
      <c r="B329" s="47" t="s">
        <v>507</v>
      </c>
      <c r="C329" s="52">
        <v>44927</v>
      </c>
      <c r="D329" s="46">
        <v>22023000939</v>
      </c>
      <c r="E329" s="47" t="s">
        <v>726</v>
      </c>
      <c r="F329" s="53">
        <v>18750</v>
      </c>
      <c r="G329" s="47" t="s">
        <v>1019</v>
      </c>
      <c r="H329" s="47" t="s">
        <v>1186</v>
      </c>
      <c r="I329" s="46" t="s">
        <v>511</v>
      </c>
      <c r="J329" s="47" t="s">
        <v>1021</v>
      </c>
      <c r="K329" s="47" t="s">
        <v>729</v>
      </c>
      <c r="L329" s="47" t="s">
        <v>520</v>
      </c>
      <c r="M329" s="47" t="s">
        <v>514</v>
      </c>
      <c r="N329" s="47" t="s">
        <v>515</v>
      </c>
      <c r="O329" s="54" t="s">
        <v>371</v>
      </c>
      <c r="P329" s="44" t="s">
        <v>309</v>
      </c>
      <c r="Q329" s="59" t="str">
        <f>MID(Tabla1[[#This Row],[Aplicación]],14,1)</f>
        <v>6</v>
      </c>
      <c r="R329" s="35" t="s">
        <v>299</v>
      </c>
      <c r="S329" s="59" t="str">
        <f>MID(Tabla1[[#This Row],[Aplicación]],6,2)</f>
        <v>04</v>
      </c>
      <c r="T329" s="35" t="str">
        <f>VLOOKUP(Tabla1[[#This Row],[AREA]],Hoja1!A:B,2,FALSE)</f>
        <v>04. Planificación y recursos</v>
      </c>
      <c r="U329" s="35" t="str">
        <f>MID(Tabla1[[#This Row],[Aplicación]],9,4)</f>
        <v>9204</v>
      </c>
      <c r="V329" s="35" t="str">
        <f>VLOOKUP(Tabla1[[#This Row],[PROGRAMA]],Hoja1!A:B,2,FALSE)</f>
        <v>9204. Tecnologías de la información y comunicación</v>
      </c>
      <c r="W329" s="56" t="str">
        <f>MID(Tabla1[[#This Row],[Aplicación]],14,2)</f>
        <v>64</v>
      </c>
      <c r="X329" s="56" t="str">
        <f>MID(Tabla1[[#This Row],[Aplicación]],14,6)</f>
        <v>641</v>
      </c>
    </row>
    <row r="330" spans="1:24" x14ac:dyDescent="0.25">
      <c r="A330" s="46">
        <v>220229000182</v>
      </c>
      <c r="B330" s="47" t="s">
        <v>507</v>
      </c>
      <c r="C330" s="52">
        <v>44927</v>
      </c>
      <c r="D330" s="46">
        <v>22023000924</v>
      </c>
      <c r="E330" s="47" t="s">
        <v>1187</v>
      </c>
      <c r="F330" s="53">
        <v>8167.5</v>
      </c>
      <c r="G330" s="47" t="s">
        <v>1019</v>
      </c>
      <c r="H330" s="47" t="s">
        <v>1188</v>
      </c>
      <c r="I330" s="46" t="s">
        <v>511</v>
      </c>
      <c r="J330" s="47" t="s">
        <v>1021</v>
      </c>
      <c r="K330" s="47" t="s">
        <v>729</v>
      </c>
      <c r="L330" s="47" t="s">
        <v>520</v>
      </c>
      <c r="M330" s="47" t="s">
        <v>514</v>
      </c>
      <c r="N330" s="47" t="s">
        <v>515</v>
      </c>
      <c r="O330" s="45" t="s">
        <v>371</v>
      </c>
      <c r="P330" s="44" t="s">
        <v>309</v>
      </c>
      <c r="Q330" s="59" t="str">
        <f>MID(Tabla1[[#This Row],[Aplicación]],14,1)</f>
        <v>2</v>
      </c>
      <c r="R330" s="35" t="s">
        <v>298</v>
      </c>
      <c r="S330" s="59" t="str">
        <f>MID(Tabla1[[#This Row],[Aplicación]],6,2)</f>
        <v>01</v>
      </c>
      <c r="T330" s="35" t="str">
        <f>VLOOKUP(Tabla1[[#This Row],[AREA]],Hoja1!A:B,2,FALSE)</f>
        <v>01. Alcaldía</v>
      </c>
      <c r="U330" s="35" t="str">
        <f>MID(Tabla1[[#This Row],[Aplicación]],9,4)</f>
        <v>9312</v>
      </c>
      <c r="V330" s="35" t="str">
        <f>VLOOKUP(Tabla1[[#This Row],[PROGRAMA]],Hoja1!A:B,2,FALSE)</f>
        <v>9312. Intervención general</v>
      </c>
      <c r="W330" s="56" t="str">
        <f>MID(Tabla1[[#This Row],[Aplicación]],14,2)</f>
        <v>22</v>
      </c>
      <c r="X330" s="56" t="str">
        <f>MID(Tabla1[[#This Row],[Aplicación]],14,6)</f>
        <v>22706</v>
      </c>
    </row>
    <row r="331" spans="1:24" x14ac:dyDescent="0.25">
      <c r="A331" s="46">
        <v>220229000838</v>
      </c>
      <c r="B331" s="47" t="s">
        <v>507</v>
      </c>
      <c r="C331" s="52">
        <v>44927</v>
      </c>
      <c r="D331" s="46">
        <v>22023001898</v>
      </c>
      <c r="E331" s="47" t="s">
        <v>1043</v>
      </c>
      <c r="F331" s="53">
        <v>8893.5</v>
      </c>
      <c r="G331" s="47" t="s">
        <v>1189</v>
      </c>
      <c r="H331" s="47" t="s">
        <v>1190</v>
      </c>
      <c r="I331" s="46" t="s">
        <v>511</v>
      </c>
      <c r="J331" s="47" t="s">
        <v>953</v>
      </c>
      <c r="K331" s="47" t="s">
        <v>519</v>
      </c>
      <c r="L331" s="47" t="s">
        <v>520</v>
      </c>
      <c r="M331" s="47" t="s">
        <v>976</v>
      </c>
      <c r="N331" s="47" t="s">
        <v>839</v>
      </c>
      <c r="O331" s="45" t="s">
        <v>383</v>
      </c>
      <c r="P331" s="44" t="s">
        <v>309</v>
      </c>
      <c r="Q331" s="59" t="str">
        <f>MID(Tabla1[[#This Row],[Aplicación]],14,1)</f>
        <v>2</v>
      </c>
      <c r="R331" s="35" t="s">
        <v>298</v>
      </c>
      <c r="S331" s="59" t="str">
        <f>MID(Tabla1[[#This Row],[Aplicación]],6,2)</f>
        <v>10</v>
      </c>
      <c r="T331" s="35" t="str">
        <f>VLOOKUP(Tabla1[[#This Row],[AREA]],Hoja1!A:B,2,FALSE)</f>
        <v>10. Servicios sociales y mediación comunitaria</v>
      </c>
      <c r="U331" s="35" t="str">
        <f>MID(Tabla1[[#This Row],[Aplicación]],9,4)</f>
        <v>2312</v>
      </c>
      <c r="V331" s="35" t="str">
        <f>VLOOKUP(Tabla1[[#This Row],[PROGRAMA]],Hoja1!A:B,2,FALSE)</f>
        <v>2312. Iniciativas sociales</v>
      </c>
      <c r="W331" s="56" t="str">
        <f>MID(Tabla1[[#This Row],[Aplicación]],14,2)</f>
        <v>22</v>
      </c>
      <c r="X331" s="56" t="str">
        <f>MID(Tabla1[[#This Row],[Aplicación]],14,6)</f>
        <v>22699</v>
      </c>
    </row>
    <row r="332" spans="1:24" x14ac:dyDescent="0.25">
      <c r="A332" s="46">
        <v>220229000678</v>
      </c>
      <c r="B332" s="47" t="s">
        <v>507</v>
      </c>
      <c r="C332" s="52">
        <v>44927</v>
      </c>
      <c r="D332" s="46">
        <v>22023001281</v>
      </c>
      <c r="E332" s="47" t="s">
        <v>1191</v>
      </c>
      <c r="F332" s="53">
        <v>363</v>
      </c>
      <c r="G332" s="47" t="s">
        <v>1192</v>
      </c>
      <c r="H332" s="47" t="s">
        <v>1193</v>
      </c>
      <c r="I332" s="46" t="s">
        <v>511</v>
      </c>
      <c r="J332" s="47" t="s">
        <v>519</v>
      </c>
      <c r="K332" s="47" t="s">
        <v>519</v>
      </c>
      <c r="L332" s="47" t="s">
        <v>520</v>
      </c>
      <c r="M332" s="47" t="s">
        <v>976</v>
      </c>
      <c r="N332" s="47" t="s">
        <v>839</v>
      </c>
      <c r="O332" s="45" t="s">
        <v>383</v>
      </c>
      <c r="P332" s="44" t="s">
        <v>309</v>
      </c>
      <c r="Q332" s="59" t="str">
        <f>MID(Tabla1[[#This Row],[Aplicación]],14,1)</f>
        <v>2</v>
      </c>
      <c r="R332" s="35" t="s">
        <v>298</v>
      </c>
      <c r="S332" s="59" t="str">
        <f>MID(Tabla1[[#This Row],[Aplicación]],6,2)</f>
        <v>06</v>
      </c>
      <c r="T332" s="35" t="str">
        <f>VLOOKUP(Tabla1[[#This Row],[AREA]],Hoja1!A:B,2,FALSE)</f>
        <v>06. Educación, infancia, juventud e igualdad</v>
      </c>
      <c r="U332" s="35" t="str">
        <f>MID(Tabla1[[#This Row],[Aplicación]],9,4)</f>
        <v>2315</v>
      </c>
      <c r="V332" s="35" t="str">
        <f>VLOOKUP(Tabla1[[#This Row],[PROGRAMA]],Hoja1!A:B,2,FALSE)</f>
        <v>2315. Políticas de Igualdad e infancia</v>
      </c>
      <c r="W332" s="56" t="str">
        <f>MID(Tabla1[[#This Row],[Aplicación]],14,2)</f>
        <v>22</v>
      </c>
      <c r="X332" s="56" t="str">
        <f>MID(Tabla1[[#This Row],[Aplicación]],14,6)</f>
        <v>22611</v>
      </c>
    </row>
    <row r="333" spans="1:24" x14ac:dyDescent="0.25">
      <c r="A333" s="46">
        <v>220229000681</v>
      </c>
      <c r="B333" s="47" t="s">
        <v>507</v>
      </c>
      <c r="C333" s="52">
        <v>44927</v>
      </c>
      <c r="D333" s="46">
        <v>22023001284</v>
      </c>
      <c r="E333" s="47" t="s">
        <v>817</v>
      </c>
      <c r="F333" s="53">
        <v>1568.4</v>
      </c>
      <c r="G333" s="47" t="s">
        <v>1163</v>
      </c>
      <c r="H333" s="47" t="s">
        <v>1194</v>
      </c>
      <c r="I333" s="46" t="s">
        <v>511</v>
      </c>
      <c r="J333" s="47" t="s">
        <v>1165</v>
      </c>
      <c r="K333" s="47" t="s">
        <v>837</v>
      </c>
      <c r="L333" s="47" t="s">
        <v>520</v>
      </c>
      <c r="M333" s="47" t="s">
        <v>514</v>
      </c>
      <c r="N333" s="47" t="s">
        <v>515</v>
      </c>
      <c r="O333" s="54" t="s">
        <v>382</v>
      </c>
      <c r="P333" s="44" t="s">
        <v>309</v>
      </c>
      <c r="Q333" s="59" t="str">
        <f>MID(Tabla1[[#This Row],[Aplicación]],14,1)</f>
        <v>6</v>
      </c>
      <c r="R333" s="35" t="s">
        <v>299</v>
      </c>
      <c r="S333" s="59" t="str">
        <f>MID(Tabla1[[#This Row],[Aplicación]],6,2)</f>
        <v>05</v>
      </c>
      <c r="T333" s="35" t="str">
        <f>VLOOKUP(Tabla1[[#This Row],[AREA]],Hoja1!A:B,2,FALSE)</f>
        <v>05. Innovación, desarrollo económico, empleo y comercio</v>
      </c>
      <c r="U333" s="35" t="str">
        <f>MID(Tabla1[[#This Row],[Aplicación]],9,4)</f>
        <v>4331</v>
      </c>
      <c r="V333" s="35" t="str">
        <f>VLOOKUP(Tabla1[[#This Row],[PROGRAMA]],Hoja1!A:B,2,FALSE)</f>
        <v>4331. Desarrollo empresarial</v>
      </c>
      <c r="W333" s="56" t="str">
        <f>MID(Tabla1[[#This Row],[Aplicación]],14,2)</f>
        <v>60</v>
      </c>
      <c r="X333" s="56" t="str">
        <f>MID(Tabla1[[#This Row],[Aplicación]],14,6)</f>
        <v>609</v>
      </c>
    </row>
    <row r="334" spans="1:24" x14ac:dyDescent="0.25">
      <c r="A334" s="46">
        <v>220229000314</v>
      </c>
      <c r="B334" s="47" t="s">
        <v>507</v>
      </c>
      <c r="C334" s="52">
        <v>44927</v>
      </c>
      <c r="D334" s="46">
        <v>22023001145</v>
      </c>
      <c r="E334" s="47" t="s">
        <v>583</v>
      </c>
      <c r="F334" s="53">
        <v>2408.62</v>
      </c>
      <c r="G334" s="47" t="s">
        <v>1163</v>
      </c>
      <c r="H334" s="47" t="s">
        <v>1195</v>
      </c>
      <c r="I334" s="46" t="s">
        <v>511</v>
      </c>
      <c r="J334" s="47" t="s">
        <v>1165</v>
      </c>
      <c r="K334" s="47" t="s">
        <v>837</v>
      </c>
      <c r="L334" s="47" t="s">
        <v>520</v>
      </c>
      <c r="M334" s="47" t="s">
        <v>514</v>
      </c>
      <c r="N334" s="47" t="s">
        <v>515</v>
      </c>
      <c r="O334" s="54" t="s">
        <v>382</v>
      </c>
      <c r="P334" s="44" t="s">
        <v>309</v>
      </c>
      <c r="Q334" s="59" t="str">
        <f>MID(Tabla1[[#This Row],[Aplicación]],14,1)</f>
        <v>6</v>
      </c>
      <c r="R334" s="35" t="s">
        <v>299</v>
      </c>
      <c r="S334" s="59" t="str">
        <f>MID(Tabla1[[#This Row],[Aplicación]],6,2)</f>
        <v>02</v>
      </c>
      <c r="T334" s="35" t="str">
        <f>VLOOKUP(Tabla1[[#This Row],[AREA]],Hoja1!A:B,2,FALSE)</f>
        <v>02. Planeamiento urbanístico y vivienda</v>
      </c>
      <c r="U334" s="35" t="str">
        <f>MID(Tabla1[[#This Row],[Aplicación]],9,4)</f>
        <v>1511</v>
      </c>
      <c r="V334" s="35" t="str">
        <f>VLOOKUP(Tabla1[[#This Row],[PROGRAMA]],Hoja1!A:B,2,FALSE)</f>
        <v>1511. Planficación y gestión del urbanismo</v>
      </c>
      <c r="W334" s="56" t="str">
        <f>MID(Tabla1[[#This Row],[Aplicación]],14,2)</f>
        <v>60</v>
      </c>
      <c r="X334" s="56" t="str">
        <f>MID(Tabla1[[#This Row],[Aplicación]],14,6)</f>
        <v>609</v>
      </c>
    </row>
    <row r="335" spans="1:24" x14ac:dyDescent="0.25">
      <c r="A335" s="46">
        <v>220230002047</v>
      </c>
      <c r="B335" s="47" t="s">
        <v>507</v>
      </c>
      <c r="C335" s="52">
        <v>44963</v>
      </c>
      <c r="D335" s="46">
        <v>22023001404</v>
      </c>
      <c r="E335" s="47" t="s">
        <v>1196</v>
      </c>
      <c r="F335" s="53">
        <v>441.26</v>
      </c>
      <c r="G335" s="47" t="s">
        <v>1163</v>
      </c>
      <c r="H335" s="47" t="s">
        <v>1197</v>
      </c>
      <c r="I335" s="46" t="s">
        <v>511</v>
      </c>
      <c r="J335" s="47" t="s">
        <v>1165</v>
      </c>
      <c r="K335" s="47" t="s">
        <v>837</v>
      </c>
      <c r="L335" s="47" t="s">
        <v>520</v>
      </c>
      <c r="M335" s="47" t="s">
        <v>514</v>
      </c>
      <c r="N335" s="47" t="s">
        <v>515</v>
      </c>
      <c r="O335" s="54" t="s">
        <v>382</v>
      </c>
      <c r="P335" s="44" t="s">
        <v>309</v>
      </c>
      <c r="Q335" s="59">
        <v>6</v>
      </c>
      <c r="R335" s="35" t="s">
        <v>299</v>
      </c>
      <c r="S335" s="59" t="str">
        <f>MID(Tabla1[[#This Row],[Aplicación]],6,2)</f>
        <v>02</v>
      </c>
      <c r="T335" s="35" t="str">
        <f>VLOOKUP(Tabla1[[#This Row],[AREA]],Hoja1!A:B,2,FALSE)</f>
        <v>02. Planeamiento urbanístico y vivienda</v>
      </c>
      <c r="U335" s="35">
        <v>9332</v>
      </c>
      <c r="V335" s="35" t="str">
        <f>VLOOKUP(Tabla1[[#This Row],[PROGRAMA]],Hoja1!A:B,2,FALSE)</f>
        <v>9332. Mantenimiento de edificios e instalaciones municipales</v>
      </c>
      <c r="W335" s="56">
        <v>63</v>
      </c>
      <c r="X335" s="56">
        <v>632</v>
      </c>
    </row>
    <row r="336" spans="1:24" x14ac:dyDescent="0.25">
      <c r="A336" s="46">
        <v>220229000808</v>
      </c>
      <c r="B336" s="47" t="s">
        <v>507</v>
      </c>
      <c r="C336" s="52">
        <v>44927</v>
      </c>
      <c r="D336" s="46">
        <v>22023001880</v>
      </c>
      <c r="E336" s="47" t="s">
        <v>671</v>
      </c>
      <c r="F336" s="53">
        <v>1422.32</v>
      </c>
      <c r="G336" s="47" t="s">
        <v>45</v>
      </c>
      <c r="H336" s="47" t="s">
        <v>1198</v>
      </c>
      <c r="I336" s="46" t="s">
        <v>511</v>
      </c>
      <c r="J336" s="47" t="s">
        <v>519</v>
      </c>
      <c r="K336" s="47" t="s">
        <v>519</v>
      </c>
      <c r="L336" s="47" t="s">
        <v>520</v>
      </c>
      <c r="M336" s="47" t="s">
        <v>514</v>
      </c>
      <c r="N336" s="47" t="s">
        <v>515</v>
      </c>
      <c r="O336" s="45" t="s">
        <v>371</v>
      </c>
      <c r="P336" s="44" t="s">
        <v>309</v>
      </c>
      <c r="Q336" s="59" t="str">
        <f>MID(Tabla1[[#This Row],[Aplicación]],14,1)</f>
        <v>2</v>
      </c>
      <c r="R336" s="35" t="s">
        <v>298</v>
      </c>
      <c r="S336" s="59" t="str">
        <f>MID(Tabla1[[#This Row],[Aplicación]],6,2)</f>
        <v>06</v>
      </c>
      <c r="T336" s="35" t="str">
        <f>VLOOKUP(Tabla1[[#This Row],[AREA]],Hoja1!A:B,2,FALSE)</f>
        <v>06. Educación, infancia, juventud e igualdad</v>
      </c>
      <c r="U336" s="35" t="str">
        <f>MID(Tabla1[[#This Row],[Aplicación]],9,4)</f>
        <v>3321</v>
      </c>
      <c r="V336" s="35" t="str">
        <f>VLOOKUP(Tabla1[[#This Row],[PROGRAMA]],Hoja1!A:B,2,FALSE)</f>
        <v>3321. Bibliotecas públicas</v>
      </c>
      <c r="W336" s="56" t="str">
        <f>MID(Tabla1[[#This Row],[Aplicación]],14,2)</f>
        <v>21</v>
      </c>
      <c r="X336" s="56" t="str">
        <f>MID(Tabla1[[#This Row],[Aplicación]],14,6)</f>
        <v>213</v>
      </c>
    </row>
    <row r="337" spans="1:24" x14ac:dyDescent="0.25">
      <c r="A337" s="46">
        <v>220229000806</v>
      </c>
      <c r="B337" s="47" t="s">
        <v>507</v>
      </c>
      <c r="C337" s="52">
        <v>44927</v>
      </c>
      <c r="D337" s="46">
        <v>22023001878</v>
      </c>
      <c r="E337" s="47" t="s">
        <v>1153</v>
      </c>
      <c r="F337" s="53">
        <v>711.16</v>
      </c>
      <c r="G337" s="47" t="s">
        <v>45</v>
      </c>
      <c r="H337" s="47" t="s">
        <v>1199</v>
      </c>
      <c r="I337" s="46" t="s">
        <v>511</v>
      </c>
      <c r="J337" s="47" t="s">
        <v>519</v>
      </c>
      <c r="K337" s="47" t="s">
        <v>519</v>
      </c>
      <c r="L337" s="47" t="s">
        <v>520</v>
      </c>
      <c r="M337" s="47" t="s">
        <v>514</v>
      </c>
      <c r="N337" s="47" t="s">
        <v>515</v>
      </c>
      <c r="O337" s="45" t="s">
        <v>371</v>
      </c>
      <c r="P337" s="44" t="s">
        <v>309</v>
      </c>
      <c r="Q337" s="59" t="str">
        <f>MID(Tabla1[[#This Row],[Aplicación]],14,1)</f>
        <v>2</v>
      </c>
      <c r="R337" s="35" t="s">
        <v>298</v>
      </c>
      <c r="S337" s="59" t="str">
        <f>MID(Tabla1[[#This Row],[Aplicación]],6,2)</f>
        <v>06</v>
      </c>
      <c r="T337" s="35" t="str">
        <f>VLOOKUP(Tabla1[[#This Row],[AREA]],Hoja1!A:B,2,FALSE)</f>
        <v>06. Educación, infancia, juventud e igualdad</v>
      </c>
      <c r="U337" s="35" t="str">
        <f>MID(Tabla1[[#This Row],[Aplicación]],9,4)</f>
        <v>3261</v>
      </c>
      <c r="V337" s="35" t="str">
        <f>VLOOKUP(Tabla1[[#This Row],[PROGRAMA]],Hoja1!A:B,2,FALSE)</f>
        <v>3261. Servicios complementarios de educación</v>
      </c>
      <c r="W337" s="56" t="str">
        <f>MID(Tabla1[[#This Row],[Aplicación]],14,2)</f>
        <v>21</v>
      </c>
      <c r="X337" s="56" t="str">
        <f>MID(Tabla1[[#This Row],[Aplicación]],14,6)</f>
        <v>213</v>
      </c>
    </row>
    <row r="338" spans="1:24" x14ac:dyDescent="0.25">
      <c r="A338" s="46">
        <v>220229000086</v>
      </c>
      <c r="B338" s="47" t="s">
        <v>507</v>
      </c>
      <c r="C338" s="52">
        <v>44927</v>
      </c>
      <c r="D338" s="46">
        <v>22023000294</v>
      </c>
      <c r="E338" s="47" t="s">
        <v>607</v>
      </c>
      <c r="F338" s="53">
        <v>2291.67</v>
      </c>
      <c r="G338" s="47" t="s">
        <v>1200</v>
      </c>
      <c r="H338" s="47" t="s">
        <v>1201</v>
      </c>
      <c r="I338" s="46" t="s">
        <v>511</v>
      </c>
      <c r="J338" s="47" t="s">
        <v>519</v>
      </c>
      <c r="K338" s="47" t="s">
        <v>519</v>
      </c>
      <c r="L338" s="47" t="s">
        <v>520</v>
      </c>
      <c r="M338" s="47" t="s">
        <v>514</v>
      </c>
      <c r="N338" s="47" t="s">
        <v>515</v>
      </c>
      <c r="O338" s="45" t="s">
        <v>371</v>
      </c>
      <c r="P338" s="44" t="s">
        <v>309</v>
      </c>
      <c r="Q338" s="59" t="str">
        <f>MID(Tabla1[[#This Row],[Aplicación]],14,1)</f>
        <v>2</v>
      </c>
      <c r="R338" s="35" t="s">
        <v>298</v>
      </c>
      <c r="S338" s="59" t="str">
        <f>MID(Tabla1[[#This Row],[Aplicación]],6,2)</f>
        <v>11</v>
      </c>
      <c r="T338" s="35" t="str">
        <f>VLOOKUP(Tabla1[[#This Row],[AREA]],Hoja1!A:B,2,FALSE)</f>
        <v>11. Salud pública y seguridad ciudadana</v>
      </c>
      <c r="U338" s="35" t="str">
        <f>MID(Tabla1[[#This Row],[Aplicación]],9,4)</f>
        <v>1621</v>
      </c>
      <c r="V338" s="35" t="str">
        <f>VLOOKUP(Tabla1[[#This Row],[PROGRAMA]],Hoja1!A:B,2,FALSE)</f>
        <v>1621. Servicio de limpieza</v>
      </c>
      <c r="W338" s="56" t="str">
        <f>MID(Tabla1[[#This Row],[Aplicación]],14,2)</f>
        <v>21</v>
      </c>
      <c r="X338" s="56" t="str">
        <f>MID(Tabla1[[#This Row],[Aplicación]],14,6)</f>
        <v>213</v>
      </c>
    </row>
    <row r="339" spans="1:24" x14ac:dyDescent="0.25">
      <c r="A339" s="46">
        <v>220229000087</v>
      </c>
      <c r="B339" s="47" t="s">
        <v>507</v>
      </c>
      <c r="C339" s="52">
        <v>44927</v>
      </c>
      <c r="D339" s="46">
        <v>22023000295</v>
      </c>
      <c r="E339" s="47" t="s">
        <v>607</v>
      </c>
      <c r="F339" s="53">
        <v>2662</v>
      </c>
      <c r="G339" s="47" t="s">
        <v>1200</v>
      </c>
      <c r="H339" s="47" t="s">
        <v>1202</v>
      </c>
      <c r="I339" s="46" t="s">
        <v>511</v>
      </c>
      <c r="J339" s="47" t="s">
        <v>519</v>
      </c>
      <c r="K339" s="47" t="s">
        <v>519</v>
      </c>
      <c r="L339" s="47" t="s">
        <v>520</v>
      </c>
      <c r="M339" s="47" t="s">
        <v>514</v>
      </c>
      <c r="N339" s="47" t="s">
        <v>515</v>
      </c>
      <c r="O339" s="45" t="s">
        <v>371</v>
      </c>
      <c r="P339" s="44" t="s">
        <v>309</v>
      </c>
      <c r="Q339" s="59" t="str">
        <f>MID(Tabla1[[#This Row],[Aplicación]],14,1)</f>
        <v>2</v>
      </c>
      <c r="R339" s="35" t="s">
        <v>298</v>
      </c>
      <c r="S339" s="59" t="str">
        <f>MID(Tabla1[[#This Row],[Aplicación]],6,2)</f>
        <v>11</v>
      </c>
      <c r="T339" s="35" t="str">
        <f>VLOOKUP(Tabla1[[#This Row],[AREA]],Hoja1!A:B,2,FALSE)</f>
        <v>11. Salud pública y seguridad ciudadana</v>
      </c>
      <c r="U339" s="35" t="str">
        <f>MID(Tabla1[[#This Row],[Aplicación]],9,4)</f>
        <v>1621</v>
      </c>
      <c r="V339" s="35" t="str">
        <f>VLOOKUP(Tabla1[[#This Row],[PROGRAMA]],Hoja1!A:B,2,FALSE)</f>
        <v>1621. Servicio de limpieza</v>
      </c>
      <c r="W339" s="56" t="str">
        <f>MID(Tabla1[[#This Row],[Aplicación]],14,2)</f>
        <v>21</v>
      </c>
      <c r="X339" s="56" t="str">
        <f>MID(Tabla1[[#This Row],[Aplicación]],14,6)</f>
        <v>213</v>
      </c>
    </row>
    <row r="340" spans="1:24" x14ac:dyDescent="0.25">
      <c r="A340" s="46">
        <v>220229000089</v>
      </c>
      <c r="B340" s="47" t="s">
        <v>507</v>
      </c>
      <c r="C340" s="52">
        <v>44927</v>
      </c>
      <c r="D340" s="46">
        <v>22023000296</v>
      </c>
      <c r="E340" s="47" t="s">
        <v>693</v>
      </c>
      <c r="F340" s="53">
        <v>3872</v>
      </c>
      <c r="G340" s="47" t="s">
        <v>1200</v>
      </c>
      <c r="H340" s="47" t="s">
        <v>1203</v>
      </c>
      <c r="I340" s="46" t="s">
        <v>511</v>
      </c>
      <c r="J340" s="47" t="s">
        <v>519</v>
      </c>
      <c r="K340" s="47" t="s">
        <v>519</v>
      </c>
      <c r="L340" s="47" t="s">
        <v>520</v>
      </c>
      <c r="M340" s="47" t="s">
        <v>514</v>
      </c>
      <c r="N340" s="47" t="s">
        <v>515</v>
      </c>
      <c r="O340" s="45" t="s">
        <v>371</v>
      </c>
      <c r="P340" s="44" t="s">
        <v>309</v>
      </c>
      <c r="Q340" s="59" t="str">
        <f>MID(Tabla1[[#This Row],[Aplicación]],14,1)</f>
        <v>2</v>
      </c>
      <c r="R340" s="35" t="s">
        <v>298</v>
      </c>
      <c r="S340" s="59" t="str">
        <f>MID(Tabla1[[#This Row],[Aplicación]],6,2)</f>
        <v>11</v>
      </c>
      <c r="T340" s="35" t="str">
        <f>VLOOKUP(Tabla1[[#This Row],[AREA]],Hoja1!A:B,2,FALSE)</f>
        <v>11. Salud pública y seguridad ciudadana</v>
      </c>
      <c r="U340" s="35" t="str">
        <f>MID(Tabla1[[#This Row],[Aplicación]],9,4)</f>
        <v>1361</v>
      </c>
      <c r="V340" s="35" t="str">
        <f>VLOOKUP(Tabla1[[#This Row],[PROGRAMA]],Hoja1!A:B,2,FALSE)</f>
        <v>1361. Prevención y extinción de incencios</v>
      </c>
      <c r="W340" s="56" t="str">
        <f>MID(Tabla1[[#This Row],[Aplicación]],14,2)</f>
        <v>21</v>
      </c>
      <c r="X340" s="56" t="str">
        <f>MID(Tabla1[[#This Row],[Aplicación]],14,6)</f>
        <v>213</v>
      </c>
    </row>
    <row r="341" spans="1:24" x14ac:dyDescent="0.25">
      <c r="A341" s="46">
        <v>220229000090</v>
      </c>
      <c r="B341" s="47" t="s">
        <v>507</v>
      </c>
      <c r="C341" s="52">
        <v>44927</v>
      </c>
      <c r="D341" s="46">
        <v>22023000297</v>
      </c>
      <c r="E341" s="47" t="s">
        <v>693</v>
      </c>
      <c r="F341" s="53">
        <v>4583.3900000000003</v>
      </c>
      <c r="G341" s="47" t="s">
        <v>1200</v>
      </c>
      <c r="H341" s="47" t="s">
        <v>1204</v>
      </c>
      <c r="I341" s="46" t="s">
        <v>511</v>
      </c>
      <c r="J341" s="47" t="s">
        <v>519</v>
      </c>
      <c r="K341" s="47" t="s">
        <v>519</v>
      </c>
      <c r="L341" s="47" t="s">
        <v>520</v>
      </c>
      <c r="M341" s="47" t="s">
        <v>514</v>
      </c>
      <c r="N341" s="47" t="s">
        <v>515</v>
      </c>
      <c r="O341" s="45" t="s">
        <v>371</v>
      </c>
      <c r="P341" s="44" t="s">
        <v>309</v>
      </c>
      <c r="Q341" s="59" t="str">
        <f>MID(Tabla1[[#This Row],[Aplicación]],14,1)</f>
        <v>2</v>
      </c>
      <c r="R341" s="35" t="s">
        <v>298</v>
      </c>
      <c r="S341" s="59" t="str">
        <f>MID(Tabla1[[#This Row],[Aplicación]],6,2)</f>
        <v>11</v>
      </c>
      <c r="T341" s="35" t="str">
        <f>VLOOKUP(Tabla1[[#This Row],[AREA]],Hoja1!A:B,2,FALSE)</f>
        <v>11. Salud pública y seguridad ciudadana</v>
      </c>
      <c r="U341" s="35" t="str">
        <f>MID(Tabla1[[#This Row],[Aplicación]],9,4)</f>
        <v>1361</v>
      </c>
      <c r="V341" s="35" t="str">
        <f>VLOOKUP(Tabla1[[#This Row],[PROGRAMA]],Hoja1!A:B,2,FALSE)</f>
        <v>1361. Prevención y extinción de incencios</v>
      </c>
      <c r="W341" s="56" t="str">
        <f>MID(Tabla1[[#This Row],[Aplicación]],14,2)</f>
        <v>21</v>
      </c>
      <c r="X341" s="56" t="str">
        <f>MID(Tabla1[[#This Row],[Aplicación]],14,6)</f>
        <v>213</v>
      </c>
    </row>
    <row r="342" spans="1:24" x14ac:dyDescent="0.25">
      <c r="A342" s="46">
        <v>220229000088</v>
      </c>
      <c r="B342" s="47" t="s">
        <v>507</v>
      </c>
      <c r="C342" s="52">
        <v>44927</v>
      </c>
      <c r="D342" s="46">
        <v>22023000882</v>
      </c>
      <c r="E342" s="47" t="s">
        <v>607</v>
      </c>
      <c r="F342" s="53">
        <v>242</v>
      </c>
      <c r="G342" s="47" t="s">
        <v>1200</v>
      </c>
      <c r="H342" s="47" t="s">
        <v>1205</v>
      </c>
      <c r="I342" s="46" t="s">
        <v>511</v>
      </c>
      <c r="J342" s="47" t="s">
        <v>519</v>
      </c>
      <c r="K342" s="47" t="s">
        <v>519</v>
      </c>
      <c r="L342" s="47" t="s">
        <v>520</v>
      </c>
      <c r="M342" s="47" t="s">
        <v>514</v>
      </c>
      <c r="N342" s="47" t="s">
        <v>515</v>
      </c>
      <c r="O342" s="45" t="s">
        <v>371</v>
      </c>
      <c r="P342" s="44" t="s">
        <v>309</v>
      </c>
      <c r="Q342" s="59" t="str">
        <f>MID(Tabla1[[#This Row],[Aplicación]],14,1)</f>
        <v>2</v>
      </c>
      <c r="R342" s="35" t="s">
        <v>298</v>
      </c>
      <c r="S342" s="59" t="str">
        <f>MID(Tabla1[[#This Row],[Aplicación]],6,2)</f>
        <v>11</v>
      </c>
      <c r="T342" s="35" t="str">
        <f>VLOOKUP(Tabla1[[#This Row],[AREA]],Hoja1!A:B,2,FALSE)</f>
        <v>11. Salud pública y seguridad ciudadana</v>
      </c>
      <c r="U342" s="35" t="str">
        <f>MID(Tabla1[[#This Row],[Aplicación]],9,4)</f>
        <v>1621</v>
      </c>
      <c r="V342" s="35" t="str">
        <f>VLOOKUP(Tabla1[[#This Row],[PROGRAMA]],Hoja1!A:B,2,FALSE)</f>
        <v>1621. Servicio de limpieza</v>
      </c>
      <c r="W342" s="56" t="str">
        <f>MID(Tabla1[[#This Row],[Aplicación]],14,2)</f>
        <v>21</v>
      </c>
      <c r="X342" s="56" t="str">
        <f>MID(Tabla1[[#This Row],[Aplicación]],14,6)</f>
        <v>213</v>
      </c>
    </row>
    <row r="343" spans="1:24" x14ac:dyDescent="0.25">
      <c r="A343" s="46">
        <v>220229000091</v>
      </c>
      <c r="B343" s="47" t="s">
        <v>507</v>
      </c>
      <c r="C343" s="52">
        <v>44927</v>
      </c>
      <c r="D343" s="46">
        <v>22023000883</v>
      </c>
      <c r="E343" s="47" t="s">
        <v>693</v>
      </c>
      <c r="F343" s="53">
        <v>416.61</v>
      </c>
      <c r="G343" s="47" t="s">
        <v>1200</v>
      </c>
      <c r="H343" s="47" t="s">
        <v>1206</v>
      </c>
      <c r="I343" s="46" t="s">
        <v>511</v>
      </c>
      <c r="J343" s="47" t="s">
        <v>519</v>
      </c>
      <c r="K343" s="47" t="s">
        <v>519</v>
      </c>
      <c r="L343" s="47" t="s">
        <v>520</v>
      </c>
      <c r="M343" s="47" t="s">
        <v>514</v>
      </c>
      <c r="N343" s="47" t="s">
        <v>515</v>
      </c>
      <c r="O343" s="45" t="s">
        <v>371</v>
      </c>
      <c r="P343" s="44" t="s">
        <v>309</v>
      </c>
      <c r="Q343" s="59" t="str">
        <f>MID(Tabla1[[#This Row],[Aplicación]],14,1)</f>
        <v>2</v>
      </c>
      <c r="R343" s="35" t="s">
        <v>298</v>
      </c>
      <c r="S343" s="59" t="str">
        <f>MID(Tabla1[[#This Row],[Aplicación]],6,2)</f>
        <v>11</v>
      </c>
      <c r="T343" s="35" t="str">
        <f>VLOOKUP(Tabla1[[#This Row],[AREA]],Hoja1!A:B,2,FALSE)</f>
        <v>11. Salud pública y seguridad ciudadana</v>
      </c>
      <c r="U343" s="35" t="str">
        <f>MID(Tabla1[[#This Row],[Aplicación]],9,4)</f>
        <v>1361</v>
      </c>
      <c r="V343" s="35" t="str">
        <f>VLOOKUP(Tabla1[[#This Row],[PROGRAMA]],Hoja1!A:B,2,FALSE)</f>
        <v>1361. Prevención y extinción de incencios</v>
      </c>
      <c r="W343" s="56" t="str">
        <f>MID(Tabla1[[#This Row],[Aplicación]],14,2)</f>
        <v>21</v>
      </c>
      <c r="X343" s="56" t="str">
        <f>MID(Tabla1[[#This Row],[Aplicación]],14,6)</f>
        <v>213</v>
      </c>
    </row>
    <row r="344" spans="1:24" x14ac:dyDescent="0.25">
      <c r="A344" s="46">
        <v>220229000094</v>
      </c>
      <c r="B344" s="47" t="s">
        <v>507</v>
      </c>
      <c r="C344" s="52">
        <v>44927</v>
      </c>
      <c r="D344" s="46">
        <v>22023000884</v>
      </c>
      <c r="E344" s="47" t="s">
        <v>607</v>
      </c>
      <c r="F344" s="53">
        <v>208.33</v>
      </c>
      <c r="G344" s="47" t="s">
        <v>1200</v>
      </c>
      <c r="H344" s="47" t="s">
        <v>1207</v>
      </c>
      <c r="I344" s="46" t="s">
        <v>511</v>
      </c>
      <c r="J344" s="47" t="s">
        <v>519</v>
      </c>
      <c r="K344" s="47" t="s">
        <v>519</v>
      </c>
      <c r="L344" s="47" t="s">
        <v>520</v>
      </c>
      <c r="M344" s="47" t="s">
        <v>514</v>
      </c>
      <c r="N344" s="47" t="s">
        <v>515</v>
      </c>
      <c r="O344" s="45" t="s">
        <v>371</v>
      </c>
      <c r="P344" s="44" t="s">
        <v>309</v>
      </c>
      <c r="Q344" s="59" t="str">
        <f>MID(Tabla1[[#This Row],[Aplicación]],14,1)</f>
        <v>2</v>
      </c>
      <c r="R344" s="35" t="s">
        <v>298</v>
      </c>
      <c r="S344" s="59" t="str">
        <f>MID(Tabla1[[#This Row],[Aplicación]],6,2)</f>
        <v>11</v>
      </c>
      <c r="T344" s="35" t="str">
        <f>VLOOKUP(Tabla1[[#This Row],[AREA]],Hoja1!A:B,2,FALSE)</f>
        <v>11. Salud pública y seguridad ciudadana</v>
      </c>
      <c r="U344" s="35" t="str">
        <f>MID(Tabla1[[#This Row],[Aplicación]],9,4)</f>
        <v>1621</v>
      </c>
      <c r="V344" s="35" t="str">
        <f>VLOOKUP(Tabla1[[#This Row],[PROGRAMA]],Hoja1!A:B,2,FALSE)</f>
        <v>1621. Servicio de limpieza</v>
      </c>
      <c r="W344" s="56" t="str">
        <f>MID(Tabla1[[#This Row],[Aplicación]],14,2)</f>
        <v>21</v>
      </c>
      <c r="X344" s="56" t="str">
        <f>MID(Tabla1[[#This Row],[Aplicación]],14,6)</f>
        <v>213</v>
      </c>
    </row>
    <row r="345" spans="1:24" x14ac:dyDescent="0.25">
      <c r="A345" s="46">
        <v>220219001266</v>
      </c>
      <c r="B345" s="47" t="s">
        <v>507</v>
      </c>
      <c r="C345" s="52">
        <v>44927</v>
      </c>
      <c r="D345" s="46">
        <v>22023003297</v>
      </c>
      <c r="E345" s="47" t="s">
        <v>591</v>
      </c>
      <c r="F345" s="53">
        <v>805.86</v>
      </c>
      <c r="G345" s="47" t="s">
        <v>1200</v>
      </c>
      <c r="H345" s="47" t="s">
        <v>1208</v>
      </c>
      <c r="I345" s="46" t="s">
        <v>511</v>
      </c>
      <c r="J345" s="47" t="s">
        <v>519</v>
      </c>
      <c r="K345" s="47" t="s">
        <v>519</v>
      </c>
      <c r="L345" s="47" t="s">
        <v>520</v>
      </c>
      <c r="M345" s="47" t="s">
        <v>514</v>
      </c>
      <c r="N345" s="47" t="s">
        <v>515</v>
      </c>
      <c r="O345" s="45" t="s">
        <v>371</v>
      </c>
      <c r="P345" s="44" t="s">
        <v>309</v>
      </c>
      <c r="Q345" s="59" t="str">
        <f>MID(Tabla1[[#This Row],[Aplicación]],14,1)</f>
        <v>2</v>
      </c>
      <c r="R345" s="35" t="s">
        <v>298</v>
      </c>
      <c r="S345" s="59" t="str">
        <f>MID(Tabla1[[#This Row],[Aplicación]],6,2)</f>
        <v>04</v>
      </c>
      <c r="T345" s="35" t="str">
        <f>VLOOKUP(Tabla1[[#This Row],[AREA]],Hoja1!A:B,2,FALSE)</f>
        <v>04. Planificación y recursos</v>
      </c>
      <c r="U345" s="35" t="str">
        <f>MID(Tabla1[[#This Row],[Aplicación]],9,4)</f>
        <v>9204</v>
      </c>
      <c r="V345" s="35" t="str">
        <f>VLOOKUP(Tabla1[[#This Row],[PROGRAMA]],Hoja1!A:B,2,FALSE)</f>
        <v>9204. Tecnologías de la información y comunicación</v>
      </c>
      <c r="W345" s="56" t="str">
        <f>MID(Tabla1[[#This Row],[Aplicación]],14,2)</f>
        <v>21</v>
      </c>
      <c r="X345" s="56" t="str">
        <f>MID(Tabla1[[#This Row],[Aplicación]],14,6)</f>
        <v>213</v>
      </c>
    </row>
    <row r="346" spans="1:24" x14ac:dyDescent="0.25">
      <c r="A346" s="46">
        <v>220229000323</v>
      </c>
      <c r="B346" s="47" t="s">
        <v>507</v>
      </c>
      <c r="C346" s="52">
        <v>44927</v>
      </c>
      <c r="D346" s="46">
        <v>22023001149</v>
      </c>
      <c r="E346" s="47" t="s">
        <v>1209</v>
      </c>
      <c r="F346" s="53">
        <v>10768.55</v>
      </c>
      <c r="G346" s="47" t="s">
        <v>1210</v>
      </c>
      <c r="H346" s="47" t="s">
        <v>1211</v>
      </c>
      <c r="I346" s="46" t="s">
        <v>511</v>
      </c>
      <c r="J346" s="47" t="s">
        <v>519</v>
      </c>
      <c r="K346" s="47" t="s">
        <v>519</v>
      </c>
      <c r="L346" s="47" t="s">
        <v>552</v>
      </c>
      <c r="M346" s="47" t="s">
        <v>514</v>
      </c>
      <c r="N346" s="47" t="s">
        <v>515</v>
      </c>
      <c r="O346" s="45" t="s">
        <v>371</v>
      </c>
      <c r="P346" s="44" t="s">
        <v>309</v>
      </c>
      <c r="Q346" s="59" t="str">
        <f>MID(Tabla1[[#This Row],[Aplicación]],14,1)</f>
        <v>2</v>
      </c>
      <c r="R346" s="35" t="s">
        <v>298</v>
      </c>
      <c r="S346" s="59" t="str">
        <f>MID(Tabla1[[#This Row],[Aplicación]],6,2)</f>
        <v>11</v>
      </c>
      <c r="T346" s="35" t="str">
        <f>VLOOKUP(Tabla1[[#This Row],[AREA]],Hoja1!A:B,2,FALSE)</f>
        <v>11. Salud pública y seguridad ciudadana</v>
      </c>
      <c r="U346" s="35" t="str">
        <f>MID(Tabla1[[#This Row],[Aplicación]],9,4)</f>
        <v>3111</v>
      </c>
      <c r="V346" s="35" t="str">
        <f>VLOOKUP(Tabla1[[#This Row],[PROGRAMA]],Hoja1!A:B,2,FALSE)</f>
        <v>3111. Protección de la salubridad pública</v>
      </c>
      <c r="W346" s="56" t="str">
        <f>MID(Tabla1[[#This Row],[Aplicación]],14,2)</f>
        <v>22</v>
      </c>
      <c r="X346" s="56" t="str">
        <f>MID(Tabla1[[#This Row],[Aplicación]],14,6)</f>
        <v>22113</v>
      </c>
    </row>
    <row r="347" spans="1:24" x14ac:dyDescent="0.25">
      <c r="A347" s="46">
        <v>220229000877</v>
      </c>
      <c r="B347" s="47" t="s">
        <v>507</v>
      </c>
      <c r="C347" s="52">
        <v>44927</v>
      </c>
      <c r="D347" s="46">
        <v>22023002063</v>
      </c>
      <c r="E347" s="47" t="s">
        <v>1212</v>
      </c>
      <c r="F347" s="53">
        <v>3826.13</v>
      </c>
      <c r="G347" s="47" t="s">
        <v>1213</v>
      </c>
      <c r="H347" s="47" t="s">
        <v>1214</v>
      </c>
      <c r="I347" s="46" t="s">
        <v>511</v>
      </c>
      <c r="J347" s="47" t="s">
        <v>755</v>
      </c>
      <c r="K347" s="47" t="s">
        <v>755</v>
      </c>
      <c r="L347" s="47" t="s">
        <v>552</v>
      </c>
      <c r="M347" s="47" t="s">
        <v>514</v>
      </c>
      <c r="N347" s="47" t="s">
        <v>515</v>
      </c>
      <c r="O347" s="45" t="s">
        <v>371</v>
      </c>
      <c r="P347" s="44" t="s">
        <v>309</v>
      </c>
      <c r="Q347" s="59" t="str">
        <f>MID(Tabla1[[#This Row],[Aplicación]],14,1)</f>
        <v>2</v>
      </c>
      <c r="R347" s="35" t="s">
        <v>298</v>
      </c>
      <c r="S347" s="59" t="str">
        <f>MID(Tabla1[[#This Row],[Aplicación]],6,2)</f>
        <v>01</v>
      </c>
      <c r="T347" s="35" t="str">
        <f>VLOOKUP(Tabla1[[#This Row],[AREA]],Hoja1!A:B,2,FALSE)</f>
        <v>01. Alcaldía</v>
      </c>
      <c r="U347" s="35" t="str">
        <f>MID(Tabla1[[#This Row],[Aplicación]],9,4)</f>
        <v>9203</v>
      </c>
      <c r="V347" s="35" t="str">
        <f>VLOOKUP(Tabla1[[#This Row],[PROGRAMA]],Hoja1!A:B,2,FALSE)</f>
        <v>9203. Unidad de régimen interior</v>
      </c>
      <c r="W347" s="56" t="str">
        <f>MID(Tabla1[[#This Row],[Aplicación]],14,2)</f>
        <v>22</v>
      </c>
      <c r="X347" s="56" t="str">
        <f>MID(Tabla1[[#This Row],[Aplicación]],14,6)</f>
        <v>22000</v>
      </c>
    </row>
    <row r="348" spans="1:24" x14ac:dyDescent="0.25">
      <c r="A348" s="46">
        <v>220229000880</v>
      </c>
      <c r="B348" s="47" t="s">
        <v>507</v>
      </c>
      <c r="C348" s="52">
        <v>44927</v>
      </c>
      <c r="D348" s="46">
        <v>22023002066</v>
      </c>
      <c r="E348" s="47" t="s">
        <v>1212</v>
      </c>
      <c r="F348" s="53">
        <v>12188.55</v>
      </c>
      <c r="G348" s="47" t="s">
        <v>1213</v>
      </c>
      <c r="H348" s="47" t="s">
        <v>1215</v>
      </c>
      <c r="I348" s="46" t="s">
        <v>511</v>
      </c>
      <c r="J348" s="47" t="s">
        <v>755</v>
      </c>
      <c r="K348" s="47" t="s">
        <v>755</v>
      </c>
      <c r="L348" s="47" t="s">
        <v>552</v>
      </c>
      <c r="M348" s="47" t="s">
        <v>514</v>
      </c>
      <c r="N348" s="47" t="s">
        <v>515</v>
      </c>
      <c r="O348" s="45" t="s">
        <v>371</v>
      </c>
      <c r="P348" s="44" t="s">
        <v>309</v>
      </c>
      <c r="Q348" s="59" t="str">
        <f>MID(Tabla1[[#This Row],[Aplicación]],14,1)</f>
        <v>2</v>
      </c>
      <c r="R348" s="35" t="s">
        <v>298</v>
      </c>
      <c r="S348" s="59" t="str">
        <f>MID(Tabla1[[#This Row],[Aplicación]],6,2)</f>
        <v>01</v>
      </c>
      <c r="T348" s="35" t="str">
        <f>VLOOKUP(Tabla1[[#This Row],[AREA]],Hoja1!A:B,2,FALSE)</f>
        <v>01. Alcaldía</v>
      </c>
      <c r="U348" s="35" t="str">
        <f>MID(Tabla1[[#This Row],[Aplicación]],9,4)</f>
        <v>9203</v>
      </c>
      <c r="V348" s="35" t="str">
        <f>VLOOKUP(Tabla1[[#This Row],[PROGRAMA]],Hoja1!A:B,2,FALSE)</f>
        <v>9203. Unidad de régimen interior</v>
      </c>
      <c r="W348" s="56" t="str">
        <f>MID(Tabla1[[#This Row],[Aplicación]],14,2)</f>
        <v>22</v>
      </c>
      <c r="X348" s="56" t="str">
        <f>MID(Tabla1[[#This Row],[Aplicación]],14,6)</f>
        <v>22000</v>
      </c>
    </row>
    <row r="349" spans="1:24" x14ac:dyDescent="0.25">
      <c r="A349" s="46">
        <v>220229000881</v>
      </c>
      <c r="B349" s="47" t="s">
        <v>507</v>
      </c>
      <c r="C349" s="52">
        <v>44927</v>
      </c>
      <c r="D349" s="46">
        <v>22023002067</v>
      </c>
      <c r="E349" s="47" t="s">
        <v>1212</v>
      </c>
      <c r="F349" s="53">
        <v>40926.160000000003</v>
      </c>
      <c r="G349" s="47" t="s">
        <v>1213</v>
      </c>
      <c r="H349" s="47" t="s">
        <v>1216</v>
      </c>
      <c r="I349" s="46" t="s">
        <v>511</v>
      </c>
      <c r="J349" s="47" t="s">
        <v>755</v>
      </c>
      <c r="K349" s="47" t="s">
        <v>755</v>
      </c>
      <c r="L349" s="47" t="s">
        <v>552</v>
      </c>
      <c r="M349" s="47" t="s">
        <v>514</v>
      </c>
      <c r="N349" s="47" t="s">
        <v>515</v>
      </c>
      <c r="O349" s="45" t="s">
        <v>371</v>
      </c>
      <c r="P349" s="44" t="s">
        <v>309</v>
      </c>
      <c r="Q349" s="59" t="str">
        <f>MID(Tabla1[[#This Row],[Aplicación]],14,1)</f>
        <v>2</v>
      </c>
      <c r="R349" s="35" t="s">
        <v>298</v>
      </c>
      <c r="S349" s="59" t="str">
        <f>MID(Tabla1[[#This Row],[Aplicación]],6,2)</f>
        <v>01</v>
      </c>
      <c r="T349" s="35" t="str">
        <f>VLOOKUP(Tabla1[[#This Row],[AREA]],Hoja1!A:B,2,FALSE)</f>
        <v>01. Alcaldía</v>
      </c>
      <c r="U349" s="35" t="str">
        <f>MID(Tabla1[[#This Row],[Aplicación]],9,4)</f>
        <v>9203</v>
      </c>
      <c r="V349" s="35" t="str">
        <f>VLOOKUP(Tabla1[[#This Row],[PROGRAMA]],Hoja1!A:B,2,FALSE)</f>
        <v>9203. Unidad de régimen interior</v>
      </c>
      <c r="W349" s="56" t="str">
        <f>MID(Tabla1[[#This Row],[Aplicación]],14,2)</f>
        <v>22</v>
      </c>
      <c r="X349" s="56" t="str">
        <f>MID(Tabla1[[#This Row],[Aplicación]],14,6)</f>
        <v>22000</v>
      </c>
    </row>
    <row r="350" spans="1:24" x14ac:dyDescent="0.25">
      <c r="A350" s="46">
        <v>220229000175</v>
      </c>
      <c r="B350" s="47" t="s">
        <v>507</v>
      </c>
      <c r="C350" s="52">
        <v>44927</v>
      </c>
      <c r="D350" s="46">
        <v>22023000919</v>
      </c>
      <c r="E350" s="47" t="s">
        <v>1217</v>
      </c>
      <c r="F350" s="53">
        <v>4083.94</v>
      </c>
      <c r="G350" s="47" t="s">
        <v>17</v>
      </c>
      <c r="H350" s="47" t="s">
        <v>1218</v>
      </c>
      <c r="I350" s="46" t="s">
        <v>511</v>
      </c>
      <c r="J350" s="47" t="s">
        <v>519</v>
      </c>
      <c r="K350" s="47" t="s">
        <v>519</v>
      </c>
      <c r="L350" s="47" t="s">
        <v>552</v>
      </c>
      <c r="M350" s="47" t="s">
        <v>514</v>
      </c>
      <c r="N350" s="47" t="s">
        <v>515</v>
      </c>
      <c r="O350" s="45" t="s">
        <v>371</v>
      </c>
      <c r="P350" s="44" t="s">
        <v>309</v>
      </c>
      <c r="Q350" s="59" t="str">
        <f>MID(Tabla1[[#This Row],[Aplicación]],14,1)</f>
        <v>2</v>
      </c>
      <c r="R350" s="35" t="s">
        <v>298</v>
      </c>
      <c r="S350" s="59" t="str">
        <f>MID(Tabla1[[#This Row],[Aplicación]],6,2)</f>
        <v>03</v>
      </c>
      <c r="T350" s="35" t="str">
        <f>VLOOKUP(Tabla1[[#This Row],[AREA]],Hoja1!A:B,2,FALSE)</f>
        <v>03. Participación ciudadana y deportes</v>
      </c>
      <c r="U350" s="35" t="str">
        <f>MID(Tabla1[[#This Row],[Aplicación]],9,4)</f>
        <v>9241</v>
      </c>
      <c r="V350" s="35" t="str">
        <f>VLOOKUP(Tabla1[[#This Row],[PROGRAMA]],Hoja1!A:B,2,FALSE)</f>
        <v>9241. Participación ciudadana</v>
      </c>
      <c r="W350" s="56" t="str">
        <f>MID(Tabla1[[#This Row],[Aplicación]],14,2)</f>
        <v>22</v>
      </c>
      <c r="X350" s="56" t="str">
        <f>MID(Tabla1[[#This Row],[Aplicación]],14,6)</f>
        <v>22104</v>
      </c>
    </row>
    <row r="351" spans="1:24" x14ac:dyDescent="0.25">
      <c r="A351" s="46">
        <v>220229000178</v>
      </c>
      <c r="B351" s="47" t="s">
        <v>507</v>
      </c>
      <c r="C351" s="52">
        <v>44927</v>
      </c>
      <c r="D351" s="46">
        <v>22023000922</v>
      </c>
      <c r="E351" s="47" t="s">
        <v>1219</v>
      </c>
      <c r="F351" s="53">
        <v>6644.85</v>
      </c>
      <c r="G351" s="47" t="s">
        <v>17</v>
      </c>
      <c r="H351" s="47" t="s">
        <v>1220</v>
      </c>
      <c r="I351" s="46" t="s">
        <v>511</v>
      </c>
      <c r="J351" s="47" t="s">
        <v>519</v>
      </c>
      <c r="K351" s="47" t="s">
        <v>519</v>
      </c>
      <c r="L351" s="47" t="s">
        <v>552</v>
      </c>
      <c r="M351" s="47" t="s">
        <v>514</v>
      </c>
      <c r="N351" s="47" t="s">
        <v>515</v>
      </c>
      <c r="O351" s="45" t="s">
        <v>371</v>
      </c>
      <c r="P351" s="44" t="s">
        <v>309</v>
      </c>
      <c r="Q351" s="59" t="str">
        <f>MID(Tabla1[[#This Row],[Aplicación]],14,1)</f>
        <v>2</v>
      </c>
      <c r="R351" s="35" t="s">
        <v>298</v>
      </c>
      <c r="S351" s="59" t="str">
        <f>MID(Tabla1[[#This Row],[Aplicación]],6,2)</f>
        <v>01</v>
      </c>
      <c r="T351" s="35" t="str">
        <f>VLOOKUP(Tabla1[[#This Row],[AREA]],Hoja1!A:B,2,FALSE)</f>
        <v>01. Alcaldía</v>
      </c>
      <c r="U351" s="35" t="str">
        <f>MID(Tabla1[[#This Row],[Aplicación]],9,4)</f>
        <v>9203</v>
      </c>
      <c r="V351" s="35" t="str">
        <f>VLOOKUP(Tabla1[[#This Row],[PROGRAMA]],Hoja1!A:B,2,FALSE)</f>
        <v>9203. Unidad de régimen interior</v>
      </c>
      <c r="W351" s="56" t="str">
        <f>MID(Tabla1[[#This Row],[Aplicación]],14,2)</f>
        <v>22</v>
      </c>
      <c r="X351" s="56" t="str">
        <f>MID(Tabla1[[#This Row],[Aplicación]],14,6)</f>
        <v>22104</v>
      </c>
    </row>
    <row r="352" spans="1:24" x14ac:dyDescent="0.25">
      <c r="A352" s="46">
        <v>220229000179</v>
      </c>
      <c r="B352" s="47" t="s">
        <v>507</v>
      </c>
      <c r="C352" s="52">
        <v>44927</v>
      </c>
      <c r="D352" s="46">
        <v>22023000923</v>
      </c>
      <c r="E352" s="47" t="s">
        <v>1221</v>
      </c>
      <c r="F352" s="53">
        <v>2121.75</v>
      </c>
      <c r="G352" s="47" t="s">
        <v>17</v>
      </c>
      <c r="H352" s="47" t="s">
        <v>1222</v>
      </c>
      <c r="I352" s="46" t="s">
        <v>511</v>
      </c>
      <c r="J352" s="47" t="s">
        <v>519</v>
      </c>
      <c r="K352" s="47" t="s">
        <v>519</v>
      </c>
      <c r="L352" s="47" t="s">
        <v>552</v>
      </c>
      <c r="M352" s="47" t="s">
        <v>514</v>
      </c>
      <c r="N352" s="47" t="s">
        <v>604</v>
      </c>
      <c r="O352" s="45" t="s">
        <v>371</v>
      </c>
      <c r="P352" s="44" t="s">
        <v>309</v>
      </c>
      <c r="Q352" s="59" t="str">
        <f>MID(Tabla1[[#This Row],[Aplicación]],14,1)</f>
        <v>2</v>
      </c>
      <c r="R352" s="35" t="s">
        <v>298</v>
      </c>
      <c r="S352" s="59" t="str">
        <f>MID(Tabla1[[#This Row],[Aplicación]],6,2)</f>
        <v>06</v>
      </c>
      <c r="T352" s="35" t="str">
        <f>VLOOKUP(Tabla1[[#This Row],[AREA]],Hoja1!A:B,2,FALSE)</f>
        <v>06. Educación, infancia, juventud e igualdad</v>
      </c>
      <c r="U352" s="35" t="str">
        <f>MID(Tabla1[[#This Row],[Aplicación]],9,4)</f>
        <v>3232</v>
      </c>
      <c r="V352" s="35" t="str">
        <f>VLOOKUP(Tabla1[[#This Row],[PROGRAMA]],Hoja1!A:B,2,FALSE)</f>
        <v>3232. Conservación y mantenimiento centros educación infantil y primaria</v>
      </c>
      <c r="W352" s="56" t="str">
        <f>MID(Tabla1[[#This Row],[Aplicación]],14,2)</f>
        <v>22</v>
      </c>
      <c r="X352" s="56" t="str">
        <f>MID(Tabla1[[#This Row],[Aplicación]],14,6)</f>
        <v>22104</v>
      </c>
    </row>
    <row r="353" spans="1:24" x14ac:dyDescent="0.25">
      <c r="A353" s="46">
        <v>220229000902</v>
      </c>
      <c r="B353" s="47" t="s">
        <v>507</v>
      </c>
      <c r="C353" s="52">
        <v>44927</v>
      </c>
      <c r="D353" s="46">
        <v>22023002070</v>
      </c>
      <c r="E353" s="47" t="s">
        <v>1191</v>
      </c>
      <c r="F353" s="53">
        <v>1306.8</v>
      </c>
      <c r="G353" s="47" t="s">
        <v>1223</v>
      </c>
      <c r="H353" s="47" t="s">
        <v>1224</v>
      </c>
      <c r="I353" s="46" t="s">
        <v>511</v>
      </c>
      <c r="J353" s="47" t="s">
        <v>519</v>
      </c>
      <c r="K353" s="47" t="s">
        <v>519</v>
      </c>
      <c r="L353" s="47" t="s">
        <v>520</v>
      </c>
      <c r="M353" s="47" t="s">
        <v>976</v>
      </c>
      <c r="N353" s="47" t="s">
        <v>839</v>
      </c>
      <c r="O353" s="45" t="s">
        <v>383</v>
      </c>
      <c r="P353" s="44" t="s">
        <v>309</v>
      </c>
      <c r="Q353" s="59" t="str">
        <f>MID(Tabla1[[#This Row],[Aplicación]],14,1)</f>
        <v>2</v>
      </c>
      <c r="R353" s="35" t="s">
        <v>298</v>
      </c>
      <c r="S353" s="59" t="str">
        <f>MID(Tabla1[[#This Row],[Aplicación]],6,2)</f>
        <v>06</v>
      </c>
      <c r="T353" s="35" t="str">
        <f>VLOOKUP(Tabla1[[#This Row],[AREA]],Hoja1!A:B,2,FALSE)</f>
        <v>06. Educación, infancia, juventud e igualdad</v>
      </c>
      <c r="U353" s="35" t="str">
        <f>MID(Tabla1[[#This Row],[Aplicación]],9,4)</f>
        <v>2315</v>
      </c>
      <c r="V353" s="35" t="str">
        <f>VLOOKUP(Tabla1[[#This Row],[PROGRAMA]],Hoja1!A:B,2,FALSE)</f>
        <v>2315. Políticas de Igualdad e infancia</v>
      </c>
      <c r="W353" s="56" t="str">
        <f>MID(Tabla1[[#This Row],[Aplicación]],14,2)</f>
        <v>22</v>
      </c>
      <c r="X353" s="56" t="str">
        <f>MID(Tabla1[[#This Row],[Aplicación]],14,6)</f>
        <v>22611</v>
      </c>
    </row>
    <row r="354" spans="1:24" x14ac:dyDescent="0.25">
      <c r="A354" s="46">
        <v>220229000878</v>
      </c>
      <c r="B354" s="47" t="s">
        <v>507</v>
      </c>
      <c r="C354" s="52">
        <v>44927</v>
      </c>
      <c r="D354" s="46">
        <v>22023002064</v>
      </c>
      <c r="E354" s="47" t="s">
        <v>1212</v>
      </c>
      <c r="F354" s="53">
        <v>11423.17</v>
      </c>
      <c r="G354" s="47" t="s">
        <v>78</v>
      </c>
      <c r="H354" s="47" t="s">
        <v>1225</v>
      </c>
      <c r="I354" s="46" t="s">
        <v>511</v>
      </c>
      <c r="J354" s="47" t="s">
        <v>519</v>
      </c>
      <c r="K354" s="47" t="s">
        <v>519</v>
      </c>
      <c r="L354" s="47" t="s">
        <v>552</v>
      </c>
      <c r="M354" s="47" t="s">
        <v>514</v>
      </c>
      <c r="N354" s="47" t="s">
        <v>515</v>
      </c>
      <c r="O354" s="45" t="s">
        <v>371</v>
      </c>
      <c r="P354" s="44" t="s">
        <v>309</v>
      </c>
      <c r="Q354" s="59" t="str">
        <f>MID(Tabla1[[#This Row],[Aplicación]],14,1)</f>
        <v>2</v>
      </c>
      <c r="R354" s="35" t="s">
        <v>298</v>
      </c>
      <c r="S354" s="59" t="str">
        <f>MID(Tabla1[[#This Row],[Aplicación]],6,2)</f>
        <v>01</v>
      </c>
      <c r="T354" s="35" t="str">
        <f>VLOOKUP(Tabla1[[#This Row],[AREA]],Hoja1!A:B,2,FALSE)</f>
        <v>01. Alcaldía</v>
      </c>
      <c r="U354" s="35" t="str">
        <f>MID(Tabla1[[#This Row],[Aplicación]],9,4)</f>
        <v>9203</v>
      </c>
      <c r="V354" s="35" t="str">
        <f>VLOOKUP(Tabla1[[#This Row],[PROGRAMA]],Hoja1!A:B,2,FALSE)</f>
        <v>9203. Unidad de régimen interior</v>
      </c>
      <c r="W354" s="56" t="str">
        <f>MID(Tabla1[[#This Row],[Aplicación]],14,2)</f>
        <v>22</v>
      </c>
      <c r="X354" s="56" t="str">
        <f>MID(Tabla1[[#This Row],[Aplicación]],14,6)</f>
        <v>22000</v>
      </c>
    </row>
    <row r="355" spans="1:24" x14ac:dyDescent="0.25">
      <c r="A355" s="46">
        <v>220229000879</v>
      </c>
      <c r="B355" s="47" t="s">
        <v>507</v>
      </c>
      <c r="C355" s="52">
        <v>44927</v>
      </c>
      <c r="D355" s="46">
        <v>22023002065</v>
      </c>
      <c r="E355" s="47" t="s">
        <v>1212</v>
      </c>
      <c r="F355" s="53">
        <v>24384.47</v>
      </c>
      <c r="G355" s="47" t="s">
        <v>78</v>
      </c>
      <c r="H355" s="47" t="s">
        <v>1226</v>
      </c>
      <c r="I355" s="46" t="s">
        <v>511</v>
      </c>
      <c r="J355" s="47" t="s">
        <v>519</v>
      </c>
      <c r="K355" s="47" t="s">
        <v>519</v>
      </c>
      <c r="L355" s="47" t="s">
        <v>552</v>
      </c>
      <c r="M355" s="47" t="s">
        <v>514</v>
      </c>
      <c r="N355" s="47" t="s">
        <v>515</v>
      </c>
      <c r="O355" s="45" t="s">
        <v>371</v>
      </c>
      <c r="P355" s="44" t="s">
        <v>309</v>
      </c>
      <c r="Q355" s="59" t="str">
        <f>MID(Tabla1[[#This Row],[Aplicación]],14,1)</f>
        <v>2</v>
      </c>
      <c r="R355" s="35" t="s">
        <v>298</v>
      </c>
      <c r="S355" s="59" t="str">
        <f>MID(Tabla1[[#This Row],[Aplicación]],6,2)</f>
        <v>01</v>
      </c>
      <c r="T355" s="35" t="str">
        <f>VLOOKUP(Tabla1[[#This Row],[AREA]],Hoja1!A:B,2,FALSE)</f>
        <v>01. Alcaldía</v>
      </c>
      <c r="U355" s="35" t="str">
        <f>MID(Tabla1[[#This Row],[Aplicación]],9,4)</f>
        <v>9203</v>
      </c>
      <c r="V355" s="35" t="str">
        <f>VLOOKUP(Tabla1[[#This Row],[PROGRAMA]],Hoja1!A:B,2,FALSE)</f>
        <v>9203. Unidad de régimen interior</v>
      </c>
      <c r="W355" s="56" t="str">
        <f>MID(Tabla1[[#This Row],[Aplicación]],14,2)</f>
        <v>22</v>
      </c>
      <c r="X355" s="56" t="str">
        <f>MID(Tabla1[[#This Row],[Aplicación]],14,6)</f>
        <v>22000</v>
      </c>
    </row>
    <row r="356" spans="1:24" x14ac:dyDescent="0.25">
      <c r="A356" s="46">
        <v>220229000469</v>
      </c>
      <c r="B356" s="47" t="s">
        <v>507</v>
      </c>
      <c r="C356" s="52">
        <v>44927</v>
      </c>
      <c r="D356" s="46">
        <v>22023001190</v>
      </c>
      <c r="E356" s="47" t="s">
        <v>736</v>
      </c>
      <c r="F356" s="53">
        <v>5384.5</v>
      </c>
      <c r="G356" s="47" t="s">
        <v>1227</v>
      </c>
      <c r="H356" s="47" t="s">
        <v>1228</v>
      </c>
      <c r="I356" s="46" t="s">
        <v>511</v>
      </c>
      <c r="J356" s="47" t="s">
        <v>519</v>
      </c>
      <c r="K356" s="47" t="s">
        <v>519</v>
      </c>
      <c r="L356" s="47" t="s">
        <v>520</v>
      </c>
      <c r="M356" s="47" t="s">
        <v>976</v>
      </c>
      <c r="N356" s="47" t="s">
        <v>839</v>
      </c>
      <c r="O356" s="45" t="s">
        <v>383</v>
      </c>
      <c r="P356" s="44" t="s">
        <v>309</v>
      </c>
      <c r="Q356" s="59" t="str">
        <f>MID(Tabla1[[#This Row],[Aplicación]],14,1)</f>
        <v>2</v>
      </c>
      <c r="R356" s="35" t="s">
        <v>298</v>
      </c>
      <c r="S356" s="59" t="str">
        <f>MID(Tabla1[[#This Row],[Aplicación]],6,2)</f>
        <v>06</v>
      </c>
      <c r="T356" s="35" t="str">
        <f>VLOOKUP(Tabla1[[#This Row],[AREA]],Hoja1!A:B,2,FALSE)</f>
        <v>06. Educación, infancia, juventud e igualdad</v>
      </c>
      <c r="U356" s="35" t="str">
        <f>MID(Tabla1[[#This Row],[Aplicación]],9,4)</f>
        <v>3261</v>
      </c>
      <c r="V356" s="35" t="str">
        <f>VLOOKUP(Tabla1[[#This Row],[PROGRAMA]],Hoja1!A:B,2,FALSE)</f>
        <v>3261. Servicios complementarios de educación</v>
      </c>
      <c r="W356" s="56" t="str">
        <f>MID(Tabla1[[#This Row],[Aplicación]],14,2)</f>
        <v>22</v>
      </c>
      <c r="X356" s="56" t="str">
        <f>MID(Tabla1[[#This Row],[Aplicación]],14,6)</f>
        <v>22799</v>
      </c>
    </row>
    <row r="357" spans="1:24" x14ac:dyDescent="0.25">
      <c r="A357" s="46">
        <v>220230000194</v>
      </c>
      <c r="B357" s="47" t="s">
        <v>507</v>
      </c>
      <c r="C357" s="52">
        <v>44927</v>
      </c>
      <c r="D357" s="46">
        <v>22023000830</v>
      </c>
      <c r="E357" s="47" t="s">
        <v>566</v>
      </c>
      <c r="F357" s="53">
        <v>16076.69</v>
      </c>
      <c r="G357" s="47" t="s">
        <v>766</v>
      </c>
      <c r="H357" s="47" t="s">
        <v>1229</v>
      </c>
      <c r="I357" s="46" t="s">
        <v>511</v>
      </c>
      <c r="J357" s="47" t="s">
        <v>768</v>
      </c>
      <c r="K357" s="47" t="s">
        <v>768</v>
      </c>
      <c r="L357" s="47" t="s">
        <v>520</v>
      </c>
      <c r="M357" s="47" t="s">
        <v>514</v>
      </c>
      <c r="N357" s="47" t="s">
        <v>515</v>
      </c>
      <c r="O357" s="45" t="s">
        <v>371</v>
      </c>
      <c r="P357" s="44" t="s">
        <v>309</v>
      </c>
      <c r="Q357" s="59" t="str">
        <f>MID(Tabla1[[#This Row],[Aplicación]],14,1)</f>
        <v>2</v>
      </c>
      <c r="R357" s="35" t="s">
        <v>298</v>
      </c>
      <c r="S357" s="59" t="str">
        <f>MID(Tabla1[[#This Row],[Aplicación]],6,2)</f>
        <v>04</v>
      </c>
      <c r="T357" s="35" t="str">
        <f>VLOOKUP(Tabla1[[#This Row],[AREA]],Hoja1!A:B,2,FALSE)</f>
        <v>04. Planificación y recursos</v>
      </c>
      <c r="U357" s="35" t="str">
        <f>MID(Tabla1[[#This Row],[Aplicación]],9,4)</f>
        <v>9204</v>
      </c>
      <c r="V357" s="35" t="str">
        <f>VLOOKUP(Tabla1[[#This Row],[PROGRAMA]],Hoja1!A:B,2,FALSE)</f>
        <v>9204. Tecnologías de la información y comunicación</v>
      </c>
      <c r="W357" s="56" t="str">
        <f>MID(Tabla1[[#This Row],[Aplicación]],14,2)</f>
        <v>21</v>
      </c>
      <c r="X357" s="56" t="str">
        <f>MID(Tabla1[[#This Row],[Aplicación]],14,6)</f>
        <v>216</v>
      </c>
    </row>
    <row r="358" spans="1:24" x14ac:dyDescent="0.25">
      <c r="A358" s="46">
        <v>220229000644</v>
      </c>
      <c r="B358" s="47" t="s">
        <v>507</v>
      </c>
      <c r="C358" s="52">
        <v>44927</v>
      </c>
      <c r="D358" s="46">
        <v>22023001253</v>
      </c>
      <c r="E358" s="47" t="s">
        <v>566</v>
      </c>
      <c r="F358" s="53">
        <v>598.44000000000005</v>
      </c>
      <c r="G358" s="47" t="s">
        <v>766</v>
      </c>
      <c r="H358" s="47" t="s">
        <v>1230</v>
      </c>
      <c r="I358" s="46" t="s">
        <v>511</v>
      </c>
      <c r="J358" s="47" t="s">
        <v>768</v>
      </c>
      <c r="K358" s="47" t="s">
        <v>768</v>
      </c>
      <c r="L358" s="47" t="s">
        <v>520</v>
      </c>
      <c r="M358" s="47" t="s">
        <v>514</v>
      </c>
      <c r="N358" s="47" t="s">
        <v>515</v>
      </c>
      <c r="O358" s="45" t="s">
        <v>371</v>
      </c>
      <c r="P358" s="44" t="s">
        <v>309</v>
      </c>
      <c r="Q358" s="59" t="str">
        <f>MID(Tabla1[[#This Row],[Aplicación]],14,1)</f>
        <v>2</v>
      </c>
      <c r="R358" s="35" t="s">
        <v>298</v>
      </c>
      <c r="S358" s="59" t="str">
        <f>MID(Tabla1[[#This Row],[Aplicación]],6,2)</f>
        <v>04</v>
      </c>
      <c r="T358" s="35" t="str">
        <f>VLOOKUP(Tabla1[[#This Row],[AREA]],Hoja1!A:B,2,FALSE)</f>
        <v>04. Planificación y recursos</v>
      </c>
      <c r="U358" s="35" t="str">
        <f>MID(Tabla1[[#This Row],[Aplicación]],9,4)</f>
        <v>9204</v>
      </c>
      <c r="V358" s="35" t="str">
        <f>VLOOKUP(Tabla1[[#This Row],[PROGRAMA]],Hoja1!A:B,2,FALSE)</f>
        <v>9204. Tecnologías de la información y comunicación</v>
      </c>
      <c r="W358" s="56" t="str">
        <f>MID(Tabla1[[#This Row],[Aplicación]],14,2)</f>
        <v>21</v>
      </c>
      <c r="X358" s="56" t="str">
        <f>MID(Tabla1[[#This Row],[Aplicación]],14,6)</f>
        <v>216</v>
      </c>
    </row>
    <row r="359" spans="1:24" x14ac:dyDescent="0.25">
      <c r="A359" s="46">
        <v>220229000740</v>
      </c>
      <c r="B359" s="47" t="s">
        <v>507</v>
      </c>
      <c r="C359" s="52">
        <v>44927</v>
      </c>
      <c r="D359" s="46">
        <v>22023000739</v>
      </c>
      <c r="E359" s="47" t="s">
        <v>751</v>
      </c>
      <c r="F359" s="53">
        <v>94198.84</v>
      </c>
      <c r="G359" s="47" t="s">
        <v>828</v>
      </c>
      <c r="H359" s="47" t="s">
        <v>829</v>
      </c>
      <c r="I359" s="46" t="s">
        <v>511</v>
      </c>
      <c r="J359" s="47" t="s">
        <v>512</v>
      </c>
      <c r="K359" s="47" t="s">
        <v>512</v>
      </c>
      <c r="L359" s="47" t="s">
        <v>520</v>
      </c>
      <c r="M359" s="47" t="s">
        <v>514</v>
      </c>
      <c r="N359" s="47" t="s">
        <v>515</v>
      </c>
      <c r="O359" s="54" t="s">
        <v>371</v>
      </c>
      <c r="P359" s="44" t="s">
        <v>309</v>
      </c>
      <c r="Q359" s="59">
        <v>6</v>
      </c>
      <c r="R359" s="35" t="s">
        <v>299</v>
      </c>
      <c r="S359" s="59" t="str">
        <f>MID(Tabla1[[#This Row],[Aplicación]],6,2)</f>
        <v>10</v>
      </c>
      <c r="T359" s="35" t="str">
        <f>VLOOKUP(Tabla1[[#This Row],[AREA]],Hoja1!A:B,2,FALSE)</f>
        <v>10. Servicios sociales y mediación comunitaria</v>
      </c>
      <c r="U359" s="35">
        <v>2313</v>
      </c>
      <c r="V359" s="35" t="str">
        <f>VLOOKUP(Tabla1[[#This Row],[PROGRAMA]],Hoja1!A:B,2,FALSE)</f>
        <v>2313. Dirección del área de servicios sociales</v>
      </c>
      <c r="W359" s="56">
        <v>64</v>
      </c>
      <c r="X359" s="56">
        <v>641</v>
      </c>
    </row>
    <row r="360" spans="1:24" x14ac:dyDescent="0.25">
      <c r="A360" s="46">
        <v>220229000264</v>
      </c>
      <c r="B360" s="47" t="s">
        <v>507</v>
      </c>
      <c r="C360" s="52">
        <v>44927</v>
      </c>
      <c r="D360" s="46">
        <v>22023000936</v>
      </c>
      <c r="E360" s="47" t="s">
        <v>516</v>
      </c>
      <c r="F360" s="53">
        <v>8655</v>
      </c>
      <c r="G360" s="47" t="s">
        <v>47</v>
      </c>
      <c r="H360" s="47" t="s">
        <v>1233</v>
      </c>
      <c r="I360" s="46" t="s">
        <v>511</v>
      </c>
      <c r="J360" s="47" t="s">
        <v>519</v>
      </c>
      <c r="K360" s="47" t="s">
        <v>519</v>
      </c>
      <c r="L360" s="47" t="s">
        <v>520</v>
      </c>
      <c r="M360" s="47" t="s">
        <v>514</v>
      </c>
      <c r="N360" s="47" t="s">
        <v>515</v>
      </c>
      <c r="O360" s="45" t="s">
        <v>371</v>
      </c>
      <c r="P360" s="44" t="s">
        <v>309</v>
      </c>
      <c r="Q360" s="59" t="str">
        <f>MID(Tabla1[[#This Row],[Aplicación]],14,1)</f>
        <v>2</v>
      </c>
      <c r="R360" s="35" t="s">
        <v>298</v>
      </c>
      <c r="S360" s="59" t="str">
        <f>MID(Tabla1[[#This Row],[Aplicación]],6,2)</f>
        <v>10</v>
      </c>
      <c r="T360" s="35" t="str">
        <f>VLOOKUP(Tabla1[[#This Row],[AREA]],Hoja1!A:B,2,FALSE)</f>
        <v>10. Servicios sociales y mediación comunitaria</v>
      </c>
      <c r="U360" s="35" t="str">
        <f>MID(Tabla1[[#This Row],[Aplicación]],9,4)</f>
        <v>2311</v>
      </c>
      <c r="V360" s="35" t="str">
        <f>VLOOKUP(Tabla1[[#This Row],[PROGRAMA]],Hoja1!A:B,2,FALSE)</f>
        <v>2311. Intervención social</v>
      </c>
      <c r="W360" s="56" t="str">
        <f>MID(Tabla1[[#This Row],[Aplicación]],14,2)</f>
        <v>22</v>
      </c>
      <c r="X360" s="56" t="str">
        <f>MID(Tabla1[[#This Row],[Aplicación]],14,6)</f>
        <v>22799</v>
      </c>
    </row>
    <row r="361" spans="1:24" x14ac:dyDescent="0.25">
      <c r="A361" s="46">
        <v>220229000580</v>
      </c>
      <c r="B361" s="47" t="s">
        <v>507</v>
      </c>
      <c r="C361" s="52">
        <v>44927</v>
      </c>
      <c r="D361" s="46">
        <v>22023001224</v>
      </c>
      <c r="E361" s="47" t="s">
        <v>1234</v>
      </c>
      <c r="F361" s="53">
        <v>4000</v>
      </c>
      <c r="G361" s="47" t="s">
        <v>47</v>
      </c>
      <c r="H361" s="47" t="s">
        <v>1235</v>
      </c>
      <c r="I361" s="46" t="s">
        <v>511</v>
      </c>
      <c r="J361" s="47" t="s">
        <v>519</v>
      </c>
      <c r="K361" s="47" t="s">
        <v>519</v>
      </c>
      <c r="L361" s="47" t="s">
        <v>520</v>
      </c>
      <c r="M361" s="47" t="s">
        <v>514</v>
      </c>
      <c r="N361" s="47" t="s">
        <v>515</v>
      </c>
      <c r="O361" s="45" t="s">
        <v>371</v>
      </c>
      <c r="P361" s="44" t="s">
        <v>309</v>
      </c>
      <c r="Q361" s="59" t="str">
        <f>MID(Tabla1[[#This Row],[Aplicación]],14,1)</f>
        <v>2</v>
      </c>
      <c r="R361" s="35" t="s">
        <v>298</v>
      </c>
      <c r="S361" s="59" t="str">
        <f>MID(Tabla1[[#This Row],[Aplicación]],6,2)</f>
        <v>10</v>
      </c>
      <c r="T361" s="35" t="str">
        <f>VLOOKUP(Tabla1[[#This Row],[AREA]],Hoja1!A:B,2,FALSE)</f>
        <v>10. Servicios sociales y mediación comunitaria</v>
      </c>
      <c r="U361" s="35" t="str">
        <f>MID(Tabla1[[#This Row],[Aplicación]],9,4)</f>
        <v>2316</v>
      </c>
      <c r="V361" s="35" t="str">
        <f>VLOOKUP(Tabla1[[#This Row],[PROGRAMA]],Hoja1!A:B,2,FALSE)</f>
        <v>2316. Mediación comunitaria</v>
      </c>
      <c r="W361" s="56" t="str">
        <f>MID(Tabla1[[#This Row],[Aplicación]],14,2)</f>
        <v>22</v>
      </c>
      <c r="X361" s="56" t="str">
        <f>MID(Tabla1[[#This Row],[Aplicación]],14,6)</f>
        <v>22616</v>
      </c>
    </row>
    <row r="362" spans="1:24" x14ac:dyDescent="0.25">
      <c r="A362" s="46">
        <v>220229000067</v>
      </c>
      <c r="B362" s="47" t="s">
        <v>507</v>
      </c>
      <c r="C362" s="52">
        <v>44927</v>
      </c>
      <c r="D362" s="46">
        <v>22023000876</v>
      </c>
      <c r="E362" s="47" t="s">
        <v>596</v>
      </c>
      <c r="F362" s="53">
        <v>772.46</v>
      </c>
      <c r="G362" s="47" t="s">
        <v>21</v>
      </c>
      <c r="H362" s="47" t="s">
        <v>1236</v>
      </c>
      <c r="I362" s="46" t="s">
        <v>511</v>
      </c>
      <c r="J362" s="47" t="s">
        <v>519</v>
      </c>
      <c r="K362" s="47" t="s">
        <v>519</v>
      </c>
      <c r="L362" s="47" t="s">
        <v>520</v>
      </c>
      <c r="M362" s="47" t="s">
        <v>976</v>
      </c>
      <c r="N362" s="47" t="s">
        <v>839</v>
      </c>
      <c r="O362" s="45" t="s">
        <v>383</v>
      </c>
      <c r="P362" s="44" t="s">
        <v>309</v>
      </c>
      <c r="Q362" s="59" t="str">
        <f>MID(Tabla1[[#This Row],[Aplicación]],14,1)</f>
        <v>2</v>
      </c>
      <c r="R362" s="35" t="s">
        <v>298</v>
      </c>
      <c r="S362" s="59" t="str">
        <f>MID(Tabla1[[#This Row],[Aplicación]],6,2)</f>
        <v>01</v>
      </c>
      <c r="T362" s="35" t="str">
        <f>VLOOKUP(Tabla1[[#This Row],[AREA]],Hoja1!A:B,2,FALSE)</f>
        <v>01. Alcaldía</v>
      </c>
      <c r="U362" s="35" t="str">
        <f>MID(Tabla1[[#This Row],[Aplicación]],9,4)</f>
        <v>9205</v>
      </c>
      <c r="V362" s="35" t="str">
        <f>VLOOKUP(Tabla1[[#This Row],[PROGRAMA]],Hoja1!A:B,2,FALSE)</f>
        <v>9205. Imprenta municipal</v>
      </c>
      <c r="W362" s="56" t="str">
        <f>MID(Tabla1[[#This Row],[Aplicación]],14,2)</f>
        <v>20</v>
      </c>
      <c r="X362" s="56" t="str">
        <f>MID(Tabla1[[#This Row],[Aplicación]],14,6)</f>
        <v>203</v>
      </c>
    </row>
    <row r="363" spans="1:24" x14ac:dyDescent="0.25">
      <c r="A363" s="46">
        <v>220229000021</v>
      </c>
      <c r="B363" s="47" t="s">
        <v>507</v>
      </c>
      <c r="C363" s="52">
        <v>44927</v>
      </c>
      <c r="D363" s="46">
        <v>22023000867</v>
      </c>
      <c r="E363" s="47" t="s">
        <v>1052</v>
      </c>
      <c r="F363" s="53">
        <v>5082</v>
      </c>
      <c r="G363" s="47" t="s">
        <v>1053</v>
      </c>
      <c r="H363" s="47" t="s">
        <v>1237</v>
      </c>
      <c r="I363" s="46" t="s">
        <v>511</v>
      </c>
      <c r="J363" s="47" t="s">
        <v>589</v>
      </c>
      <c r="K363" s="47" t="s">
        <v>590</v>
      </c>
      <c r="L363" s="47" t="s">
        <v>520</v>
      </c>
      <c r="M363" s="47" t="s">
        <v>514</v>
      </c>
      <c r="N363" s="47" t="s">
        <v>515</v>
      </c>
      <c r="O363" s="45" t="s">
        <v>371</v>
      </c>
      <c r="P363" s="44" t="s">
        <v>309</v>
      </c>
      <c r="Q363" s="59" t="str">
        <f>MID(Tabla1[[#This Row],[Aplicación]],14,1)</f>
        <v>2</v>
      </c>
      <c r="R363" s="35" t="s">
        <v>298</v>
      </c>
      <c r="S363" s="59" t="str">
        <f>MID(Tabla1[[#This Row],[Aplicación]],6,2)</f>
        <v>09</v>
      </c>
      <c r="T363" s="35" t="str">
        <f>VLOOKUP(Tabla1[[#This Row],[AREA]],Hoja1!A:B,2,FALSE)</f>
        <v>09. Cultura y turismo</v>
      </c>
      <c r="U363" s="35" t="str">
        <f>MID(Tabla1[[#This Row],[Aplicación]],9,4)</f>
        <v>4321</v>
      </c>
      <c r="V363" s="35" t="str">
        <f>VLOOKUP(Tabla1[[#This Row],[PROGRAMA]],Hoja1!A:B,2,FALSE)</f>
        <v>4321. Turismo</v>
      </c>
      <c r="W363" s="56" t="str">
        <f>MID(Tabla1[[#This Row],[Aplicación]],14,2)</f>
        <v>22</v>
      </c>
      <c r="X363" s="56" t="str">
        <f>MID(Tabla1[[#This Row],[Aplicación]],14,6)</f>
        <v>22799</v>
      </c>
    </row>
    <row r="364" spans="1:24" x14ac:dyDescent="0.25">
      <c r="A364" s="46">
        <v>220219001173</v>
      </c>
      <c r="B364" s="47" t="s">
        <v>507</v>
      </c>
      <c r="C364" s="52">
        <v>44927</v>
      </c>
      <c r="D364" s="46">
        <v>22023003351</v>
      </c>
      <c r="E364" s="47" t="s">
        <v>1052</v>
      </c>
      <c r="F364" s="53">
        <v>4563.0200000000004</v>
      </c>
      <c r="G364" s="47" t="s">
        <v>1053</v>
      </c>
      <c r="H364" s="47" t="s">
        <v>1238</v>
      </c>
      <c r="I364" s="46" t="s">
        <v>511</v>
      </c>
      <c r="J364" s="47" t="s">
        <v>589</v>
      </c>
      <c r="K364" s="47" t="s">
        <v>590</v>
      </c>
      <c r="L364" s="47" t="s">
        <v>520</v>
      </c>
      <c r="M364" s="47" t="s">
        <v>514</v>
      </c>
      <c r="N364" s="47" t="s">
        <v>515</v>
      </c>
      <c r="O364" s="45" t="s">
        <v>371</v>
      </c>
      <c r="P364" s="44" t="s">
        <v>309</v>
      </c>
      <c r="Q364" s="59" t="str">
        <f>MID(Tabla1[[#This Row],[Aplicación]],14,1)</f>
        <v>2</v>
      </c>
      <c r="R364" s="35" t="s">
        <v>298</v>
      </c>
      <c r="S364" s="59" t="str">
        <f>MID(Tabla1[[#This Row],[Aplicación]],6,2)</f>
        <v>09</v>
      </c>
      <c r="T364" s="35" t="str">
        <f>VLOOKUP(Tabla1[[#This Row],[AREA]],Hoja1!A:B,2,FALSE)</f>
        <v>09. Cultura y turismo</v>
      </c>
      <c r="U364" s="35" t="str">
        <f>MID(Tabla1[[#This Row],[Aplicación]],9,4)</f>
        <v>4321</v>
      </c>
      <c r="V364" s="35" t="str">
        <f>VLOOKUP(Tabla1[[#This Row],[PROGRAMA]],Hoja1!A:B,2,FALSE)</f>
        <v>4321. Turismo</v>
      </c>
      <c r="W364" s="56" t="str">
        <f>MID(Tabla1[[#This Row],[Aplicación]],14,2)</f>
        <v>22</v>
      </c>
      <c r="X364" s="56" t="str">
        <f>MID(Tabla1[[#This Row],[Aplicación]],14,6)</f>
        <v>22799</v>
      </c>
    </row>
    <row r="365" spans="1:24" x14ac:dyDescent="0.25">
      <c r="A365" s="46">
        <v>220230000190</v>
      </c>
      <c r="B365" s="47" t="s">
        <v>507</v>
      </c>
      <c r="C365" s="52">
        <v>44927</v>
      </c>
      <c r="D365" s="46">
        <v>22023000825</v>
      </c>
      <c r="E365" s="47" t="s">
        <v>944</v>
      </c>
      <c r="F365" s="53">
        <v>11935</v>
      </c>
      <c r="G365" s="47" t="s">
        <v>945</v>
      </c>
      <c r="H365" s="47" t="s">
        <v>1239</v>
      </c>
      <c r="I365" s="46" t="s">
        <v>511</v>
      </c>
      <c r="J365" s="47" t="s">
        <v>947</v>
      </c>
      <c r="K365" s="47" t="s">
        <v>947</v>
      </c>
      <c r="L365" s="47" t="s">
        <v>520</v>
      </c>
      <c r="M365" s="47" t="s">
        <v>514</v>
      </c>
      <c r="N365" s="47" t="s">
        <v>515</v>
      </c>
      <c r="O365" s="45" t="s">
        <v>371</v>
      </c>
      <c r="P365" s="44" t="s">
        <v>309</v>
      </c>
      <c r="Q365" s="59" t="str">
        <f>MID(Tabla1[[#This Row],[Aplicación]],14,1)</f>
        <v>2</v>
      </c>
      <c r="R365" s="35" t="s">
        <v>298</v>
      </c>
      <c r="S365" s="59" t="str">
        <f>MID(Tabla1[[#This Row],[Aplicación]],6,2)</f>
        <v>04</v>
      </c>
      <c r="T365" s="35" t="str">
        <f>VLOOKUP(Tabla1[[#This Row],[AREA]],Hoja1!A:B,2,FALSE)</f>
        <v>04. Planificación y recursos</v>
      </c>
      <c r="U365" s="35" t="str">
        <f>MID(Tabla1[[#This Row],[Aplicación]],9,4)</f>
        <v>9231</v>
      </c>
      <c r="V365" s="35" t="str">
        <f>VLOOKUP(Tabla1[[#This Row],[PROGRAMA]],Hoja1!A:B,2,FALSE)</f>
        <v>9231. Información, registro y gestión del padrón</v>
      </c>
      <c r="W365" s="56" t="str">
        <f>MID(Tabla1[[#This Row],[Aplicación]],14,2)</f>
        <v>22</v>
      </c>
      <c r="X365" s="56" t="str">
        <f>MID(Tabla1[[#This Row],[Aplicación]],14,6)</f>
        <v>22799</v>
      </c>
    </row>
    <row r="366" spans="1:24" x14ac:dyDescent="0.25">
      <c r="A366" s="46">
        <v>220230000155</v>
      </c>
      <c r="B366" s="47" t="s">
        <v>507</v>
      </c>
      <c r="C366" s="52">
        <v>44927</v>
      </c>
      <c r="D366" s="46">
        <v>22023000788</v>
      </c>
      <c r="E366" s="47" t="s">
        <v>669</v>
      </c>
      <c r="F366" s="53">
        <v>8977.7099999999991</v>
      </c>
      <c r="G366" s="47" t="s">
        <v>18</v>
      </c>
      <c r="H366" s="47" t="s">
        <v>1240</v>
      </c>
      <c r="I366" s="46" t="s">
        <v>511</v>
      </c>
      <c r="J366" s="47" t="s">
        <v>519</v>
      </c>
      <c r="K366" s="47" t="s">
        <v>519</v>
      </c>
      <c r="L366" s="47" t="s">
        <v>520</v>
      </c>
      <c r="M366" s="47" t="s">
        <v>514</v>
      </c>
      <c r="N366" s="47" t="s">
        <v>515</v>
      </c>
      <c r="O366" s="45" t="s">
        <v>371</v>
      </c>
      <c r="P366" s="44" t="s">
        <v>309</v>
      </c>
      <c r="Q366" s="59" t="str">
        <f>MID(Tabla1[[#This Row],[Aplicación]],14,1)</f>
        <v>2</v>
      </c>
      <c r="R366" s="35" t="s">
        <v>298</v>
      </c>
      <c r="S366" s="59" t="str">
        <f>MID(Tabla1[[#This Row],[Aplicación]],6,2)</f>
        <v>06</v>
      </c>
      <c r="T366" s="35" t="str">
        <f>VLOOKUP(Tabla1[[#This Row],[AREA]],Hoja1!A:B,2,FALSE)</f>
        <v>06. Educación, infancia, juventud e igualdad</v>
      </c>
      <c r="U366" s="35" t="str">
        <f>MID(Tabla1[[#This Row],[Aplicación]],9,4)</f>
        <v>3232</v>
      </c>
      <c r="V366" s="35" t="str">
        <f>VLOOKUP(Tabla1[[#This Row],[PROGRAMA]],Hoja1!A:B,2,FALSE)</f>
        <v>3232. Conservación y mantenimiento centros educación infantil y primaria</v>
      </c>
      <c r="W366" s="56" t="str">
        <f>MID(Tabla1[[#This Row],[Aplicación]],14,2)</f>
        <v>21</v>
      </c>
      <c r="X366" s="56" t="str">
        <f>MID(Tabla1[[#This Row],[Aplicación]],14,6)</f>
        <v>213</v>
      </c>
    </row>
    <row r="367" spans="1:24" x14ac:dyDescent="0.25">
      <c r="A367" s="46">
        <v>220230000157</v>
      </c>
      <c r="B367" s="47" t="s">
        <v>507</v>
      </c>
      <c r="C367" s="52">
        <v>44927</v>
      </c>
      <c r="D367" s="46">
        <v>22023000790</v>
      </c>
      <c r="E367" s="47" t="s">
        <v>1241</v>
      </c>
      <c r="F367" s="53">
        <v>702.85</v>
      </c>
      <c r="G367" s="47" t="s">
        <v>18</v>
      </c>
      <c r="H367" s="47" t="s">
        <v>1242</v>
      </c>
      <c r="I367" s="46" t="s">
        <v>511</v>
      </c>
      <c r="J367" s="47" t="s">
        <v>519</v>
      </c>
      <c r="K367" s="47" t="s">
        <v>519</v>
      </c>
      <c r="L367" s="47" t="s">
        <v>520</v>
      </c>
      <c r="M367" s="47" t="s">
        <v>514</v>
      </c>
      <c r="N367" s="47" t="s">
        <v>515</v>
      </c>
      <c r="O367" s="45" t="s">
        <v>371</v>
      </c>
      <c r="P367" s="44" t="s">
        <v>309</v>
      </c>
      <c r="Q367" s="59" t="str">
        <f>MID(Tabla1[[#This Row],[Aplicación]],14,1)</f>
        <v>2</v>
      </c>
      <c r="R367" s="35" t="s">
        <v>298</v>
      </c>
      <c r="S367" s="59" t="str">
        <f>MID(Tabla1[[#This Row],[Aplicación]],6,2)</f>
        <v>06</v>
      </c>
      <c r="T367" s="35" t="str">
        <f>VLOOKUP(Tabla1[[#This Row],[AREA]],Hoja1!A:B,2,FALSE)</f>
        <v>06. Educación, infancia, juventud e igualdad</v>
      </c>
      <c r="U367" s="35" t="str">
        <f>MID(Tabla1[[#This Row],[Aplicación]],9,4)</f>
        <v>3231</v>
      </c>
      <c r="V367" s="35" t="str">
        <f>VLOOKUP(Tabla1[[#This Row],[PROGRAMA]],Hoja1!A:B,2,FALSE)</f>
        <v>3231. Escuelas infantiles</v>
      </c>
      <c r="W367" s="56" t="str">
        <f>MID(Tabla1[[#This Row],[Aplicación]],14,2)</f>
        <v>21</v>
      </c>
      <c r="X367" s="56" t="str">
        <f>MID(Tabla1[[#This Row],[Aplicación]],14,6)</f>
        <v>213</v>
      </c>
    </row>
    <row r="368" spans="1:24" x14ac:dyDescent="0.25">
      <c r="A368" s="46">
        <v>220230000159</v>
      </c>
      <c r="B368" s="47" t="s">
        <v>507</v>
      </c>
      <c r="C368" s="52">
        <v>44927</v>
      </c>
      <c r="D368" s="46">
        <v>22023000792</v>
      </c>
      <c r="E368" s="47" t="s">
        <v>671</v>
      </c>
      <c r="F368" s="53">
        <v>57.16</v>
      </c>
      <c r="G368" s="47" t="s">
        <v>18</v>
      </c>
      <c r="H368" s="47" t="s">
        <v>1243</v>
      </c>
      <c r="I368" s="46" t="s">
        <v>511</v>
      </c>
      <c r="J368" s="47" t="s">
        <v>519</v>
      </c>
      <c r="K368" s="47" t="s">
        <v>519</v>
      </c>
      <c r="L368" s="47" t="s">
        <v>520</v>
      </c>
      <c r="M368" s="47" t="s">
        <v>514</v>
      </c>
      <c r="N368" s="47" t="s">
        <v>515</v>
      </c>
      <c r="O368" s="45" t="s">
        <v>371</v>
      </c>
      <c r="P368" s="44" t="s">
        <v>309</v>
      </c>
      <c r="Q368" s="59" t="str">
        <f>MID(Tabla1[[#This Row],[Aplicación]],14,1)</f>
        <v>2</v>
      </c>
      <c r="R368" s="35" t="s">
        <v>298</v>
      </c>
      <c r="S368" s="59" t="str">
        <f>MID(Tabla1[[#This Row],[Aplicación]],6,2)</f>
        <v>06</v>
      </c>
      <c r="T368" s="35" t="str">
        <f>VLOOKUP(Tabla1[[#This Row],[AREA]],Hoja1!A:B,2,FALSE)</f>
        <v>06. Educación, infancia, juventud e igualdad</v>
      </c>
      <c r="U368" s="35" t="str">
        <f>MID(Tabla1[[#This Row],[Aplicación]],9,4)</f>
        <v>3321</v>
      </c>
      <c r="V368" s="35" t="str">
        <f>VLOOKUP(Tabla1[[#This Row],[PROGRAMA]],Hoja1!A:B,2,FALSE)</f>
        <v>3321. Bibliotecas públicas</v>
      </c>
      <c r="W368" s="56" t="str">
        <f>MID(Tabla1[[#This Row],[Aplicación]],14,2)</f>
        <v>21</v>
      </c>
      <c r="X368" s="56" t="str">
        <f>MID(Tabla1[[#This Row],[Aplicación]],14,6)</f>
        <v>213</v>
      </c>
    </row>
    <row r="369" spans="1:24" x14ac:dyDescent="0.25">
      <c r="A369" s="46">
        <v>220230000160</v>
      </c>
      <c r="B369" s="47" t="s">
        <v>507</v>
      </c>
      <c r="C369" s="52">
        <v>44927</v>
      </c>
      <c r="D369" s="46">
        <v>22023000793</v>
      </c>
      <c r="E369" s="47" t="s">
        <v>1155</v>
      </c>
      <c r="F369" s="53">
        <v>255.03</v>
      </c>
      <c r="G369" s="47" t="s">
        <v>18</v>
      </c>
      <c r="H369" s="47" t="s">
        <v>1244</v>
      </c>
      <c r="I369" s="46" t="s">
        <v>511</v>
      </c>
      <c r="J369" s="47" t="s">
        <v>519</v>
      </c>
      <c r="K369" s="47" t="s">
        <v>519</v>
      </c>
      <c r="L369" s="47" t="s">
        <v>520</v>
      </c>
      <c r="M369" s="47" t="s">
        <v>514</v>
      </c>
      <c r="N369" s="47" t="s">
        <v>515</v>
      </c>
      <c r="O369" s="45" t="s">
        <v>371</v>
      </c>
      <c r="P369" s="44" t="s">
        <v>309</v>
      </c>
      <c r="Q369" s="59" t="str">
        <f>MID(Tabla1[[#This Row],[Aplicación]],14,1)</f>
        <v>2</v>
      </c>
      <c r="R369" s="35" t="s">
        <v>298</v>
      </c>
      <c r="S369" s="59" t="str">
        <f>MID(Tabla1[[#This Row],[Aplicación]],6,2)</f>
        <v>06</v>
      </c>
      <c r="T369" s="35" t="str">
        <f>VLOOKUP(Tabla1[[#This Row],[AREA]],Hoja1!A:B,2,FALSE)</f>
        <v>06. Educación, infancia, juventud e igualdad</v>
      </c>
      <c r="U369" s="35" t="str">
        <f>MID(Tabla1[[#This Row],[Aplicación]],9,4)</f>
        <v>2314</v>
      </c>
      <c r="V369" s="35" t="str">
        <f>VLOOKUP(Tabla1[[#This Row],[PROGRAMA]],Hoja1!A:B,2,FALSE)</f>
        <v>2314. Centro de programas juveniles</v>
      </c>
      <c r="W369" s="56" t="str">
        <f>MID(Tabla1[[#This Row],[Aplicación]],14,2)</f>
        <v>21</v>
      </c>
      <c r="X369" s="56" t="str">
        <f>MID(Tabla1[[#This Row],[Aplicación]],14,6)</f>
        <v>213</v>
      </c>
    </row>
    <row r="370" spans="1:24" x14ac:dyDescent="0.25">
      <c r="A370" s="46">
        <v>220230000162</v>
      </c>
      <c r="B370" s="47" t="s">
        <v>507</v>
      </c>
      <c r="C370" s="52">
        <v>44927</v>
      </c>
      <c r="D370" s="46">
        <v>22023000795</v>
      </c>
      <c r="E370" s="47" t="s">
        <v>673</v>
      </c>
      <c r="F370" s="53">
        <v>26.38</v>
      </c>
      <c r="G370" s="47" t="s">
        <v>18</v>
      </c>
      <c r="H370" s="47" t="s">
        <v>1245</v>
      </c>
      <c r="I370" s="46" t="s">
        <v>511</v>
      </c>
      <c r="J370" s="47" t="s">
        <v>519</v>
      </c>
      <c r="K370" s="47" t="s">
        <v>519</v>
      </c>
      <c r="L370" s="47" t="s">
        <v>520</v>
      </c>
      <c r="M370" s="47" t="s">
        <v>514</v>
      </c>
      <c r="N370" s="47" t="s">
        <v>515</v>
      </c>
      <c r="O370" s="45" t="s">
        <v>371</v>
      </c>
      <c r="P370" s="44" t="s">
        <v>309</v>
      </c>
      <c r="Q370" s="59" t="str">
        <f>MID(Tabla1[[#This Row],[Aplicación]],14,1)</f>
        <v>2</v>
      </c>
      <c r="R370" s="35" t="s">
        <v>298</v>
      </c>
      <c r="S370" s="59" t="str">
        <f>MID(Tabla1[[#This Row],[Aplicación]],6,2)</f>
        <v>06</v>
      </c>
      <c r="T370" s="35" t="str">
        <f>VLOOKUP(Tabla1[[#This Row],[AREA]],Hoja1!A:B,2,FALSE)</f>
        <v>06. Educación, infancia, juventud e igualdad</v>
      </c>
      <c r="U370" s="35" t="str">
        <f>MID(Tabla1[[#This Row],[Aplicación]],9,4)</f>
        <v>2315</v>
      </c>
      <c r="V370" s="35" t="str">
        <f>VLOOKUP(Tabla1[[#This Row],[PROGRAMA]],Hoja1!A:B,2,FALSE)</f>
        <v>2315. Políticas de Igualdad e infancia</v>
      </c>
      <c r="W370" s="56" t="str">
        <f>MID(Tabla1[[#This Row],[Aplicación]],14,2)</f>
        <v>21</v>
      </c>
      <c r="X370" s="56" t="str">
        <f>MID(Tabla1[[#This Row],[Aplicación]],14,6)</f>
        <v>213</v>
      </c>
    </row>
    <row r="371" spans="1:24" x14ac:dyDescent="0.25">
      <c r="A371" s="46">
        <v>220230000170</v>
      </c>
      <c r="B371" s="47" t="s">
        <v>507</v>
      </c>
      <c r="C371" s="52">
        <v>44927</v>
      </c>
      <c r="D371" s="46">
        <v>22023000803</v>
      </c>
      <c r="E371" s="47" t="s">
        <v>1246</v>
      </c>
      <c r="F371" s="53">
        <v>288.62</v>
      </c>
      <c r="G371" s="47" t="s">
        <v>18</v>
      </c>
      <c r="H371" s="47" t="s">
        <v>1247</v>
      </c>
      <c r="I371" s="46" t="s">
        <v>511</v>
      </c>
      <c r="J371" s="47" t="s">
        <v>519</v>
      </c>
      <c r="K371" s="47" t="s">
        <v>519</v>
      </c>
      <c r="L371" s="47" t="s">
        <v>520</v>
      </c>
      <c r="M371" s="47" t="s">
        <v>514</v>
      </c>
      <c r="N371" s="47" t="s">
        <v>515</v>
      </c>
      <c r="O371" s="45" t="s">
        <v>371</v>
      </c>
      <c r="P371" s="44" t="s">
        <v>309</v>
      </c>
      <c r="Q371" s="59" t="str">
        <f>MID(Tabla1[[#This Row],[Aplicación]],14,1)</f>
        <v>2</v>
      </c>
      <c r="R371" s="35" t="s">
        <v>298</v>
      </c>
      <c r="S371" s="59" t="str">
        <f>MID(Tabla1[[#This Row],[Aplicación]],6,2)</f>
        <v>05</v>
      </c>
      <c r="T371" s="35" t="str">
        <f>VLOOKUP(Tabla1[[#This Row],[AREA]],Hoja1!A:B,2,FALSE)</f>
        <v>05. Innovación, desarrollo económico, empleo y comercio</v>
      </c>
      <c r="U371" s="35" t="str">
        <f>MID(Tabla1[[#This Row],[Aplicación]],9,4)</f>
        <v>4331</v>
      </c>
      <c r="V371" s="35" t="str">
        <f>VLOOKUP(Tabla1[[#This Row],[PROGRAMA]],Hoja1!A:B,2,FALSE)</f>
        <v>4331. Desarrollo empresarial</v>
      </c>
      <c r="W371" s="56" t="str">
        <f>MID(Tabla1[[#This Row],[Aplicación]],14,2)</f>
        <v>21</v>
      </c>
      <c r="X371" s="56" t="str">
        <f>MID(Tabla1[[#This Row],[Aplicación]],14,6)</f>
        <v>213</v>
      </c>
    </row>
    <row r="372" spans="1:24" x14ac:dyDescent="0.25">
      <c r="A372" s="46">
        <v>220230001940</v>
      </c>
      <c r="B372" s="47" t="s">
        <v>507</v>
      </c>
      <c r="C372" s="52">
        <v>44960</v>
      </c>
      <c r="D372" s="46">
        <v>22023001393</v>
      </c>
      <c r="E372" s="47" t="s">
        <v>1055</v>
      </c>
      <c r="F372" s="53">
        <v>3153.98</v>
      </c>
      <c r="G372" s="47" t="s">
        <v>18</v>
      </c>
      <c r="H372" s="47" t="s">
        <v>1248</v>
      </c>
      <c r="I372" s="46" t="s">
        <v>511</v>
      </c>
      <c r="J372" s="47" t="s">
        <v>519</v>
      </c>
      <c r="K372" s="47" t="s">
        <v>519</v>
      </c>
      <c r="L372" s="47" t="s">
        <v>520</v>
      </c>
      <c r="M372" s="47" t="s">
        <v>976</v>
      </c>
      <c r="N372" s="47" t="s">
        <v>839</v>
      </c>
      <c r="O372" s="45" t="s">
        <v>383</v>
      </c>
      <c r="P372" s="44" t="s">
        <v>309</v>
      </c>
      <c r="Q372" s="59" t="str">
        <f>MID(Tabla1[[#This Row],[Aplicación]],14,1)</f>
        <v>2</v>
      </c>
      <c r="R372" s="35" t="s">
        <v>298</v>
      </c>
      <c r="S372" s="59" t="str">
        <f>MID(Tabla1[[#This Row],[Aplicación]],6,2)</f>
        <v>02</v>
      </c>
      <c r="T372" s="35" t="str">
        <f>VLOOKUP(Tabla1[[#This Row],[AREA]],Hoja1!A:B,2,FALSE)</f>
        <v>02. Planeamiento urbanístico y vivienda</v>
      </c>
      <c r="U372" s="35" t="str">
        <f>MID(Tabla1[[#This Row],[Aplicación]],9,4)</f>
        <v>9332</v>
      </c>
      <c r="V372" s="35" t="str">
        <f>VLOOKUP(Tabla1[[#This Row],[PROGRAMA]],Hoja1!A:B,2,FALSE)</f>
        <v>9332. Mantenimiento de edificios e instalaciones municipales</v>
      </c>
      <c r="W372" s="56" t="str">
        <f>MID(Tabla1[[#This Row],[Aplicación]],14,2)</f>
        <v>21</v>
      </c>
      <c r="X372" s="56" t="str">
        <f>MID(Tabla1[[#This Row],[Aplicación]],14,6)</f>
        <v>213</v>
      </c>
    </row>
    <row r="373" spans="1:24" x14ac:dyDescent="0.25">
      <c r="A373" s="46">
        <v>220230001203</v>
      </c>
      <c r="B373" s="47" t="s">
        <v>1249</v>
      </c>
      <c r="C373" s="52">
        <v>44959</v>
      </c>
      <c r="D373" s="46">
        <v>22023001683</v>
      </c>
      <c r="E373" s="47" t="s">
        <v>1246</v>
      </c>
      <c r="F373" s="53">
        <v>28.12</v>
      </c>
      <c r="G373" s="47" t="s">
        <v>18</v>
      </c>
      <c r="H373" s="47" t="s">
        <v>1250</v>
      </c>
      <c r="I373" s="46" t="s">
        <v>1251</v>
      </c>
      <c r="J373" s="47" t="s">
        <v>519</v>
      </c>
      <c r="K373" s="47" t="s">
        <v>519</v>
      </c>
      <c r="L373" s="47" t="s">
        <v>520</v>
      </c>
      <c r="M373" s="47" t="s">
        <v>514</v>
      </c>
      <c r="N373" s="47" t="s">
        <v>515</v>
      </c>
      <c r="O373" s="45" t="s">
        <v>371</v>
      </c>
      <c r="P373" s="44" t="s">
        <v>309</v>
      </c>
      <c r="Q373" s="59" t="str">
        <f>MID(Tabla1[[#This Row],[Aplicación]],14,1)</f>
        <v>2</v>
      </c>
      <c r="R373" s="35" t="s">
        <v>298</v>
      </c>
      <c r="S373" s="59" t="str">
        <f>MID(Tabla1[[#This Row],[Aplicación]],6,2)</f>
        <v>05</v>
      </c>
      <c r="T373" s="35" t="str">
        <f>VLOOKUP(Tabla1[[#This Row],[AREA]],Hoja1!A:B,2,FALSE)</f>
        <v>05. Innovación, desarrollo económico, empleo y comercio</v>
      </c>
      <c r="U373" s="35" t="str">
        <f>MID(Tabla1[[#This Row],[Aplicación]],9,4)</f>
        <v>4331</v>
      </c>
      <c r="V373" s="35" t="str">
        <f>VLOOKUP(Tabla1[[#This Row],[PROGRAMA]],Hoja1!A:B,2,FALSE)</f>
        <v>4331. Desarrollo empresarial</v>
      </c>
      <c r="W373" s="56" t="str">
        <f>MID(Tabla1[[#This Row],[Aplicación]],14,2)</f>
        <v>21</v>
      </c>
      <c r="X373" s="56" t="str">
        <f>MID(Tabla1[[#This Row],[Aplicación]],14,6)</f>
        <v>213</v>
      </c>
    </row>
    <row r="374" spans="1:24" x14ac:dyDescent="0.25">
      <c r="A374" s="46">
        <v>220230000057</v>
      </c>
      <c r="B374" s="47" t="s">
        <v>507</v>
      </c>
      <c r="C374" s="52">
        <v>44927</v>
      </c>
      <c r="D374" s="46">
        <v>22023000554</v>
      </c>
      <c r="E374" s="47" t="s">
        <v>1252</v>
      </c>
      <c r="F374" s="53">
        <v>21938.639999999999</v>
      </c>
      <c r="G374" s="47" t="s">
        <v>1253</v>
      </c>
      <c r="H374" s="47" t="s">
        <v>1254</v>
      </c>
      <c r="I374" s="46" t="s">
        <v>511</v>
      </c>
      <c r="J374" s="47" t="s">
        <v>755</v>
      </c>
      <c r="K374" s="47" t="s">
        <v>755</v>
      </c>
      <c r="L374" s="47" t="s">
        <v>520</v>
      </c>
      <c r="M374" s="47" t="s">
        <v>514</v>
      </c>
      <c r="N374" s="47" t="s">
        <v>515</v>
      </c>
      <c r="O374" s="45" t="s">
        <v>371</v>
      </c>
      <c r="P374" s="44" t="s">
        <v>309</v>
      </c>
      <c r="Q374" s="59" t="str">
        <f>MID(Tabla1[[#This Row],[Aplicación]],14,1)</f>
        <v>2</v>
      </c>
      <c r="R374" s="35" t="s">
        <v>298</v>
      </c>
      <c r="S374" s="59" t="str">
        <f>MID(Tabla1[[#This Row],[Aplicación]],6,2)</f>
        <v>06</v>
      </c>
      <c r="T374" s="35" t="str">
        <f>VLOOKUP(Tabla1[[#This Row],[AREA]],Hoja1!A:B,2,FALSE)</f>
        <v>06. Educación, infancia, juventud e igualdad</v>
      </c>
      <c r="U374" s="35" t="str">
        <f>MID(Tabla1[[#This Row],[Aplicación]],9,4)</f>
        <v>2315</v>
      </c>
      <c r="V374" s="35" t="str">
        <f>VLOOKUP(Tabla1[[#This Row],[PROGRAMA]],Hoja1!A:B,2,FALSE)</f>
        <v>2315. Políticas de Igualdad e infancia</v>
      </c>
      <c r="W374" s="56" t="str">
        <f>MID(Tabla1[[#This Row],[Aplicación]],14,2)</f>
        <v>22</v>
      </c>
      <c r="X374" s="56" t="str">
        <f>MID(Tabla1[[#This Row],[Aplicación]],14,6)</f>
        <v>22799</v>
      </c>
    </row>
    <row r="375" spans="1:24" x14ac:dyDescent="0.25">
      <c r="A375" s="46">
        <v>220229000730</v>
      </c>
      <c r="B375" s="47" t="s">
        <v>507</v>
      </c>
      <c r="C375" s="52">
        <v>44927</v>
      </c>
      <c r="D375" s="46">
        <v>22023001310</v>
      </c>
      <c r="E375" s="47" t="s">
        <v>578</v>
      </c>
      <c r="F375" s="53">
        <v>9616.17</v>
      </c>
      <c r="G375" s="47" t="s">
        <v>1255</v>
      </c>
      <c r="H375" s="47" t="s">
        <v>1256</v>
      </c>
      <c r="I375" s="46" t="s">
        <v>511</v>
      </c>
      <c r="J375" s="47" t="s">
        <v>1257</v>
      </c>
      <c r="K375" s="47" t="s">
        <v>573</v>
      </c>
      <c r="L375" s="47" t="s">
        <v>520</v>
      </c>
      <c r="M375" s="47" t="s">
        <v>976</v>
      </c>
      <c r="N375" s="47" t="s">
        <v>839</v>
      </c>
      <c r="O375" s="45" t="s">
        <v>383</v>
      </c>
      <c r="P375" s="44" t="s">
        <v>309</v>
      </c>
      <c r="Q375" s="59" t="str">
        <f>MID(Tabla1[[#This Row],[Aplicación]],14,1)</f>
        <v>2</v>
      </c>
      <c r="R375" s="35" t="s">
        <v>298</v>
      </c>
      <c r="S375" s="59" t="str">
        <f>MID(Tabla1[[#This Row],[Aplicación]],6,2)</f>
        <v>06</v>
      </c>
      <c r="T375" s="35" t="str">
        <f>VLOOKUP(Tabla1[[#This Row],[AREA]],Hoja1!A:B,2,FALSE)</f>
        <v>06. Educación, infancia, juventud e igualdad</v>
      </c>
      <c r="U375" s="35" t="str">
        <f>MID(Tabla1[[#This Row],[Aplicación]],9,4)</f>
        <v>3231</v>
      </c>
      <c r="V375" s="35" t="str">
        <f>VLOOKUP(Tabla1[[#This Row],[PROGRAMA]],Hoja1!A:B,2,FALSE)</f>
        <v>3231. Escuelas infantiles</v>
      </c>
      <c r="W375" s="56" t="str">
        <f>MID(Tabla1[[#This Row],[Aplicación]],14,2)</f>
        <v>22</v>
      </c>
      <c r="X375" s="56" t="str">
        <f>MID(Tabla1[[#This Row],[Aplicación]],14,6)</f>
        <v>22799</v>
      </c>
    </row>
    <row r="376" spans="1:24" x14ac:dyDescent="0.25">
      <c r="A376" s="46">
        <v>220229000362</v>
      </c>
      <c r="B376" s="47" t="s">
        <v>507</v>
      </c>
      <c r="C376" s="52">
        <v>44927</v>
      </c>
      <c r="D376" s="46">
        <v>22023001157</v>
      </c>
      <c r="E376" s="47" t="s">
        <v>931</v>
      </c>
      <c r="F376" s="53">
        <v>19581.97</v>
      </c>
      <c r="G376" s="47" t="s">
        <v>19</v>
      </c>
      <c r="H376" s="47" t="s">
        <v>1258</v>
      </c>
      <c r="I376" s="46" t="s">
        <v>511</v>
      </c>
      <c r="J376" s="47" t="s">
        <v>519</v>
      </c>
      <c r="K376" s="47" t="s">
        <v>519</v>
      </c>
      <c r="L376" s="47" t="s">
        <v>520</v>
      </c>
      <c r="M376" s="47" t="s">
        <v>514</v>
      </c>
      <c r="N376" s="47" t="s">
        <v>515</v>
      </c>
      <c r="O376" s="45" t="s">
        <v>371</v>
      </c>
      <c r="P376" s="44" t="s">
        <v>309</v>
      </c>
      <c r="Q376" s="59" t="str">
        <f>MID(Tabla1[[#This Row],[Aplicación]],14,1)</f>
        <v>2</v>
      </c>
      <c r="R376" s="35" t="s">
        <v>298</v>
      </c>
      <c r="S376" s="59" t="str">
        <f>MID(Tabla1[[#This Row],[Aplicación]],6,2)</f>
        <v>09</v>
      </c>
      <c r="T376" s="35" t="str">
        <f>VLOOKUP(Tabla1[[#This Row],[AREA]],Hoja1!A:B,2,FALSE)</f>
        <v>09. Cultura y turismo</v>
      </c>
      <c r="U376" s="35" t="str">
        <f>MID(Tabla1[[#This Row],[Aplicación]],9,4)</f>
        <v>3341</v>
      </c>
      <c r="V376" s="35" t="str">
        <f>VLOOKUP(Tabla1[[#This Row],[PROGRAMA]],Hoja1!A:B,2,FALSE)</f>
        <v>3341. Coordinación de políticas culturales</v>
      </c>
      <c r="W376" s="56" t="str">
        <f>MID(Tabla1[[#This Row],[Aplicación]],14,2)</f>
        <v>22</v>
      </c>
      <c r="X376" s="56" t="str">
        <f>MID(Tabla1[[#This Row],[Aplicación]],14,6)</f>
        <v>22799</v>
      </c>
    </row>
    <row r="377" spans="1:24" x14ac:dyDescent="0.25">
      <c r="A377" s="46">
        <v>220229000128</v>
      </c>
      <c r="B377" s="47" t="s">
        <v>507</v>
      </c>
      <c r="C377" s="52">
        <v>44927</v>
      </c>
      <c r="D377" s="46">
        <v>22023000303</v>
      </c>
      <c r="E377" s="47" t="s">
        <v>1011</v>
      </c>
      <c r="F377" s="53">
        <v>10164</v>
      </c>
      <c r="G377" s="47" t="s">
        <v>19</v>
      </c>
      <c r="H377" s="47" t="s">
        <v>1259</v>
      </c>
      <c r="I377" s="46" t="s">
        <v>511</v>
      </c>
      <c r="J377" s="47" t="s">
        <v>519</v>
      </c>
      <c r="K377" s="47" t="s">
        <v>519</v>
      </c>
      <c r="L377" s="47" t="s">
        <v>520</v>
      </c>
      <c r="M377" s="47" t="s">
        <v>514</v>
      </c>
      <c r="N377" s="47" t="s">
        <v>515</v>
      </c>
      <c r="O377" s="45" t="s">
        <v>371</v>
      </c>
      <c r="P377" s="44" t="s">
        <v>309</v>
      </c>
      <c r="Q377" s="59" t="str">
        <f>MID(Tabla1[[#This Row],[Aplicación]],14,1)</f>
        <v>2</v>
      </c>
      <c r="R377" s="35" t="s">
        <v>298</v>
      </c>
      <c r="S377" s="59" t="str">
        <f>MID(Tabla1[[#This Row],[Aplicación]],6,2)</f>
        <v>09</v>
      </c>
      <c r="T377" s="35" t="str">
        <f>VLOOKUP(Tabla1[[#This Row],[AREA]],Hoja1!A:B,2,FALSE)</f>
        <v>09. Cultura y turismo</v>
      </c>
      <c r="U377" s="35" t="str">
        <f>MID(Tabla1[[#This Row],[Aplicación]],9,4)</f>
        <v>3341</v>
      </c>
      <c r="V377" s="35" t="str">
        <f>VLOOKUP(Tabla1[[#This Row],[PROGRAMA]],Hoja1!A:B,2,FALSE)</f>
        <v>3341. Coordinación de políticas culturales</v>
      </c>
      <c r="W377" s="56" t="str">
        <f>MID(Tabla1[[#This Row],[Aplicación]],14,2)</f>
        <v>22</v>
      </c>
      <c r="X377" s="56" t="str">
        <f>MID(Tabla1[[#This Row],[Aplicación]],14,6)</f>
        <v>22609</v>
      </c>
    </row>
    <row r="378" spans="1:24" x14ac:dyDescent="0.25">
      <c r="A378" s="46">
        <v>220229000666</v>
      </c>
      <c r="B378" s="47" t="s">
        <v>507</v>
      </c>
      <c r="C378" s="52">
        <v>44927</v>
      </c>
      <c r="D378" s="46">
        <v>22023001270</v>
      </c>
      <c r="E378" s="47" t="s">
        <v>1260</v>
      </c>
      <c r="F378" s="53">
        <v>3297.47</v>
      </c>
      <c r="G378" s="47" t="s">
        <v>24</v>
      </c>
      <c r="H378" s="47" t="s">
        <v>1261</v>
      </c>
      <c r="I378" s="46" t="s">
        <v>511</v>
      </c>
      <c r="J378" s="47" t="s">
        <v>519</v>
      </c>
      <c r="K378" s="47" t="s">
        <v>519</v>
      </c>
      <c r="L378" s="47" t="s">
        <v>520</v>
      </c>
      <c r="M378" s="47" t="s">
        <v>976</v>
      </c>
      <c r="N378" s="47" t="s">
        <v>839</v>
      </c>
      <c r="O378" s="45" t="s">
        <v>383</v>
      </c>
      <c r="P378" s="44" t="s">
        <v>309</v>
      </c>
      <c r="Q378" s="59" t="str">
        <f>MID(Tabla1[[#This Row],[Aplicación]],14,1)</f>
        <v>2</v>
      </c>
      <c r="R378" s="35" t="s">
        <v>298</v>
      </c>
      <c r="S378" s="59" t="str">
        <f>MID(Tabla1[[#This Row],[Aplicación]],6,2)</f>
        <v>03</v>
      </c>
      <c r="T378" s="35" t="str">
        <f>VLOOKUP(Tabla1[[#This Row],[AREA]],Hoja1!A:B,2,FALSE)</f>
        <v>03. Participación ciudadana y deportes</v>
      </c>
      <c r="U378" s="35" t="str">
        <f>MID(Tabla1[[#This Row],[Aplicación]],9,4)</f>
        <v>9241</v>
      </c>
      <c r="V378" s="35" t="str">
        <f>VLOOKUP(Tabla1[[#This Row],[PROGRAMA]],Hoja1!A:B,2,FALSE)</f>
        <v>9241. Participación ciudadana</v>
      </c>
      <c r="W378" s="56" t="str">
        <f>MID(Tabla1[[#This Row],[Aplicación]],14,2)</f>
        <v>22</v>
      </c>
      <c r="X378" s="56" t="str">
        <f>MID(Tabla1[[#This Row],[Aplicación]],14,6)</f>
        <v>22602</v>
      </c>
    </row>
    <row r="379" spans="1:24" x14ac:dyDescent="0.25">
      <c r="A379" s="46">
        <v>220229000558</v>
      </c>
      <c r="B379" s="47" t="s">
        <v>507</v>
      </c>
      <c r="C379" s="52">
        <v>44927</v>
      </c>
      <c r="D379" s="46">
        <v>22023001218</v>
      </c>
      <c r="E379" s="47" t="s">
        <v>1262</v>
      </c>
      <c r="F379" s="53">
        <v>1922.69</v>
      </c>
      <c r="G379" s="47" t="s">
        <v>90</v>
      </c>
      <c r="H379" s="47" t="s">
        <v>1263</v>
      </c>
      <c r="I379" s="46" t="s">
        <v>511</v>
      </c>
      <c r="J379" s="47" t="s">
        <v>519</v>
      </c>
      <c r="K379" s="47" t="s">
        <v>519</v>
      </c>
      <c r="L379" s="47" t="s">
        <v>520</v>
      </c>
      <c r="M379" s="47" t="s">
        <v>976</v>
      </c>
      <c r="N379" s="47" t="s">
        <v>839</v>
      </c>
      <c r="O379" s="45" t="s">
        <v>383</v>
      </c>
      <c r="P379" s="44" t="s">
        <v>309</v>
      </c>
      <c r="Q379" s="59" t="str">
        <f>MID(Tabla1[[#This Row],[Aplicación]],14,1)</f>
        <v>2</v>
      </c>
      <c r="R379" s="35" t="s">
        <v>298</v>
      </c>
      <c r="S379" s="59" t="str">
        <f>MID(Tabla1[[#This Row],[Aplicación]],6,2)</f>
        <v>05</v>
      </c>
      <c r="T379" s="35" t="str">
        <f>VLOOKUP(Tabla1[[#This Row],[AREA]],Hoja1!A:B,2,FALSE)</f>
        <v>05. Innovación, desarrollo económico, empleo y comercio</v>
      </c>
      <c r="U379" s="35" t="str">
        <f>MID(Tabla1[[#This Row],[Aplicación]],9,4)</f>
        <v>4314</v>
      </c>
      <c r="V379" s="35" t="str">
        <f>VLOOKUP(Tabla1[[#This Row],[PROGRAMA]],Hoja1!A:B,2,FALSE)</f>
        <v>4314. Fomento del comercio</v>
      </c>
      <c r="W379" s="56" t="str">
        <f>MID(Tabla1[[#This Row],[Aplicación]],14,2)</f>
        <v>22</v>
      </c>
      <c r="X379" s="56" t="str">
        <f>MID(Tabla1[[#This Row],[Aplicación]],14,6)</f>
        <v>22799</v>
      </c>
    </row>
    <row r="380" spans="1:24" x14ac:dyDescent="0.25">
      <c r="A380" s="46">
        <v>220229000367</v>
      </c>
      <c r="B380" s="47" t="s">
        <v>507</v>
      </c>
      <c r="C380" s="52">
        <v>44927</v>
      </c>
      <c r="D380" s="46">
        <v>22023001927</v>
      </c>
      <c r="E380" s="47" t="s">
        <v>1264</v>
      </c>
      <c r="F380" s="53">
        <v>20000</v>
      </c>
      <c r="G380" s="47" t="s">
        <v>35</v>
      </c>
      <c r="H380" s="47" t="s">
        <v>1265</v>
      </c>
      <c r="I380" s="46" t="s">
        <v>511</v>
      </c>
      <c r="J380" s="47" t="s">
        <v>519</v>
      </c>
      <c r="K380" s="47" t="s">
        <v>519</v>
      </c>
      <c r="L380" s="47" t="s">
        <v>552</v>
      </c>
      <c r="M380" s="47" t="s">
        <v>514</v>
      </c>
      <c r="N380" s="47" t="s">
        <v>515</v>
      </c>
      <c r="O380" s="45" t="s">
        <v>371</v>
      </c>
      <c r="P380" s="44" t="s">
        <v>309</v>
      </c>
      <c r="Q380" s="59" t="str">
        <f>MID(Tabla1[[#This Row],[Aplicación]],14,1)</f>
        <v>2</v>
      </c>
      <c r="R380" s="35" t="s">
        <v>298</v>
      </c>
      <c r="S380" s="59" t="str">
        <f>MID(Tabla1[[#This Row],[Aplicación]],6,2)</f>
        <v>11</v>
      </c>
      <c r="T380" s="35" t="str">
        <f>VLOOKUP(Tabla1[[#This Row],[AREA]],Hoja1!A:B,2,FALSE)</f>
        <v>11. Salud pública y seguridad ciudadana</v>
      </c>
      <c r="U380" s="35" t="str">
        <f>MID(Tabla1[[#This Row],[Aplicación]],9,4)</f>
        <v>1361</v>
      </c>
      <c r="V380" s="35" t="str">
        <f>VLOOKUP(Tabla1[[#This Row],[PROGRAMA]],Hoja1!A:B,2,FALSE)</f>
        <v>1361. Prevención y extinción de incencios</v>
      </c>
      <c r="W380" s="56" t="str">
        <f>MID(Tabla1[[#This Row],[Aplicación]],14,2)</f>
        <v>22</v>
      </c>
      <c r="X380" s="56" t="str">
        <f>MID(Tabla1[[#This Row],[Aplicación]],14,6)</f>
        <v>22103</v>
      </c>
    </row>
    <row r="381" spans="1:24" x14ac:dyDescent="0.25">
      <c r="A381" s="46">
        <v>220229000774</v>
      </c>
      <c r="B381" s="47" t="s">
        <v>507</v>
      </c>
      <c r="C381" s="52">
        <v>44927</v>
      </c>
      <c r="D381" s="46">
        <v>22023001863</v>
      </c>
      <c r="E381" s="47" t="s">
        <v>931</v>
      </c>
      <c r="F381" s="53">
        <v>3294.29</v>
      </c>
      <c r="G381" s="47" t="s">
        <v>1086</v>
      </c>
      <c r="H381" s="47" t="s">
        <v>1266</v>
      </c>
      <c r="I381" s="46" t="s">
        <v>511</v>
      </c>
      <c r="J381" s="47" t="s">
        <v>519</v>
      </c>
      <c r="K381" s="47" t="s">
        <v>519</v>
      </c>
      <c r="L381" s="47" t="s">
        <v>520</v>
      </c>
      <c r="M381" s="47" t="s">
        <v>838</v>
      </c>
      <c r="N381" s="47" t="s">
        <v>839</v>
      </c>
      <c r="O381" s="45" t="s">
        <v>373</v>
      </c>
      <c r="P381" s="44" t="s">
        <v>309</v>
      </c>
      <c r="Q381" s="59" t="str">
        <f>MID(Tabla1[[#This Row],[Aplicación]],14,1)</f>
        <v>2</v>
      </c>
      <c r="R381" s="35" t="s">
        <v>298</v>
      </c>
      <c r="S381" s="59" t="str">
        <f>MID(Tabla1[[#This Row],[Aplicación]],6,2)</f>
        <v>09</v>
      </c>
      <c r="T381" s="35" t="str">
        <f>VLOOKUP(Tabla1[[#This Row],[AREA]],Hoja1!A:B,2,FALSE)</f>
        <v>09. Cultura y turismo</v>
      </c>
      <c r="U381" s="35" t="str">
        <f>MID(Tabla1[[#This Row],[Aplicación]],9,4)</f>
        <v>3341</v>
      </c>
      <c r="V381" s="35" t="str">
        <f>VLOOKUP(Tabla1[[#This Row],[PROGRAMA]],Hoja1!A:B,2,FALSE)</f>
        <v>3341. Coordinación de políticas culturales</v>
      </c>
      <c r="W381" s="56" t="str">
        <f>MID(Tabla1[[#This Row],[Aplicación]],14,2)</f>
        <v>22</v>
      </c>
      <c r="X381" s="56" t="str">
        <f>MID(Tabla1[[#This Row],[Aplicación]],14,6)</f>
        <v>22799</v>
      </c>
    </row>
    <row r="382" spans="1:24" x14ac:dyDescent="0.25">
      <c r="A382" s="46">
        <v>220230002048</v>
      </c>
      <c r="B382" s="47" t="s">
        <v>507</v>
      </c>
      <c r="C382" s="52">
        <v>44963</v>
      </c>
      <c r="D382" s="46">
        <v>22023001584</v>
      </c>
      <c r="E382" s="47" t="s">
        <v>1196</v>
      </c>
      <c r="F382" s="53">
        <v>1830.1</v>
      </c>
      <c r="G382" s="47" t="s">
        <v>346</v>
      </c>
      <c r="H382" s="47" t="s">
        <v>1267</v>
      </c>
      <c r="I382" s="46" t="s">
        <v>511</v>
      </c>
      <c r="J382" s="47" t="s">
        <v>519</v>
      </c>
      <c r="K382" s="47" t="s">
        <v>519</v>
      </c>
      <c r="L382" s="47" t="s">
        <v>520</v>
      </c>
      <c r="M382" s="47" t="s">
        <v>976</v>
      </c>
      <c r="N382" s="47" t="s">
        <v>839</v>
      </c>
      <c r="O382" s="54" t="s">
        <v>383</v>
      </c>
      <c r="P382" s="44" t="s">
        <v>309</v>
      </c>
      <c r="Q382" s="59">
        <v>6</v>
      </c>
      <c r="R382" s="35" t="s">
        <v>299</v>
      </c>
      <c r="S382" s="59" t="str">
        <f>MID(Tabla1[[#This Row],[Aplicación]],6,2)</f>
        <v>02</v>
      </c>
      <c r="T382" s="35" t="str">
        <f>VLOOKUP(Tabla1[[#This Row],[AREA]],Hoja1!A:B,2,FALSE)</f>
        <v>02. Planeamiento urbanístico y vivienda</v>
      </c>
      <c r="U382" s="35">
        <v>9332</v>
      </c>
      <c r="V382" s="35" t="str">
        <f>VLOOKUP(Tabla1[[#This Row],[PROGRAMA]],Hoja1!A:B,2,FALSE)</f>
        <v>9332. Mantenimiento de edificios e instalaciones municipales</v>
      </c>
      <c r="W382" s="56">
        <v>63</v>
      </c>
      <c r="X382" s="56">
        <v>632</v>
      </c>
    </row>
    <row r="383" spans="1:24" x14ac:dyDescent="0.25">
      <c r="A383" s="55">
        <v>220200016734</v>
      </c>
      <c r="B383" s="47" t="s">
        <v>507</v>
      </c>
      <c r="C383" s="52">
        <v>45014</v>
      </c>
      <c r="D383" s="46">
        <v>22020002100</v>
      </c>
      <c r="E383" s="47" t="s">
        <v>583</v>
      </c>
      <c r="F383" s="53">
        <v>928.84</v>
      </c>
      <c r="G383" s="47" t="s">
        <v>66</v>
      </c>
      <c r="H383" s="47" t="s">
        <v>1268</v>
      </c>
      <c r="I383" s="46" t="s">
        <v>511</v>
      </c>
      <c r="J383" s="47" t="s">
        <v>512</v>
      </c>
      <c r="K383" s="47" t="s">
        <v>512</v>
      </c>
      <c r="L383" s="47" t="s">
        <v>520</v>
      </c>
      <c r="M383" s="47" t="s">
        <v>514</v>
      </c>
      <c r="N383" s="47" t="s">
        <v>515</v>
      </c>
      <c r="O383" s="54" t="s">
        <v>371</v>
      </c>
      <c r="P383" s="44" t="s">
        <v>309</v>
      </c>
      <c r="Q383" s="59" t="str">
        <f>MID(Tabla1[[#This Row],[Aplicación]],14,1)</f>
        <v>6</v>
      </c>
      <c r="R383" s="35" t="s">
        <v>299</v>
      </c>
      <c r="S383" s="59" t="str">
        <f>MID(Tabla1[[#This Row],[Aplicación]],6,2)</f>
        <v>02</v>
      </c>
      <c r="T383" s="35" t="str">
        <f>VLOOKUP(Tabla1[[#This Row],[AREA]],Hoja1!A:B,2,FALSE)</f>
        <v>02. Planeamiento urbanístico y vivienda</v>
      </c>
      <c r="U383" s="35" t="str">
        <f>MID(Tabla1[[#This Row],[Aplicación]],9,4)</f>
        <v>1511</v>
      </c>
      <c r="V383" s="35" t="str">
        <f>VLOOKUP(Tabla1[[#This Row],[PROGRAMA]],Hoja1!A:B,2,FALSE)</f>
        <v>1511. Planficación y gestión del urbanismo</v>
      </c>
      <c r="W383" s="56" t="str">
        <f>MID(Tabla1[[#This Row],[Aplicación]],14,2)</f>
        <v>60</v>
      </c>
      <c r="X383" s="56" t="str">
        <f>MID(Tabla1[[#This Row],[Aplicación]],14,6)</f>
        <v>609</v>
      </c>
    </row>
    <row r="384" spans="1:24" x14ac:dyDescent="0.25">
      <c r="A384" s="46">
        <v>220230007174</v>
      </c>
      <c r="B384" s="47" t="s">
        <v>507</v>
      </c>
      <c r="C384" s="52">
        <v>44987</v>
      </c>
      <c r="D384" s="46">
        <v>22023002972</v>
      </c>
      <c r="E384" s="47" t="s">
        <v>819</v>
      </c>
      <c r="F384" s="53">
        <v>215.53</v>
      </c>
      <c r="G384" s="47" t="s">
        <v>346</v>
      </c>
      <c r="H384" s="47" t="s">
        <v>1269</v>
      </c>
      <c r="I384" s="46" t="s">
        <v>511</v>
      </c>
      <c r="J384" s="47" t="s">
        <v>519</v>
      </c>
      <c r="K384" s="47" t="s">
        <v>519</v>
      </c>
      <c r="L384" s="51" t="s">
        <v>520</v>
      </c>
      <c r="M384" s="51" t="s">
        <v>514</v>
      </c>
      <c r="N384" s="51" t="s">
        <v>515</v>
      </c>
      <c r="O384" s="54" t="s">
        <v>371</v>
      </c>
      <c r="P384" s="44" t="s">
        <v>309</v>
      </c>
      <c r="Q384" s="59" t="str">
        <f>MID(Tabla1[[#This Row],[Aplicación]],14,1)</f>
        <v>8</v>
      </c>
      <c r="R384" s="56" t="s">
        <v>300</v>
      </c>
      <c r="S384" s="59" t="str">
        <f>MID(Tabla1[[#This Row],[Aplicación]],6,2)</f>
        <v>08</v>
      </c>
      <c r="T384" s="35" t="str">
        <f>VLOOKUP(Tabla1[[#This Row],[AREA]],Hoja1!A:B,2,FALSE)</f>
        <v>08. Movilidad y espacio urbano</v>
      </c>
      <c r="U384" s="35" t="str">
        <f>MID(Tabla1[[#This Row],[Aplicación]],9,4)</f>
        <v>1513</v>
      </c>
      <c r="V384" s="35" t="str">
        <f>VLOOKUP(Tabla1[[#This Row],[PROGRAMA]],Hoja1!A:B,2,FALSE)</f>
        <v>1513. Licencias urbanísticas</v>
      </c>
      <c r="W384" s="56" t="str">
        <f>MID(Tabla1[[#This Row],[Aplicación]],14,2)</f>
        <v>83</v>
      </c>
      <c r="X384" s="56" t="str">
        <f>MID(Tabla1[[#This Row],[Aplicación]],14,6)</f>
        <v>83100</v>
      </c>
    </row>
    <row r="385" spans="1:24" x14ac:dyDescent="0.25">
      <c r="A385" s="55">
        <v>220230011732</v>
      </c>
      <c r="B385" s="47" t="s">
        <v>507</v>
      </c>
      <c r="C385" s="52">
        <v>45014</v>
      </c>
      <c r="D385" s="46">
        <v>22023003579</v>
      </c>
      <c r="E385" s="47" t="s">
        <v>1196</v>
      </c>
      <c r="F385" s="53">
        <v>96.26</v>
      </c>
      <c r="G385" s="47" t="s">
        <v>346</v>
      </c>
      <c r="H385" s="47" t="s">
        <v>1270</v>
      </c>
      <c r="I385" s="46" t="s">
        <v>511</v>
      </c>
      <c r="J385" s="47" t="s">
        <v>519</v>
      </c>
      <c r="K385" s="47" t="s">
        <v>519</v>
      </c>
      <c r="L385" s="47" t="s">
        <v>520</v>
      </c>
      <c r="M385" s="47" t="s">
        <v>976</v>
      </c>
      <c r="N385" s="47" t="s">
        <v>839</v>
      </c>
      <c r="O385" s="54" t="s">
        <v>383</v>
      </c>
      <c r="P385" s="44" t="s">
        <v>309</v>
      </c>
      <c r="Q385" s="59">
        <v>6</v>
      </c>
      <c r="R385" s="35" t="s">
        <v>299</v>
      </c>
      <c r="S385" s="59" t="str">
        <f>MID(Tabla1[[#This Row],[Aplicación]],6,2)</f>
        <v>02</v>
      </c>
      <c r="T385" s="35" t="str">
        <f>VLOOKUP(Tabla1[[#This Row],[AREA]],Hoja1!A:B,2,FALSE)</f>
        <v>02. Planeamiento urbanístico y vivienda</v>
      </c>
      <c r="U385" s="35">
        <v>9332</v>
      </c>
      <c r="V385" s="35" t="str">
        <f>VLOOKUP(Tabla1[[#This Row],[PROGRAMA]],Hoja1!A:B,2,FALSE)</f>
        <v>9332. Mantenimiento de edificios e instalaciones municipales</v>
      </c>
      <c r="W385" s="56">
        <v>63</v>
      </c>
      <c r="X385" s="56">
        <v>632</v>
      </c>
    </row>
    <row r="386" spans="1:24" x14ac:dyDescent="0.25">
      <c r="A386" s="55">
        <v>220210028594</v>
      </c>
      <c r="B386" s="47" t="s">
        <v>507</v>
      </c>
      <c r="C386" s="52">
        <v>45014</v>
      </c>
      <c r="D386" s="46">
        <v>22021001304</v>
      </c>
      <c r="E386" s="47" t="s">
        <v>583</v>
      </c>
      <c r="F386" s="53">
        <v>2508.34</v>
      </c>
      <c r="G386" s="47" t="s">
        <v>346</v>
      </c>
      <c r="H386" s="47" t="s">
        <v>1271</v>
      </c>
      <c r="I386" s="46" t="s">
        <v>511</v>
      </c>
      <c r="J386" s="47" t="s">
        <v>519</v>
      </c>
      <c r="K386" s="47" t="s">
        <v>519</v>
      </c>
      <c r="L386" s="47" t="s">
        <v>520</v>
      </c>
      <c r="M386" s="47" t="s">
        <v>514</v>
      </c>
      <c r="N386" s="47" t="s">
        <v>515</v>
      </c>
      <c r="O386" s="54" t="s">
        <v>371</v>
      </c>
      <c r="P386" s="44" t="s">
        <v>309</v>
      </c>
      <c r="Q386" s="59" t="str">
        <f>MID(Tabla1[[#This Row],[Aplicación]],14,1)</f>
        <v>6</v>
      </c>
      <c r="R386" s="35" t="s">
        <v>299</v>
      </c>
      <c r="S386" s="59" t="str">
        <f>MID(Tabla1[[#This Row],[Aplicación]],6,2)</f>
        <v>02</v>
      </c>
      <c r="T386" s="35" t="str">
        <f>VLOOKUP(Tabla1[[#This Row],[AREA]],Hoja1!A:B,2,FALSE)</f>
        <v>02. Planeamiento urbanístico y vivienda</v>
      </c>
      <c r="U386" s="35" t="str">
        <f>MID(Tabla1[[#This Row],[Aplicación]],9,4)</f>
        <v>1511</v>
      </c>
      <c r="V386" s="35" t="str">
        <f>VLOOKUP(Tabla1[[#This Row],[PROGRAMA]],Hoja1!A:B,2,FALSE)</f>
        <v>1511. Planficación y gestión del urbanismo</v>
      </c>
      <c r="W386" s="56" t="str">
        <f>MID(Tabla1[[#This Row],[Aplicación]],14,2)</f>
        <v>60</v>
      </c>
      <c r="X386" s="56" t="str">
        <f>MID(Tabla1[[#This Row],[Aplicación]],14,6)</f>
        <v>609</v>
      </c>
    </row>
    <row r="387" spans="1:24" x14ac:dyDescent="0.25">
      <c r="A387" s="55">
        <v>220220020885</v>
      </c>
      <c r="B387" s="47" t="s">
        <v>507</v>
      </c>
      <c r="C387" s="52">
        <v>45014</v>
      </c>
      <c r="D387" s="46">
        <v>22021007255</v>
      </c>
      <c r="E387" s="47" t="s">
        <v>1272</v>
      </c>
      <c r="F387" s="53">
        <v>636.11</v>
      </c>
      <c r="G387" s="47" t="s">
        <v>346</v>
      </c>
      <c r="H387" s="47" t="s">
        <v>1273</v>
      </c>
      <c r="I387" s="46" t="s">
        <v>511</v>
      </c>
      <c r="J387" s="47" t="s">
        <v>519</v>
      </c>
      <c r="K387" s="47" t="s">
        <v>519</v>
      </c>
      <c r="L387" s="47" t="s">
        <v>520</v>
      </c>
      <c r="M387" s="47" t="s">
        <v>514</v>
      </c>
      <c r="N387" s="47" t="s">
        <v>515</v>
      </c>
      <c r="O387" s="54" t="s">
        <v>371</v>
      </c>
      <c r="P387" s="44" t="s">
        <v>309</v>
      </c>
      <c r="Q387" s="59" t="str">
        <f>MID(Tabla1[[#This Row],[Aplicación]],14,1)</f>
        <v>6</v>
      </c>
      <c r="R387" s="35" t="s">
        <v>299</v>
      </c>
      <c r="S387" s="59" t="str">
        <f>MID(Tabla1[[#This Row],[Aplicación]],6,2)</f>
        <v>02</v>
      </c>
      <c r="T387" s="35" t="str">
        <f>VLOOKUP(Tabla1[[#This Row],[AREA]],Hoja1!A:B,2,FALSE)</f>
        <v>02. Planeamiento urbanístico y vivienda</v>
      </c>
      <c r="U387" s="35" t="str">
        <f>MID(Tabla1[[#This Row],[Aplicación]],9,4)</f>
        <v>9332</v>
      </c>
      <c r="V387" s="35" t="str">
        <f>VLOOKUP(Tabla1[[#This Row],[PROGRAMA]],Hoja1!A:B,2,FALSE)</f>
        <v>9332. Mantenimiento de edificios e instalaciones municipales</v>
      </c>
      <c r="W387" s="56" t="str">
        <f>MID(Tabla1[[#This Row],[Aplicación]],14,2)</f>
        <v>63</v>
      </c>
      <c r="X387" s="56" t="str">
        <f>MID(Tabla1[[#This Row],[Aplicación]],14,6)</f>
        <v>632</v>
      </c>
    </row>
    <row r="388" spans="1:24" x14ac:dyDescent="0.25">
      <c r="A388" s="55">
        <v>220210081395</v>
      </c>
      <c r="B388" s="47" t="s">
        <v>507</v>
      </c>
      <c r="C388" s="52">
        <v>45014</v>
      </c>
      <c r="D388" s="46">
        <v>22021007258</v>
      </c>
      <c r="E388" s="47" t="s">
        <v>808</v>
      </c>
      <c r="F388" s="53">
        <v>3649.85</v>
      </c>
      <c r="G388" s="47" t="s">
        <v>346</v>
      </c>
      <c r="H388" s="47" t="s">
        <v>1274</v>
      </c>
      <c r="I388" s="46" t="s">
        <v>511</v>
      </c>
      <c r="J388" s="47" t="s">
        <v>519</v>
      </c>
      <c r="K388" s="47" t="s">
        <v>519</v>
      </c>
      <c r="L388" s="47" t="s">
        <v>520</v>
      </c>
      <c r="M388" s="47" t="s">
        <v>514</v>
      </c>
      <c r="N388" s="47" t="s">
        <v>515</v>
      </c>
      <c r="O388" s="54" t="s">
        <v>371</v>
      </c>
      <c r="P388" s="44" t="s">
        <v>309</v>
      </c>
      <c r="Q388" s="59" t="str">
        <f>MID(Tabla1[[#This Row],[Aplicación]],14,1)</f>
        <v>6</v>
      </c>
      <c r="R388" s="35" t="s">
        <v>299</v>
      </c>
      <c r="S388" s="59" t="str">
        <f>MID(Tabla1[[#This Row],[Aplicación]],6,2)</f>
        <v>03</v>
      </c>
      <c r="T388" s="35" t="str">
        <f>VLOOKUP(Tabla1[[#This Row],[AREA]],Hoja1!A:B,2,FALSE)</f>
        <v>03. Participación ciudadana y deportes</v>
      </c>
      <c r="U388" s="35" t="str">
        <f>MID(Tabla1[[#This Row],[Aplicación]],9,4)</f>
        <v>9241</v>
      </c>
      <c r="V388" s="35" t="str">
        <f>VLOOKUP(Tabla1[[#This Row],[PROGRAMA]],Hoja1!A:B,2,FALSE)</f>
        <v>9241. Participación ciudadana</v>
      </c>
      <c r="W388" s="56" t="str">
        <f>MID(Tabla1[[#This Row],[Aplicación]],14,2)</f>
        <v>63</v>
      </c>
      <c r="X388" s="56" t="str">
        <f>MID(Tabla1[[#This Row],[Aplicación]],14,6)</f>
        <v>632</v>
      </c>
    </row>
    <row r="389" spans="1:24" x14ac:dyDescent="0.25">
      <c r="A389" s="55">
        <v>220220039779</v>
      </c>
      <c r="B389" s="47" t="s">
        <v>507</v>
      </c>
      <c r="C389" s="52">
        <v>45014</v>
      </c>
      <c r="D389" s="46">
        <v>22022001814</v>
      </c>
      <c r="E389" s="47" t="s">
        <v>583</v>
      </c>
      <c r="F389" s="53">
        <v>1071.24</v>
      </c>
      <c r="G389" s="47" t="s">
        <v>400</v>
      </c>
      <c r="H389" s="47" t="s">
        <v>1275</v>
      </c>
      <c r="I389" s="46" t="s">
        <v>511</v>
      </c>
      <c r="J389" s="47" t="s">
        <v>519</v>
      </c>
      <c r="K389" s="47" t="s">
        <v>519</v>
      </c>
      <c r="L389" s="47" t="s">
        <v>520</v>
      </c>
      <c r="M389" s="47" t="s">
        <v>514</v>
      </c>
      <c r="N389" s="47" t="s">
        <v>515</v>
      </c>
      <c r="O389" s="54" t="s">
        <v>382</v>
      </c>
      <c r="P389" s="44" t="s">
        <v>309</v>
      </c>
      <c r="Q389" s="59" t="str">
        <f>MID(Tabla1[[#This Row],[Aplicación]],14,1)</f>
        <v>6</v>
      </c>
      <c r="R389" s="35" t="s">
        <v>299</v>
      </c>
      <c r="S389" s="59" t="str">
        <f>MID(Tabla1[[#This Row],[Aplicación]],6,2)</f>
        <v>02</v>
      </c>
      <c r="T389" s="35" t="str">
        <f>VLOOKUP(Tabla1[[#This Row],[AREA]],Hoja1!A:B,2,FALSE)</f>
        <v>02. Planeamiento urbanístico y vivienda</v>
      </c>
      <c r="U389" s="35" t="str">
        <f>MID(Tabla1[[#This Row],[Aplicación]],9,4)</f>
        <v>1511</v>
      </c>
      <c r="V389" s="35" t="str">
        <f>VLOOKUP(Tabla1[[#This Row],[PROGRAMA]],Hoja1!A:B,2,FALSE)</f>
        <v>1511. Planficación y gestión del urbanismo</v>
      </c>
      <c r="W389" s="56" t="str">
        <f>MID(Tabla1[[#This Row],[Aplicación]],14,2)</f>
        <v>60</v>
      </c>
      <c r="X389" s="56" t="str">
        <f>MID(Tabla1[[#This Row],[Aplicación]],14,6)</f>
        <v>609</v>
      </c>
    </row>
    <row r="390" spans="1:24" x14ac:dyDescent="0.25">
      <c r="A390" s="55">
        <v>220230011692</v>
      </c>
      <c r="B390" s="47" t="s">
        <v>507</v>
      </c>
      <c r="C390" s="52">
        <v>45014</v>
      </c>
      <c r="D390" s="46">
        <v>22022002010</v>
      </c>
      <c r="E390" s="47" t="s">
        <v>533</v>
      </c>
      <c r="F390" s="53">
        <v>239.13</v>
      </c>
      <c r="G390" s="47" t="s">
        <v>400</v>
      </c>
      <c r="H390" s="47" t="s">
        <v>1276</v>
      </c>
      <c r="I390" s="46" t="s">
        <v>511</v>
      </c>
      <c r="J390" s="47" t="s">
        <v>519</v>
      </c>
      <c r="K390" s="47" t="s">
        <v>519</v>
      </c>
      <c r="L390" s="47" t="s">
        <v>520</v>
      </c>
      <c r="M390" s="47" t="s">
        <v>514</v>
      </c>
      <c r="N390" s="47" t="s">
        <v>515</v>
      </c>
      <c r="O390" s="54" t="s">
        <v>382</v>
      </c>
      <c r="P390" s="44" t="s">
        <v>309</v>
      </c>
      <c r="Q390" s="59" t="str">
        <f>MID(Tabla1[[#This Row],[Aplicación]],14,1)</f>
        <v>6</v>
      </c>
      <c r="R390" s="35" t="s">
        <v>299</v>
      </c>
      <c r="S390" s="59" t="str">
        <f>MID(Tabla1[[#This Row],[Aplicación]],6,2)</f>
        <v>08</v>
      </c>
      <c r="T390" s="35" t="str">
        <f>VLOOKUP(Tabla1[[#This Row],[AREA]],Hoja1!A:B,2,FALSE)</f>
        <v>08. Movilidad y espacio urbano</v>
      </c>
      <c r="U390" s="56" t="str">
        <f>MID(Tabla1[[#This Row],[Aplicación]],9,4)</f>
        <v>1341</v>
      </c>
      <c r="V390" s="35" t="str">
        <f>VLOOKUP(Tabla1[[#This Row],[PROGRAMA]],Hoja1!A:B,2,FALSE)</f>
        <v>1341. Movilidad</v>
      </c>
      <c r="W390" s="56" t="str">
        <f>MID(Tabla1[[#This Row],[Aplicación]],14,2)</f>
        <v>61</v>
      </c>
      <c r="X390" s="56" t="str">
        <f>MID(Tabla1[[#This Row],[Aplicación]],14,6)</f>
        <v>619</v>
      </c>
    </row>
    <row r="391" spans="1:24" x14ac:dyDescent="0.25">
      <c r="A391" s="46">
        <v>220229000772</v>
      </c>
      <c r="B391" s="47" t="s">
        <v>507</v>
      </c>
      <c r="C391" s="52">
        <v>44927</v>
      </c>
      <c r="D391" s="46">
        <v>22023001407</v>
      </c>
      <c r="E391" s="47" t="s">
        <v>1443</v>
      </c>
      <c r="F391" s="53">
        <v>6550</v>
      </c>
      <c r="G391" s="47" t="s">
        <v>1444</v>
      </c>
      <c r="H391" s="47" t="s">
        <v>1445</v>
      </c>
      <c r="I391" s="46" t="s">
        <v>511</v>
      </c>
      <c r="J391" s="47" t="s">
        <v>519</v>
      </c>
      <c r="K391" s="47" t="s">
        <v>519</v>
      </c>
      <c r="L391" s="47" t="s">
        <v>520</v>
      </c>
      <c r="M391" s="47" t="s">
        <v>976</v>
      </c>
      <c r="N391" s="47" t="s">
        <v>839</v>
      </c>
      <c r="O391" s="45" t="s">
        <v>383</v>
      </c>
      <c r="P391" s="44" t="s">
        <v>309</v>
      </c>
      <c r="Q391" s="59">
        <v>2</v>
      </c>
      <c r="R391" s="35" t="s">
        <v>298</v>
      </c>
      <c r="S391" s="59" t="str">
        <f>MID(Tabla1[[#This Row],[Aplicación]],6,2)</f>
        <v>05</v>
      </c>
      <c r="T391" s="35" t="str">
        <f>VLOOKUP(Tabla1[[#This Row],[AREA]],Hoja1!A:B,2,FALSE)</f>
        <v>05. Innovación, desarrollo económico, empleo y comercio</v>
      </c>
      <c r="U391" s="35">
        <v>4312</v>
      </c>
      <c r="V391" s="35" t="str">
        <f>VLOOKUP(Tabla1[[#This Row],[PROGRAMA]],Hoja1!A:B,2,FALSE)</f>
        <v>4312. Mercados, abastos y lonjas</v>
      </c>
      <c r="W391" s="56">
        <v>22</v>
      </c>
      <c r="X391" s="56">
        <v>22799</v>
      </c>
    </row>
    <row r="392" spans="1:24" x14ac:dyDescent="0.25">
      <c r="A392" s="46">
        <v>220169000655</v>
      </c>
      <c r="B392" s="47" t="s">
        <v>507</v>
      </c>
      <c r="C392" s="52">
        <v>44927</v>
      </c>
      <c r="D392" s="46">
        <v>22023003335</v>
      </c>
      <c r="E392" s="47" t="s">
        <v>508</v>
      </c>
      <c r="F392" s="53">
        <v>16450</v>
      </c>
      <c r="G392" s="47" t="s">
        <v>1279</v>
      </c>
      <c r="H392" s="47" t="s">
        <v>1280</v>
      </c>
      <c r="I392" s="46" t="s">
        <v>511</v>
      </c>
      <c r="J392" s="47" t="s">
        <v>1057</v>
      </c>
      <c r="K392" s="47" t="s">
        <v>1057</v>
      </c>
      <c r="L392" s="47" t="s">
        <v>513</v>
      </c>
      <c r="M392" s="47" t="s">
        <v>514</v>
      </c>
      <c r="N392" s="47" t="s">
        <v>515</v>
      </c>
      <c r="O392" s="45" t="s">
        <v>371</v>
      </c>
      <c r="P392" s="44" t="s">
        <v>309</v>
      </c>
      <c r="Q392" s="59" t="str">
        <f>MID(Tabla1[[#This Row],[Aplicación]],14,1)</f>
        <v>2</v>
      </c>
      <c r="R392" s="35" t="s">
        <v>298</v>
      </c>
      <c r="S392" s="59" t="str">
        <f>MID(Tabla1[[#This Row],[Aplicación]],6,2)</f>
        <v>08</v>
      </c>
      <c r="T392" s="35" t="str">
        <f>VLOOKUP(Tabla1[[#This Row],[AREA]],Hoja1!A:B,2,FALSE)</f>
        <v>08. Movilidad y espacio urbano</v>
      </c>
      <c r="U392" s="56" t="str">
        <f>MID(Tabla1[[#This Row],[Aplicación]],9,4)</f>
        <v>1341</v>
      </c>
      <c r="V392" s="35" t="str">
        <f>VLOOKUP(Tabla1[[#This Row],[PROGRAMA]],Hoja1!A:B,2,FALSE)</f>
        <v>1341. Movilidad</v>
      </c>
      <c r="W392" s="56" t="str">
        <f>MID(Tabla1[[#This Row],[Aplicación]],14,2)</f>
        <v>22</v>
      </c>
      <c r="X392" s="56" t="str">
        <f>MID(Tabla1[[#This Row],[Aplicación]],14,6)</f>
        <v>22799</v>
      </c>
    </row>
    <row r="393" spans="1:24" x14ac:dyDescent="0.25">
      <c r="A393" s="55">
        <v>220220013419</v>
      </c>
      <c r="B393" s="47" t="s">
        <v>507</v>
      </c>
      <c r="C393" s="52">
        <v>45014</v>
      </c>
      <c r="D393" s="46">
        <v>22022002550</v>
      </c>
      <c r="E393" s="47" t="s">
        <v>1281</v>
      </c>
      <c r="F393" s="53">
        <v>277.16000000000003</v>
      </c>
      <c r="G393" s="47" t="s">
        <v>346</v>
      </c>
      <c r="H393" s="47" t="s">
        <v>1282</v>
      </c>
      <c r="I393" s="46" t="s">
        <v>511</v>
      </c>
      <c r="J393" s="47" t="s">
        <v>519</v>
      </c>
      <c r="K393" s="47" t="s">
        <v>519</v>
      </c>
      <c r="L393" s="47" t="s">
        <v>520</v>
      </c>
      <c r="M393" s="47" t="s">
        <v>514</v>
      </c>
      <c r="N393" s="47" t="s">
        <v>515</v>
      </c>
      <c r="O393" s="54" t="s">
        <v>371</v>
      </c>
      <c r="P393" s="44" t="s">
        <v>309</v>
      </c>
      <c r="Q393" s="59" t="str">
        <f>MID(Tabla1[[#This Row],[Aplicación]],14,1)</f>
        <v>6</v>
      </c>
      <c r="R393" s="35" t="s">
        <v>299</v>
      </c>
      <c r="S393" s="59" t="str">
        <f>MID(Tabla1[[#This Row],[Aplicación]],6,2)</f>
        <v>08</v>
      </c>
      <c r="T393" s="35" t="str">
        <f>VLOOKUP(Tabla1[[#This Row],[AREA]],Hoja1!A:B,2,FALSE)</f>
        <v>08. Movilidad y espacio urbano</v>
      </c>
      <c r="U393" s="35" t="str">
        <f>MID(Tabla1[[#This Row],[Aplicación]],9,4)</f>
        <v>1532</v>
      </c>
      <c r="V393" s="35" t="str">
        <f>VLOOKUP(Tabla1[[#This Row],[PROGRAMA]],Hoja1!A:B,2,FALSE)</f>
        <v>1532. Pavimentación vias públicas y otros servicios urbanísticos</v>
      </c>
      <c r="W393" s="56" t="str">
        <f>MID(Tabla1[[#This Row],[Aplicación]],14,2)</f>
        <v>62</v>
      </c>
      <c r="X393" s="56" t="str">
        <f>MID(Tabla1[[#This Row],[Aplicación]],14,6)</f>
        <v>622</v>
      </c>
    </row>
    <row r="394" spans="1:24" x14ac:dyDescent="0.25">
      <c r="A394" s="55">
        <v>220220015507</v>
      </c>
      <c r="B394" s="47" t="s">
        <v>507</v>
      </c>
      <c r="C394" s="52">
        <v>45014</v>
      </c>
      <c r="D394" s="46">
        <v>22022002963</v>
      </c>
      <c r="E394" s="47" t="s">
        <v>1283</v>
      </c>
      <c r="F394" s="53">
        <v>0.01</v>
      </c>
      <c r="G394" s="47" t="s">
        <v>346</v>
      </c>
      <c r="H394" s="47" t="s">
        <v>1284</v>
      </c>
      <c r="I394" s="46" t="s">
        <v>511</v>
      </c>
      <c r="J394" s="47" t="s">
        <v>519</v>
      </c>
      <c r="K394" s="47" t="s">
        <v>519</v>
      </c>
      <c r="L394" s="47" t="s">
        <v>520</v>
      </c>
      <c r="M394" s="47" t="s">
        <v>514</v>
      </c>
      <c r="N394" s="47" t="s">
        <v>515</v>
      </c>
      <c r="O394" s="54" t="s">
        <v>371</v>
      </c>
      <c r="P394" s="44" t="s">
        <v>309</v>
      </c>
      <c r="Q394" s="59" t="str">
        <f>MID(Tabla1[[#This Row],[Aplicación]],14,1)</f>
        <v>6</v>
      </c>
      <c r="R394" s="35" t="s">
        <v>299</v>
      </c>
      <c r="S394" s="59" t="str">
        <f>MID(Tabla1[[#This Row],[Aplicación]],6,2)</f>
        <v>11</v>
      </c>
      <c r="T394" s="35" t="str">
        <f>VLOOKUP(Tabla1[[#This Row],[AREA]],Hoja1!A:B,2,FALSE)</f>
        <v>11. Salud pública y seguridad ciudadana</v>
      </c>
      <c r="U394" s="35" t="str">
        <f>MID(Tabla1[[#This Row],[Aplicación]],9,4)</f>
        <v>1321</v>
      </c>
      <c r="V394" s="35" t="str">
        <f>VLOOKUP(Tabla1[[#This Row],[PROGRAMA]],Hoja1!A:B,2,FALSE)</f>
        <v>1321. Policía municipal</v>
      </c>
      <c r="W394" s="56" t="str">
        <f>MID(Tabla1[[#This Row],[Aplicación]],14,2)</f>
        <v>63</v>
      </c>
      <c r="X394" s="56" t="str">
        <f>MID(Tabla1[[#This Row],[Aplicación]],14,6)</f>
        <v>632</v>
      </c>
    </row>
    <row r="395" spans="1:24" x14ac:dyDescent="0.25">
      <c r="A395" s="46">
        <v>220230003246</v>
      </c>
      <c r="B395" s="47" t="s">
        <v>507</v>
      </c>
      <c r="C395" s="52">
        <v>44971</v>
      </c>
      <c r="D395" s="46">
        <v>22023002435</v>
      </c>
      <c r="E395" s="47" t="s">
        <v>1285</v>
      </c>
      <c r="F395" s="53">
        <v>46.62</v>
      </c>
      <c r="G395" s="47" t="s">
        <v>1286</v>
      </c>
      <c r="H395" s="47" t="s">
        <v>1287</v>
      </c>
      <c r="I395" s="46" t="s">
        <v>511</v>
      </c>
      <c r="J395" s="47" t="s">
        <v>1288</v>
      </c>
      <c r="K395" s="47" t="s">
        <v>1289</v>
      </c>
      <c r="L395" s="47" t="s">
        <v>552</v>
      </c>
      <c r="M395" s="47" t="s">
        <v>976</v>
      </c>
      <c r="N395" s="47" t="s">
        <v>839</v>
      </c>
      <c r="O395" s="45" t="s">
        <v>383</v>
      </c>
      <c r="P395" s="44" t="s">
        <v>309</v>
      </c>
      <c r="Q395" s="59" t="str">
        <f>MID(Tabla1[[#This Row],[Aplicación]],14,1)</f>
        <v>2</v>
      </c>
      <c r="R395" s="35" t="s">
        <v>298</v>
      </c>
      <c r="S395" s="59" t="str">
        <f>MID(Tabla1[[#This Row],[Aplicación]],6,2)</f>
        <v>11</v>
      </c>
      <c r="T395" s="35" t="str">
        <f>VLOOKUP(Tabla1[[#This Row],[AREA]],Hoja1!A:B,2,FALSE)</f>
        <v>11. Salud pública y seguridad ciudadana</v>
      </c>
      <c r="U395" s="35" t="str">
        <f>MID(Tabla1[[#This Row],[Aplicación]],9,4)</f>
        <v>1361</v>
      </c>
      <c r="V395" s="35" t="str">
        <f>VLOOKUP(Tabla1[[#This Row],[PROGRAMA]],Hoja1!A:B,2,FALSE)</f>
        <v>1361. Prevención y extinción de incencios</v>
      </c>
      <c r="W395" s="56" t="str">
        <f>MID(Tabla1[[#This Row],[Aplicación]],14,2)</f>
        <v>22</v>
      </c>
      <c r="X395" s="56" t="str">
        <f>MID(Tabla1[[#This Row],[Aplicación]],14,6)</f>
        <v>22199</v>
      </c>
    </row>
    <row r="396" spans="1:24" x14ac:dyDescent="0.25">
      <c r="A396" s="46">
        <v>220230002588</v>
      </c>
      <c r="B396" s="47" t="s">
        <v>507</v>
      </c>
      <c r="C396" s="52">
        <v>44965</v>
      </c>
      <c r="D396" s="46">
        <v>22023002150</v>
      </c>
      <c r="E396" s="47" t="s">
        <v>1290</v>
      </c>
      <c r="F396" s="53">
        <v>1106.19</v>
      </c>
      <c r="G396" s="47" t="s">
        <v>478</v>
      </c>
      <c r="H396" s="47" t="s">
        <v>1291</v>
      </c>
      <c r="I396" s="46" t="s">
        <v>511</v>
      </c>
      <c r="J396" s="47" t="s">
        <v>1292</v>
      </c>
      <c r="K396" s="47" t="s">
        <v>1293</v>
      </c>
      <c r="L396" s="47" t="s">
        <v>520</v>
      </c>
      <c r="M396" s="47" t="s">
        <v>976</v>
      </c>
      <c r="N396" s="47" t="s">
        <v>839</v>
      </c>
      <c r="O396" s="45" t="s">
        <v>383</v>
      </c>
      <c r="P396" s="44" t="s">
        <v>309</v>
      </c>
      <c r="Q396" s="59" t="str">
        <f>MID(Tabla1[[#This Row],[Aplicación]],14,1)</f>
        <v>2</v>
      </c>
      <c r="R396" s="35" t="s">
        <v>298</v>
      </c>
      <c r="S396" s="59" t="str">
        <f>MID(Tabla1[[#This Row],[Aplicación]],6,2)</f>
        <v>11</v>
      </c>
      <c r="T396" s="35" t="str">
        <f>VLOOKUP(Tabla1[[#This Row],[AREA]],Hoja1!A:B,2,FALSE)</f>
        <v>11. Salud pública y seguridad ciudadana</v>
      </c>
      <c r="U396" s="35" t="str">
        <f>MID(Tabla1[[#This Row],[Aplicación]],9,4)</f>
        <v>1621</v>
      </c>
      <c r="V396" s="35" t="str">
        <f>VLOOKUP(Tabla1[[#This Row],[PROGRAMA]],Hoja1!A:B,2,FALSE)</f>
        <v>1621. Servicio de limpieza</v>
      </c>
      <c r="W396" s="56" t="str">
        <f>MID(Tabla1[[#This Row],[Aplicación]],14,2)</f>
        <v>21</v>
      </c>
      <c r="X396" s="56" t="str">
        <f>MID(Tabla1[[#This Row],[Aplicación]],14,6)</f>
        <v>214</v>
      </c>
    </row>
    <row r="397" spans="1:24" x14ac:dyDescent="0.25">
      <c r="A397" s="46">
        <v>220229000254</v>
      </c>
      <c r="B397" s="47" t="s">
        <v>507</v>
      </c>
      <c r="C397" s="52">
        <v>44927</v>
      </c>
      <c r="D397" s="46">
        <v>22023001360</v>
      </c>
      <c r="E397" s="47" t="s">
        <v>864</v>
      </c>
      <c r="F397" s="53">
        <v>18246.5</v>
      </c>
      <c r="G397" s="47" t="s">
        <v>865</v>
      </c>
      <c r="H397" s="47" t="s">
        <v>1294</v>
      </c>
      <c r="I397" s="46" t="s">
        <v>511</v>
      </c>
      <c r="J397" s="47" t="s">
        <v>731</v>
      </c>
      <c r="K397" s="47" t="s">
        <v>519</v>
      </c>
      <c r="L397" s="47" t="s">
        <v>552</v>
      </c>
      <c r="M397" s="47" t="s">
        <v>514</v>
      </c>
      <c r="N397" s="47" t="s">
        <v>515</v>
      </c>
      <c r="O397" s="54" t="s">
        <v>371</v>
      </c>
      <c r="P397" s="44" t="s">
        <v>309</v>
      </c>
      <c r="Q397" s="59">
        <v>6</v>
      </c>
      <c r="R397" s="35" t="s">
        <v>299</v>
      </c>
      <c r="S397" s="59" t="str">
        <f>MID(Tabla1[[#This Row],[Aplicación]],6,2)</f>
        <v>04</v>
      </c>
      <c r="T397" s="35" t="str">
        <f>VLOOKUP(Tabla1[[#This Row],[AREA]],Hoja1!A:B,2,FALSE)</f>
        <v>04. Planificación y recursos</v>
      </c>
      <c r="U397" s="35">
        <v>9231</v>
      </c>
      <c r="V397" s="35" t="str">
        <f>VLOOKUP(Tabla1[[#This Row],[PROGRAMA]],Hoja1!A:B,2,FALSE)</f>
        <v>9231. Información, registro y gestión del padrón</v>
      </c>
      <c r="W397" s="56">
        <v>64</v>
      </c>
      <c r="X397" s="56">
        <v>641</v>
      </c>
    </row>
    <row r="398" spans="1:24" x14ac:dyDescent="0.25">
      <c r="A398" s="55">
        <v>220210067024</v>
      </c>
      <c r="B398" s="47" t="s">
        <v>507</v>
      </c>
      <c r="C398" s="52">
        <v>45014</v>
      </c>
      <c r="D398" s="46">
        <v>22021006449</v>
      </c>
      <c r="E398" s="47" t="s">
        <v>1295</v>
      </c>
      <c r="F398" s="53">
        <v>16077.38</v>
      </c>
      <c r="G398" s="47" t="s">
        <v>81</v>
      </c>
      <c r="H398" s="47" t="s">
        <v>1296</v>
      </c>
      <c r="I398" s="46" t="s">
        <v>511</v>
      </c>
      <c r="J398" s="47" t="s">
        <v>512</v>
      </c>
      <c r="K398" s="47" t="s">
        <v>512</v>
      </c>
      <c r="L398" s="47" t="s">
        <v>520</v>
      </c>
      <c r="M398" s="47" t="s">
        <v>514</v>
      </c>
      <c r="N398" s="47" t="s">
        <v>515</v>
      </c>
      <c r="O398" s="54" t="s">
        <v>371</v>
      </c>
      <c r="P398" s="44" t="s">
        <v>309</v>
      </c>
      <c r="Q398" s="59" t="str">
        <f>MID(Tabla1[[#This Row],[Aplicación]],14,1)</f>
        <v>6</v>
      </c>
      <c r="R398" s="35" t="s">
        <v>299</v>
      </c>
      <c r="S398" s="59" t="str">
        <f>MID(Tabla1[[#This Row],[Aplicación]],6,2)</f>
        <v>11</v>
      </c>
      <c r="T398" s="35" t="str">
        <f>VLOOKUP(Tabla1[[#This Row],[AREA]],Hoja1!A:B,2,FALSE)</f>
        <v>11. Salud pública y seguridad ciudadana</v>
      </c>
      <c r="U398" s="35" t="str">
        <f>MID(Tabla1[[#This Row],[Aplicación]],9,4)</f>
        <v>1361</v>
      </c>
      <c r="V398" s="35" t="str">
        <f>VLOOKUP(Tabla1[[#This Row],[PROGRAMA]],Hoja1!A:B,2,FALSE)</f>
        <v>1361. Prevención y extinción de incencios</v>
      </c>
      <c r="W398" s="56" t="str">
        <f>MID(Tabla1[[#This Row],[Aplicación]],14,2)</f>
        <v>63</v>
      </c>
      <c r="X398" s="56" t="str">
        <f>MID(Tabla1[[#This Row],[Aplicación]],14,6)</f>
        <v>633</v>
      </c>
    </row>
    <row r="399" spans="1:24" x14ac:dyDescent="0.25">
      <c r="A399" s="55">
        <v>220219000844</v>
      </c>
      <c r="B399" s="47" t="s">
        <v>507</v>
      </c>
      <c r="C399" s="52">
        <v>45014</v>
      </c>
      <c r="D399" s="46">
        <v>22022002211</v>
      </c>
      <c r="E399" s="47" t="s">
        <v>1295</v>
      </c>
      <c r="F399" s="53">
        <v>5000</v>
      </c>
      <c r="G399" s="47" t="s">
        <v>81</v>
      </c>
      <c r="H399" s="47" t="s">
        <v>1297</v>
      </c>
      <c r="I399" s="46" t="s">
        <v>511</v>
      </c>
      <c r="J399" s="47" t="s">
        <v>512</v>
      </c>
      <c r="K399" s="47" t="s">
        <v>512</v>
      </c>
      <c r="L399" s="47" t="s">
        <v>520</v>
      </c>
      <c r="M399" s="47" t="s">
        <v>514</v>
      </c>
      <c r="N399" s="47" t="s">
        <v>515</v>
      </c>
      <c r="O399" s="54" t="s">
        <v>371</v>
      </c>
      <c r="P399" s="44" t="s">
        <v>309</v>
      </c>
      <c r="Q399" s="59" t="str">
        <f>MID(Tabla1[[#This Row],[Aplicación]],14,1)</f>
        <v>6</v>
      </c>
      <c r="R399" s="35" t="s">
        <v>299</v>
      </c>
      <c r="S399" s="59" t="str">
        <f>MID(Tabla1[[#This Row],[Aplicación]],6,2)</f>
        <v>11</v>
      </c>
      <c r="T399" s="35" t="str">
        <f>VLOOKUP(Tabla1[[#This Row],[AREA]],Hoja1!A:B,2,FALSE)</f>
        <v>11. Salud pública y seguridad ciudadana</v>
      </c>
      <c r="U399" s="35" t="str">
        <f>MID(Tabla1[[#This Row],[Aplicación]],9,4)</f>
        <v>1361</v>
      </c>
      <c r="V399" s="35" t="str">
        <f>VLOOKUP(Tabla1[[#This Row],[PROGRAMA]],Hoja1!A:B,2,FALSE)</f>
        <v>1361. Prevención y extinción de incencios</v>
      </c>
      <c r="W399" s="56" t="str">
        <f>MID(Tabla1[[#This Row],[Aplicación]],14,2)</f>
        <v>63</v>
      </c>
      <c r="X399" s="56" t="str">
        <f>MID(Tabla1[[#This Row],[Aplicación]],14,6)</f>
        <v>633</v>
      </c>
    </row>
    <row r="400" spans="1:24" x14ac:dyDescent="0.25">
      <c r="A400" s="55">
        <v>220209000405</v>
      </c>
      <c r="B400" s="47" t="s">
        <v>507</v>
      </c>
      <c r="C400" s="52">
        <v>45014</v>
      </c>
      <c r="D400" s="46">
        <v>22021000291</v>
      </c>
      <c r="E400" s="47" t="s">
        <v>1295</v>
      </c>
      <c r="F400" s="53">
        <v>58.64</v>
      </c>
      <c r="G400" s="47" t="s">
        <v>81</v>
      </c>
      <c r="H400" s="47" t="s">
        <v>1298</v>
      </c>
      <c r="I400" s="46" t="s">
        <v>511</v>
      </c>
      <c r="J400" s="47" t="s">
        <v>512</v>
      </c>
      <c r="K400" s="47" t="s">
        <v>512</v>
      </c>
      <c r="L400" s="47" t="s">
        <v>520</v>
      </c>
      <c r="M400" s="47" t="s">
        <v>514</v>
      </c>
      <c r="N400" s="47" t="s">
        <v>515</v>
      </c>
      <c r="O400" s="54" t="s">
        <v>371</v>
      </c>
      <c r="P400" s="44" t="s">
        <v>309</v>
      </c>
      <c r="Q400" s="59" t="str">
        <f>MID(Tabla1[[#This Row],[Aplicación]],14,1)</f>
        <v>6</v>
      </c>
      <c r="R400" s="35" t="s">
        <v>299</v>
      </c>
      <c r="S400" s="59" t="str">
        <f>MID(Tabla1[[#This Row],[Aplicación]],6,2)</f>
        <v>11</v>
      </c>
      <c r="T400" s="35" t="str">
        <f>VLOOKUP(Tabla1[[#This Row],[AREA]],Hoja1!A:B,2,FALSE)</f>
        <v>11. Salud pública y seguridad ciudadana</v>
      </c>
      <c r="U400" s="35" t="str">
        <f>MID(Tabla1[[#This Row],[Aplicación]],9,4)</f>
        <v>1361</v>
      </c>
      <c r="V400" s="35" t="str">
        <f>VLOOKUP(Tabla1[[#This Row],[PROGRAMA]],Hoja1!A:B,2,FALSE)</f>
        <v>1361. Prevención y extinción de incencios</v>
      </c>
      <c r="W400" s="56" t="str">
        <f>MID(Tabla1[[#This Row],[Aplicación]],14,2)</f>
        <v>63</v>
      </c>
      <c r="X400" s="56" t="str">
        <f>MID(Tabla1[[#This Row],[Aplicación]],14,6)</f>
        <v>633</v>
      </c>
    </row>
    <row r="401" spans="1:24" x14ac:dyDescent="0.25">
      <c r="A401" s="46">
        <v>220230005425</v>
      </c>
      <c r="B401" s="47" t="s">
        <v>507</v>
      </c>
      <c r="C401" s="52">
        <v>44979</v>
      </c>
      <c r="D401" s="46">
        <v>22023002615</v>
      </c>
      <c r="E401" s="47" t="s">
        <v>1299</v>
      </c>
      <c r="F401" s="53">
        <v>16</v>
      </c>
      <c r="G401" s="47" t="s">
        <v>1300</v>
      </c>
      <c r="H401" s="47" t="s">
        <v>1301</v>
      </c>
      <c r="I401" s="46" t="s">
        <v>511</v>
      </c>
      <c r="J401" s="47" t="s">
        <v>1302</v>
      </c>
      <c r="K401" s="47" t="s">
        <v>512</v>
      </c>
      <c r="L401" s="47" t="s">
        <v>552</v>
      </c>
      <c r="M401" s="47" t="s">
        <v>976</v>
      </c>
      <c r="N401" s="47" t="s">
        <v>839</v>
      </c>
      <c r="O401" s="45" t="s">
        <v>383</v>
      </c>
      <c r="P401" s="44" t="s">
        <v>309</v>
      </c>
      <c r="Q401" s="59" t="str">
        <f>MID(Tabla1[[#This Row],[Aplicación]],14,1)</f>
        <v>2</v>
      </c>
      <c r="R401" s="35" t="s">
        <v>298</v>
      </c>
      <c r="S401" s="59" t="str">
        <f>MID(Tabla1[[#This Row],[Aplicación]],6,2)</f>
        <v>06</v>
      </c>
      <c r="T401" s="35" t="str">
        <f>VLOOKUP(Tabla1[[#This Row],[AREA]],Hoja1!A:B,2,FALSE)</f>
        <v>06. Educación, infancia, juventud e igualdad</v>
      </c>
      <c r="U401" s="35" t="str">
        <f>MID(Tabla1[[#This Row],[Aplicación]],9,4)</f>
        <v>3321</v>
      </c>
      <c r="V401" s="35" t="str">
        <f>VLOOKUP(Tabla1[[#This Row],[PROGRAMA]],Hoja1!A:B,2,FALSE)</f>
        <v>3321. Bibliotecas públicas</v>
      </c>
      <c r="W401" s="56" t="str">
        <f>MID(Tabla1[[#This Row],[Aplicación]],14,2)</f>
        <v>22</v>
      </c>
      <c r="X401" s="56" t="str">
        <f>MID(Tabla1[[#This Row],[Aplicación]],14,6)</f>
        <v>22001</v>
      </c>
    </row>
    <row r="402" spans="1:24" x14ac:dyDescent="0.25">
      <c r="A402" s="46">
        <v>220230001965</v>
      </c>
      <c r="B402" s="47" t="s">
        <v>507</v>
      </c>
      <c r="C402" s="52">
        <v>44960</v>
      </c>
      <c r="D402" s="46">
        <v>22023001426</v>
      </c>
      <c r="E402" s="47" t="s">
        <v>1303</v>
      </c>
      <c r="F402" s="53">
        <v>2200</v>
      </c>
      <c r="G402" s="47" t="s">
        <v>395</v>
      </c>
      <c r="H402" s="47" t="s">
        <v>1304</v>
      </c>
      <c r="I402" s="46" t="s">
        <v>511</v>
      </c>
      <c r="J402" s="47" t="s">
        <v>519</v>
      </c>
      <c r="K402" s="47" t="s">
        <v>519</v>
      </c>
      <c r="L402" s="47" t="s">
        <v>520</v>
      </c>
      <c r="M402" s="47" t="s">
        <v>976</v>
      </c>
      <c r="N402" s="47" t="s">
        <v>839</v>
      </c>
      <c r="O402" s="45" t="s">
        <v>383</v>
      </c>
      <c r="P402" s="44" t="s">
        <v>309</v>
      </c>
      <c r="Q402" s="59" t="str">
        <f>MID(Tabla1[[#This Row],[Aplicación]],14,1)</f>
        <v>2</v>
      </c>
      <c r="R402" s="35" t="s">
        <v>298</v>
      </c>
      <c r="S402" s="59" t="str">
        <f>MID(Tabla1[[#This Row],[Aplicación]],6,2)</f>
        <v>11</v>
      </c>
      <c r="T402" s="35" t="str">
        <f>VLOOKUP(Tabla1[[#This Row],[AREA]],Hoja1!A:B,2,FALSE)</f>
        <v>11. Salud pública y seguridad ciudadana</v>
      </c>
      <c r="U402" s="35" t="str">
        <f>MID(Tabla1[[#This Row],[Aplicación]],9,4)</f>
        <v>1321</v>
      </c>
      <c r="V402" s="35" t="str">
        <f>VLOOKUP(Tabla1[[#This Row],[PROGRAMA]],Hoja1!A:B,2,FALSE)</f>
        <v>1321. Policía municipal</v>
      </c>
      <c r="W402" s="56" t="str">
        <f>MID(Tabla1[[#This Row],[Aplicación]],14,2)</f>
        <v>22</v>
      </c>
      <c r="X402" s="56" t="str">
        <f>MID(Tabla1[[#This Row],[Aplicación]],14,6)</f>
        <v>22699</v>
      </c>
    </row>
    <row r="403" spans="1:24" x14ac:dyDescent="0.25">
      <c r="A403" s="46">
        <v>220230003091</v>
      </c>
      <c r="B403" s="47" t="s">
        <v>1249</v>
      </c>
      <c r="C403" s="52">
        <v>44970</v>
      </c>
      <c r="D403" s="46">
        <v>22023002380</v>
      </c>
      <c r="E403" s="47" t="s">
        <v>1305</v>
      </c>
      <c r="F403" s="53">
        <v>494.37</v>
      </c>
      <c r="G403" s="47" t="s">
        <v>395</v>
      </c>
      <c r="H403" s="47" t="s">
        <v>1306</v>
      </c>
      <c r="I403" s="46" t="s">
        <v>1251</v>
      </c>
      <c r="J403" s="47" t="s">
        <v>519</v>
      </c>
      <c r="K403" s="47" t="s">
        <v>519</v>
      </c>
      <c r="L403" s="47" t="s">
        <v>552</v>
      </c>
      <c r="M403" s="47" t="s">
        <v>976</v>
      </c>
      <c r="N403" s="47" t="s">
        <v>839</v>
      </c>
      <c r="O403" s="45" t="s">
        <v>383</v>
      </c>
      <c r="P403" s="44" t="s">
        <v>309</v>
      </c>
      <c r="Q403" s="59" t="str">
        <f>MID(Tabla1[[#This Row],[Aplicación]],14,1)</f>
        <v>2</v>
      </c>
      <c r="R403" s="35" t="s">
        <v>298</v>
      </c>
      <c r="S403" s="59" t="str">
        <f>MID(Tabla1[[#This Row],[Aplicación]],6,2)</f>
        <v>06</v>
      </c>
      <c r="T403" s="35" t="str">
        <f>VLOOKUP(Tabla1[[#This Row],[AREA]],Hoja1!A:B,2,FALSE)</f>
        <v>06. Educación, infancia, juventud e igualdad</v>
      </c>
      <c r="U403" s="35" t="str">
        <f>MID(Tabla1[[#This Row],[Aplicación]],9,4)</f>
        <v>3232</v>
      </c>
      <c r="V403" s="35" t="str">
        <f>VLOOKUP(Tabla1[[#This Row],[PROGRAMA]],Hoja1!A:B,2,FALSE)</f>
        <v>3232. Conservación y mantenimiento centros educación infantil y primaria</v>
      </c>
      <c r="W403" s="56" t="str">
        <f>MID(Tabla1[[#This Row],[Aplicación]],14,2)</f>
        <v>21</v>
      </c>
      <c r="X403" s="56" t="str">
        <f>MID(Tabla1[[#This Row],[Aplicación]],14,6)</f>
        <v>212</v>
      </c>
    </row>
    <row r="404" spans="1:24" x14ac:dyDescent="0.25">
      <c r="A404" s="46">
        <v>220230005627</v>
      </c>
      <c r="B404" s="47" t="s">
        <v>507</v>
      </c>
      <c r="C404" s="52">
        <v>44979</v>
      </c>
      <c r="D404" s="46">
        <v>22023002605</v>
      </c>
      <c r="E404" s="47" t="s">
        <v>1305</v>
      </c>
      <c r="F404" s="53">
        <v>2300.69</v>
      </c>
      <c r="G404" s="47" t="s">
        <v>395</v>
      </c>
      <c r="H404" s="47" t="s">
        <v>1307</v>
      </c>
      <c r="I404" s="46" t="s">
        <v>511</v>
      </c>
      <c r="J404" s="47" t="s">
        <v>519</v>
      </c>
      <c r="K404" s="47" t="s">
        <v>519</v>
      </c>
      <c r="L404" s="47" t="s">
        <v>520</v>
      </c>
      <c r="M404" s="47" t="s">
        <v>976</v>
      </c>
      <c r="N404" s="47" t="s">
        <v>839</v>
      </c>
      <c r="O404" s="45" t="s">
        <v>383</v>
      </c>
      <c r="P404" s="44" t="s">
        <v>309</v>
      </c>
      <c r="Q404" s="59" t="str">
        <f>MID(Tabla1[[#This Row],[Aplicación]],14,1)</f>
        <v>2</v>
      </c>
      <c r="R404" s="35" t="s">
        <v>298</v>
      </c>
      <c r="S404" s="59" t="str">
        <f>MID(Tabla1[[#This Row],[Aplicación]],6,2)</f>
        <v>06</v>
      </c>
      <c r="T404" s="35" t="str">
        <f>VLOOKUP(Tabla1[[#This Row],[AREA]],Hoja1!A:B,2,FALSE)</f>
        <v>06. Educación, infancia, juventud e igualdad</v>
      </c>
      <c r="U404" s="35" t="str">
        <f>MID(Tabla1[[#This Row],[Aplicación]],9,4)</f>
        <v>3232</v>
      </c>
      <c r="V404" s="35" t="str">
        <f>VLOOKUP(Tabla1[[#This Row],[PROGRAMA]],Hoja1!A:B,2,FALSE)</f>
        <v>3232. Conservación y mantenimiento centros educación infantil y primaria</v>
      </c>
      <c r="W404" s="56" t="str">
        <f>MID(Tabla1[[#This Row],[Aplicación]],14,2)</f>
        <v>21</v>
      </c>
      <c r="X404" s="56" t="str">
        <f>MID(Tabla1[[#This Row],[Aplicación]],14,6)</f>
        <v>212</v>
      </c>
    </row>
    <row r="405" spans="1:24" x14ac:dyDescent="0.25">
      <c r="A405" s="55">
        <v>220230010344</v>
      </c>
      <c r="B405" s="47" t="s">
        <v>507</v>
      </c>
      <c r="C405" s="52">
        <v>45008</v>
      </c>
      <c r="D405" s="46">
        <v>22023003397</v>
      </c>
      <c r="E405" s="47" t="s">
        <v>1308</v>
      </c>
      <c r="F405" s="53">
        <v>500</v>
      </c>
      <c r="G405" s="47" t="s">
        <v>395</v>
      </c>
      <c r="H405" s="47" t="s">
        <v>1309</v>
      </c>
      <c r="I405" s="46" t="s">
        <v>511</v>
      </c>
      <c r="J405" s="47" t="s">
        <v>519</v>
      </c>
      <c r="K405" s="47" t="s">
        <v>519</v>
      </c>
      <c r="L405" s="47" t="s">
        <v>520</v>
      </c>
      <c r="M405" s="47" t="s">
        <v>976</v>
      </c>
      <c r="N405" s="47" t="s">
        <v>839</v>
      </c>
      <c r="O405" s="54" t="s">
        <v>383</v>
      </c>
      <c r="P405" s="44" t="s">
        <v>309</v>
      </c>
      <c r="Q405" s="59" t="str">
        <f>MID(Tabla1[[#This Row],[Aplicación]],14,1)</f>
        <v>2</v>
      </c>
      <c r="R405" s="35" t="s">
        <v>298</v>
      </c>
      <c r="S405" s="59" t="str">
        <f>MID(Tabla1[[#This Row],[Aplicación]],6,2)</f>
        <v>10</v>
      </c>
      <c r="T405" s="35" t="str">
        <f>VLOOKUP(Tabla1[[#This Row],[AREA]],Hoja1!A:B,2,FALSE)</f>
        <v>10. Servicios sociales y mediación comunitaria</v>
      </c>
      <c r="U405" s="35" t="str">
        <f>MID(Tabla1[[#This Row],[Aplicación]],9,4)</f>
        <v>2412</v>
      </c>
      <c r="V405" s="35" t="str">
        <f>VLOOKUP(Tabla1[[#This Row],[PROGRAMA]],Hoja1!A:B,2,FALSE)</f>
        <v>2412. Formación para el empleo</v>
      </c>
      <c r="W405" s="56" t="str">
        <f>MID(Tabla1[[#This Row],[Aplicación]],14,2)</f>
        <v>22</v>
      </c>
      <c r="X405" s="56" t="str">
        <f>MID(Tabla1[[#This Row],[Aplicación]],14,6)</f>
        <v>223</v>
      </c>
    </row>
    <row r="406" spans="1:24" x14ac:dyDescent="0.25">
      <c r="A406" s="55">
        <v>220230010344</v>
      </c>
      <c r="B406" s="47" t="s">
        <v>507</v>
      </c>
      <c r="C406" s="52">
        <v>45008</v>
      </c>
      <c r="D406" s="46">
        <v>22023003398</v>
      </c>
      <c r="E406" s="47" t="s">
        <v>1308</v>
      </c>
      <c r="F406" s="53">
        <v>500</v>
      </c>
      <c r="G406" s="47" t="s">
        <v>395</v>
      </c>
      <c r="H406" s="47" t="s">
        <v>1309</v>
      </c>
      <c r="I406" s="46" t="s">
        <v>511</v>
      </c>
      <c r="J406" s="47" t="s">
        <v>519</v>
      </c>
      <c r="K406" s="47" t="s">
        <v>519</v>
      </c>
      <c r="L406" s="47" t="s">
        <v>520</v>
      </c>
      <c r="M406" s="47" t="s">
        <v>976</v>
      </c>
      <c r="N406" s="47" t="s">
        <v>839</v>
      </c>
      <c r="O406" s="54" t="s">
        <v>383</v>
      </c>
      <c r="P406" s="44" t="s">
        <v>309</v>
      </c>
      <c r="Q406" s="59" t="str">
        <f>MID(Tabla1[[#This Row],[Aplicación]],14,1)</f>
        <v>2</v>
      </c>
      <c r="R406" s="35" t="s">
        <v>298</v>
      </c>
      <c r="S406" s="59" t="str">
        <f>MID(Tabla1[[#This Row],[Aplicación]],6,2)</f>
        <v>10</v>
      </c>
      <c r="T406" s="35" t="str">
        <f>VLOOKUP(Tabla1[[#This Row],[AREA]],Hoja1!A:B,2,FALSE)</f>
        <v>10. Servicios sociales y mediación comunitaria</v>
      </c>
      <c r="U406" s="35" t="str">
        <f>MID(Tabla1[[#This Row],[Aplicación]],9,4)</f>
        <v>2412</v>
      </c>
      <c r="V406" s="35" t="str">
        <f>VLOOKUP(Tabla1[[#This Row],[PROGRAMA]],Hoja1!A:B,2,FALSE)</f>
        <v>2412. Formación para el empleo</v>
      </c>
      <c r="W406" s="56" t="str">
        <f>MID(Tabla1[[#This Row],[Aplicación]],14,2)</f>
        <v>22</v>
      </c>
      <c r="X406" s="56" t="str">
        <f>MID(Tabla1[[#This Row],[Aplicación]],14,6)</f>
        <v>223</v>
      </c>
    </row>
    <row r="407" spans="1:24" x14ac:dyDescent="0.25">
      <c r="A407" s="55">
        <v>220230010344</v>
      </c>
      <c r="B407" s="47" t="s">
        <v>507</v>
      </c>
      <c r="C407" s="52">
        <v>45008</v>
      </c>
      <c r="D407" s="46">
        <v>22023003399</v>
      </c>
      <c r="E407" s="47" t="s">
        <v>1308</v>
      </c>
      <c r="F407" s="53">
        <v>500</v>
      </c>
      <c r="G407" s="47" t="s">
        <v>395</v>
      </c>
      <c r="H407" s="47" t="s">
        <v>1309</v>
      </c>
      <c r="I407" s="46" t="s">
        <v>511</v>
      </c>
      <c r="J407" s="47" t="s">
        <v>519</v>
      </c>
      <c r="K407" s="47" t="s">
        <v>519</v>
      </c>
      <c r="L407" s="47" t="s">
        <v>520</v>
      </c>
      <c r="M407" s="47" t="s">
        <v>976</v>
      </c>
      <c r="N407" s="47" t="s">
        <v>839</v>
      </c>
      <c r="O407" s="54" t="s">
        <v>383</v>
      </c>
      <c r="P407" s="44" t="s">
        <v>309</v>
      </c>
      <c r="Q407" s="59" t="str">
        <f>MID(Tabla1[[#This Row],[Aplicación]],14,1)</f>
        <v>2</v>
      </c>
      <c r="R407" s="35" t="s">
        <v>298</v>
      </c>
      <c r="S407" s="59" t="str">
        <f>MID(Tabla1[[#This Row],[Aplicación]],6,2)</f>
        <v>10</v>
      </c>
      <c r="T407" s="35" t="str">
        <f>VLOOKUP(Tabla1[[#This Row],[AREA]],Hoja1!A:B,2,FALSE)</f>
        <v>10. Servicios sociales y mediación comunitaria</v>
      </c>
      <c r="U407" s="35" t="str">
        <f>MID(Tabla1[[#This Row],[Aplicación]],9,4)</f>
        <v>2412</v>
      </c>
      <c r="V407" s="35" t="str">
        <f>VLOOKUP(Tabla1[[#This Row],[PROGRAMA]],Hoja1!A:B,2,FALSE)</f>
        <v>2412. Formación para el empleo</v>
      </c>
      <c r="W407" s="56" t="str">
        <f>MID(Tabla1[[#This Row],[Aplicación]],14,2)</f>
        <v>22</v>
      </c>
      <c r="X407" s="56" t="str">
        <f>MID(Tabla1[[#This Row],[Aplicación]],14,6)</f>
        <v>223</v>
      </c>
    </row>
    <row r="408" spans="1:24" x14ac:dyDescent="0.25">
      <c r="A408" s="55">
        <v>220230009493</v>
      </c>
      <c r="B408" s="47" t="s">
        <v>507</v>
      </c>
      <c r="C408" s="52">
        <v>45006</v>
      </c>
      <c r="D408" s="46">
        <v>22023003448</v>
      </c>
      <c r="E408" s="47" t="s">
        <v>1093</v>
      </c>
      <c r="F408" s="53">
        <v>7260</v>
      </c>
      <c r="G408" s="47" t="s">
        <v>1310</v>
      </c>
      <c r="H408" s="47" t="s">
        <v>1311</v>
      </c>
      <c r="I408" s="46" t="s">
        <v>511</v>
      </c>
      <c r="J408" s="47" t="s">
        <v>1312</v>
      </c>
      <c r="K408" s="47" t="s">
        <v>590</v>
      </c>
      <c r="L408" s="47" t="s">
        <v>552</v>
      </c>
      <c r="M408" s="47" t="s">
        <v>976</v>
      </c>
      <c r="N408" s="47" t="s">
        <v>839</v>
      </c>
      <c r="O408" s="54" t="s">
        <v>383</v>
      </c>
      <c r="P408" s="44" t="s">
        <v>309</v>
      </c>
      <c r="Q408" s="59" t="str">
        <f>MID(Tabla1[[#This Row],[Aplicación]],14,1)</f>
        <v>2</v>
      </c>
      <c r="R408" s="35" t="s">
        <v>298</v>
      </c>
      <c r="S408" s="59" t="str">
        <f>MID(Tabla1[[#This Row],[Aplicación]],6,2)</f>
        <v>11</v>
      </c>
      <c r="T408" s="35" t="str">
        <f>VLOOKUP(Tabla1[[#This Row],[AREA]],Hoja1!A:B,2,FALSE)</f>
        <v>11. Salud pública y seguridad ciudadana</v>
      </c>
      <c r="U408" s="35" t="str">
        <f>MID(Tabla1[[#This Row],[Aplicación]],9,4)</f>
        <v>3111</v>
      </c>
      <c r="V408" s="35" t="str">
        <f>VLOOKUP(Tabla1[[#This Row],[PROGRAMA]],Hoja1!A:B,2,FALSE)</f>
        <v>3111. Protección de la salubridad pública</v>
      </c>
      <c r="W408" s="56" t="str">
        <f>MID(Tabla1[[#This Row],[Aplicación]],14,2)</f>
        <v>22</v>
      </c>
      <c r="X408" s="56" t="str">
        <f>MID(Tabla1[[#This Row],[Aplicación]],14,6)</f>
        <v>22106</v>
      </c>
    </row>
    <row r="409" spans="1:24" x14ac:dyDescent="0.25">
      <c r="A409" s="46">
        <v>220229000401</v>
      </c>
      <c r="B409" s="47" t="s">
        <v>507</v>
      </c>
      <c r="C409" s="52">
        <v>44927</v>
      </c>
      <c r="D409" s="46">
        <v>22023001175</v>
      </c>
      <c r="E409" s="47" t="s">
        <v>539</v>
      </c>
      <c r="F409" s="53">
        <v>1568</v>
      </c>
      <c r="G409" s="47" t="s">
        <v>1313</v>
      </c>
      <c r="H409" s="47" t="s">
        <v>1314</v>
      </c>
      <c r="I409" s="46" t="s">
        <v>511</v>
      </c>
      <c r="J409" s="47" t="s">
        <v>512</v>
      </c>
      <c r="K409" s="47" t="s">
        <v>512</v>
      </c>
      <c r="L409" s="47" t="s">
        <v>520</v>
      </c>
      <c r="M409" s="47" t="s">
        <v>514</v>
      </c>
      <c r="N409" s="47" t="s">
        <v>515</v>
      </c>
      <c r="O409" s="45" t="s">
        <v>371</v>
      </c>
      <c r="P409" s="44" t="s">
        <v>309</v>
      </c>
      <c r="Q409" s="59" t="str">
        <f>MID(Tabla1[[#This Row],[Aplicación]],14,1)</f>
        <v>2</v>
      </c>
      <c r="R409" s="35" t="s">
        <v>298</v>
      </c>
      <c r="S409" s="59" t="str">
        <f>MID(Tabla1[[#This Row],[Aplicación]],6,2)</f>
        <v>10</v>
      </c>
      <c r="T409" s="35" t="str">
        <f>VLOOKUP(Tabla1[[#This Row],[AREA]],Hoja1!A:B,2,FALSE)</f>
        <v>10. Servicios sociales y mediación comunitaria</v>
      </c>
      <c r="U409" s="35" t="str">
        <f>MID(Tabla1[[#This Row],[Aplicación]],9,4)</f>
        <v>2312</v>
      </c>
      <c r="V409" s="35" t="str">
        <f>VLOOKUP(Tabla1[[#This Row],[PROGRAMA]],Hoja1!A:B,2,FALSE)</f>
        <v>2312. Iniciativas sociales</v>
      </c>
      <c r="W409" s="56" t="str">
        <f>MID(Tabla1[[#This Row],[Aplicación]],14,2)</f>
        <v>22</v>
      </c>
      <c r="X409" s="56" t="str">
        <f>MID(Tabla1[[#This Row],[Aplicación]],14,6)</f>
        <v>22799</v>
      </c>
    </row>
    <row r="410" spans="1:24" x14ac:dyDescent="0.25">
      <c r="A410" s="46">
        <v>220229000670</v>
      </c>
      <c r="B410" s="47" t="s">
        <v>507</v>
      </c>
      <c r="C410" s="52">
        <v>44927</v>
      </c>
      <c r="D410" s="46">
        <v>22023001273</v>
      </c>
      <c r="E410" s="47" t="s">
        <v>1315</v>
      </c>
      <c r="F410" s="53">
        <v>726</v>
      </c>
      <c r="G410" s="47" t="s">
        <v>1316</v>
      </c>
      <c r="H410" s="47" t="s">
        <v>1317</v>
      </c>
      <c r="I410" s="46" t="s">
        <v>511</v>
      </c>
      <c r="J410" s="47" t="s">
        <v>512</v>
      </c>
      <c r="K410" s="47" t="s">
        <v>512</v>
      </c>
      <c r="L410" s="47" t="s">
        <v>520</v>
      </c>
      <c r="M410" s="47" t="s">
        <v>976</v>
      </c>
      <c r="N410" s="47" t="s">
        <v>839</v>
      </c>
      <c r="O410" s="45" t="s">
        <v>383</v>
      </c>
      <c r="P410" s="44" t="s">
        <v>309</v>
      </c>
      <c r="Q410" s="59" t="str">
        <f>MID(Tabla1[[#This Row],[Aplicación]],14,1)</f>
        <v>2</v>
      </c>
      <c r="R410" s="35" t="s">
        <v>298</v>
      </c>
      <c r="S410" s="59" t="str">
        <f>MID(Tabla1[[#This Row],[Aplicación]],6,2)</f>
        <v>01</v>
      </c>
      <c r="T410" s="35" t="str">
        <f>VLOOKUP(Tabla1[[#This Row],[AREA]],Hoja1!A:B,2,FALSE)</f>
        <v>01. Alcaldía</v>
      </c>
      <c r="U410" s="35" t="str">
        <f>MID(Tabla1[[#This Row],[Aplicación]],9,4)</f>
        <v>9207</v>
      </c>
      <c r="V410" s="35" t="str">
        <f>VLOOKUP(Tabla1[[#This Row],[PROGRAMA]],Hoja1!A:B,2,FALSE)</f>
        <v>9207. Gobierno y relaciones</v>
      </c>
      <c r="W410" s="56" t="str">
        <f>MID(Tabla1[[#This Row],[Aplicación]],14,2)</f>
        <v>22</v>
      </c>
      <c r="X410" s="56" t="str">
        <f>MID(Tabla1[[#This Row],[Aplicación]],14,6)</f>
        <v>22602</v>
      </c>
    </row>
    <row r="411" spans="1:24" x14ac:dyDescent="0.25">
      <c r="A411" s="55">
        <v>220230011701</v>
      </c>
      <c r="B411" s="47" t="s">
        <v>507</v>
      </c>
      <c r="C411" s="52">
        <v>45014</v>
      </c>
      <c r="D411" s="46">
        <v>22023003596</v>
      </c>
      <c r="E411" s="47" t="s">
        <v>1318</v>
      </c>
      <c r="F411" s="53">
        <v>3751</v>
      </c>
      <c r="G411" s="47" t="s">
        <v>1319</v>
      </c>
      <c r="H411" s="47" t="s">
        <v>1320</v>
      </c>
      <c r="I411" s="46" t="s">
        <v>511</v>
      </c>
      <c r="J411" s="47" t="s">
        <v>519</v>
      </c>
      <c r="K411" s="47" t="s">
        <v>519</v>
      </c>
      <c r="L411" s="47" t="s">
        <v>552</v>
      </c>
      <c r="M411" s="47" t="s">
        <v>976</v>
      </c>
      <c r="N411" s="47" t="s">
        <v>839</v>
      </c>
      <c r="O411" s="54" t="s">
        <v>383</v>
      </c>
      <c r="P411" s="44" t="s">
        <v>309</v>
      </c>
      <c r="Q411" s="59" t="str">
        <f>MID(Tabla1[[#This Row],[Aplicación]],14,1)</f>
        <v>2</v>
      </c>
      <c r="R411" s="35" t="s">
        <v>298</v>
      </c>
      <c r="S411" s="59" t="str">
        <f>MID(Tabla1[[#This Row],[Aplicación]],6,2)</f>
        <v>05</v>
      </c>
      <c r="T411" s="35" t="str">
        <f>VLOOKUP(Tabla1[[#This Row],[AREA]],Hoja1!A:B,2,FALSE)</f>
        <v>05. Innovación, desarrollo económico, empleo y comercio</v>
      </c>
      <c r="U411" s="35" t="str">
        <f>MID(Tabla1[[#This Row],[Aplicación]],9,4)</f>
        <v>4331</v>
      </c>
      <c r="V411" s="35" t="str">
        <f>VLOOKUP(Tabla1[[#This Row],[PROGRAMA]],Hoja1!A:B,2,FALSE)</f>
        <v>4331. Desarrollo empresarial</v>
      </c>
      <c r="W411" s="56" t="str">
        <f>MID(Tabla1[[#This Row],[Aplicación]],14,2)</f>
        <v>22</v>
      </c>
      <c r="X411" s="56" t="str">
        <f>MID(Tabla1[[#This Row],[Aplicación]],14,6)</f>
        <v>22699</v>
      </c>
    </row>
    <row r="412" spans="1:24" x14ac:dyDescent="0.25">
      <c r="A412" s="46">
        <v>220219000773</v>
      </c>
      <c r="B412" s="47" t="s">
        <v>507</v>
      </c>
      <c r="C412" s="52">
        <v>44927</v>
      </c>
      <c r="D412" s="46">
        <v>22023003344</v>
      </c>
      <c r="E412" s="47" t="s">
        <v>559</v>
      </c>
      <c r="F412" s="53">
        <v>754.51</v>
      </c>
      <c r="G412" s="47" t="s">
        <v>476</v>
      </c>
      <c r="H412" s="47" t="s">
        <v>1321</v>
      </c>
      <c r="I412" s="46" t="s">
        <v>511</v>
      </c>
      <c r="J412" s="47" t="s">
        <v>947</v>
      </c>
      <c r="K412" s="47" t="s">
        <v>947</v>
      </c>
      <c r="L412" s="47" t="s">
        <v>520</v>
      </c>
      <c r="M412" s="47" t="s">
        <v>514</v>
      </c>
      <c r="N412" s="47" t="s">
        <v>515</v>
      </c>
      <c r="O412" s="54" t="s">
        <v>382</v>
      </c>
      <c r="P412" s="44" t="s">
        <v>309</v>
      </c>
      <c r="Q412" s="59" t="str">
        <f>MID(Tabla1[[#This Row],[Aplicación]],14,1)</f>
        <v>6</v>
      </c>
      <c r="R412" s="35" t="s">
        <v>299</v>
      </c>
      <c r="S412" s="59" t="str">
        <f>MID(Tabla1[[#This Row],[Aplicación]],6,2)</f>
        <v>08</v>
      </c>
      <c r="T412" s="35" t="str">
        <f>VLOOKUP(Tabla1[[#This Row],[AREA]],Hoja1!A:B,2,FALSE)</f>
        <v>08. Movilidad y espacio urbano</v>
      </c>
      <c r="U412" s="35" t="str">
        <f>MID(Tabla1[[#This Row],[Aplicación]],9,4)</f>
        <v>1651</v>
      </c>
      <c r="V412" s="35" t="str">
        <f>VLOOKUP(Tabla1[[#This Row],[PROGRAMA]],Hoja1!A:B,2,FALSE)</f>
        <v>1651. Alumbrado público</v>
      </c>
      <c r="W412" s="56" t="str">
        <f>MID(Tabla1[[#This Row],[Aplicación]],14,2)</f>
        <v>61</v>
      </c>
      <c r="X412" s="56" t="str">
        <f>MID(Tabla1[[#This Row],[Aplicación]],14,6)</f>
        <v>619</v>
      </c>
    </row>
    <row r="413" spans="1:24" x14ac:dyDescent="0.25">
      <c r="A413" s="46">
        <v>220229000056</v>
      </c>
      <c r="B413" s="47" t="s">
        <v>507</v>
      </c>
      <c r="C413" s="52">
        <v>44927</v>
      </c>
      <c r="D413" s="46">
        <v>22023001368</v>
      </c>
      <c r="E413" s="47" t="s">
        <v>561</v>
      </c>
      <c r="F413" s="53">
        <v>2282.16</v>
      </c>
      <c r="G413" s="47" t="s">
        <v>476</v>
      </c>
      <c r="H413" s="47" t="s">
        <v>1322</v>
      </c>
      <c r="I413" s="46" t="s">
        <v>511</v>
      </c>
      <c r="J413" s="47" t="s">
        <v>947</v>
      </c>
      <c r="K413" s="47" t="s">
        <v>947</v>
      </c>
      <c r="L413" s="47" t="s">
        <v>520</v>
      </c>
      <c r="M413" s="47" t="s">
        <v>514</v>
      </c>
      <c r="N413" s="47" t="s">
        <v>604</v>
      </c>
      <c r="O413" s="54" t="s">
        <v>382</v>
      </c>
      <c r="P413" s="44" t="s">
        <v>309</v>
      </c>
      <c r="Q413" s="59">
        <v>6</v>
      </c>
      <c r="R413" s="35" t="s">
        <v>299</v>
      </c>
      <c r="S413" s="59" t="str">
        <f>MID(Tabla1[[#This Row],[Aplicación]],6,2)</f>
        <v>08</v>
      </c>
      <c r="T413" s="35" t="str">
        <f>VLOOKUP(Tabla1[[#This Row],[AREA]],Hoja1!A:B,2,FALSE)</f>
        <v>08. Movilidad y espacio urbano</v>
      </c>
      <c r="U413" s="56">
        <v>1341</v>
      </c>
      <c r="V413" s="35" t="str">
        <f>VLOOKUP(Tabla1[[#This Row],[PROGRAMA]],Hoja1!A:B,2,FALSE)</f>
        <v>1341. Movilidad</v>
      </c>
      <c r="W413" s="56">
        <v>60</v>
      </c>
      <c r="X413" s="56">
        <v>609</v>
      </c>
    </row>
    <row r="414" spans="1:24" x14ac:dyDescent="0.25">
      <c r="A414" s="46">
        <v>220229000680</v>
      </c>
      <c r="B414" s="47" t="s">
        <v>507</v>
      </c>
      <c r="C414" s="52">
        <v>44927</v>
      </c>
      <c r="D414" s="46">
        <v>22023001283</v>
      </c>
      <c r="E414" s="47" t="s">
        <v>817</v>
      </c>
      <c r="F414" s="53">
        <v>852.11</v>
      </c>
      <c r="G414" s="47" t="s">
        <v>476</v>
      </c>
      <c r="H414" s="47" t="s">
        <v>1323</v>
      </c>
      <c r="I414" s="46" t="s">
        <v>511</v>
      </c>
      <c r="J414" s="47" t="s">
        <v>947</v>
      </c>
      <c r="K414" s="47" t="s">
        <v>947</v>
      </c>
      <c r="L414" s="47" t="s">
        <v>520</v>
      </c>
      <c r="M414" s="47" t="s">
        <v>514</v>
      </c>
      <c r="N414" s="47" t="s">
        <v>515</v>
      </c>
      <c r="O414" s="54" t="s">
        <v>382</v>
      </c>
      <c r="P414" s="44" t="s">
        <v>309</v>
      </c>
      <c r="Q414" s="59" t="str">
        <f>MID(Tabla1[[#This Row],[Aplicación]],14,1)</f>
        <v>6</v>
      </c>
      <c r="R414" s="35" t="s">
        <v>299</v>
      </c>
      <c r="S414" s="59" t="str">
        <f>MID(Tabla1[[#This Row],[Aplicación]],6,2)</f>
        <v>05</v>
      </c>
      <c r="T414" s="35" t="str">
        <f>VLOOKUP(Tabla1[[#This Row],[AREA]],Hoja1!A:B,2,FALSE)</f>
        <v>05. Innovación, desarrollo económico, empleo y comercio</v>
      </c>
      <c r="U414" s="35" t="str">
        <f>MID(Tabla1[[#This Row],[Aplicación]],9,4)</f>
        <v>4331</v>
      </c>
      <c r="V414" s="35" t="str">
        <f>VLOOKUP(Tabla1[[#This Row],[PROGRAMA]],Hoja1!A:B,2,FALSE)</f>
        <v>4331. Desarrollo empresarial</v>
      </c>
      <c r="W414" s="56" t="str">
        <f>MID(Tabla1[[#This Row],[Aplicación]],14,2)</f>
        <v>60</v>
      </c>
      <c r="X414" s="56" t="str">
        <f>MID(Tabla1[[#This Row],[Aplicación]],14,6)</f>
        <v>609</v>
      </c>
    </row>
    <row r="415" spans="1:24" x14ac:dyDescent="0.25">
      <c r="A415" s="46">
        <v>220230000066</v>
      </c>
      <c r="B415" s="47" t="s">
        <v>507</v>
      </c>
      <c r="C415" s="52">
        <v>44927</v>
      </c>
      <c r="D415" s="46">
        <v>22023000567</v>
      </c>
      <c r="E415" s="47" t="s">
        <v>583</v>
      </c>
      <c r="F415" s="53">
        <v>61297.68</v>
      </c>
      <c r="G415" s="47" t="s">
        <v>476</v>
      </c>
      <c r="H415" s="47" t="s">
        <v>1324</v>
      </c>
      <c r="I415" s="46" t="s">
        <v>511</v>
      </c>
      <c r="J415" s="47" t="s">
        <v>947</v>
      </c>
      <c r="K415" s="47" t="s">
        <v>947</v>
      </c>
      <c r="L415" s="47" t="s">
        <v>520</v>
      </c>
      <c r="M415" s="47" t="s">
        <v>514</v>
      </c>
      <c r="N415" s="47" t="s">
        <v>515</v>
      </c>
      <c r="O415" s="54" t="s">
        <v>371</v>
      </c>
      <c r="P415" s="44" t="s">
        <v>309</v>
      </c>
      <c r="Q415" s="59" t="str">
        <f>MID(Tabla1[[#This Row],[Aplicación]],14,1)</f>
        <v>6</v>
      </c>
      <c r="R415" s="35" t="s">
        <v>299</v>
      </c>
      <c r="S415" s="59" t="str">
        <f>MID(Tabla1[[#This Row],[Aplicación]],6,2)</f>
        <v>02</v>
      </c>
      <c r="T415" s="35" t="str">
        <f>VLOOKUP(Tabla1[[#This Row],[AREA]],Hoja1!A:B,2,FALSE)</f>
        <v>02. Planeamiento urbanístico y vivienda</v>
      </c>
      <c r="U415" s="35" t="str">
        <f>MID(Tabla1[[#This Row],[Aplicación]],9,4)</f>
        <v>1511</v>
      </c>
      <c r="V415" s="35" t="str">
        <f>VLOOKUP(Tabla1[[#This Row],[PROGRAMA]],Hoja1!A:B,2,FALSE)</f>
        <v>1511. Planficación y gestión del urbanismo</v>
      </c>
      <c r="W415" s="56" t="str">
        <f>MID(Tabla1[[#This Row],[Aplicación]],14,2)</f>
        <v>60</v>
      </c>
      <c r="X415" s="56" t="str">
        <f>MID(Tabla1[[#This Row],[Aplicación]],14,6)</f>
        <v>609</v>
      </c>
    </row>
    <row r="416" spans="1:24" x14ac:dyDescent="0.25">
      <c r="A416" s="46">
        <v>220229000313</v>
      </c>
      <c r="B416" s="47" t="s">
        <v>507</v>
      </c>
      <c r="C416" s="52">
        <v>44927</v>
      </c>
      <c r="D416" s="46">
        <v>22023001144</v>
      </c>
      <c r="E416" s="47" t="s">
        <v>583</v>
      </c>
      <c r="F416" s="53">
        <v>1138.98</v>
      </c>
      <c r="G416" s="47" t="s">
        <v>476</v>
      </c>
      <c r="H416" s="47" t="s">
        <v>1325</v>
      </c>
      <c r="I416" s="46" t="s">
        <v>511</v>
      </c>
      <c r="J416" s="47" t="s">
        <v>947</v>
      </c>
      <c r="K416" s="47" t="s">
        <v>947</v>
      </c>
      <c r="L416" s="47" t="s">
        <v>520</v>
      </c>
      <c r="M416" s="47" t="s">
        <v>514</v>
      </c>
      <c r="N416" s="47" t="s">
        <v>515</v>
      </c>
      <c r="O416" s="54" t="s">
        <v>382</v>
      </c>
      <c r="P416" s="44" t="s">
        <v>309</v>
      </c>
      <c r="Q416" s="59" t="str">
        <f>MID(Tabla1[[#This Row],[Aplicación]],14,1)</f>
        <v>6</v>
      </c>
      <c r="R416" s="35" t="s">
        <v>299</v>
      </c>
      <c r="S416" s="59" t="str">
        <f>MID(Tabla1[[#This Row],[Aplicación]],6,2)</f>
        <v>02</v>
      </c>
      <c r="T416" s="35" t="str">
        <f>VLOOKUP(Tabla1[[#This Row],[AREA]],Hoja1!A:B,2,FALSE)</f>
        <v>02. Planeamiento urbanístico y vivienda</v>
      </c>
      <c r="U416" s="35" t="str">
        <f>MID(Tabla1[[#This Row],[Aplicación]],9,4)</f>
        <v>1511</v>
      </c>
      <c r="V416" s="35" t="str">
        <f>VLOOKUP(Tabla1[[#This Row],[PROGRAMA]],Hoja1!A:B,2,FALSE)</f>
        <v>1511. Planficación y gestión del urbanismo</v>
      </c>
      <c r="W416" s="56" t="str">
        <f>MID(Tabla1[[#This Row],[Aplicación]],14,2)</f>
        <v>60</v>
      </c>
      <c r="X416" s="56" t="str">
        <f>MID(Tabla1[[#This Row],[Aplicación]],14,6)</f>
        <v>609</v>
      </c>
    </row>
    <row r="417" spans="1:24" x14ac:dyDescent="0.25">
      <c r="A417" s="46">
        <v>220229000133</v>
      </c>
      <c r="B417" s="47" t="s">
        <v>507</v>
      </c>
      <c r="C417" s="52">
        <v>44927</v>
      </c>
      <c r="D417" s="46">
        <v>22023000898</v>
      </c>
      <c r="E417" s="47" t="s">
        <v>1326</v>
      </c>
      <c r="F417" s="53">
        <v>10485.32</v>
      </c>
      <c r="G417" s="47" t="s">
        <v>1327</v>
      </c>
      <c r="H417" s="47" t="s">
        <v>1328</v>
      </c>
      <c r="I417" s="46" t="s">
        <v>511</v>
      </c>
      <c r="J417" s="47" t="s">
        <v>573</v>
      </c>
      <c r="K417" s="47" t="s">
        <v>573</v>
      </c>
      <c r="L417" s="47" t="s">
        <v>520</v>
      </c>
      <c r="M417" s="47" t="s">
        <v>514</v>
      </c>
      <c r="N417" s="47" t="s">
        <v>515</v>
      </c>
      <c r="O417" s="45" t="s">
        <v>371</v>
      </c>
      <c r="P417" s="44" t="s">
        <v>309</v>
      </c>
      <c r="Q417" s="59" t="str">
        <f>MID(Tabla1[[#This Row],[Aplicación]],14,1)</f>
        <v>2</v>
      </c>
      <c r="R417" s="35" t="s">
        <v>298</v>
      </c>
      <c r="S417" s="59" t="str">
        <f>MID(Tabla1[[#This Row],[Aplicación]],6,2)</f>
        <v>07</v>
      </c>
      <c r="T417" s="35" t="str">
        <f>VLOOKUP(Tabla1[[#This Row],[AREA]],Hoja1!A:B,2,FALSE)</f>
        <v>07. Medio ambiente y desarrollo sostenible</v>
      </c>
      <c r="U417" s="35" t="str">
        <f>MID(Tabla1[[#This Row],[Aplicación]],9,4)</f>
        <v>1701</v>
      </c>
      <c r="V417" s="35" t="str">
        <f>VLOOKUP(Tabla1[[#This Row],[PROGRAMA]],Hoja1!A:B,2,FALSE)</f>
        <v>1701. Dirección del área de medio ambiente</v>
      </c>
      <c r="W417" s="56" t="str">
        <f>MID(Tabla1[[#This Row],[Aplicación]],14,2)</f>
        <v>22</v>
      </c>
      <c r="X417" s="56" t="str">
        <f>MID(Tabla1[[#This Row],[Aplicación]],14,6)</f>
        <v>22799</v>
      </c>
    </row>
    <row r="418" spans="1:24" x14ac:dyDescent="0.25">
      <c r="A418" s="55">
        <v>220220074242</v>
      </c>
      <c r="B418" s="47" t="s">
        <v>507</v>
      </c>
      <c r="C418" s="52">
        <v>45014</v>
      </c>
      <c r="D418" s="46">
        <v>22022008804</v>
      </c>
      <c r="E418" s="47" t="s">
        <v>546</v>
      </c>
      <c r="F418" s="53">
        <v>18998.21</v>
      </c>
      <c r="G418" s="47" t="s">
        <v>1329</v>
      </c>
      <c r="H418" s="47" t="s">
        <v>1330</v>
      </c>
      <c r="I418" s="46" t="s">
        <v>511</v>
      </c>
      <c r="J418" s="47" t="s">
        <v>519</v>
      </c>
      <c r="K418" s="47" t="s">
        <v>519</v>
      </c>
      <c r="L418" s="47" t="s">
        <v>520</v>
      </c>
      <c r="M418" s="47" t="s">
        <v>514</v>
      </c>
      <c r="N418" s="47" t="s">
        <v>515</v>
      </c>
      <c r="O418" s="54" t="s">
        <v>371</v>
      </c>
      <c r="P418" s="44" t="s">
        <v>309</v>
      </c>
      <c r="Q418" s="59" t="str">
        <f>MID(Tabla1[[#This Row],[Aplicación]],14,1)</f>
        <v>6</v>
      </c>
      <c r="R418" s="35" t="s">
        <v>299</v>
      </c>
      <c r="S418" s="59" t="str">
        <f>MID(Tabla1[[#This Row],[Aplicación]],6,2)</f>
        <v>08</v>
      </c>
      <c r="T418" s="35" t="str">
        <f>VLOOKUP(Tabla1[[#This Row],[AREA]],Hoja1!A:B,2,FALSE)</f>
        <v>08. Movilidad y espacio urbano</v>
      </c>
      <c r="U418" s="35" t="str">
        <f>MID(Tabla1[[#This Row],[Aplicación]],9,4)</f>
        <v>1532</v>
      </c>
      <c r="V418" s="35" t="str">
        <f>VLOOKUP(Tabla1[[#This Row],[PROGRAMA]],Hoja1!A:B,2,FALSE)</f>
        <v>1532. Pavimentación vias públicas y otros servicios urbanísticos</v>
      </c>
      <c r="W418" s="56" t="str">
        <f>MID(Tabla1[[#This Row],[Aplicación]],14,2)</f>
        <v>61</v>
      </c>
      <c r="X418" s="56" t="str">
        <f>MID(Tabla1[[#This Row],[Aplicación]],14,6)</f>
        <v>619</v>
      </c>
    </row>
    <row r="419" spans="1:24" x14ac:dyDescent="0.25">
      <c r="A419" s="46">
        <v>220230001990</v>
      </c>
      <c r="B419" s="47" t="s">
        <v>507</v>
      </c>
      <c r="C419" s="52">
        <v>44960</v>
      </c>
      <c r="D419" s="46">
        <v>22023001574</v>
      </c>
      <c r="E419" s="47" t="s">
        <v>659</v>
      </c>
      <c r="F419" s="53">
        <v>976.1</v>
      </c>
      <c r="G419" s="47" t="s">
        <v>1331</v>
      </c>
      <c r="H419" s="47" t="s">
        <v>1332</v>
      </c>
      <c r="I419" s="46" t="s">
        <v>511</v>
      </c>
      <c r="J419" s="47" t="s">
        <v>1333</v>
      </c>
      <c r="K419" s="47" t="s">
        <v>512</v>
      </c>
      <c r="L419" s="47" t="s">
        <v>520</v>
      </c>
      <c r="M419" s="47" t="s">
        <v>976</v>
      </c>
      <c r="N419" s="47" t="s">
        <v>839</v>
      </c>
      <c r="O419" s="45" t="s">
        <v>383</v>
      </c>
      <c r="P419" s="44" t="s">
        <v>309</v>
      </c>
      <c r="Q419" s="59" t="str">
        <f>MID(Tabla1[[#This Row],[Aplicación]],14,1)</f>
        <v>2</v>
      </c>
      <c r="R419" s="35" t="s">
        <v>298</v>
      </c>
      <c r="S419" s="59" t="str">
        <f>MID(Tabla1[[#This Row],[Aplicación]],6,2)</f>
        <v>11</v>
      </c>
      <c r="T419" s="35" t="str">
        <f>VLOOKUP(Tabla1[[#This Row],[AREA]],Hoja1!A:B,2,FALSE)</f>
        <v>11. Salud pública y seguridad ciudadana</v>
      </c>
      <c r="U419" s="35" t="str">
        <f>MID(Tabla1[[#This Row],[Aplicación]],9,4)</f>
        <v>1321</v>
      </c>
      <c r="V419" s="35" t="str">
        <f>VLOOKUP(Tabla1[[#This Row],[PROGRAMA]],Hoja1!A:B,2,FALSE)</f>
        <v>1321. Policía municipal</v>
      </c>
      <c r="W419" s="56" t="str">
        <f>MID(Tabla1[[#This Row],[Aplicación]],14,2)</f>
        <v>21</v>
      </c>
      <c r="X419" s="56" t="str">
        <f>MID(Tabla1[[#This Row],[Aplicación]],14,6)</f>
        <v>213</v>
      </c>
    </row>
    <row r="420" spans="1:24" x14ac:dyDescent="0.25">
      <c r="A420" s="46">
        <v>220229000690</v>
      </c>
      <c r="B420" s="47" t="s">
        <v>507</v>
      </c>
      <c r="C420" s="52">
        <v>44927</v>
      </c>
      <c r="D420" s="46">
        <v>22023000474</v>
      </c>
      <c r="E420" s="47" t="s">
        <v>1084</v>
      </c>
      <c r="F420" s="53">
        <v>4598</v>
      </c>
      <c r="G420" s="47" t="s">
        <v>70</v>
      </c>
      <c r="H420" s="47" t="s">
        <v>1334</v>
      </c>
      <c r="I420" s="46" t="s">
        <v>511</v>
      </c>
      <c r="J420" s="47" t="s">
        <v>519</v>
      </c>
      <c r="K420" s="47" t="s">
        <v>519</v>
      </c>
      <c r="L420" s="47" t="s">
        <v>552</v>
      </c>
      <c r="M420" s="47" t="s">
        <v>514</v>
      </c>
      <c r="N420" s="47" t="s">
        <v>515</v>
      </c>
      <c r="O420" s="45" t="s">
        <v>371</v>
      </c>
      <c r="P420" s="44" t="s">
        <v>309</v>
      </c>
      <c r="Q420" s="59" t="str">
        <f>MID(Tabla1[[#This Row],[Aplicación]],14,1)</f>
        <v>2</v>
      </c>
      <c r="R420" s="35" t="s">
        <v>298</v>
      </c>
      <c r="S420" s="59" t="str">
        <f>MID(Tabla1[[#This Row],[Aplicación]],6,2)</f>
        <v>11</v>
      </c>
      <c r="T420" s="35" t="str">
        <f>VLOOKUP(Tabla1[[#This Row],[AREA]],Hoja1!A:B,2,FALSE)</f>
        <v>11. Salud pública y seguridad ciudadana</v>
      </c>
      <c r="U420" s="35" t="str">
        <f>MID(Tabla1[[#This Row],[Aplicación]],9,4)</f>
        <v>1621</v>
      </c>
      <c r="V420" s="35" t="str">
        <f>VLOOKUP(Tabla1[[#This Row],[PROGRAMA]],Hoja1!A:B,2,FALSE)</f>
        <v>1621. Servicio de limpieza</v>
      </c>
      <c r="W420" s="56" t="str">
        <f>MID(Tabla1[[#This Row],[Aplicación]],14,2)</f>
        <v>22</v>
      </c>
      <c r="X420" s="56" t="str">
        <f>MID(Tabla1[[#This Row],[Aplicación]],14,6)</f>
        <v>22104</v>
      </c>
    </row>
    <row r="421" spans="1:24" x14ac:dyDescent="0.25">
      <c r="A421" s="46">
        <v>220229000835</v>
      </c>
      <c r="B421" s="47" t="s">
        <v>507</v>
      </c>
      <c r="C421" s="52">
        <v>44927</v>
      </c>
      <c r="D421" s="46">
        <v>22023001944</v>
      </c>
      <c r="E421" s="47" t="s">
        <v>1022</v>
      </c>
      <c r="F421" s="53">
        <v>6897</v>
      </c>
      <c r="G421" s="47" t="s">
        <v>70</v>
      </c>
      <c r="H421" s="47" t="s">
        <v>1335</v>
      </c>
      <c r="I421" s="46" t="s">
        <v>511</v>
      </c>
      <c r="J421" s="47" t="s">
        <v>519</v>
      </c>
      <c r="K421" s="47" t="s">
        <v>519</v>
      </c>
      <c r="L421" s="47" t="s">
        <v>552</v>
      </c>
      <c r="M421" s="47" t="s">
        <v>514</v>
      </c>
      <c r="N421" s="47" t="s">
        <v>515</v>
      </c>
      <c r="O421" s="45" t="s">
        <v>371</v>
      </c>
      <c r="P421" s="44" t="s">
        <v>309</v>
      </c>
      <c r="Q421" s="59" t="str">
        <f>MID(Tabla1[[#This Row],[Aplicación]],14,1)</f>
        <v>2</v>
      </c>
      <c r="R421" s="35" t="s">
        <v>298</v>
      </c>
      <c r="S421" s="59" t="str">
        <f>MID(Tabla1[[#This Row],[Aplicación]],6,2)</f>
        <v>11</v>
      </c>
      <c r="T421" s="35" t="str">
        <f>VLOOKUP(Tabla1[[#This Row],[AREA]],Hoja1!A:B,2,FALSE)</f>
        <v>11. Salud pública y seguridad ciudadana</v>
      </c>
      <c r="U421" s="35" t="str">
        <f>MID(Tabla1[[#This Row],[Aplicación]],9,4)</f>
        <v>1631</v>
      </c>
      <c r="V421" s="35" t="str">
        <f>VLOOKUP(Tabla1[[#This Row],[PROGRAMA]],Hoja1!A:B,2,FALSE)</f>
        <v>1631. Limpieza viaria</v>
      </c>
      <c r="W421" s="56" t="str">
        <f>MID(Tabla1[[#This Row],[Aplicación]],14,2)</f>
        <v>22</v>
      </c>
      <c r="X421" s="56" t="str">
        <f>MID(Tabla1[[#This Row],[Aplicación]],14,6)</f>
        <v>22104</v>
      </c>
    </row>
    <row r="422" spans="1:24" x14ac:dyDescent="0.25">
      <c r="A422" s="46">
        <v>220230003793</v>
      </c>
      <c r="B422" s="47" t="s">
        <v>507</v>
      </c>
      <c r="C422" s="52">
        <v>44974</v>
      </c>
      <c r="D422" s="46">
        <v>22023002476</v>
      </c>
      <c r="E422" s="47" t="s">
        <v>1299</v>
      </c>
      <c r="F422" s="53">
        <v>84.01</v>
      </c>
      <c r="G422" s="47" t="s">
        <v>108</v>
      </c>
      <c r="H422" s="47" t="s">
        <v>1336</v>
      </c>
      <c r="I422" s="46" t="s">
        <v>511</v>
      </c>
      <c r="J422" s="47" t="s">
        <v>512</v>
      </c>
      <c r="K422" s="47" t="s">
        <v>512</v>
      </c>
      <c r="L422" s="47" t="s">
        <v>552</v>
      </c>
      <c r="M422" s="47" t="s">
        <v>976</v>
      </c>
      <c r="N422" s="47" t="s">
        <v>839</v>
      </c>
      <c r="O422" s="45" t="s">
        <v>383</v>
      </c>
      <c r="P422" s="44" t="s">
        <v>309</v>
      </c>
      <c r="Q422" s="59" t="str">
        <f>MID(Tabla1[[#This Row],[Aplicación]],14,1)</f>
        <v>2</v>
      </c>
      <c r="R422" s="35" t="s">
        <v>298</v>
      </c>
      <c r="S422" s="59" t="str">
        <f>MID(Tabla1[[#This Row],[Aplicación]],6,2)</f>
        <v>06</v>
      </c>
      <c r="T422" s="35" t="str">
        <f>VLOOKUP(Tabla1[[#This Row],[AREA]],Hoja1!A:B,2,FALSE)</f>
        <v>06. Educación, infancia, juventud e igualdad</v>
      </c>
      <c r="U422" s="35" t="str">
        <f>MID(Tabla1[[#This Row],[Aplicación]],9,4)</f>
        <v>3321</v>
      </c>
      <c r="V422" s="35" t="str">
        <f>VLOOKUP(Tabla1[[#This Row],[PROGRAMA]],Hoja1!A:B,2,FALSE)</f>
        <v>3321. Bibliotecas públicas</v>
      </c>
      <c r="W422" s="56" t="str">
        <f>MID(Tabla1[[#This Row],[Aplicación]],14,2)</f>
        <v>22</v>
      </c>
      <c r="X422" s="56" t="str">
        <f>MID(Tabla1[[#This Row],[Aplicación]],14,6)</f>
        <v>22001</v>
      </c>
    </row>
    <row r="423" spans="1:24" x14ac:dyDescent="0.25">
      <c r="A423" s="46">
        <v>220230003906</v>
      </c>
      <c r="B423" s="47" t="s">
        <v>1337</v>
      </c>
      <c r="C423" s="52">
        <v>44974</v>
      </c>
      <c r="D423" s="46">
        <v>22023001919</v>
      </c>
      <c r="E423" s="47" t="s">
        <v>578</v>
      </c>
      <c r="F423" s="53">
        <v>-404960</v>
      </c>
      <c r="G423" s="47" t="s">
        <v>701</v>
      </c>
      <c r="H423" s="47" t="s">
        <v>1338</v>
      </c>
      <c r="I423" s="46" t="s">
        <v>511</v>
      </c>
      <c r="J423" s="47" t="s">
        <v>519</v>
      </c>
      <c r="K423" s="47" t="s">
        <v>519</v>
      </c>
      <c r="L423" s="47" t="s">
        <v>520</v>
      </c>
      <c r="M423" s="47" t="s">
        <v>514</v>
      </c>
      <c r="N423" s="47" t="s">
        <v>515</v>
      </c>
      <c r="O423" s="54" t="s">
        <v>371</v>
      </c>
      <c r="P423" s="44" t="s">
        <v>309</v>
      </c>
      <c r="Q423" s="59" t="str">
        <f>MID(Tabla1[[#This Row],[Aplicación]],14,1)</f>
        <v>2</v>
      </c>
      <c r="R423" s="35" t="s">
        <v>298</v>
      </c>
      <c r="S423" s="59" t="str">
        <f>MID(Tabla1[[#This Row],[Aplicación]],6,2)</f>
        <v>06</v>
      </c>
      <c r="T423" s="35" t="str">
        <f>VLOOKUP(Tabla1[[#This Row],[AREA]],Hoja1!A:B,2,FALSE)</f>
        <v>06. Educación, infancia, juventud e igualdad</v>
      </c>
      <c r="U423" s="35" t="str">
        <f>MID(Tabla1[[#This Row],[Aplicación]],9,4)</f>
        <v>3231</v>
      </c>
      <c r="V423" s="35" t="str">
        <f>VLOOKUP(Tabla1[[#This Row],[PROGRAMA]],Hoja1!A:B,2,FALSE)</f>
        <v>3231. Escuelas infantiles</v>
      </c>
      <c r="W423" s="56" t="str">
        <f>MID(Tabla1[[#This Row],[Aplicación]],14,2)</f>
        <v>22</v>
      </c>
      <c r="X423" s="56" t="str">
        <f>MID(Tabla1[[#This Row],[Aplicación]],14,6)</f>
        <v>22799</v>
      </c>
    </row>
    <row r="424" spans="1:24" x14ac:dyDescent="0.25">
      <c r="A424" s="46">
        <v>220230007141</v>
      </c>
      <c r="B424" s="47" t="s">
        <v>507</v>
      </c>
      <c r="C424" s="52">
        <v>44987</v>
      </c>
      <c r="D424" s="46">
        <v>22023002863</v>
      </c>
      <c r="E424" s="47" t="s">
        <v>1299</v>
      </c>
      <c r="F424" s="53">
        <v>42</v>
      </c>
      <c r="G424" s="47" t="s">
        <v>1339</v>
      </c>
      <c r="H424" s="47" t="s">
        <v>1340</v>
      </c>
      <c r="I424" s="46" t="s">
        <v>511</v>
      </c>
      <c r="J424" s="47" t="s">
        <v>512</v>
      </c>
      <c r="K424" s="47" t="s">
        <v>512</v>
      </c>
      <c r="L424" s="47" t="s">
        <v>552</v>
      </c>
      <c r="M424" s="47" t="s">
        <v>976</v>
      </c>
      <c r="N424" s="47" t="s">
        <v>839</v>
      </c>
      <c r="O424" s="45" t="s">
        <v>383</v>
      </c>
      <c r="P424" s="44" t="s">
        <v>309</v>
      </c>
      <c r="Q424" s="59" t="str">
        <f>MID(Tabla1[[#This Row],[Aplicación]],14,1)</f>
        <v>2</v>
      </c>
      <c r="R424" s="35" t="s">
        <v>298</v>
      </c>
      <c r="S424" s="59" t="str">
        <f>MID(Tabla1[[#This Row],[Aplicación]],6,2)</f>
        <v>06</v>
      </c>
      <c r="T424" s="35" t="str">
        <f>VLOOKUP(Tabla1[[#This Row],[AREA]],Hoja1!A:B,2,FALSE)</f>
        <v>06. Educación, infancia, juventud e igualdad</v>
      </c>
      <c r="U424" s="35" t="str">
        <f>MID(Tabla1[[#This Row],[Aplicación]],9,4)</f>
        <v>3321</v>
      </c>
      <c r="V424" s="35" t="str">
        <f>VLOOKUP(Tabla1[[#This Row],[PROGRAMA]],Hoja1!A:B,2,FALSE)</f>
        <v>3321. Bibliotecas públicas</v>
      </c>
      <c r="W424" s="56" t="str">
        <f>MID(Tabla1[[#This Row],[Aplicación]],14,2)</f>
        <v>22</v>
      </c>
      <c r="X424" s="56" t="str">
        <f>MID(Tabla1[[#This Row],[Aplicación]],14,6)</f>
        <v>22001</v>
      </c>
    </row>
    <row r="425" spans="1:24" x14ac:dyDescent="0.25">
      <c r="A425" s="55">
        <v>220230009461</v>
      </c>
      <c r="B425" s="47" t="s">
        <v>507</v>
      </c>
      <c r="C425" s="52">
        <v>45006</v>
      </c>
      <c r="D425" s="46">
        <v>22023003187</v>
      </c>
      <c r="E425" s="47" t="s">
        <v>1341</v>
      </c>
      <c r="F425" s="53">
        <v>3763.1</v>
      </c>
      <c r="G425" s="47" t="s">
        <v>1342</v>
      </c>
      <c r="H425" s="47" t="s">
        <v>1343</v>
      </c>
      <c r="I425" s="46" t="s">
        <v>511</v>
      </c>
      <c r="J425" s="47" t="s">
        <v>519</v>
      </c>
      <c r="K425" s="47" t="s">
        <v>519</v>
      </c>
      <c r="L425" s="47" t="s">
        <v>520</v>
      </c>
      <c r="M425" s="47" t="s">
        <v>976</v>
      </c>
      <c r="N425" s="47" t="s">
        <v>839</v>
      </c>
      <c r="O425" s="54" t="s">
        <v>383</v>
      </c>
      <c r="P425" s="44" t="s">
        <v>309</v>
      </c>
      <c r="Q425" s="59" t="str">
        <f>MID(Tabla1[[#This Row],[Aplicación]],14,1)</f>
        <v>2</v>
      </c>
      <c r="R425" s="35" t="s">
        <v>298</v>
      </c>
      <c r="S425" s="59" t="str">
        <f>MID(Tabla1[[#This Row],[Aplicación]],6,2)</f>
        <v>05</v>
      </c>
      <c r="T425" s="35" t="str">
        <f>VLOOKUP(Tabla1[[#This Row],[AREA]],Hoja1!A:B,2,FALSE)</f>
        <v>05. Innovación, desarrollo económico, empleo y comercio</v>
      </c>
      <c r="U425" s="35" t="str">
        <f>MID(Tabla1[[#This Row],[Aplicación]],9,4)</f>
        <v>4331</v>
      </c>
      <c r="V425" s="35" t="str">
        <f>VLOOKUP(Tabla1[[#This Row],[PROGRAMA]],Hoja1!A:B,2,FALSE)</f>
        <v>4331. Desarrollo empresarial</v>
      </c>
      <c r="W425" s="56" t="str">
        <f>MID(Tabla1[[#This Row],[Aplicación]],14,2)</f>
        <v>22</v>
      </c>
      <c r="X425" s="56" t="str">
        <f>MID(Tabla1[[#This Row],[Aplicación]],14,6)</f>
        <v>22602</v>
      </c>
    </row>
    <row r="426" spans="1:24" x14ac:dyDescent="0.25">
      <c r="A426" s="46">
        <v>220230005405</v>
      </c>
      <c r="B426" s="47" t="s">
        <v>507</v>
      </c>
      <c r="C426" s="52">
        <v>44979</v>
      </c>
      <c r="D426" s="46">
        <v>22023002585</v>
      </c>
      <c r="E426" s="47" t="s">
        <v>1344</v>
      </c>
      <c r="F426" s="53">
        <v>397.96</v>
      </c>
      <c r="G426" s="47" t="s">
        <v>1345</v>
      </c>
      <c r="H426" s="47" t="s">
        <v>1346</v>
      </c>
      <c r="I426" s="46" t="s">
        <v>511</v>
      </c>
      <c r="J426" s="47" t="s">
        <v>545</v>
      </c>
      <c r="K426" s="51" t="s">
        <v>545</v>
      </c>
      <c r="L426" s="47" t="s">
        <v>552</v>
      </c>
      <c r="M426" s="47" t="s">
        <v>976</v>
      </c>
      <c r="N426" s="47" t="s">
        <v>839</v>
      </c>
      <c r="O426" s="45" t="s">
        <v>383</v>
      </c>
      <c r="P426" s="44" t="s">
        <v>309</v>
      </c>
      <c r="Q426" s="59" t="str">
        <f>MID(Tabla1[[#This Row],[Aplicación]],14,1)</f>
        <v>2</v>
      </c>
      <c r="R426" s="35" t="s">
        <v>298</v>
      </c>
      <c r="S426" s="59" t="str">
        <f>MID(Tabla1[[#This Row],[Aplicación]],6,2)</f>
        <v>10</v>
      </c>
      <c r="T426" s="35" t="str">
        <f>VLOOKUP(Tabla1[[#This Row],[AREA]],Hoja1!A:B,2,FALSE)</f>
        <v>10. Servicios sociales y mediación comunitaria</v>
      </c>
      <c r="U426" s="35" t="str">
        <f>MID(Tabla1[[#This Row],[Aplicación]],9,4)</f>
        <v>2312</v>
      </c>
      <c r="V426" s="35" t="str">
        <f>VLOOKUP(Tabla1[[#This Row],[PROGRAMA]],Hoja1!A:B,2,FALSE)</f>
        <v>2312. Iniciativas sociales</v>
      </c>
      <c r="W426" s="56" t="str">
        <f>MID(Tabla1[[#This Row],[Aplicación]],14,2)</f>
        <v>22</v>
      </c>
      <c r="X426" s="56" t="str">
        <f>MID(Tabla1[[#This Row],[Aplicación]],14,6)</f>
        <v>22606</v>
      </c>
    </row>
    <row r="427" spans="1:24" x14ac:dyDescent="0.25">
      <c r="A427" s="46">
        <v>220230002632</v>
      </c>
      <c r="B427" s="47" t="s">
        <v>507</v>
      </c>
      <c r="C427" s="52">
        <v>44966</v>
      </c>
      <c r="D427" s="46">
        <v>22023002120</v>
      </c>
      <c r="E427" s="47" t="s">
        <v>1299</v>
      </c>
      <c r="F427" s="53">
        <v>501.9</v>
      </c>
      <c r="G427" s="47" t="s">
        <v>465</v>
      </c>
      <c r="H427" s="47" t="s">
        <v>1347</v>
      </c>
      <c r="I427" s="46" t="s">
        <v>511</v>
      </c>
      <c r="J427" s="47" t="s">
        <v>1348</v>
      </c>
      <c r="K427" s="47" t="s">
        <v>512</v>
      </c>
      <c r="L427" s="47" t="s">
        <v>552</v>
      </c>
      <c r="M427" s="47" t="s">
        <v>976</v>
      </c>
      <c r="N427" s="47" t="s">
        <v>839</v>
      </c>
      <c r="O427" s="45" t="s">
        <v>383</v>
      </c>
      <c r="P427" s="44" t="s">
        <v>309</v>
      </c>
      <c r="Q427" s="59" t="str">
        <f>MID(Tabla1[[#This Row],[Aplicación]],14,1)</f>
        <v>2</v>
      </c>
      <c r="R427" s="35" t="s">
        <v>298</v>
      </c>
      <c r="S427" s="59" t="str">
        <f>MID(Tabla1[[#This Row],[Aplicación]],6,2)</f>
        <v>06</v>
      </c>
      <c r="T427" s="35" t="str">
        <f>VLOOKUP(Tabla1[[#This Row],[AREA]],Hoja1!A:B,2,FALSE)</f>
        <v>06. Educación, infancia, juventud e igualdad</v>
      </c>
      <c r="U427" s="35" t="str">
        <f>MID(Tabla1[[#This Row],[Aplicación]],9,4)</f>
        <v>3321</v>
      </c>
      <c r="V427" s="35" t="str">
        <f>VLOOKUP(Tabla1[[#This Row],[PROGRAMA]],Hoja1!A:B,2,FALSE)</f>
        <v>3321. Bibliotecas públicas</v>
      </c>
      <c r="W427" s="56" t="str">
        <f>MID(Tabla1[[#This Row],[Aplicación]],14,2)</f>
        <v>22</v>
      </c>
      <c r="X427" s="56" t="str">
        <f>MID(Tabla1[[#This Row],[Aplicación]],14,6)</f>
        <v>22001</v>
      </c>
    </row>
    <row r="428" spans="1:24" x14ac:dyDescent="0.25">
      <c r="A428" s="46">
        <v>220230002633</v>
      </c>
      <c r="B428" s="47" t="s">
        <v>507</v>
      </c>
      <c r="C428" s="52">
        <v>44966</v>
      </c>
      <c r="D428" s="46">
        <v>22023002126</v>
      </c>
      <c r="E428" s="47" t="s">
        <v>1299</v>
      </c>
      <c r="F428" s="53">
        <v>300.02</v>
      </c>
      <c r="G428" s="47" t="s">
        <v>87</v>
      </c>
      <c r="H428" s="47" t="s">
        <v>1349</v>
      </c>
      <c r="I428" s="46" t="s">
        <v>511</v>
      </c>
      <c r="J428" s="47" t="s">
        <v>1350</v>
      </c>
      <c r="K428" s="47" t="s">
        <v>837</v>
      </c>
      <c r="L428" s="47" t="s">
        <v>552</v>
      </c>
      <c r="M428" s="47" t="s">
        <v>976</v>
      </c>
      <c r="N428" s="47" t="s">
        <v>839</v>
      </c>
      <c r="O428" s="45" t="s">
        <v>383</v>
      </c>
      <c r="P428" s="44" t="s">
        <v>309</v>
      </c>
      <c r="Q428" s="59" t="str">
        <f>MID(Tabla1[[#This Row],[Aplicación]],14,1)</f>
        <v>2</v>
      </c>
      <c r="R428" s="35" t="s">
        <v>298</v>
      </c>
      <c r="S428" s="59" t="str">
        <f>MID(Tabla1[[#This Row],[Aplicación]],6,2)</f>
        <v>06</v>
      </c>
      <c r="T428" s="35" t="str">
        <f>VLOOKUP(Tabla1[[#This Row],[AREA]],Hoja1!A:B,2,FALSE)</f>
        <v>06. Educación, infancia, juventud e igualdad</v>
      </c>
      <c r="U428" s="35" t="str">
        <f>MID(Tabla1[[#This Row],[Aplicación]],9,4)</f>
        <v>3321</v>
      </c>
      <c r="V428" s="35" t="str">
        <f>VLOOKUP(Tabla1[[#This Row],[PROGRAMA]],Hoja1!A:B,2,FALSE)</f>
        <v>3321. Bibliotecas públicas</v>
      </c>
      <c r="W428" s="56" t="str">
        <f>MID(Tabla1[[#This Row],[Aplicación]],14,2)</f>
        <v>22</v>
      </c>
      <c r="X428" s="56" t="str">
        <f>MID(Tabla1[[#This Row],[Aplicación]],14,6)</f>
        <v>22001</v>
      </c>
    </row>
    <row r="429" spans="1:24" x14ac:dyDescent="0.25">
      <c r="A429" s="46">
        <v>220229000256</v>
      </c>
      <c r="B429" s="47" t="s">
        <v>507</v>
      </c>
      <c r="C429" s="52">
        <v>44927</v>
      </c>
      <c r="D429" s="46">
        <v>22023001365</v>
      </c>
      <c r="E429" s="47" t="s">
        <v>711</v>
      </c>
      <c r="F429" s="53">
        <v>40526.81</v>
      </c>
      <c r="G429" s="47" t="s">
        <v>1351</v>
      </c>
      <c r="H429" s="47" t="s">
        <v>1352</v>
      </c>
      <c r="I429" s="46" t="s">
        <v>511</v>
      </c>
      <c r="J429" s="47" t="s">
        <v>519</v>
      </c>
      <c r="K429" s="47" t="s">
        <v>519</v>
      </c>
      <c r="L429" s="47" t="s">
        <v>520</v>
      </c>
      <c r="M429" s="47" t="s">
        <v>514</v>
      </c>
      <c r="N429" s="47" t="s">
        <v>515</v>
      </c>
      <c r="O429" s="54" t="s">
        <v>371</v>
      </c>
      <c r="P429" s="44" t="s">
        <v>309</v>
      </c>
      <c r="Q429" s="59" t="str">
        <f>MID(Tabla1[[#This Row],[Aplicación]],14,1)</f>
        <v>6</v>
      </c>
      <c r="R429" s="35" t="s">
        <v>299</v>
      </c>
      <c r="S429" s="59" t="str">
        <f>MID(Tabla1[[#This Row],[Aplicación]],6,2)</f>
        <v>04</v>
      </c>
      <c r="T429" s="35" t="str">
        <f>VLOOKUP(Tabla1[[#This Row],[AREA]],Hoja1!A:B,2,FALSE)</f>
        <v>04. Planificación y recursos</v>
      </c>
      <c r="U429" s="35" t="str">
        <f>MID(Tabla1[[#This Row],[Aplicación]],9,4)</f>
        <v>9204</v>
      </c>
      <c r="V429" s="35" t="str">
        <f>VLOOKUP(Tabla1[[#This Row],[PROGRAMA]],Hoja1!A:B,2,FALSE)</f>
        <v>9204. Tecnologías de la información y comunicación</v>
      </c>
      <c r="W429" s="56" t="str">
        <f>MID(Tabla1[[#This Row],[Aplicación]],14,2)</f>
        <v>63</v>
      </c>
      <c r="X429" s="56" t="str">
        <f>MID(Tabla1[[#This Row],[Aplicación]],14,6)</f>
        <v>636</v>
      </c>
    </row>
    <row r="430" spans="1:24" x14ac:dyDescent="0.25">
      <c r="A430" s="46">
        <v>220230002941</v>
      </c>
      <c r="B430" s="47" t="s">
        <v>507</v>
      </c>
      <c r="C430" s="52">
        <v>44967</v>
      </c>
      <c r="D430" s="46">
        <v>22023001620</v>
      </c>
      <c r="E430" s="47" t="s">
        <v>1285</v>
      </c>
      <c r="F430" s="53">
        <v>1452</v>
      </c>
      <c r="G430" s="47" t="s">
        <v>1353</v>
      </c>
      <c r="H430" s="47" t="s">
        <v>1354</v>
      </c>
      <c r="I430" s="46" t="s">
        <v>511</v>
      </c>
      <c r="J430" s="47" t="s">
        <v>1355</v>
      </c>
      <c r="K430" s="47" t="s">
        <v>519</v>
      </c>
      <c r="L430" s="47" t="s">
        <v>552</v>
      </c>
      <c r="M430" s="47" t="s">
        <v>976</v>
      </c>
      <c r="N430" s="47" t="s">
        <v>839</v>
      </c>
      <c r="O430" s="45" t="s">
        <v>383</v>
      </c>
      <c r="P430" s="44" t="s">
        <v>309</v>
      </c>
      <c r="Q430" s="59" t="str">
        <f>MID(Tabla1[[#This Row],[Aplicación]],14,1)</f>
        <v>2</v>
      </c>
      <c r="R430" s="35" t="s">
        <v>298</v>
      </c>
      <c r="S430" s="59" t="str">
        <f>MID(Tabla1[[#This Row],[Aplicación]],6,2)</f>
        <v>11</v>
      </c>
      <c r="T430" s="35" t="str">
        <f>VLOOKUP(Tabla1[[#This Row],[AREA]],Hoja1!A:B,2,FALSE)</f>
        <v>11. Salud pública y seguridad ciudadana</v>
      </c>
      <c r="U430" s="35" t="str">
        <f>MID(Tabla1[[#This Row],[Aplicación]],9,4)</f>
        <v>1361</v>
      </c>
      <c r="V430" s="35" t="str">
        <f>VLOOKUP(Tabla1[[#This Row],[PROGRAMA]],Hoja1!A:B,2,FALSE)</f>
        <v>1361. Prevención y extinción de incencios</v>
      </c>
      <c r="W430" s="56" t="str">
        <f>MID(Tabla1[[#This Row],[Aplicación]],14,2)</f>
        <v>22</v>
      </c>
      <c r="X430" s="56" t="str">
        <f>MID(Tabla1[[#This Row],[Aplicación]],14,6)</f>
        <v>22199</v>
      </c>
    </row>
    <row r="431" spans="1:24" x14ac:dyDescent="0.25">
      <c r="A431" s="46">
        <v>220230008600</v>
      </c>
      <c r="B431" s="47" t="s">
        <v>507</v>
      </c>
      <c r="C431" s="52">
        <v>45000</v>
      </c>
      <c r="D431" s="46">
        <v>22023002523</v>
      </c>
      <c r="E431" s="47" t="s">
        <v>1356</v>
      </c>
      <c r="F431" s="53">
        <v>14520</v>
      </c>
      <c r="G431" s="47" t="s">
        <v>1357</v>
      </c>
      <c r="H431" s="47" t="s">
        <v>1358</v>
      </c>
      <c r="I431" s="46" t="s">
        <v>511</v>
      </c>
      <c r="J431" s="47" t="s">
        <v>1359</v>
      </c>
      <c r="K431" s="47" t="s">
        <v>1359</v>
      </c>
      <c r="L431" s="47" t="s">
        <v>520</v>
      </c>
      <c r="M431" s="47" t="s">
        <v>976</v>
      </c>
      <c r="N431" s="47" t="s">
        <v>839</v>
      </c>
      <c r="O431" s="54" t="s">
        <v>383</v>
      </c>
      <c r="P431" s="44" t="s">
        <v>309</v>
      </c>
      <c r="Q431" s="59" t="str">
        <f>MID(Tabla1[[#This Row],[Aplicación]],14,1)</f>
        <v>2</v>
      </c>
      <c r="R431" s="35" t="s">
        <v>298</v>
      </c>
      <c r="S431" s="59" t="str">
        <f>MID(Tabla1[[#This Row],[Aplicación]],6,2)</f>
        <v>07</v>
      </c>
      <c r="T431" s="35" t="str">
        <f>VLOOKUP(Tabla1[[#This Row],[AREA]],Hoja1!A:B,2,FALSE)</f>
        <v>07. Medio ambiente y desarrollo sostenible</v>
      </c>
      <c r="U431" s="35" t="str">
        <f>MID(Tabla1[[#This Row],[Aplicación]],9,4)</f>
        <v>1623</v>
      </c>
      <c r="V431" s="35" t="str">
        <f>VLOOKUP(Tabla1[[#This Row],[PROGRAMA]],Hoja1!A:B,2,FALSE)</f>
        <v>1623. Tratamiento de residuos</v>
      </c>
      <c r="W431" s="56" t="str">
        <f>MID(Tabla1[[#This Row],[Aplicación]],14,2)</f>
        <v>22</v>
      </c>
      <c r="X431" s="56" t="str">
        <f>MID(Tabla1[[#This Row],[Aplicación]],14,6)</f>
        <v>22700</v>
      </c>
    </row>
    <row r="432" spans="1:24" x14ac:dyDescent="0.25">
      <c r="A432" s="46">
        <v>220230000064</v>
      </c>
      <c r="B432" s="47" t="s">
        <v>507</v>
      </c>
      <c r="C432" s="52">
        <v>44927</v>
      </c>
      <c r="D432" s="46">
        <v>22023000565</v>
      </c>
      <c r="E432" s="47" t="s">
        <v>583</v>
      </c>
      <c r="F432" s="53">
        <v>17402.64</v>
      </c>
      <c r="G432" s="47" t="s">
        <v>1360</v>
      </c>
      <c r="H432" s="47" t="s">
        <v>1361</v>
      </c>
      <c r="I432" s="46" t="s">
        <v>511</v>
      </c>
      <c r="J432" s="47" t="s">
        <v>519</v>
      </c>
      <c r="K432" s="47" t="s">
        <v>519</v>
      </c>
      <c r="L432" s="47" t="s">
        <v>520</v>
      </c>
      <c r="M432" s="47" t="s">
        <v>514</v>
      </c>
      <c r="N432" s="47" t="s">
        <v>515</v>
      </c>
      <c r="O432" s="54" t="s">
        <v>382</v>
      </c>
      <c r="P432" s="44" t="s">
        <v>309</v>
      </c>
      <c r="Q432" s="59" t="str">
        <f>MID(Tabla1[[#This Row],[Aplicación]],14,1)</f>
        <v>6</v>
      </c>
      <c r="R432" s="35" t="s">
        <v>299</v>
      </c>
      <c r="S432" s="59" t="str">
        <f>MID(Tabla1[[#This Row],[Aplicación]],6,2)</f>
        <v>02</v>
      </c>
      <c r="T432" s="35" t="str">
        <f>VLOOKUP(Tabla1[[#This Row],[AREA]],Hoja1!A:B,2,FALSE)</f>
        <v>02. Planeamiento urbanístico y vivienda</v>
      </c>
      <c r="U432" s="35" t="str">
        <f>MID(Tabla1[[#This Row],[Aplicación]],9,4)</f>
        <v>1511</v>
      </c>
      <c r="V432" s="35" t="str">
        <f>VLOOKUP(Tabla1[[#This Row],[PROGRAMA]],Hoja1!A:B,2,FALSE)</f>
        <v>1511. Planficación y gestión del urbanismo</v>
      </c>
      <c r="W432" s="56" t="str">
        <f>MID(Tabla1[[#This Row],[Aplicación]],14,2)</f>
        <v>60</v>
      </c>
      <c r="X432" s="56" t="str">
        <f>MID(Tabla1[[#This Row],[Aplicación]],14,6)</f>
        <v>609</v>
      </c>
    </row>
    <row r="433" spans="1:24" x14ac:dyDescent="0.25">
      <c r="A433" s="46">
        <v>220229000794</v>
      </c>
      <c r="B433" s="47" t="s">
        <v>507</v>
      </c>
      <c r="C433" s="52">
        <v>44927</v>
      </c>
      <c r="D433" s="46">
        <v>22023001937</v>
      </c>
      <c r="E433" s="47" t="s">
        <v>1362</v>
      </c>
      <c r="F433" s="53">
        <v>9482.18</v>
      </c>
      <c r="G433" s="47" t="s">
        <v>75</v>
      </c>
      <c r="H433" s="47" t="s">
        <v>1363</v>
      </c>
      <c r="I433" s="46" t="s">
        <v>511</v>
      </c>
      <c r="J433" s="47" t="s">
        <v>1057</v>
      </c>
      <c r="K433" s="47" t="s">
        <v>1057</v>
      </c>
      <c r="L433" s="47" t="s">
        <v>520</v>
      </c>
      <c r="M433" s="47" t="s">
        <v>514</v>
      </c>
      <c r="N433" s="47" t="s">
        <v>515</v>
      </c>
      <c r="O433" s="45" t="s">
        <v>371</v>
      </c>
      <c r="P433" s="44" t="s">
        <v>309</v>
      </c>
      <c r="Q433" s="59" t="str">
        <f>MID(Tabla1[[#This Row],[Aplicación]],14,1)</f>
        <v>2</v>
      </c>
      <c r="R433" s="35" t="s">
        <v>298</v>
      </c>
      <c r="S433" s="59" t="str">
        <f>MID(Tabla1[[#This Row],[Aplicación]],6,2)</f>
        <v>09</v>
      </c>
      <c r="T433" s="35" t="str">
        <f>VLOOKUP(Tabla1[[#This Row],[AREA]],Hoja1!A:B,2,FALSE)</f>
        <v>09. Cultura y turismo</v>
      </c>
      <c r="U433" s="35" t="str">
        <f>MID(Tabla1[[#This Row],[Aplicación]],9,4)</f>
        <v>3341</v>
      </c>
      <c r="V433" s="35" t="str">
        <f>VLOOKUP(Tabla1[[#This Row],[PROGRAMA]],Hoja1!A:B,2,FALSE)</f>
        <v>3341. Coordinación de políticas culturales</v>
      </c>
      <c r="W433" s="56" t="str">
        <f>MID(Tabla1[[#This Row],[Aplicación]],14,2)</f>
        <v>21</v>
      </c>
      <c r="X433" s="56" t="str">
        <f>MID(Tabla1[[#This Row],[Aplicación]],14,6)</f>
        <v>213</v>
      </c>
    </row>
    <row r="434" spans="1:24" x14ac:dyDescent="0.25">
      <c r="A434" s="46">
        <v>220229000773</v>
      </c>
      <c r="B434" s="47" t="s">
        <v>507</v>
      </c>
      <c r="C434" s="52">
        <v>44927</v>
      </c>
      <c r="D434" s="46">
        <v>22023001931</v>
      </c>
      <c r="E434" s="47" t="s">
        <v>1362</v>
      </c>
      <c r="F434" s="53">
        <v>4860.6400000000003</v>
      </c>
      <c r="G434" s="47" t="s">
        <v>75</v>
      </c>
      <c r="H434" s="47" t="s">
        <v>1364</v>
      </c>
      <c r="I434" s="46" t="s">
        <v>511</v>
      </c>
      <c r="J434" s="47" t="s">
        <v>1057</v>
      </c>
      <c r="K434" s="47" t="s">
        <v>1057</v>
      </c>
      <c r="L434" s="47" t="s">
        <v>520</v>
      </c>
      <c r="M434" s="47" t="s">
        <v>514</v>
      </c>
      <c r="N434" s="47" t="s">
        <v>515</v>
      </c>
      <c r="O434" s="45" t="s">
        <v>371</v>
      </c>
      <c r="P434" s="44" t="s">
        <v>309</v>
      </c>
      <c r="Q434" s="59" t="str">
        <f>MID(Tabla1[[#This Row],[Aplicación]],14,1)</f>
        <v>2</v>
      </c>
      <c r="R434" s="35" t="s">
        <v>298</v>
      </c>
      <c r="S434" s="59" t="str">
        <f>MID(Tabla1[[#This Row],[Aplicación]],6,2)</f>
        <v>09</v>
      </c>
      <c r="T434" s="35" t="str">
        <f>VLOOKUP(Tabla1[[#This Row],[AREA]],Hoja1!A:B,2,FALSE)</f>
        <v>09. Cultura y turismo</v>
      </c>
      <c r="U434" s="35" t="str">
        <f>MID(Tabla1[[#This Row],[Aplicación]],9,4)</f>
        <v>3341</v>
      </c>
      <c r="V434" s="35" t="str">
        <f>VLOOKUP(Tabla1[[#This Row],[PROGRAMA]],Hoja1!A:B,2,FALSE)</f>
        <v>3341. Coordinación de políticas culturales</v>
      </c>
      <c r="W434" s="56" t="str">
        <f>MID(Tabla1[[#This Row],[Aplicación]],14,2)</f>
        <v>21</v>
      </c>
      <c r="X434" s="56" t="str">
        <f>MID(Tabla1[[#This Row],[Aplicación]],14,6)</f>
        <v>213</v>
      </c>
    </row>
    <row r="435" spans="1:24" x14ac:dyDescent="0.25">
      <c r="A435" s="46">
        <v>220229000795</v>
      </c>
      <c r="B435" s="47" t="s">
        <v>507</v>
      </c>
      <c r="C435" s="52">
        <v>44927</v>
      </c>
      <c r="D435" s="46">
        <v>22023001938</v>
      </c>
      <c r="E435" s="47" t="s">
        <v>1365</v>
      </c>
      <c r="F435" s="53">
        <v>3199.21</v>
      </c>
      <c r="G435" s="47" t="s">
        <v>75</v>
      </c>
      <c r="H435" s="47" t="s">
        <v>1366</v>
      </c>
      <c r="I435" s="46" t="s">
        <v>511</v>
      </c>
      <c r="J435" s="47" t="s">
        <v>1057</v>
      </c>
      <c r="K435" s="47" t="s">
        <v>1057</v>
      </c>
      <c r="L435" s="47" t="s">
        <v>520</v>
      </c>
      <c r="M435" s="47" t="s">
        <v>514</v>
      </c>
      <c r="N435" s="47" t="s">
        <v>515</v>
      </c>
      <c r="O435" s="45" t="s">
        <v>371</v>
      </c>
      <c r="P435" s="44" t="s">
        <v>309</v>
      </c>
      <c r="Q435" s="59" t="str">
        <f>MID(Tabla1[[#This Row],[Aplicación]],14,1)</f>
        <v>2</v>
      </c>
      <c r="R435" s="35" t="s">
        <v>298</v>
      </c>
      <c r="S435" s="59" t="str">
        <f>MID(Tabla1[[#This Row],[Aplicación]],6,2)</f>
        <v>09</v>
      </c>
      <c r="T435" s="35" t="str">
        <f>VLOOKUP(Tabla1[[#This Row],[AREA]],Hoja1!A:B,2,FALSE)</f>
        <v>09. Cultura y turismo</v>
      </c>
      <c r="U435" s="35" t="str">
        <f>MID(Tabla1[[#This Row],[Aplicación]],9,4)</f>
        <v>4321</v>
      </c>
      <c r="V435" s="35" t="str">
        <f>VLOOKUP(Tabla1[[#This Row],[PROGRAMA]],Hoja1!A:B,2,FALSE)</f>
        <v>4321. Turismo</v>
      </c>
      <c r="W435" s="56" t="str">
        <f>MID(Tabla1[[#This Row],[Aplicación]],14,2)</f>
        <v>21</v>
      </c>
      <c r="X435" s="56" t="str">
        <f>MID(Tabla1[[#This Row],[Aplicación]],14,6)</f>
        <v>213</v>
      </c>
    </row>
    <row r="436" spans="1:24" x14ac:dyDescent="0.25">
      <c r="A436" s="46">
        <v>220230001782</v>
      </c>
      <c r="B436" s="47" t="s">
        <v>507</v>
      </c>
      <c r="C436" s="52">
        <v>44960</v>
      </c>
      <c r="D436" s="46">
        <v>22023000038</v>
      </c>
      <c r="E436" s="47" t="s">
        <v>1365</v>
      </c>
      <c r="F436" s="53">
        <v>358.98</v>
      </c>
      <c r="G436" s="47" t="s">
        <v>75</v>
      </c>
      <c r="H436" s="47" t="s">
        <v>1367</v>
      </c>
      <c r="I436" s="46" t="s">
        <v>511</v>
      </c>
      <c r="J436" s="47" t="s">
        <v>1057</v>
      </c>
      <c r="K436" s="47" t="s">
        <v>1057</v>
      </c>
      <c r="L436" s="47" t="s">
        <v>652</v>
      </c>
      <c r="M436" s="47" t="s">
        <v>976</v>
      </c>
      <c r="N436" s="47" t="s">
        <v>839</v>
      </c>
      <c r="O436" s="45" t="s">
        <v>383</v>
      </c>
      <c r="P436" s="44" t="s">
        <v>309</v>
      </c>
      <c r="Q436" s="59" t="str">
        <f>MID(Tabla1[[#This Row],[Aplicación]],14,1)</f>
        <v>2</v>
      </c>
      <c r="R436" s="35" t="s">
        <v>298</v>
      </c>
      <c r="S436" s="59" t="str">
        <f>MID(Tabla1[[#This Row],[Aplicación]],6,2)</f>
        <v>09</v>
      </c>
      <c r="T436" s="35" t="str">
        <f>VLOOKUP(Tabla1[[#This Row],[AREA]],Hoja1!A:B,2,FALSE)</f>
        <v>09. Cultura y turismo</v>
      </c>
      <c r="U436" s="35" t="str">
        <f>MID(Tabla1[[#This Row],[Aplicación]],9,4)</f>
        <v>4321</v>
      </c>
      <c r="V436" s="35" t="str">
        <f>VLOOKUP(Tabla1[[#This Row],[PROGRAMA]],Hoja1!A:B,2,FALSE)</f>
        <v>4321. Turismo</v>
      </c>
      <c r="W436" s="56" t="str">
        <f>MID(Tabla1[[#This Row],[Aplicación]],14,2)</f>
        <v>21</v>
      </c>
      <c r="X436" s="56" t="str">
        <f>MID(Tabla1[[#This Row],[Aplicación]],14,6)</f>
        <v>213</v>
      </c>
    </row>
    <row r="437" spans="1:24" x14ac:dyDescent="0.25">
      <c r="A437" s="46">
        <v>220230002080</v>
      </c>
      <c r="B437" s="47" t="s">
        <v>507</v>
      </c>
      <c r="C437" s="52">
        <v>44963</v>
      </c>
      <c r="D437" s="46">
        <v>22023002047</v>
      </c>
      <c r="E437" s="47" t="s">
        <v>1362</v>
      </c>
      <c r="F437" s="53">
        <v>1192.5999999999999</v>
      </c>
      <c r="G437" s="47" t="s">
        <v>75</v>
      </c>
      <c r="H437" s="47" t="s">
        <v>1368</v>
      </c>
      <c r="I437" s="46" t="s">
        <v>511</v>
      </c>
      <c r="J437" s="47" t="s">
        <v>1057</v>
      </c>
      <c r="K437" s="47" t="s">
        <v>1057</v>
      </c>
      <c r="L437" s="47" t="s">
        <v>652</v>
      </c>
      <c r="M437" s="47" t="s">
        <v>976</v>
      </c>
      <c r="N437" s="47" t="s">
        <v>839</v>
      </c>
      <c r="O437" s="45" t="s">
        <v>383</v>
      </c>
      <c r="P437" s="44" t="s">
        <v>309</v>
      </c>
      <c r="Q437" s="59" t="str">
        <f>MID(Tabla1[[#This Row],[Aplicación]],14,1)</f>
        <v>2</v>
      </c>
      <c r="R437" s="35" t="s">
        <v>298</v>
      </c>
      <c r="S437" s="59" t="str">
        <f>MID(Tabla1[[#This Row],[Aplicación]],6,2)</f>
        <v>09</v>
      </c>
      <c r="T437" s="35" t="str">
        <f>VLOOKUP(Tabla1[[#This Row],[AREA]],Hoja1!A:B,2,FALSE)</f>
        <v>09. Cultura y turismo</v>
      </c>
      <c r="U437" s="35" t="str">
        <f>MID(Tabla1[[#This Row],[Aplicación]],9,4)</f>
        <v>3341</v>
      </c>
      <c r="V437" s="35" t="str">
        <f>VLOOKUP(Tabla1[[#This Row],[PROGRAMA]],Hoja1!A:B,2,FALSE)</f>
        <v>3341. Coordinación de políticas culturales</v>
      </c>
      <c r="W437" s="56" t="str">
        <f>MID(Tabla1[[#This Row],[Aplicación]],14,2)</f>
        <v>21</v>
      </c>
      <c r="X437" s="56" t="str">
        <f>MID(Tabla1[[#This Row],[Aplicación]],14,6)</f>
        <v>213</v>
      </c>
    </row>
    <row r="438" spans="1:24" x14ac:dyDescent="0.25">
      <c r="A438" s="46">
        <v>220230005910</v>
      </c>
      <c r="B438" s="47" t="s">
        <v>507</v>
      </c>
      <c r="C438" s="52">
        <v>44980</v>
      </c>
      <c r="D438" s="46">
        <v>22023002568</v>
      </c>
      <c r="E438" s="47" t="s">
        <v>1362</v>
      </c>
      <c r="F438" s="53">
        <v>521.55999999999995</v>
      </c>
      <c r="G438" s="47" t="s">
        <v>75</v>
      </c>
      <c r="H438" s="47" t="s">
        <v>1369</v>
      </c>
      <c r="I438" s="46" t="s">
        <v>511</v>
      </c>
      <c r="J438" s="47" t="s">
        <v>1057</v>
      </c>
      <c r="K438" s="47" t="s">
        <v>1057</v>
      </c>
      <c r="L438" s="47" t="s">
        <v>652</v>
      </c>
      <c r="M438" s="47" t="s">
        <v>976</v>
      </c>
      <c r="N438" s="47" t="s">
        <v>839</v>
      </c>
      <c r="O438" s="45" t="s">
        <v>383</v>
      </c>
      <c r="P438" s="44" t="s">
        <v>309</v>
      </c>
      <c r="Q438" s="59" t="str">
        <f>MID(Tabla1[[#This Row],[Aplicación]],14,1)</f>
        <v>2</v>
      </c>
      <c r="R438" s="35" t="s">
        <v>298</v>
      </c>
      <c r="S438" s="59" t="str">
        <f>MID(Tabla1[[#This Row],[Aplicación]],6,2)</f>
        <v>09</v>
      </c>
      <c r="T438" s="35" t="str">
        <f>VLOOKUP(Tabla1[[#This Row],[AREA]],Hoja1!A:B,2,FALSE)</f>
        <v>09. Cultura y turismo</v>
      </c>
      <c r="U438" s="35" t="str">
        <f>MID(Tabla1[[#This Row],[Aplicación]],9,4)</f>
        <v>3341</v>
      </c>
      <c r="V438" s="35" t="str">
        <f>VLOOKUP(Tabla1[[#This Row],[PROGRAMA]],Hoja1!A:B,2,FALSE)</f>
        <v>3341. Coordinación de políticas culturales</v>
      </c>
      <c r="W438" s="56" t="str">
        <f>MID(Tabla1[[#This Row],[Aplicación]],14,2)</f>
        <v>21</v>
      </c>
      <c r="X438" s="56" t="str">
        <f>MID(Tabla1[[#This Row],[Aplicación]],14,6)</f>
        <v>213</v>
      </c>
    </row>
    <row r="439" spans="1:24" x14ac:dyDescent="0.25">
      <c r="A439" s="46">
        <v>220230008189</v>
      </c>
      <c r="B439" s="47" t="s">
        <v>507</v>
      </c>
      <c r="C439" s="52">
        <v>44998</v>
      </c>
      <c r="D439" s="46">
        <v>22023003039</v>
      </c>
      <c r="E439" s="47" t="s">
        <v>1362</v>
      </c>
      <c r="F439" s="53">
        <v>2349.8200000000002</v>
      </c>
      <c r="G439" s="47" t="s">
        <v>75</v>
      </c>
      <c r="H439" s="47" t="s">
        <v>1370</v>
      </c>
      <c r="I439" s="46" t="s">
        <v>511</v>
      </c>
      <c r="J439" s="47" t="s">
        <v>1057</v>
      </c>
      <c r="K439" s="47" t="s">
        <v>1057</v>
      </c>
      <c r="L439" s="47" t="s">
        <v>520</v>
      </c>
      <c r="M439" s="47" t="s">
        <v>976</v>
      </c>
      <c r="N439" s="47" t="s">
        <v>839</v>
      </c>
      <c r="O439" s="54" t="s">
        <v>383</v>
      </c>
      <c r="P439" s="44" t="s">
        <v>309</v>
      </c>
      <c r="Q439" s="59" t="str">
        <f>MID(Tabla1[[#This Row],[Aplicación]],14,1)</f>
        <v>2</v>
      </c>
      <c r="R439" s="35" t="s">
        <v>298</v>
      </c>
      <c r="S439" s="59" t="str">
        <f>MID(Tabla1[[#This Row],[Aplicación]],6,2)</f>
        <v>09</v>
      </c>
      <c r="T439" s="35" t="str">
        <f>VLOOKUP(Tabla1[[#This Row],[AREA]],Hoja1!A:B,2,FALSE)</f>
        <v>09. Cultura y turismo</v>
      </c>
      <c r="U439" s="35" t="str">
        <f>MID(Tabla1[[#This Row],[Aplicación]],9,4)</f>
        <v>3341</v>
      </c>
      <c r="V439" s="35" t="str">
        <f>VLOOKUP(Tabla1[[#This Row],[PROGRAMA]],Hoja1!A:B,2,FALSE)</f>
        <v>3341. Coordinación de políticas culturales</v>
      </c>
      <c r="W439" s="56" t="str">
        <f>MID(Tabla1[[#This Row],[Aplicación]],14,2)</f>
        <v>21</v>
      </c>
      <c r="X439" s="56" t="str">
        <f>MID(Tabla1[[#This Row],[Aplicación]],14,6)</f>
        <v>213</v>
      </c>
    </row>
    <row r="440" spans="1:24" x14ac:dyDescent="0.25">
      <c r="A440" s="46">
        <v>220230003425</v>
      </c>
      <c r="B440" s="47" t="s">
        <v>507</v>
      </c>
      <c r="C440" s="52">
        <v>44971</v>
      </c>
      <c r="D440" s="46">
        <v>22023002326</v>
      </c>
      <c r="E440" s="47" t="s">
        <v>1371</v>
      </c>
      <c r="F440" s="53">
        <v>1331.14</v>
      </c>
      <c r="G440" s="47" t="s">
        <v>1372</v>
      </c>
      <c r="H440" s="47" t="s">
        <v>1373</v>
      </c>
      <c r="I440" s="46" t="s">
        <v>511</v>
      </c>
      <c r="J440" s="47" t="s">
        <v>519</v>
      </c>
      <c r="K440" s="47" t="s">
        <v>519</v>
      </c>
      <c r="L440" s="47" t="s">
        <v>552</v>
      </c>
      <c r="M440" s="47" t="s">
        <v>976</v>
      </c>
      <c r="N440" s="47" t="s">
        <v>839</v>
      </c>
      <c r="O440" s="45" t="s">
        <v>383</v>
      </c>
      <c r="P440" s="44" t="s">
        <v>309</v>
      </c>
      <c r="Q440" s="59" t="str">
        <f>MID(Tabla1[[#This Row],[Aplicación]],14,1)</f>
        <v>2</v>
      </c>
      <c r="R440" s="35" t="s">
        <v>298</v>
      </c>
      <c r="S440" s="59" t="str">
        <f>MID(Tabla1[[#This Row],[Aplicación]],6,2)</f>
        <v>10</v>
      </c>
      <c r="T440" s="35" t="str">
        <f>VLOOKUP(Tabla1[[#This Row],[AREA]],Hoja1!A:B,2,FALSE)</f>
        <v>10. Servicios sociales y mediación comunitaria</v>
      </c>
      <c r="U440" s="35" t="str">
        <f>MID(Tabla1[[#This Row],[Aplicación]],9,4)</f>
        <v>2412</v>
      </c>
      <c r="V440" s="35" t="str">
        <f>VLOOKUP(Tabla1[[#This Row],[PROGRAMA]],Hoja1!A:B,2,FALSE)</f>
        <v>2412. Formación para el empleo</v>
      </c>
      <c r="W440" s="56" t="str">
        <f>MID(Tabla1[[#This Row],[Aplicación]],14,2)</f>
        <v>22</v>
      </c>
      <c r="X440" s="56" t="str">
        <f>MID(Tabla1[[#This Row],[Aplicación]],14,6)</f>
        <v>22104</v>
      </c>
    </row>
    <row r="441" spans="1:24" x14ac:dyDescent="0.25">
      <c r="A441" s="55">
        <v>220220061577</v>
      </c>
      <c r="B441" s="47" t="s">
        <v>507</v>
      </c>
      <c r="C441" s="52">
        <v>45014</v>
      </c>
      <c r="D441" s="46">
        <v>22022007559</v>
      </c>
      <c r="E441" s="47" t="s">
        <v>1374</v>
      </c>
      <c r="F441" s="53">
        <v>6953.45</v>
      </c>
      <c r="G441" s="47" t="s">
        <v>1372</v>
      </c>
      <c r="H441" s="47" t="s">
        <v>1375</v>
      </c>
      <c r="I441" s="46" t="s">
        <v>511</v>
      </c>
      <c r="J441" s="47" t="s">
        <v>519</v>
      </c>
      <c r="K441" s="47" t="s">
        <v>519</v>
      </c>
      <c r="L441" s="47" t="s">
        <v>552</v>
      </c>
      <c r="M441" s="47" t="s">
        <v>976</v>
      </c>
      <c r="N441" s="47" t="s">
        <v>839</v>
      </c>
      <c r="O441" s="54" t="s">
        <v>383</v>
      </c>
      <c r="P441" s="44" t="s">
        <v>309</v>
      </c>
      <c r="Q441" s="59" t="str">
        <f>MID(Tabla1[[#This Row],[Aplicación]],14,1)</f>
        <v>6</v>
      </c>
      <c r="R441" s="35" t="s">
        <v>299</v>
      </c>
      <c r="S441" s="59" t="str">
        <f>MID(Tabla1[[#This Row],[Aplicación]],6,2)</f>
        <v>08</v>
      </c>
      <c r="T441" s="35" t="str">
        <f>VLOOKUP(Tabla1[[#This Row],[AREA]],Hoja1!A:B,2,FALSE)</f>
        <v>08. Movilidad y espacio urbano</v>
      </c>
      <c r="U441" s="35" t="str">
        <f>MID(Tabla1[[#This Row],[Aplicación]],9,4)</f>
        <v>1532</v>
      </c>
      <c r="V441" s="35" t="str">
        <f>VLOOKUP(Tabla1[[#This Row],[PROGRAMA]],Hoja1!A:B,2,FALSE)</f>
        <v>1532. Pavimentación vias públicas y otros servicios urbanísticos</v>
      </c>
      <c r="W441" s="56" t="str">
        <f>MID(Tabla1[[#This Row],[Aplicación]],14,2)</f>
        <v>62</v>
      </c>
      <c r="X441" s="56" t="str">
        <f>MID(Tabla1[[#This Row],[Aplicación]],14,6)</f>
        <v>623</v>
      </c>
    </row>
    <row r="442" spans="1:24" x14ac:dyDescent="0.25">
      <c r="A442" s="46">
        <v>220229000604</v>
      </c>
      <c r="B442" s="47" t="s">
        <v>507</v>
      </c>
      <c r="C442" s="52">
        <v>44927</v>
      </c>
      <c r="D442" s="46">
        <v>22023000470</v>
      </c>
      <c r="E442" s="47" t="s">
        <v>1376</v>
      </c>
      <c r="F442" s="53">
        <v>10406</v>
      </c>
      <c r="G442" s="47" t="s">
        <v>68</v>
      </c>
      <c r="H442" s="47" t="s">
        <v>1377</v>
      </c>
      <c r="I442" s="46" t="s">
        <v>511</v>
      </c>
      <c r="J442" s="47" t="s">
        <v>519</v>
      </c>
      <c r="K442" s="47" t="s">
        <v>519</v>
      </c>
      <c r="L442" s="47" t="s">
        <v>552</v>
      </c>
      <c r="M442" s="47" t="s">
        <v>514</v>
      </c>
      <c r="N442" s="47" t="s">
        <v>515</v>
      </c>
      <c r="O442" s="45" t="s">
        <v>371</v>
      </c>
      <c r="P442" s="44" t="s">
        <v>309</v>
      </c>
      <c r="Q442" s="59" t="str">
        <f>MID(Tabla1[[#This Row],[Aplicación]],14,1)</f>
        <v>2</v>
      </c>
      <c r="R442" s="35" t="s">
        <v>298</v>
      </c>
      <c r="S442" s="59" t="str">
        <f>MID(Tabla1[[#This Row],[Aplicación]],6,2)</f>
        <v>11</v>
      </c>
      <c r="T442" s="35" t="str">
        <f>VLOOKUP(Tabla1[[#This Row],[AREA]],Hoja1!A:B,2,FALSE)</f>
        <v>11. Salud pública y seguridad ciudadana</v>
      </c>
      <c r="U442" s="35" t="str">
        <f>MID(Tabla1[[#This Row],[Aplicación]],9,4)</f>
        <v>1321</v>
      </c>
      <c r="V442" s="35" t="str">
        <f>VLOOKUP(Tabla1[[#This Row],[PROGRAMA]],Hoja1!A:B,2,FALSE)</f>
        <v>1321. Policía municipal</v>
      </c>
      <c r="W442" s="56" t="str">
        <f>MID(Tabla1[[#This Row],[Aplicación]],14,2)</f>
        <v>22</v>
      </c>
      <c r="X442" s="56" t="str">
        <f>MID(Tabla1[[#This Row],[Aplicación]],14,6)</f>
        <v>22104</v>
      </c>
    </row>
    <row r="443" spans="1:24" x14ac:dyDescent="0.25">
      <c r="A443" s="46">
        <v>220230002394</v>
      </c>
      <c r="B443" s="47" t="s">
        <v>507</v>
      </c>
      <c r="C443" s="52">
        <v>44964</v>
      </c>
      <c r="D443" s="46">
        <v>22023001677</v>
      </c>
      <c r="E443" s="47" t="s">
        <v>1378</v>
      </c>
      <c r="F443" s="53">
        <v>17182</v>
      </c>
      <c r="G443" s="47" t="s">
        <v>68</v>
      </c>
      <c r="H443" s="47" t="s">
        <v>1379</v>
      </c>
      <c r="I443" s="46" t="s">
        <v>511</v>
      </c>
      <c r="J443" s="47" t="s">
        <v>519</v>
      </c>
      <c r="K443" s="47" t="s">
        <v>519</v>
      </c>
      <c r="L443" s="47" t="s">
        <v>552</v>
      </c>
      <c r="M443" s="47" t="s">
        <v>976</v>
      </c>
      <c r="N443" s="47" t="s">
        <v>839</v>
      </c>
      <c r="O443" s="54" t="s">
        <v>383</v>
      </c>
      <c r="P443" s="44" t="s">
        <v>309</v>
      </c>
      <c r="Q443" s="59" t="str">
        <f>MID(Tabla1[[#This Row],[Aplicación]],14,1)</f>
        <v>6</v>
      </c>
      <c r="R443" s="35" t="s">
        <v>299</v>
      </c>
      <c r="S443" s="59" t="str">
        <f>MID(Tabla1[[#This Row],[Aplicación]],6,2)</f>
        <v>11</v>
      </c>
      <c r="T443" s="35" t="str">
        <f>VLOOKUP(Tabla1[[#This Row],[AREA]],Hoja1!A:B,2,FALSE)</f>
        <v>11. Salud pública y seguridad ciudadana</v>
      </c>
      <c r="U443" s="35" t="str">
        <f>MID(Tabla1[[#This Row],[Aplicación]],9,4)</f>
        <v>1361</v>
      </c>
      <c r="V443" s="35" t="str">
        <f>VLOOKUP(Tabla1[[#This Row],[PROGRAMA]],Hoja1!A:B,2,FALSE)</f>
        <v>1361. Prevención y extinción de incencios</v>
      </c>
      <c r="W443" s="56" t="str">
        <f>MID(Tabla1[[#This Row],[Aplicación]],14,2)</f>
        <v>62</v>
      </c>
      <c r="X443" s="56" t="str">
        <f>MID(Tabla1[[#This Row],[Aplicación]],14,6)</f>
        <v>623</v>
      </c>
    </row>
    <row r="444" spans="1:24" x14ac:dyDescent="0.25">
      <c r="A444" s="46">
        <v>220230002571</v>
      </c>
      <c r="B444" s="47" t="s">
        <v>507</v>
      </c>
      <c r="C444" s="52">
        <v>44965</v>
      </c>
      <c r="D444" s="46">
        <v>22023000056</v>
      </c>
      <c r="E444" s="47" t="s">
        <v>1376</v>
      </c>
      <c r="F444" s="53">
        <v>19753.25</v>
      </c>
      <c r="G444" s="47" t="s">
        <v>68</v>
      </c>
      <c r="H444" s="47" t="s">
        <v>1380</v>
      </c>
      <c r="I444" s="46" t="s">
        <v>511</v>
      </c>
      <c r="J444" s="47" t="s">
        <v>519</v>
      </c>
      <c r="K444" s="47" t="s">
        <v>519</v>
      </c>
      <c r="L444" s="47" t="s">
        <v>552</v>
      </c>
      <c r="M444" s="47" t="s">
        <v>514</v>
      </c>
      <c r="N444" s="47" t="s">
        <v>515</v>
      </c>
      <c r="O444" s="45" t="s">
        <v>371</v>
      </c>
      <c r="P444" s="44" t="s">
        <v>309</v>
      </c>
      <c r="Q444" s="59" t="str">
        <f>MID(Tabla1[[#This Row],[Aplicación]],14,1)</f>
        <v>2</v>
      </c>
      <c r="R444" s="35" t="s">
        <v>298</v>
      </c>
      <c r="S444" s="59" t="str">
        <f>MID(Tabla1[[#This Row],[Aplicación]],6,2)</f>
        <v>11</v>
      </c>
      <c r="T444" s="35" t="str">
        <f>VLOOKUP(Tabla1[[#This Row],[AREA]],Hoja1!A:B,2,FALSE)</f>
        <v>11. Salud pública y seguridad ciudadana</v>
      </c>
      <c r="U444" s="35" t="str">
        <f>MID(Tabla1[[#This Row],[Aplicación]],9,4)</f>
        <v>1321</v>
      </c>
      <c r="V444" s="35" t="str">
        <f>VLOOKUP(Tabla1[[#This Row],[PROGRAMA]],Hoja1!A:B,2,FALSE)</f>
        <v>1321. Policía municipal</v>
      </c>
      <c r="W444" s="56" t="str">
        <f>MID(Tabla1[[#This Row],[Aplicación]],14,2)</f>
        <v>22</v>
      </c>
      <c r="X444" s="56" t="str">
        <f>MID(Tabla1[[#This Row],[Aplicación]],14,6)</f>
        <v>22104</v>
      </c>
    </row>
    <row r="445" spans="1:24" x14ac:dyDescent="0.25">
      <c r="A445" s="46">
        <v>220230002572</v>
      </c>
      <c r="B445" s="47" t="s">
        <v>507</v>
      </c>
      <c r="C445" s="52">
        <v>44965</v>
      </c>
      <c r="D445" s="46">
        <v>22023000057</v>
      </c>
      <c r="E445" s="47" t="s">
        <v>1376</v>
      </c>
      <c r="F445" s="53">
        <v>18376.87</v>
      </c>
      <c r="G445" s="47" t="s">
        <v>68</v>
      </c>
      <c r="H445" s="47" t="s">
        <v>1381</v>
      </c>
      <c r="I445" s="46" t="s">
        <v>511</v>
      </c>
      <c r="J445" s="47" t="s">
        <v>519</v>
      </c>
      <c r="K445" s="47" t="s">
        <v>519</v>
      </c>
      <c r="L445" s="47" t="s">
        <v>552</v>
      </c>
      <c r="M445" s="47" t="s">
        <v>514</v>
      </c>
      <c r="N445" s="47" t="s">
        <v>515</v>
      </c>
      <c r="O445" s="45" t="s">
        <v>371</v>
      </c>
      <c r="P445" s="44" t="s">
        <v>309</v>
      </c>
      <c r="Q445" s="59" t="str">
        <f>MID(Tabla1[[#This Row],[Aplicación]],14,1)</f>
        <v>2</v>
      </c>
      <c r="R445" s="35" t="s">
        <v>298</v>
      </c>
      <c r="S445" s="59" t="str">
        <f>MID(Tabla1[[#This Row],[Aplicación]],6,2)</f>
        <v>11</v>
      </c>
      <c r="T445" s="35" t="str">
        <f>VLOOKUP(Tabla1[[#This Row],[AREA]],Hoja1!A:B,2,FALSE)</f>
        <v>11. Salud pública y seguridad ciudadana</v>
      </c>
      <c r="U445" s="35" t="str">
        <f>MID(Tabla1[[#This Row],[Aplicación]],9,4)</f>
        <v>1321</v>
      </c>
      <c r="V445" s="35" t="str">
        <f>VLOOKUP(Tabla1[[#This Row],[PROGRAMA]],Hoja1!A:B,2,FALSE)</f>
        <v>1321. Policía municipal</v>
      </c>
      <c r="W445" s="56" t="str">
        <f>MID(Tabla1[[#This Row],[Aplicación]],14,2)</f>
        <v>22</v>
      </c>
      <c r="X445" s="56" t="str">
        <f>MID(Tabla1[[#This Row],[Aplicación]],14,6)</f>
        <v>22104</v>
      </c>
    </row>
    <row r="446" spans="1:24" x14ac:dyDescent="0.25">
      <c r="A446" s="46">
        <v>220230004194</v>
      </c>
      <c r="B446" s="47" t="s">
        <v>507</v>
      </c>
      <c r="C446" s="52">
        <v>44977</v>
      </c>
      <c r="D446" s="46">
        <v>22023002550</v>
      </c>
      <c r="E446" s="47" t="s">
        <v>1382</v>
      </c>
      <c r="F446" s="53">
        <v>103.68</v>
      </c>
      <c r="G446" s="47" t="s">
        <v>68</v>
      </c>
      <c r="H446" s="47" t="s">
        <v>1383</v>
      </c>
      <c r="I446" s="46" t="s">
        <v>511</v>
      </c>
      <c r="J446" s="47" t="s">
        <v>519</v>
      </c>
      <c r="K446" s="47" t="s">
        <v>519</v>
      </c>
      <c r="L446" s="47" t="s">
        <v>552</v>
      </c>
      <c r="M446" s="47" t="s">
        <v>976</v>
      </c>
      <c r="N446" s="47" t="s">
        <v>839</v>
      </c>
      <c r="O446" s="45" t="s">
        <v>383</v>
      </c>
      <c r="P446" s="44" t="s">
        <v>309</v>
      </c>
      <c r="Q446" s="59" t="str">
        <f>MID(Tabla1[[#This Row],[Aplicación]],14,1)</f>
        <v>2</v>
      </c>
      <c r="R446" s="35" t="s">
        <v>298</v>
      </c>
      <c r="S446" s="59" t="str">
        <f>MID(Tabla1[[#This Row],[Aplicación]],6,2)</f>
        <v>03</v>
      </c>
      <c r="T446" s="35" t="str">
        <f>VLOOKUP(Tabla1[[#This Row],[AREA]],Hoja1!A:B,2,FALSE)</f>
        <v>03. Participación ciudadana y deportes</v>
      </c>
      <c r="U446" s="35" t="str">
        <f>MID(Tabla1[[#This Row],[Aplicación]],9,4)</f>
        <v>9241</v>
      </c>
      <c r="V446" s="35" t="str">
        <f>VLOOKUP(Tabla1[[#This Row],[PROGRAMA]],Hoja1!A:B,2,FALSE)</f>
        <v>9241. Participación ciudadana</v>
      </c>
      <c r="W446" s="56" t="str">
        <f>MID(Tabla1[[#This Row],[Aplicación]],14,2)</f>
        <v>22</v>
      </c>
      <c r="X446" s="56" t="str">
        <f>MID(Tabla1[[#This Row],[Aplicación]],14,6)</f>
        <v>22699</v>
      </c>
    </row>
    <row r="447" spans="1:24" x14ac:dyDescent="0.25">
      <c r="A447" s="55">
        <v>220220064000</v>
      </c>
      <c r="B447" s="47" t="s">
        <v>507</v>
      </c>
      <c r="C447" s="52">
        <v>45014</v>
      </c>
      <c r="D447" s="46">
        <v>22022008187</v>
      </c>
      <c r="E447" s="47" t="s">
        <v>1384</v>
      </c>
      <c r="F447" s="53">
        <v>403.99</v>
      </c>
      <c r="G447" s="47" t="s">
        <v>68</v>
      </c>
      <c r="H447" s="47" t="s">
        <v>1385</v>
      </c>
      <c r="I447" s="46" t="s">
        <v>511</v>
      </c>
      <c r="J447" s="47" t="s">
        <v>519</v>
      </c>
      <c r="K447" s="47" t="s">
        <v>519</v>
      </c>
      <c r="L447" s="47" t="s">
        <v>552</v>
      </c>
      <c r="M447" s="47" t="s">
        <v>976</v>
      </c>
      <c r="N447" s="47" t="s">
        <v>839</v>
      </c>
      <c r="O447" s="54" t="s">
        <v>383</v>
      </c>
      <c r="P447" s="44" t="s">
        <v>309</v>
      </c>
      <c r="Q447" s="59" t="str">
        <f>MID(Tabla1[[#This Row],[Aplicación]],14,1)</f>
        <v>6</v>
      </c>
      <c r="R447" s="35" t="s">
        <v>299</v>
      </c>
      <c r="S447" s="59" t="str">
        <f>MID(Tabla1[[#This Row],[Aplicación]],6,2)</f>
        <v>02</v>
      </c>
      <c r="T447" s="35" t="str">
        <f>VLOOKUP(Tabla1[[#This Row],[AREA]],Hoja1!A:B,2,FALSE)</f>
        <v>02. Planeamiento urbanístico y vivienda</v>
      </c>
      <c r="U447" s="35" t="str">
        <f>MID(Tabla1[[#This Row],[Aplicación]],9,4)</f>
        <v>9332</v>
      </c>
      <c r="V447" s="35" t="str">
        <f>VLOOKUP(Tabla1[[#This Row],[PROGRAMA]],Hoja1!A:B,2,FALSE)</f>
        <v>9332. Mantenimiento de edificios e instalaciones municipales</v>
      </c>
      <c r="W447" s="56" t="str">
        <f>MID(Tabla1[[#This Row],[Aplicación]],14,2)</f>
        <v>62</v>
      </c>
      <c r="X447" s="56" t="str">
        <f>MID(Tabla1[[#This Row],[Aplicación]],14,6)</f>
        <v>623</v>
      </c>
    </row>
    <row r="448" spans="1:24" x14ac:dyDescent="0.25">
      <c r="A448" s="46">
        <v>220230003800</v>
      </c>
      <c r="B448" s="47" t="s">
        <v>507</v>
      </c>
      <c r="C448" s="52">
        <v>44974</v>
      </c>
      <c r="D448" s="46">
        <v>22023002533</v>
      </c>
      <c r="E448" s="47" t="s">
        <v>1386</v>
      </c>
      <c r="F448" s="53">
        <v>1838.79</v>
      </c>
      <c r="G448" s="47" t="s">
        <v>95</v>
      </c>
      <c r="H448" s="47" t="s">
        <v>1387</v>
      </c>
      <c r="I448" s="46" t="s">
        <v>511</v>
      </c>
      <c r="J448" s="47" t="s">
        <v>512</v>
      </c>
      <c r="K448" s="47" t="s">
        <v>512</v>
      </c>
      <c r="L448" s="47" t="s">
        <v>552</v>
      </c>
      <c r="M448" s="47" t="s">
        <v>976</v>
      </c>
      <c r="N448" s="47" t="s">
        <v>839</v>
      </c>
      <c r="O448" s="45" t="s">
        <v>383</v>
      </c>
      <c r="P448" s="44" t="s">
        <v>309</v>
      </c>
      <c r="Q448" s="59" t="str">
        <f>MID(Tabla1[[#This Row],[Aplicación]],14,1)</f>
        <v>2</v>
      </c>
      <c r="R448" s="35" t="s">
        <v>298</v>
      </c>
      <c r="S448" s="59" t="str">
        <f>MID(Tabla1[[#This Row],[Aplicación]],6,2)</f>
        <v>01</v>
      </c>
      <c r="T448" s="35" t="str">
        <f>VLOOKUP(Tabla1[[#This Row],[AREA]],Hoja1!A:B,2,FALSE)</f>
        <v>01. Alcaldía</v>
      </c>
      <c r="U448" s="35" t="str">
        <f>MID(Tabla1[[#This Row],[Aplicación]],9,4)</f>
        <v>9207</v>
      </c>
      <c r="V448" s="35" t="str">
        <f>VLOOKUP(Tabla1[[#This Row],[PROGRAMA]],Hoja1!A:B,2,FALSE)</f>
        <v>9207. Gobierno y relaciones</v>
      </c>
      <c r="W448" s="56" t="str">
        <f>MID(Tabla1[[#This Row],[Aplicación]],14,2)</f>
        <v>22</v>
      </c>
      <c r="X448" s="56" t="str">
        <f>MID(Tabla1[[#This Row],[Aplicación]],14,6)</f>
        <v>22001</v>
      </c>
    </row>
    <row r="449" spans="1:24" x14ac:dyDescent="0.25">
      <c r="A449" s="46">
        <v>220230005408</v>
      </c>
      <c r="B449" s="47" t="s">
        <v>507</v>
      </c>
      <c r="C449" s="52">
        <v>44979</v>
      </c>
      <c r="D449" s="46">
        <v>22023002603</v>
      </c>
      <c r="E449" s="47" t="s">
        <v>1388</v>
      </c>
      <c r="F449" s="53">
        <v>628.16</v>
      </c>
      <c r="G449" s="47" t="s">
        <v>95</v>
      </c>
      <c r="H449" s="47" t="s">
        <v>1389</v>
      </c>
      <c r="I449" s="46" t="s">
        <v>511</v>
      </c>
      <c r="J449" s="47" t="s">
        <v>512</v>
      </c>
      <c r="K449" s="47" t="s">
        <v>512</v>
      </c>
      <c r="L449" s="47" t="s">
        <v>552</v>
      </c>
      <c r="M449" s="47" t="s">
        <v>976</v>
      </c>
      <c r="N449" s="47" t="s">
        <v>839</v>
      </c>
      <c r="O449" s="45" t="s">
        <v>383</v>
      </c>
      <c r="P449" s="44" t="s">
        <v>309</v>
      </c>
      <c r="Q449" s="59" t="str">
        <f>MID(Tabla1[[#This Row],[Aplicación]],14,1)</f>
        <v>2</v>
      </c>
      <c r="R449" s="35" t="s">
        <v>298</v>
      </c>
      <c r="S449" s="59" t="str">
        <f>MID(Tabla1[[#This Row],[Aplicación]],6,2)</f>
        <v>05</v>
      </c>
      <c r="T449" s="35" t="str">
        <f>VLOOKUP(Tabla1[[#This Row],[AREA]],Hoja1!A:B,2,FALSE)</f>
        <v>05. Innovación, desarrollo económico, empleo y comercio</v>
      </c>
      <c r="U449" s="35" t="str">
        <f>MID(Tabla1[[#This Row],[Aplicación]],9,4)</f>
        <v>4331</v>
      </c>
      <c r="V449" s="35" t="str">
        <f>VLOOKUP(Tabla1[[#This Row],[PROGRAMA]],Hoja1!A:B,2,FALSE)</f>
        <v>4331. Desarrollo empresarial</v>
      </c>
      <c r="W449" s="56" t="str">
        <f>MID(Tabla1[[#This Row],[Aplicación]],14,2)</f>
        <v>22</v>
      </c>
      <c r="X449" s="56" t="str">
        <f>MID(Tabla1[[#This Row],[Aplicación]],14,6)</f>
        <v>22001</v>
      </c>
    </row>
    <row r="450" spans="1:24" x14ac:dyDescent="0.25">
      <c r="A450" s="46">
        <v>220229000775</v>
      </c>
      <c r="B450" s="47" t="s">
        <v>507</v>
      </c>
      <c r="C450" s="52">
        <v>44927</v>
      </c>
      <c r="D450" s="46">
        <v>22023001932</v>
      </c>
      <c r="E450" s="47" t="s">
        <v>1390</v>
      </c>
      <c r="F450" s="53">
        <v>7643.16</v>
      </c>
      <c r="G450" s="47" t="s">
        <v>469</v>
      </c>
      <c r="H450" s="47" t="s">
        <v>1391</v>
      </c>
      <c r="I450" s="46" t="s">
        <v>511</v>
      </c>
      <c r="J450" s="47" t="s">
        <v>512</v>
      </c>
      <c r="K450" s="47" t="s">
        <v>512</v>
      </c>
      <c r="L450" s="47" t="s">
        <v>520</v>
      </c>
      <c r="M450" s="47" t="s">
        <v>514</v>
      </c>
      <c r="N450" s="47" t="s">
        <v>515</v>
      </c>
      <c r="O450" s="45" t="s">
        <v>371</v>
      </c>
      <c r="P450" s="44" t="s">
        <v>309</v>
      </c>
      <c r="Q450" s="59" t="str">
        <f>MID(Tabla1[[#This Row],[Aplicación]],14,1)</f>
        <v>2</v>
      </c>
      <c r="R450" s="35" t="s">
        <v>298</v>
      </c>
      <c r="S450" s="59" t="str">
        <f>MID(Tabla1[[#This Row],[Aplicación]],6,2)</f>
        <v>07</v>
      </c>
      <c r="T450" s="35" t="str">
        <f>VLOOKUP(Tabla1[[#This Row],[AREA]],Hoja1!A:B,2,FALSE)</f>
        <v>07. Medio ambiente y desarrollo sostenible</v>
      </c>
      <c r="U450" s="35" t="str">
        <f>MID(Tabla1[[#This Row],[Aplicación]],9,4)</f>
        <v>1721</v>
      </c>
      <c r="V450" s="35" t="str">
        <f>VLOOKUP(Tabla1[[#This Row],[PROGRAMA]],Hoja1!A:B,2,FALSE)</f>
        <v>1721. Protección del medio ambiente</v>
      </c>
      <c r="W450" s="56" t="str">
        <f>MID(Tabla1[[#This Row],[Aplicación]],14,2)</f>
        <v>22</v>
      </c>
      <c r="X450" s="56" t="str">
        <f>MID(Tabla1[[#This Row],[Aplicación]],14,6)</f>
        <v>22799</v>
      </c>
    </row>
    <row r="451" spans="1:24" x14ac:dyDescent="0.25">
      <c r="A451" s="46">
        <v>220229000777</v>
      </c>
      <c r="B451" s="47" t="s">
        <v>507</v>
      </c>
      <c r="C451" s="52">
        <v>44927</v>
      </c>
      <c r="D451" s="46">
        <v>22023001933</v>
      </c>
      <c r="E451" s="47" t="s">
        <v>1390</v>
      </c>
      <c r="F451" s="53">
        <v>5937.67</v>
      </c>
      <c r="G451" s="47" t="s">
        <v>469</v>
      </c>
      <c r="H451" s="47" t="s">
        <v>1392</v>
      </c>
      <c r="I451" s="46" t="s">
        <v>511</v>
      </c>
      <c r="J451" s="47" t="s">
        <v>512</v>
      </c>
      <c r="K451" s="47" t="s">
        <v>512</v>
      </c>
      <c r="L451" s="47" t="s">
        <v>520</v>
      </c>
      <c r="M451" s="47" t="s">
        <v>514</v>
      </c>
      <c r="N451" s="47" t="s">
        <v>515</v>
      </c>
      <c r="O451" s="45" t="s">
        <v>371</v>
      </c>
      <c r="P451" s="44" t="s">
        <v>309</v>
      </c>
      <c r="Q451" s="59" t="str">
        <f>MID(Tabla1[[#This Row],[Aplicación]],14,1)</f>
        <v>2</v>
      </c>
      <c r="R451" s="35" t="s">
        <v>298</v>
      </c>
      <c r="S451" s="59" t="str">
        <f>MID(Tabla1[[#This Row],[Aplicación]],6,2)</f>
        <v>07</v>
      </c>
      <c r="T451" s="35" t="str">
        <f>VLOOKUP(Tabla1[[#This Row],[AREA]],Hoja1!A:B,2,FALSE)</f>
        <v>07. Medio ambiente y desarrollo sostenible</v>
      </c>
      <c r="U451" s="35" t="str">
        <f>MID(Tabla1[[#This Row],[Aplicación]],9,4)</f>
        <v>1721</v>
      </c>
      <c r="V451" s="35" t="str">
        <f>VLOOKUP(Tabla1[[#This Row],[PROGRAMA]],Hoja1!A:B,2,FALSE)</f>
        <v>1721. Protección del medio ambiente</v>
      </c>
      <c r="W451" s="56" t="str">
        <f>MID(Tabla1[[#This Row],[Aplicación]],14,2)</f>
        <v>22</v>
      </c>
      <c r="X451" s="56" t="str">
        <f>MID(Tabla1[[#This Row],[Aplicación]],14,6)</f>
        <v>22799</v>
      </c>
    </row>
    <row r="452" spans="1:24" x14ac:dyDescent="0.25">
      <c r="A452" s="46">
        <v>220229000125</v>
      </c>
      <c r="B452" s="47" t="s">
        <v>507</v>
      </c>
      <c r="C452" s="52">
        <v>44927</v>
      </c>
      <c r="D452" s="46">
        <v>22023000896</v>
      </c>
      <c r="E452" s="47" t="s">
        <v>1150</v>
      </c>
      <c r="F452" s="53">
        <v>1078.1099999999999</v>
      </c>
      <c r="G452" s="47" t="s">
        <v>469</v>
      </c>
      <c r="H452" s="47" t="s">
        <v>1393</v>
      </c>
      <c r="I452" s="46" t="s">
        <v>511</v>
      </c>
      <c r="J452" s="47" t="s">
        <v>512</v>
      </c>
      <c r="K452" s="47" t="s">
        <v>512</v>
      </c>
      <c r="L452" s="47" t="s">
        <v>520</v>
      </c>
      <c r="M452" s="47" t="s">
        <v>976</v>
      </c>
      <c r="N452" s="47" t="s">
        <v>839</v>
      </c>
      <c r="O452" s="45" t="s">
        <v>383</v>
      </c>
      <c r="P452" s="44" t="s">
        <v>309</v>
      </c>
      <c r="Q452" s="59" t="str">
        <f>MID(Tabla1[[#This Row],[Aplicación]],14,1)</f>
        <v>2</v>
      </c>
      <c r="R452" s="35" t="s">
        <v>298</v>
      </c>
      <c r="S452" s="59" t="str">
        <f>MID(Tabla1[[#This Row],[Aplicación]],6,2)</f>
        <v>03</v>
      </c>
      <c r="T452" s="35" t="str">
        <f>VLOOKUP(Tabla1[[#This Row],[AREA]],Hoja1!A:B,2,FALSE)</f>
        <v>03. Participación ciudadana y deportes</v>
      </c>
      <c r="U452" s="35" t="str">
        <f>MID(Tabla1[[#This Row],[Aplicación]],9,4)</f>
        <v>9241</v>
      </c>
      <c r="V452" s="35" t="str">
        <f>VLOOKUP(Tabla1[[#This Row],[PROGRAMA]],Hoja1!A:B,2,FALSE)</f>
        <v>9241. Participación ciudadana</v>
      </c>
      <c r="W452" s="56" t="str">
        <f>MID(Tabla1[[#This Row],[Aplicación]],14,2)</f>
        <v>21</v>
      </c>
      <c r="X452" s="56" t="str">
        <f>MID(Tabla1[[#This Row],[Aplicación]],14,6)</f>
        <v>213</v>
      </c>
    </row>
    <row r="453" spans="1:24" x14ac:dyDescent="0.25">
      <c r="A453" s="46">
        <v>220230001781</v>
      </c>
      <c r="B453" s="47" t="s">
        <v>507</v>
      </c>
      <c r="C453" s="52">
        <v>44960</v>
      </c>
      <c r="D453" s="46">
        <v>22023000036</v>
      </c>
      <c r="E453" s="47" t="s">
        <v>1390</v>
      </c>
      <c r="F453" s="53">
        <v>1131.8</v>
      </c>
      <c r="G453" s="47" t="s">
        <v>469</v>
      </c>
      <c r="H453" s="47" t="s">
        <v>1394</v>
      </c>
      <c r="I453" s="46" t="s">
        <v>511</v>
      </c>
      <c r="J453" s="47" t="s">
        <v>512</v>
      </c>
      <c r="K453" s="47" t="s">
        <v>512</v>
      </c>
      <c r="L453" s="47" t="s">
        <v>520</v>
      </c>
      <c r="M453" s="47" t="s">
        <v>976</v>
      </c>
      <c r="N453" s="47" t="s">
        <v>839</v>
      </c>
      <c r="O453" s="45" t="s">
        <v>383</v>
      </c>
      <c r="P453" s="44" t="s">
        <v>309</v>
      </c>
      <c r="Q453" s="59" t="str">
        <f>MID(Tabla1[[#This Row],[Aplicación]],14,1)</f>
        <v>2</v>
      </c>
      <c r="R453" s="35" t="s">
        <v>298</v>
      </c>
      <c r="S453" s="59" t="str">
        <f>MID(Tabla1[[#This Row],[Aplicación]],6,2)</f>
        <v>07</v>
      </c>
      <c r="T453" s="35" t="str">
        <f>VLOOKUP(Tabla1[[#This Row],[AREA]],Hoja1!A:B,2,FALSE)</f>
        <v>07. Medio ambiente y desarrollo sostenible</v>
      </c>
      <c r="U453" s="35" t="str">
        <f>MID(Tabla1[[#This Row],[Aplicación]],9,4)</f>
        <v>1721</v>
      </c>
      <c r="V453" s="35" t="str">
        <f>VLOOKUP(Tabla1[[#This Row],[PROGRAMA]],Hoja1!A:B,2,FALSE)</f>
        <v>1721. Protección del medio ambiente</v>
      </c>
      <c r="W453" s="56" t="str">
        <f>MID(Tabla1[[#This Row],[Aplicación]],14,2)</f>
        <v>22</v>
      </c>
      <c r="X453" s="56" t="str">
        <f>MID(Tabla1[[#This Row],[Aplicación]],14,6)</f>
        <v>22799</v>
      </c>
    </row>
    <row r="454" spans="1:24" x14ac:dyDescent="0.25">
      <c r="A454" s="46">
        <v>220230003252</v>
      </c>
      <c r="B454" s="47" t="s">
        <v>507</v>
      </c>
      <c r="C454" s="52">
        <v>44971</v>
      </c>
      <c r="D454" s="46">
        <v>22023002201</v>
      </c>
      <c r="E454" s="47" t="s">
        <v>1395</v>
      </c>
      <c r="F454" s="53">
        <v>3500</v>
      </c>
      <c r="G454" s="47" t="s">
        <v>469</v>
      </c>
      <c r="H454" s="47" t="s">
        <v>1396</v>
      </c>
      <c r="I454" s="46" t="s">
        <v>511</v>
      </c>
      <c r="J454" s="47" t="s">
        <v>512</v>
      </c>
      <c r="K454" s="47" t="s">
        <v>512</v>
      </c>
      <c r="L454" s="47" t="s">
        <v>552</v>
      </c>
      <c r="M454" s="47" t="s">
        <v>976</v>
      </c>
      <c r="N454" s="47" t="s">
        <v>839</v>
      </c>
      <c r="O454" s="45" t="s">
        <v>383</v>
      </c>
      <c r="P454" s="44" t="s">
        <v>309</v>
      </c>
      <c r="Q454" s="59" t="str">
        <f>MID(Tabla1[[#This Row],[Aplicación]],14,1)</f>
        <v>2</v>
      </c>
      <c r="R454" s="35" t="s">
        <v>298</v>
      </c>
      <c r="S454" s="59" t="str">
        <f>MID(Tabla1[[#This Row],[Aplicación]],6,2)</f>
        <v>07</v>
      </c>
      <c r="T454" s="35" t="str">
        <f>VLOOKUP(Tabla1[[#This Row],[AREA]],Hoja1!A:B,2,FALSE)</f>
        <v>07. Medio ambiente y desarrollo sostenible</v>
      </c>
      <c r="U454" s="35" t="str">
        <f>MID(Tabla1[[#This Row],[Aplicación]],9,4)</f>
        <v>1721</v>
      </c>
      <c r="V454" s="35" t="str">
        <f>VLOOKUP(Tabla1[[#This Row],[PROGRAMA]],Hoja1!A:B,2,FALSE)</f>
        <v>1721. Protección del medio ambiente</v>
      </c>
      <c r="W454" s="56" t="str">
        <f>MID(Tabla1[[#This Row],[Aplicación]],14,2)</f>
        <v>22</v>
      </c>
      <c r="X454" s="56" t="str">
        <f>MID(Tabla1[[#This Row],[Aplicación]],14,6)</f>
        <v>22112</v>
      </c>
    </row>
    <row r="455" spans="1:24" x14ac:dyDescent="0.25">
      <c r="A455" s="46">
        <v>220230006765</v>
      </c>
      <c r="B455" s="47" t="s">
        <v>507</v>
      </c>
      <c r="C455" s="52">
        <v>44986</v>
      </c>
      <c r="D455" s="46">
        <v>22023002853</v>
      </c>
      <c r="E455" s="47" t="s">
        <v>1395</v>
      </c>
      <c r="F455" s="53">
        <v>522.95000000000005</v>
      </c>
      <c r="G455" s="47" t="s">
        <v>84</v>
      </c>
      <c r="H455" s="47" t="s">
        <v>1397</v>
      </c>
      <c r="I455" s="46" t="s">
        <v>511</v>
      </c>
      <c r="J455" s="47" t="s">
        <v>519</v>
      </c>
      <c r="K455" s="47" t="s">
        <v>519</v>
      </c>
      <c r="L455" s="47" t="s">
        <v>520</v>
      </c>
      <c r="M455" s="47" t="s">
        <v>976</v>
      </c>
      <c r="N455" s="47" t="s">
        <v>839</v>
      </c>
      <c r="O455" s="45" t="s">
        <v>383</v>
      </c>
      <c r="P455" s="44" t="s">
        <v>309</v>
      </c>
      <c r="Q455" s="59" t="str">
        <f>MID(Tabla1[[#This Row],[Aplicación]],14,1)</f>
        <v>2</v>
      </c>
      <c r="R455" s="35" t="s">
        <v>298</v>
      </c>
      <c r="S455" s="59" t="str">
        <f>MID(Tabla1[[#This Row],[Aplicación]],6,2)</f>
        <v>07</v>
      </c>
      <c r="T455" s="35" t="str">
        <f>VLOOKUP(Tabla1[[#This Row],[AREA]],Hoja1!A:B,2,FALSE)</f>
        <v>07. Medio ambiente y desarrollo sostenible</v>
      </c>
      <c r="U455" s="35" t="str">
        <f>MID(Tabla1[[#This Row],[Aplicación]],9,4)</f>
        <v>1721</v>
      </c>
      <c r="V455" s="35" t="str">
        <f>VLOOKUP(Tabla1[[#This Row],[PROGRAMA]],Hoja1!A:B,2,FALSE)</f>
        <v>1721. Protección del medio ambiente</v>
      </c>
      <c r="W455" s="56" t="str">
        <f>MID(Tabla1[[#This Row],[Aplicación]],14,2)</f>
        <v>22</v>
      </c>
      <c r="X455" s="56" t="str">
        <f>MID(Tabla1[[#This Row],[Aplicación]],14,6)</f>
        <v>22112</v>
      </c>
    </row>
    <row r="456" spans="1:24" x14ac:dyDescent="0.25">
      <c r="A456" s="55">
        <v>220210031504</v>
      </c>
      <c r="B456" s="47" t="s">
        <v>507</v>
      </c>
      <c r="C456" s="52">
        <v>45014</v>
      </c>
      <c r="D456" s="46">
        <v>22021004793</v>
      </c>
      <c r="E456" s="47" t="s">
        <v>1272</v>
      </c>
      <c r="F456" s="53">
        <v>1016.41</v>
      </c>
      <c r="G456" s="47" t="s">
        <v>424</v>
      </c>
      <c r="H456" s="47" t="s">
        <v>1398</v>
      </c>
      <c r="I456" s="46" t="s">
        <v>511</v>
      </c>
      <c r="J456" s="47" t="s">
        <v>1399</v>
      </c>
      <c r="K456" s="47" t="s">
        <v>519</v>
      </c>
      <c r="L456" s="47" t="s">
        <v>527</v>
      </c>
      <c r="M456" s="47" t="s">
        <v>976</v>
      </c>
      <c r="N456" s="47" t="s">
        <v>515</v>
      </c>
      <c r="O456" s="54" t="s">
        <v>383</v>
      </c>
      <c r="P456" s="44" t="s">
        <v>309</v>
      </c>
      <c r="Q456" s="59" t="str">
        <f>MID(Tabla1[[#This Row],[Aplicación]],14,1)</f>
        <v>6</v>
      </c>
      <c r="R456" s="35" t="s">
        <v>299</v>
      </c>
      <c r="S456" s="59" t="str">
        <f>MID(Tabla1[[#This Row],[Aplicación]],6,2)</f>
        <v>02</v>
      </c>
      <c r="T456" s="35" t="str">
        <f>VLOOKUP(Tabla1[[#This Row],[AREA]],Hoja1!A:B,2,FALSE)</f>
        <v>02. Planeamiento urbanístico y vivienda</v>
      </c>
      <c r="U456" s="35" t="str">
        <f>MID(Tabla1[[#This Row],[Aplicación]],9,4)</f>
        <v>9332</v>
      </c>
      <c r="V456" s="35" t="str">
        <f>VLOOKUP(Tabla1[[#This Row],[PROGRAMA]],Hoja1!A:B,2,FALSE)</f>
        <v>9332. Mantenimiento de edificios e instalaciones municipales</v>
      </c>
      <c r="W456" s="56" t="str">
        <f>MID(Tabla1[[#This Row],[Aplicación]],14,2)</f>
        <v>63</v>
      </c>
      <c r="X456" s="56" t="str">
        <f>MID(Tabla1[[#This Row],[Aplicación]],14,6)</f>
        <v>632</v>
      </c>
    </row>
    <row r="457" spans="1:24" x14ac:dyDescent="0.25">
      <c r="A457" s="46">
        <v>220230001804</v>
      </c>
      <c r="B457" s="47" t="s">
        <v>507</v>
      </c>
      <c r="C457" s="52">
        <v>44960</v>
      </c>
      <c r="D457" s="46">
        <v>22023000559</v>
      </c>
      <c r="E457" s="47" t="s">
        <v>665</v>
      </c>
      <c r="F457" s="53">
        <v>3424.3</v>
      </c>
      <c r="G457" s="47" t="s">
        <v>320</v>
      </c>
      <c r="H457" s="47" t="s">
        <v>1400</v>
      </c>
      <c r="I457" s="46" t="s">
        <v>511</v>
      </c>
      <c r="J457" s="47" t="s">
        <v>519</v>
      </c>
      <c r="K457" s="47" t="s">
        <v>519</v>
      </c>
      <c r="L457" s="47" t="s">
        <v>520</v>
      </c>
      <c r="M457" s="47" t="s">
        <v>976</v>
      </c>
      <c r="N457" s="47" t="s">
        <v>839</v>
      </c>
      <c r="O457" s="45" t="s">
        <v>383</v>
      </c>
      <c r="P457" s="44" t="s">
        <v>309</v>
      </c>
      <c r="Q457" s="59" t="str">
        <f>MID(Tabla1[[#This Row],[Aplicación]],14,1)</f>
        <v>2</v>
      </c>
      <c r="R457" s="35" t="s">
        <v>298</v>
      </c>
      <c r="S457" s="59" t="str">
        <f>MID(Tabla1[[#This Row],[Aplicación]],6,2)</f>
        <v>08</v>
      </c>
      <c r="T457" s="35" t="str">
        <f>VLOOKUP(Tabla1[[#This Row],[AREA]],Hoja1!A:B,2,FALSE)</f>
        <v>08. Movilidad y espacio urbano</v>
      </c>
      <c r="U457" s="35" t="str">
        <f>MID(Tabla1[[#This Row],[Aplicación]],9,4)</f>
        <v>1532</v>
      </c>
      <c r="V457" s="35" t="str">
        <f>VLOOKUP(Tabla1[[#This Row],[PROGRAMA]],Hoja1!A:B,2,FALSE)</f>
        <v>1532. Pavimentación vias públicas y otros servicios urbanísticos</v>
      </c>
      <c r="W457" s="56" t="str">
        <f>MID(Tabla1[[#This Row],[Aplicación]],14,2)</f>
        <v>21</v>
      </c>
      <c r="X457" s="56" t="str">
        <f>MID(Tabla1[[#This Row],[Aplicación]],14,6)</f>
        <v>213</v>
      </c>
    </row>
    <row r="458" spans="1:24" x14ac:dyDescent="0.25">
      <c r="A458" s="55">
        <v>220230009460</v>
      </c>
      <c r="B458" s="47" t="s">
        <v>507</v>
      </c>
      <c r="C458" s="52">
        <v>45006</v>
      </c>
      <c r="D458" s="46">
        <v>22023003385</v>
      </c>
      <c r="E458" s="47" t="s">
        <v>1401</v>
      </c>
      <c r="F458" s="53">
        <v>4019.62</v>
      </c>
      <c r="G458" s="47" t="s">
        <v>320</v>
      </c>
      <c r="H458" s="47" t="s">
        <v>1402</v>
      </c>
      <c r="I458" s="46" t="s">
        <v>511</v>
      </c>
      <c r="J458" s="47" t="s">
        <v>519</v>
      </c>
      <c r="K458" s="47" t="s">
        <v>519</v>
      </c>
      <c r="L458" s="47" t="s">
        <v>520</v>
      </c>
      <c r="M458" s="47" t="s">
        <v>976</v>
      </c>
      <c r="N458" s="47" t="s">
        <v>839</v>
      </c>
      <c r="O458" s="54" t="s">
        <v>383</v>
      </c>
      <c r="P458" s="44" t="s">
        <v>309</v>
      </c>
      <c r="Q458" s="59" t="str">
        <f>MID(Tabla1[[#This Row],[Aplicación]],14,1)</f>
        <v>2</v>
      </c>
      <c r="R458" s="35" t="s">
        <v>298</v>
      </c>
      <c r="S458" s="59" t="str">
        <f>MID(Tabla1[[#This Row],[Aplicación]],6,2)</f>
        <v>11</v>
      </c>
      <c r="T458" s="35" t="str">
        <f>VLOOKUP(Tabla1[[#This Row],[AREA]],Hoja1!A:B,2,FALSE)</f>
        <v>11. Salud pública y seguridad ciudadana</v>
      </c>
      <c r="U458" s="35" t="str">
        <f>MID(Tabla1[[#This Row],[Aplicación]],9,4)</f>
        <v>1321</v>
      </c>
      <c r="V458" s="35" t="str">
        <f>VLOOKUP(Tabla1[[#This Row],[PROGRAMA]],Hoja1!A:B,2,FALSE)</f>
        <v>1321. Policía municipal</v>
      </c>
      <c r="W458" s="56" t="str">
        <f>MID(Tabla1[[#This Row],[Aplicación]],14,2)</f>
        <v>21</v>
      </c>
      <c r="X458" s="56" t="str">
        <f>MID(Tabla1[[#This Row],[Aplicación]],14,6)</f>
        <v>212</v>
      </c>
    </row>
    <row r="459" spans="1:24" x14ac:dyDescent="0.25">
      <c r="A459" s="46">
        <v>220230007358</v>
      </c>
      <c r="B459" s="47" t="s">
        <v>507</v>
      </c>
      <c r="C459" s="52">
        <v>44988</v>
      </c>
      <c r="D459" s="46">
        <v>22023002913</v>
      </c>
      <c r="E459" s="47" t="s">
        <v>1403</v>
      </c>
      <c r="F459" s="53">
        <v>500.21</v>
      </c>
      <c r="G459" s="47" t="s">
        <v>347</v>
      </c>
      <c r="H459" s="47" t="s">
        <v>1404</v>
      </c>
      <c r="I459" s="46" t="s">
        <v>511</v>
      </c>
      <c r="J459" s="47" t="s">
        <v>1405</v>
      </c>
      <c r="K459" s="47" t="s">
        <v>519</v>
      </c>
      <c r="L459" s="47" t="s">
        <v>520</v>
      </c>
      <c r="M459" s="47" t="s">
        <v>976</v>
      </c>
      <c r="N459" s="47" t="s">
        <v>839</v>
      </c>
      <c r="O459" s="45" t="s">
        <v>383</v>
      </c>
      <c r="P459" s="44" t="s">
        <v>309</v>
      </c>
      <c r="Q459" s="59" t="str">
        <f>MID(Tabla1[[#This Row],[Aplicación]],14,1)</f>
        <v>2</v>
      </c>
      <c r="R459" s="35" t="s">
        <v>298</v>
      </c>
      <c r="S459" s="59" t="str">
        <f>MID(Tabla1[[#This Row],[Aplicación]],6,2)</f>
        <v>07</v>
      </c>
      <c r="T459" s="35" t="str">
        <f>VLOOKUP(Tabla1[[#This Row],[AREA]],Hoja1!A:B,2,FALSE)</f>
        <v>07. Medio ambiente y desarrollo sostenible</v>
      </c>
      <c r="U459" s="35" t="str">
        <f>MID(Tabla1[[#This Row],[Aplicación]],9,4)</f>
        <v>1721</v>
      </c>
      <c r="V459" s="35" t="str">
        <f>VLOOKUP(Tabla1[[#This Row],[PROGRAMA]],Hoja1!A:B,2,FALSE)</f>
        <v>1721. Protección del medio ambiente</v>
      </c>
      <c r="W459" s="56" t="str">
        <f>MID(Tabla1[[#This Row],[Aplicación]],14,2)</f>
        <v>21</v>
      </c>
      <c r="X459" s="56" t="str">
        <f>MID(Tabla1[[#This Row],[Aplicación]],14,6)</f>
        <v>213</v>
      </c>
    </row>
    <row r="460" spans="1:24" x14ac:dyDescent="0.25">
      <c r="A460" s="46">
        <v>220230008194</v>
      </c>
      <c r="B460" s="47" t="s">
        <v>507</v>
      </c>
      <c r="C460" s="52">
        <v>44998</v>
      </c>
      <c r="D460" s="46">
        <v>22023002914</v>
      </c>
      <c r="E460" s="47" t="s">
        <v>1395</v>
      </c>
      <c r="F460" s="53">
        <v>4390.3599999999997</v>
      </c>
      <c r="G460" s="47" t="s">
        <v>347</v>
      </c>
      <c r="H460" s="47" t="s">
        <v>1406</v>
      </c>
      <c r="I460" s="46" t="s">
        <v>511</v>
      </c>
      <c r="J460" s="47" t="s">
        <v>1405</v>
      </c>
      <c r="K460" s="47" t="s">
        <v>519</v>
      </c>
      <c r="L460" s="47" t="s">
        <v>552</v>
      </c>
      <c r="M460" s="47" t="s">
        <v>976</v>
      </c>
      <c r="N460" s="47" t="s">
        <v>839</v>
      </c>
      <c r="O460" s="54" t="s">
        <v>383</v>
      </c>
      <c r="P460" s="44" t="s">
        <v>309</v>
      </c>
      <c r="Q460" s="59" t="str">
        <f>MID(Tabla1[[#This Row],[Aplicación]],14,1)</f>
        <v>2</v>
      </c>
      <c r="R460" s="35" t="s">
        <v>298</v>
      </c>
      <c r="S460" s="59" t="str">
        <f>MID(Tabla1[[#This Row],[Aplicación]],6,2)</f>
        <v>07</v>
      </c>
      <c r="T460" s="35" t="str">
        <f>VLOOKUP(Tabla1[[#This Row],[AREA]],Hoja1!A:B,2,FALSE)</f>
        <v>07. Medio ambiente y desarrollo sostenible</v>
      </c>
      <c r="U460" s="35" t="str">
        <f>MID(Tabla1[[#This Row],[Aplicación]],9,4)</f>
        <v>1721</v>
      </c>
      <c r="V460" s="35" t="str">
        <f>VLOOKUP(Tabla1[[#This Row],[PROGRAMA]],Hoja1!A:B,2,FALSE)</f>
        <v>1721. Protección del medio ambiente</v>
      </c>
      <c r="W460" s="56" t="str">
        <f>MID(Tabla1[[#This Row],[Aplicación]],14,2)</f>
        <v>22</v>
      </c>
      <c r="X460" s="56" t="str">
        <f>MID(Tabla1[[#This Row],[Aplicación]],14,6)</f>
        <v>22112</v>
      </c>
    </row>
    <row r="461" spans="1:24" x14ac:dyDescent="0.25">
      <c r="A461" s="46">
        <v>220230005406</v>
      </c>
      <c r="B461" s="47" t="s">
        <v>507</v>
      </c>
      <c r="C461" s="52">
        <v>44979</v>
      </c>
      <c r="D461" s="46">
        <v>22023002586</v>
      </c>
      <c r="E461" s="47" t="s">
        <v>1191</v>
      </c>
      <c r="F461" s="53">
        <v>960</v>
      </c>
      <c r="G461" s="47" t="s">
        <v>1407</v>
      </c>
      <c r="H461" s="47" t="s">
        <v>1408</v>
      </c>
      <c r="I461" s="46" t="s">
        <v>511</v>
      </c>
      <c r="J461" s="47" t="s">
        <v>519</v>
      </c>
      <c r="K461" s="47" t="s">
        <v>519</v>
      </c>
      <c r="L461" s="47" t="s">
        <v>520</v>
      </c>
      <c r="M461" s="47" t="s">
        <v>976</v>
      </c>
      <c r="N461" s="47" t="s">
        <v>839</v>
      </c>
      <c r="O461" s="45" t="s">
        <v>383</v>
      </c>
      <c r="P461" s="44" t="s">
        <v>309</v>
      </c>
      <c r="Q461" s="59" t="str">
        <f>MID(Tabla1[[#This Row],[Aplicación]],14,1)</f>
        <v>2</v>
      </c>
      <c r="R461" s="35" t="s">
        <v>298</v>
      </c>
      <c r="S461" s="59" t="str">
        <f>MID(Tabla1[[#This Row],[Aplicación]],6,2)</f>
        <v>06</v>
      </c>
      <c r="T461" s="35" t="str">
        <f>VLOOKUP(Tabla1[[#This Row],[AREA]],Hoja1!A:B,2,FALSE)</f>
        <v>06. Educación, infancia, juventud e igualdad</v>
      </c>
      <c r="U461" s="35" t="str">
        <f>MID(Tabla1[[#This Row],[Aplicación]],9,4)</f>
        <v>2315</v>
      </c>
      <c r="V461" s="35" t="str">
        <f>VLOOKUP(Tabla1[[#This Row],[PROGRAMA]],Hoja1!A:B,2,FALSE)</f>
        <v>2315. Políticas de Igualdad e infancia</v>
      </c>
      <c r="W461" s="56" t="str">
        <f>MID(Tabla1[[#This Row],[Aplicación]],14,2)</f>
        <v>22</v>
      </c>
      <c r="X461" s="56" t="str">
        <f>MID(Tabla1[[#This Row],[Aplicación]],14,6)</f>
        <v>22611</v>
      </c>
    </row>
    <row r="462" spans="1:24" x14ac:dyDescent="0.25">
      <c r="A462" s="55">
        <v>220230011712</v>
      </c>
      <c r="B462" s="47" t="s">
        <v>507</v>
      </c>
      <c r="C462" s="52">
        <v>45014</v>
      </c>
      <c r="D462" s="46">
        <v>22023003541</v>
      </c>
      <c r="E462" s="47" t="s">
        <v>1285</v>
      </c>
      <c r="F462" s="53">
        <v>546.85</v>
      </c>
      <c r="G462" s="47" t="s">
        <v>1409</v>
      </c>
      <c r="H462" s="47" t="s">
        <v>1410</v>
      </c>
      <c r="I462" s="46" t="s">
        <v>511</v>
      </c>
      <c r="J462" s="47" t="s">
        <v>812</v>
      </c>
      <c r="K462" s="47" t="s">
        <v>812</v>
      </c>
      <c r="L462" s="47" t="s">
        <v>552</v>
      </c>
      <c r="M462" s="47" t="s">
        <v>976</v>
      </c>
      <c r="N462" s="47" t="s">
        <v>839</v>
      </c>
      <c r="O462" s="54" t="s">
        <v>383</v>
      </c>
      <c r="P462" s="44" t="s">
        <v>309</v>
      </c>
      <c r="Q462" s="59" t="str">
        <f>MID(Tabla1[[#This Row],[Aplicación]],14,1)</f>
        <v>2</v>
      </c>
      <c r="R462" s="35" t="s">
        <v>298</v>
      </c>
      <c r="S462" s="59" t="str">
        <f>MID(Tabla1[[#This Row],[Aplicación]],6,2)</f>
        <v>11</v>
      </c>
      <c r="T462" s="35" t="str">
        <f>VLOOKUP(Tabla1[[#This Row],[AREA]],Hoja1!A:B,2,FALSE)</f>
        <v>11. Salud pública y seguridad ciudadana</v>
      </c>
      <c r="U462" s="35" t="str">
        <f>MID(Tabla1[[#This Row],[Aplicación]],9,4)</f>
        <v>1361</v>
      </c>
      <c r="V462" s="35" t="str">
        <f>VLOOKUP(Tabla1[[#This Row],[PROGRAMA]],Hoja1!A:B,2,FALSE)</f>
        <v>1361. Prevención y extinción de incencios</v>
      </c>
      <c r="W462" s="56" t="str">
        <f>MID(Tabla1[[#This Row],[Aplicación]],14,2)</f>
        <v>22</v>
      </c>
      <c r="X462" s="56" t="str">
        <f>MID(Tabla1[[#This Row],[Aplicación]],14,6)</f>
        <v>22199</v>
      </c>
    </row>
    <row r="463" spans="1:24" x14ac:dyDescent="0.25">
      <c r="A463" s="55">
        <v>220219000320</v>
      </c>
      <c r="B463" s="47" t="s">
        <v>507</v>
      </c>
      <c r="C463" s="52">
        <v>45014</v>
      </c>
      <c r="D463" s="46">
        <v>22022002153</v>
      </c>
      <c r="E463" s="47" t="s">
        <v>1411</v>
      </c>
      <c r="F463" s="53">
        <v>325.48</v>
      </c>
      <c r="G463" s="47" t="s">
        <v>66</v>
      </c>
      <c r="H463" s="47" t="s">
        <v>1412</v>
      </c>
      <c r="I463" s="46" t="s">
        <v>511</v>
      </c>
      <c r="J463" s="47" t="s">
        <v>512</v>
      </c>
      <c r="K463" s="47" t="s">
        <v>512</v>
      </c>
      <c r="L463" s="47" t="s">
        <v>520</v>
      </c>
      <c r="M463" s="47" t="s">
        <v>514</v>
      </c>
      <c r="N463" s="47" t="s">
        <v>515</v>
      </c>
      <c r="O463" s="54" t="s">
        <v>371</v>
      </c>
      <c r="P463" s="44" t="s">
        <v>309</v>
      </c>
      <c r="Q463" s="59" t="str">
        <f>MID(Tabla1[[#This Row],[Aplicación]],14,1)</f>
        <v>6</v>
      </c>
      <c r="R463" s="35" t="s">
        <v>299</v>
      </c>
      <c r="S463" s="59" t="str">
        <f>MID(Tabla1[[#This Row],[Aplicación]],6,2)</f>
        <v>06</v>
      </c>
      <c r="T463" s="35" t="str">
        <f>VLOOKUP(Tabla1[[#This Row],[AREA]],Hoja1!A:B,2,FALSE)</f>
        <v>06. Educación, infancia, juventud e igualdad</v>
      </c>
      <c r="U463" s="35" t="str">
        <f>MID(Tabla1[[#This Row],[Aplicación]],9,4)</f>
        <v>3321</v>
      </c>
      <c r="V463" s="35" t="str">
        <f>VLOOKUP(Tabla1[[#This Row],[PROGRAMA]],Hoja1!A:B,2,FALSE)</f>
        <v>3321. Bibliotecas públicas</v>
      </c>
      <c r="W463" s="56" t="str">
        <f>MID(Tabla1[[#This Row],[Aplicación]],14,2)</f>
        <v>62</v>
      </c>
      <c r="X463" s="56" t="str">
        <f>MID(Tabla1[[#This Row],[Aplicación]],14,6)</f>
        <v>622</v>
      </c>
    </row>
    <row r="464" spans="1:24" x14ac:dyDescent="0.25">
      <c r="A464" s="46">
        <v>220229000672</v>
      </c>
      <c r="B464" s="47" t="s">
        <v>507</v>
      </c>
      <c r="C464" s="52">
        <v>44927</v>
      </c>
      <c r="D464" s="46">
        <v>22023001275</v>
      </c>
      <c r="E464" s="47" t="s">
        <v>1191</v>
      </c>
      <c r="F464" s="53">
        <v>110</v>
      </c>
      <c r="G464" s="47" t="s">
        <v>440</v>
      </c>
      <c r="H464" s="47" t="s">
        <v>1413</v>
      </c>
      <c r="I464" s="46" t="s">
        <v>511</v>
      </c>
      <c r="J464" s="47" t="s">
        <v>519</v>
      </c>
      <c r="K464" s="47" t="s">
        <v>519</v>
      </c>
      <c r="L464" s="47" t="s">
        <v>520</v>
      </c>
      <c r="M464" s="47" t="s">
        <v>976</v>
      </c>
      <c r="N464" s="47" t="s">
        <v>839</v>
      </c>
      <c r="O464" s="45" t="s">
        <v>383</v>
      </c>
      <c r="P464" s="44" t="s">
        <v>309</v>
      </c>
      <c r="Q464" s="59" t="str">
        <f>MID(Tabla1[[#This Row],[Aplicación]],14,1)</f>
        <v>2</v>
      </c>
      <c r="R464" s="35" t="s">
        <v>298</v>
      </c>
      <c r="S464" s="59" t="str">
        <f>MID(Tabla1[[#This Row],[Aplicación]],6,2)</f>
        <v>06</v>
      </c>
      <c r="T464" s="35" t="str">
        <f>VLOOKUP(Tabla1[[#This Row],[AREA]],Hoja1!A:B,2,FALSE)</f>
        <v>06. Educación, infancia, juventud e igualdad</v>
      </c>
      <c r="U464" s="35" t="str">
        <f>MID(Tabla1[[#This Row],[Aplicación]],9,4)</f>
        <v>2315</v>
      </c>
      <c r="V464" s="35" t="str">
        <f>VLOOKUP(Tabla1[[#This Row],[PROGRAMA]],Hoja1!A:B,2,FALSE)</f>
        <v>2315. Políticas de Igualdad e infancia</v>
      </c>
      <c r="W464" s="56" t="str">
        <f>MID(Tabla1[[#This Row],[Aplicación]],14,2)</f>
        <v>22</v>
      </c>
      <c r="X464" s="56" t="str">
        <f>MID(Tabla1[[#This Row],[Aplicación]],14,6)</f>
        <v>22611</v>
      </c>
    </row>
    <row r="465" spans="1:24" x14ac:dyDescent="0.25">
      <c r="A465" s="46">
        <v>220230005913</v>
      </c>
      <c r="B465" s="47" t="s">
        <v>507</v>
      </c>
      <c r="C465" s="52">
        <v>44980</v>
      </c>
      <c r="D465" s="46">
        <v>22023002591</v>
      </c>
      <c r="E465" s="47" t="s">
        <v>1191</v>
      </c>
      <c r="F465" s="53">
        <v>550</v>
      </c>
      <c r="G465" s="47" t="s">
        <v>440</v>
      </c>
      <c r="H465" s="47" t="s">
        <v>1414</v>
      </c>
      <c r="I465" s="46" t="s">
        <v>511</v>
      </c>
      <c r="J465" s="47" t="s">
        <v>519</v>
      </c>
      <c r="K465" s="47" t="s">
        <v>519</v>
      </c>
      <c r="L465" s="47" t="s">
        <v>520</v>
      </c>
      <c r="M465" s="47" t="s">
        <v>976</v>
      </c>
      <c r="N465" s="47" t="s">
        <v>839</v>
      </c>
      <c r="O465" s="45" t="s">
        <v>383</v>
      </c>
      <c r="P465" s="44" t="s">
        <v>309</v>
      </c>
      <c r="Q465" s="59" t="str">
        <f>MID(Tabla1[[#This Row],[Aplicación]],14,1)</f>
        <v>2</v>
      </c>
      <c r="R465" s="35" t="s">
        <v>298</v>
      </c>
      <c r="S465" s="59" t="str">
        <f>MID(Tabla1[[#This Row],[Aplicación]],6,2)</f>
        <v>06</v>
      </c>
      <c r="T465" s="35" t="str">
        <f>VLOOKUP(Tabla1[[#This Row],[AREA]],Hoja1!A:B,2,FALSE)</f>
        <v>06. Educación, infancia, juventud e igualdad</v>
      </c>
      <c r="U465" s="35" t="str">
        <f>MID(Tabla1[[#This Row],[Aplicación]],9,4)</f>
        <v>2315</v>
      </c>
      <c r="V465" s="35" t="str">
        <f>VLOOKUP(Tabla1[[#This Row],[PROGRAMA]],Hoja1!A:B,2,FALSE)</f>
        <v>2315. Políticas de Igualdad e infancia</v>
      </c>
      <c r="W465" s="56" t="str">
        <f>MID(Tabla1[[#This Row],[Aplicación]],14,2)</f>
        <v>22</v>
      </c>
      <c r="X465" s="56" t="str">
        <f>MID(Tabla1[[#This Row],[Aplicación]],14,6)</f>
        <v>22611</v>
      </c>
    </row>
    <row r="466" spans="1:24" x14ac:dyDescent="0.25">
      <c r="A466" s="46">
        <v>220230000220</v>
      </c>
      <c r="B466" s="47" t="s">
        <v>507</v>
      </c>
      <c r="C466" s="52">
        <v>44927</v>
      </c>
      <c r="D466" s="46">
        <v>22023000863</v>
      </c>
      <c r="E466" s="47" t="s">
        <v>1415</v>
      </c>
      <c r="F466" s="53">
        <v>19965</v>
      </c>
      <c r="G466" s="47" t="s">
        <v>1416</v>
      </c>
      <c r="H466" s="47" t="s">
        <v>1417</v>
      </c>
      <c r="I466" s="46" t="s">
        <v>511</v>
      </c>
      <c r="J466" s="47" t="s">
        <v>512</v>
      </c>
      <c r="K466" s="47" t="s">
        <v>512</v>
      </c>
      <c r="L466" s="47" t="s">
        <v>520</v>
      </c>
      <c r="M466" s="47" t="s">
        <v>514</v>
      </c>
      <c r="N466" s="47" t="s">
        <v>515</v>
      </c>
      <c r="O466" s="45" t="s">
        <v>371</v>
      </c>
      <c r="P466" s="44" t="s">
        <v>309</v>
      </c>
      <c r="Q466" s="59" t="str">
        <f>MID(Tabla1[[#This Row],[Aplicación]],14,1)</f>
        <v>2</v>
      </c>
      <c r="R466" s="35" t="s">
        <v>298</v>
      </c>
      <c r="S466" s="59" t="str">
        <f>MID(Tabla1[[#This Row],[Aplicación]],6,2)</f>
        <v>04</v>
      </c>
      <c r="T466" s="35" t="str">
        <f>VLOOKUP(Tabla1[[#This Row],[AREA]],Hoja1!A:B,2,FALSE)</f>
        <v>04. Planificación y recursos</v>
      </c>
      <c r="U466" s="35" t="str">
        <f>MID(Tabla1[[#This Row],[Aplicación]],9,4)</f>
        <v>9204</v>
      </c>
      <c r="V466" s="35" t="str">
        <f>VLOOKUP(Tabla1[[#This Row],[PROGRAMA]],Hoja1!A:B,2,FALSE)</f>
        <v>9204. Tecnologías de la información y comunicación</v>
      </c>
      <c r="W466" s="56" t="str">
        <f>MID(Tabla1[[#This Row],[Aplicación]],14,2)</f>
        <v>22</v>
      </c>
      <c r="X466" s="56" t="str">
        <f>MID(Tabla1[[#This Row],[Aplicación]],14,6)</f>
        <v>22799</v>
      </c>
    </row>
    <row r="467" spans="1:24" x14ac:dyDescent="0.25">
      <c r="A467" s="46">
        <v>220229000553</v>
      </c>
      <c r="B467" s="47" t="s">
        <v>507</v>
      </c>
      <c r="C467" s="52">
        <v>44927</v>
      </c>
      <c r="D467" s="46">
        <v>22023001217</v>
      </c>
      <c r="E467" s="47" t="s">
        <v>977</v>
      </c>
      <c r="F467" s="53">
        <v>10350</v>
      </c>
      <c r="G467" s="47" t="s">
        <v>978</v>
      </c>
      <c r="H467" s="47" t="s">
        <v>1418</v>
      </c>
      <c r="I467" s="46" t="s">
        <v>511</v>
      </c>
      <c r="J467" s="47" t="s">
        <v>731</v>
      </c>
      <c r="K467" s="47" t="s">
        <v>519</v>
      </c>
      <c r="L467" s="47" t="s">
        <v>520</v>
      </c>
      <c r="M467" s="47" t="s">
        <v>514</v>
      </c>
      <c r="N467" s="47" t="s">
        <v>515</v>
      </c>
      <c r="O467" s="45" t="s">
        <v>371</v>
      </c>
      <c r="P467" s="44" t="s">
        <v>309</v>
      </c>
      <c r="Q467" s="59" t="str">
        <f>MID(Tabla1[[#This Row],[Aplicación]],14,1)</f>
        <v>2</v>
      </c>
      <c r="R467" s="35" t="s">
        <v>298</v>
      </c>
      <c r="S467" s="59" t="str">
        <f>MID(Tabla1[[#This Row],[Aplicación]],6,2)</f>
        <v>06</v>
      </c>
      <c r="T467" s="35" t="str">
        <f>VLOOKUP(Tabla1[[#This Row],[AREA]],Hoja1!A:B,2,FALSE)</f>
        <v>06. Educación, infancia, juventud e igualdad</v>
      </c>
      <c r="U467" s="35" t="str">
        <f>MID(Tabla1[[#This Row],[Aplicación]],9,4)</f>
        <v>2315</v>
      </c>
      <c r="V467" s="35" t="str">
        <f>VLOOKUP(Tabla1[[#This Row],[PROGRAMA]],Hoja1!A:B,2,FALSE)</f>
        <v>2315. Políticas de Igualdad e infancia</v>
      </c>
      <c r="W467" s="56" t="str">
        <f>MID(Tabla1[[#This Row],[Aplicación]],14,2)</f>
        <v>22</v>
      </c>
      <c r="X467" s="56" t="str">
        <f>MID(Tabla1[[#This Row],[Aplicación]],14,6)</f>
        <v>22620</v>
      </c>
    </row>
    <row r="468" spans="1:24" x14ac:dyDescent="0.25">
      <c r="A468" s="46">
        <v>220230006418</v>
      </c>
      <c r="B468" s="47" t="s">
        <v>507</v>
      </c>
      <c r="C468" s="52">
        <v>44985</v>
      </c>
      <c r="D468" s="46">
        <v>22023002854</v>
      </c>
      <c r="E468" s="47" t="s">
        <v>566</v>
      </c>
      <c r="F468" s="53">
        <v>4210.8</v>
      </c>
      <c r="G468" s="47" t="s">
        <v>1351</v>
      </c>
      <c r="H468" s="47" t="s">
        <v>1419</v>
      </c>
      <c r="I468" s="46" t="s">
        <v>511</v>
      </c>
      <c r="J468" s="47" t="s">
        <v>519</v>
      </c>
      <c r="K468" s="47" t="s">
        <v>519</v>
      </c>
      <c r="L468" s="47" t="s">
        <v>520</v>
      </c>
      <c r="M468" s="47" t="s">
        <v>976</v>
      </c>
      <c r="N468" s="47" t="s">
        <v>839</v>
      </c>
      <c r="O468" s="45" t="s">
        <v>383</v>
      </c>
      <c r="P468" s="44" t="s">
        <v>309</v>
      </c>
      <c r="Q468" s="59" t="str">
        <f>MID(Tabla1[[#This Row],[Aplicación]],14,1)</f>
        <v>2</v>
      </c>
      <c r="R468" s="35" t="s">
        <v>298</v>
      </c>
      <c r="S468" s="59" t="str">
        <f>MID(Tabla1[[#This Row],[Aplicación]],6,2)</f>
        <v>04</v>
      </c>
      <c r="T468" s="35" t="str">
        <f>VLOOKUP(Tabla1[[#This Row],[AREA]],Hoja1!A:B,2,FALSE)</f>
        <v>04. Planificación y recursos</v>
      </c>
      <c r="U468" s="35" t="str">
        <f>MID(Tabla1[[#This Row],[Aplicación]],9,4)</f>
        <v>9204</v>
      </c>
      <c r="V468" s="35" t="str">
        <f>VLOOKUP(Tabla1[[#This Row],[PROGRAMA]],Hoja1!A:B,2,FALSE)</f>
        <v>9204. Tecnologías de la información y comunicación</v>
      </c>
      <c r="W468" s="56" t="str">
        <f>MID(Tabla1[[#This Row],[Aplicación]],14,2)</f>
        <v>21</v>
      </c>
      <c r="X468" s="56" t="str">
        <f>MID(Tabla1[[#This Row],[Aplicación]],14,6)</f>
        <v>216</v>
      </c>
    </row>
    <row r="469" spans="1:24" x14ac:dyDescent="0.25">
      <c r="A469" s="46">
        <v>220230002077</v>
      </c>
      <c r="B469" s="47" t="s">
        <v>507</v>
      </c>
      <c r="C469" s="52">
        <v>44963</v>
      </c>
      <c r="D469" s="46">
        <v>22023002025</v>
      </c>
      <c r="E469" s="47" t="s">
        <v>1318</v>
      </c>
      <c r="F469" s="53">
        <v>574.20000000000005</v>
      </c>
      <c r="G469" s="47" t="s">
        <v>1420</v>
      </c>
      <c r="H469" s="47" t="s">
        <v>1421</v>
      </c>
      <c r="I469" s="46" t="s">
        <v>511</v>
      </c>
      <c r="J469" s="47" t="s">
        <v>1422</v>
      </c>
      <c r="K469" s="47" t="s">
        <v>1289</v>
      </c>
      <c r="L469" s="47" t="s">
        <v>520</v>
      </c>
      <c r="M469" s="47" t="s">
        <v>976</v>
      </c>
      <c r="N469" s="47" t="s">
        <v>839</v>
      </c>
      <c r="O469" s="45" t="s">
        <v>383</v>
      </c>
      <c r="P469" s="44" t="s">
        <v>309</v>
      </c>
      <c r="Q469" s="59" t="str">
        <f>MID(Tabla1[[#This Row],[Aplicación]],14,1)</f>
        <v>2</v>
      </c>
      <c r="R469" s="35" t="s">
        <v>298</v>
      </c>
      <c r="S469" s="59" t="str">
        <f>MID(Tabla1[[#This Row],[Aplicación]],6,2)</f>
        <v>05</v>
      </c>
      <c r="T469" s="35" t="str">
        <f>VLOOKUP(Tabla1[[#This Row],[AREA]],Hoja1!A:B,2,FALSE)</f>
        <v>05. Innovación, desarrollo económico, empleo y comercio</v>
      </c>
      <c r="U469" s="35" t="str">
        <f>MID(Tabla1[[#This Row],[Aplicación]],9,4)</f>
        <v>4331</v>
      </c>
      <c r="V469" s="35" t="str">
        <f>VLOOKUP(Tabla1[[#This Row],[PROGRAMA]],Hoja1!A:B,2,FALSE)</f>
        <v>4331. Desarrollo empresarial</v>
      </c>
      <c r="W469" s="56" t="str">
        <f>MID(Tabla1[[#This Row],[Aplicación]],14,2)</f>
        <v>22</v>
      </c>
      <c r="X469" s="56" t="str">
        <f>MID(Tabla1[[#This Row],[Aplicación]],14,6)</f>
        <v>22699</v>
      </c>
    </row>
    <row r="470" spans="1:24" x14ac:dyDescent="0.25">
      <c r="A470" s="55">
        <v>220230011742</v>
      </c>
      <c r="B470" s="47" t="s">
        <v>507</v>
      </c>
      <c r="C470" s="52">
        <v>45014</v>
      </c>
      <c r="D470" s="46">
        <v>22023003589</v>
      </c>
      <c r="E470" s="47" t="s">
        <v>1234</v>
      </c>
      <c r="F470" s="53">
        <v>968</v>
      </c>
      <c r="G470" s="47" t="s">
        <v>1420</v>
      </c>
      <c r="H470" s="47" t="s">
        <v>1423</v>
      </c>
      <c r="I470" s="46" t="s">
        <v>511</v>
      </c>
      <c r="J470" s="47" t="s">
        <v>1422</v>
      </c>
      <c r="K470" s="47" t="s">
        <v>1289</v>
      </c>
      <c r="L470" s="47" t="s">
        <v>520</v>
      </c>
      <c r="M470" s="47" t="s">
        <v>976</v>
      </c>
      <c r="N470" s="47" t="s">
        <v>839</v>
      </c>
      <c r="O470" s="54" t="s">
        <v>383</v>
      </c>
      <c r="P470" s="44" t="s">
        <v>309</v>
      </c>
      <c r="Q470" s="59" t="str">
        <f>MID(Tabla1[[#This Row],[Aplicación]],14,1)</f>
        <v>2</v>
      </c>
      <c r="R470" s="35" t="s">
        <v>298</v>
      </c>
      <c r="S470" s="59" t="str">
        <f>MID(Tabla1[[#This Row],[Aplicación]],6,2)</f>
        <v>10</v>
      </c>
      <c r="T470" s="35" t="str">
        <f>VLOOKUP(Tabla1[[#This Row],[AREA]],Hoja1!A:B,2,FALSE)</f>
        <v>10. Servicios sociales y mediación comunitaria</v>
      </c>
      <c r="U470" s="35" t="str">
        <f>MID(Tabla1[[#This Row],[Aplicación]],9,4)</f>
        <v>2316</v>
      </c>
      <c r="V470" s="35" t="str">
        <f>VLOOKUP(Tabla1[[#This Row],[PROGRAMA]],Hoja1!A:B,2,FALSE)</f>
        <v>2316. Mediación comunitaria</v>
      </c>
      <c r="W470" s="56" t="str">
        <f>MID(Tabla1[[#This Row],[Aplicación]],14,2)</f>
        <v>22</v>
      </c>
      <c r="X470" s="56" t="str">
        <f>MID(Tabla1[[#This Row],[Aplicación]],14,6)</f>
        <v>22616</v>
      </c>
    </row>
    <row r="471" spans="1:24" x14ac:dyDescent="0.25">
      <c r="A471" s="46">
        <v>220230005918</v>
      </c>
      <c r="B471" s="47" t="s">
        <v>507</v>
      </c>
      <c r="C471" s="52">
        <v>44980</v>
      </c>
      <c r="D471" s="46">
        <v>22023002624</v>
      </c>
      <c r="E471" s="47" t="s">
        <v>1191</v>
      </c>
      <c r="F471" s="53">
        <v>900</v>
      </c>
      <c r="G471" s="47" t="s">
        <v>1424</v>
      </c>
      <c r="H471" s="47" t="s">
        <v>1425</v>
      </c>
      <c r="I471" s="46" t="s">
        <v>511</v>
      </c>
      <c r="J471" s="47" t="s">
        <v>1426</v>
      </c>
      <c r="K471" s="47" t="s">
        <v>519</v>
      </c>
      <c r="L471" s="47" t="s">
        <v>520</v>
      </c>
      <c r="M471" s="47" t="s">
        <v>976</v>
      </c>
      <c r="N471" s="47" t="s">
        <v>839</v>
      </c>
      <c r="O471" s="45" t="s">
        <v>383</v>
      </c>
      <c r="P471" s="44" t="s">
        <v>309</v>
      </c>
      <c r="Q471" s="59" t="str">
        <f>MID(Tabla1[[#This Row],[Aplicación]],14,1)</f>
        <v>2</v>
      </c>
      <c r="R471" s="35" t="s">
        <v>298</v>
      </c>
      <c r="S471" s="59" t="str">
        <f>MID(Tabla1[[#This Row],[Aplicación]],6,2)</f>
        <v>06</v>
      </c>
      <c r="T471" s="35" t="str">
        <f>VLOOKUP(Tabla1[[#This Row],[AREA]],Hoja1!A:B,2,FALSE)</f>
        <v>06. Educación, infancia, juventud e igualdad</v>
      </c>
      <c r="U471" s="35" t="str">
        <f>MID(Tabla1[[#This Row],[Aplicación]],9,4)</f>
        <v>2315</v>
      </c>
      <c r="V471" s="35" t="str">
        <f>VLOOKUP(Tabla1[[#This Row],[PROGRAMA]],Hoja1!A:B,2,FALSE)</f>
        <v>2315. Políticas de Igualdad e infancia</v>
      </c>
      <c r="W471" s="56" t="str">
        <f>MID(Tabla1[[#This Row],[Aplicación]],14,2)</f>
        <v>22</v>
      </c>
      <c r="X471" s="56" t="str">
        <f>MID(Tabla1[[#This Row],[Aplicación]],14,6)</f>
        <v>22611</v>
      </c>
    </row>
    <row r="472" spans="1:24" x14ac:dyDescent="0.25">
      <c r="A472" s="55">
        <v>220230011724</v>
      </c>
      <c r="B472" s="47" t="s">
        <v>507</v>
      </c>
      <c r="C472" s="52">
        <v>45014</v>
      </c>
      <c r="D472" s="46">
        <v>22023003562</v>
      </c>
      <c r="E472" s="47" t="s">
        <v>1191</v>
      </c>
      <c r="F472" s="53">
        <v>2700</v>
      </c>
      <c r="G472" s="47" t="s">
        <v>1424</v>
      </c>
      <c r="H472" s="47" t="s">
        <v>1427</v>
      </c>
      <c r="I472" s="46" t="s">
        <v>511</v>
      </c>
      <c r="J472" s="47" t="s">
        <v>1426</v>
      </c>
      <c r="K472" s="47" t="s">
        <v>519</v>
      </c>
      <c r="L472" s="47" t="s">
        <v>520</v>
      </c>
      <c r="M472" s="47" t="s">
        <v>976</v>
      </c>
      <c r="N472" s="47" t="s">
        <v>839</v>
      </c>
      <c r="O472" s="54" t="s">
        <v>383</v>
      </c>
      <c r="P472" s="44" t="s">
        <v>309</v>
      </c>
      <c r="Q472" s="59" t="str">
        <f>MID(Tabla1[[#This Row],[Aplicación]],14,1)</f>
        <v>2</v>
      </c>
      <c r="R472" s="35" t="s">
        <v>298</v>
      </c>
      <c r="S472" s="59" t="str">
        <f>MID(Tabla1[[#This Row],[Aplicación]],6,2)</f>
        <v>06</v>
      </c>
      <c r="T472" s="35" t="str">
        <f>VLOOKUP(Tabla1[[#This Row],[AREA]],Hoja1!A:B,2,FALSE)</f>
        <v>06. Educación, infancia, juventud e igualdad</v>
      </c>
      <c r="U472" s="35" t="str">
        <f>MID(Tabla1[[#This Row],[Aplicación]],9,4)</f>
        <v>2315</v>
      </c>
      <c r="V472" s="35" t="str">
        <f>VLOOKUP(Tabla1[[#This Row],[PROGRAMA]],Hoja1!A:B,2,FALSE)</f>
        <v>2315. Políticas de Igualdad e infancia</v>
      </c>
      <c r="W472" s="56" t="str">
        <f>MID(Tabla1[[#This Row],[Aplicación]],14,2)</f>
        <v>22</v>
      </c>
      <c r="X472" s="56" t="str">
        <f>MID(Tabla1[[#This Row],[Aplicación]],14,6)</f>
        <v>22611</v>
      </c>
    </row>
    <row r="473" spans="1:24" x14ac:dyDescent="0.25">
      <c r="A473" s="46">
        <v>220219000441</v>
      </c>
      <c r="B473" s="47" t="s">
        <v>507</v>
      </c>
      <c r="C473" s="52">
        <v>44927</v>
      </c>
      <c r="D473" s="46">
        <v>22023000545</v>
      </c>
      <c r="E473" s="47" t="s">
        <v>1428</v>
      </c>
      <c r="F473" s="53">
        <v>17230.64</v>
      </c>
      <c r="G473" s="47" t="s">
        <v>67</v>
      </c>
      <c r="H473" s="47" t="s">
        <v>1429</v>
      </c>
      <c r="I473" s="46" t="s">
        <v>511</v>
      </c>
      <c r="J473" s="47" t="s">
        <v>953</v>
      </c>
      <c r="K473" s="47" t="s">
        <v>519</v>
      </c>
      <c r="L473" s="47" t="s">
        <v>520</v>
      </c>
      <c r="M473" s="47" t="s">
        <v>514</v>
      </c>
      <c r="N473" s="47" t="s">
        <v>515</v>
      </c>
      <c r="O473" s="54" t="s">
        <v>371</v>
      </c>
      <c r="P473" s="44" t="s">
        <v>309</v>
      </c>
      <c r="Q473" s="59" t="str">
        <f>MID(Tabla1[[#This Row],[Aplicación]],14,1)</f>
        <v>2</v>
      </c>
      <c r="R473" s="35" t="s">
        <v>298</v>
      </c>
      <c r="S473" s="59" t="str">
        <f>MID(Tabla1[[#This Row],[Aplicación]],6,2)</f>
        <v>09</v>
      </c>
      <c r="T473" s="35" t="str">
        <f>VLOOKUP(Tabla1[[#This Row],[AREA]],Hoja1!A:B,2,FALSE)</f>
        <v>09. Cultura y turismo</v>
      </c>
      <c r="U473" s="35" t="str">
        <f>MID(Tabla1[[#This Row],[Aplicación]],9,4)</f>
        <v>3301</v>
      </c>
      <c r="V473" s="35" t="str">
        <f>VLOOKUP(Tabla1[[#This Row],[PROGRAMA]],Hoja1!A:B,2,FALSE)</f>
        <v>3301. Dirección del área de cultura</v>
      </c>
      <c r="W473" s="56" t="str">
        <f>MID(Tabla1[[#This Row],[Aplicación]],14,2)</f>
        <v>22</v>
      </c>
      <c r="X473" s="56" t="str">
        <f>MID(Tabla1[[#This Row],[Aplicación]],14,6)</f>
        <v>22799</v>
      </c>
    </row>
    <row r="474" spans="1:24" x14ac:dyDescent="0.25">
      <c r="A474" s="46">
        <v>220230001937</v>
      </c>
      <c r="B474" s="47" t="s">
        <v>507</v>
      </c>
      <c r="C474" s="52">
        <v>44960</v>
      </c>
      <c r="D474" s="46">
        <v>22023001259</v>
      </c>
      <c r="E474" s="47" t="s">
        <v>1430</v>
      </c>
      <c r="F474" s="53">
        <v>220</v>
      </c>
      <c r="G474" s="47" t="s">
        <v>334</v>
      </c>
      <c r="H474" s="47" t="s">
        <v>1431</v>
      </c>
      <c r="I474" s="46" t="s">
        <v>511</v>
      </c>
      <c r="J474" s="47" t="s">
        <v>519</v>
      </c>
      <c r="K474" s="47" t="s">
        <v>519</v>
      </c>
      <c r="L474" s="47" t="s">
        <v>520</v>
      </c>
      <c r="M474" s="47" t="s">
        <v>976</v>
      </c>
      <c r="N474" s="47" t="s">
        <v>839</v>
      </c>
      <c r="O474" s="45" t="s">
        <v>383</v>
      </c>
      <c r="P474" s="44" t="s">
        <v>309</v>
      </c>
      <c r="Q474" s="59" t="str">
        <f>MID(Tabla1[[#This Row],[Aplicación]],14,1)</f>
        <v>2</v>
      </c>
      <c r="R474" s="35" t="s">
        <v>298</v>
      </c>
      <c r="S474" s="59" t="str">
        <f>MID(Tabla1[[#This Row],[Aplicación]],6,2)</f>
        <v>06</v>
      </c>
      <c r="T474" s="35" t="str">
        <f>VLOOKUP(Tabla1[[#This Row],[AREA]],Hoja1!A:B,2,FALSE)</f>
        <v>06. Educación, infancia, juventud e igualdad</v>
      </c>
      <c r="U474" s="35" t="str">
        <f>MID(Tabla1[[#This Row],[Aplicación]],9,4)</f>
        <v>2315</v>
      </c>
      <c r="V474" s="35" t="str">
        <f>VLOOKUP(Tabla1[[#This Row],[PROGRAMA]],Hoja1!A:B,2,FALSE)</f>
        <v>2315. Políticas de Igualdad e infancia</v>
      </c>
      <c r="W474" s="56" t="str">
        <f>MID(Tabla1[[#This Row],[Aplicación]],14,2)</f>
        <v>22</v>
      </c>
      <c r="X474" s="56" t="str">
        <f>MID(Tabla1[[#This Row],[Aplicación]],14,6)</f>
        <v>22614</v>
      </c>
    </row>
    <row r="475" spans="1:24" x14ac:dyDescent="0.25">
      <c r="A475" s="46">
        <v>220229000038</v>
      </c>
      <c r="B475" s="47" t="s">
        <v>507</v>
      </c>
      <c r="C475" s="52">
        <v>44927</v>
      </c>
      <c r="D475" s="46">
        <v>22023001917</v>
      </c>
      <c r="E475" s="47" t="s">
        <v>1390</v>
      </c>
      <c r="F475" s="53">
        <v>20204.5</v>
      </c>
      <c r="G475" s="47" t="s">
        <v>83</v>
      </c>
      <c r="H475" s="47" t="s">
        <v>1432</v>
      </c>
      <c r="I475" s="46" t="s">
        <v>511</v>
      </c>
      <c r="J475" s="47" t="s">
        <v>716</v>
      </c>
      <c r="K475" s="47" t="s">
        <v>717</v>
      </c>
      <c r="L475" s="47" t="s">
        <v>520</v>
      </c>
      <c r="M475" s="47" t="s">
        <v>514</v>
      </c>
      <c r="N475" s="47" t="s">
        <v>515</v>
      </c>
      <c r="O475" s="45" t="s">
        <v>371</v>
      </c>
      <c r="P475" s="44" t="s">
        <v>309</v>
      </c>
      <c r="Q475" s="59" t="str">
        <f>MID(Tabla1[[#This Row],[Aplicación]],14,1)</f>
        <v>2</v>
      </c>
      <c r="R475" s="35" t="s">
        <v>298</v>
      </c>
      <c r="S475" s="59" t="str">
        <f>MID(Tabla1[[#This Row],[Aplicación]],6,2)</f>
        <v>07</v>
      </c>
      <c r="T475" s="35" t="str">
        <f>VLOOKUP(Tabla1[[#This Row],[AREA]],Hoja1!A:B,2,FALSE)</f>
        <v>07. Medio ambiente y desarrollo sostenible</v>
      </c>
      <c r="U475" s="35" t="str">
        <f>MID(Tabla1[[#This Row],[Aplicación]],9,4)</f>
        <v>1721</v>
      </c>
      <c r="V475" s="35" t="str">
        <f>VLOOKUP(Tabla1[[#This Row],[PROGRAMA]],Hoja1!A:B,2,FALSE)</f>
        <v>1721. Protección del medio ambiente</v>
      </c>
      <c r="W475" s="56" t="str">
        <f>MID(Tabla1[[#This Row],[Aplicación]],14,2)</f>
        <v>22</v>
      </c>
      <c r="X475" s="56" t="str">
        <f>MID(Tabla1[[#This Row],[Aplicación]],14,6)</f>
        <v>22799</v>
      </c>
    </row>
    <row r="476" spans="1:24" x14ac:dyDescent="0.25">
      <c r="A476" s="46">
        <v>220229000387</v>
      </c>
      <c r="B476" s="47" t="s">
        <v>507</v>
      </c>
      <c r="C476" s="52">
        <v>44927</v>
      </c>
      <c r="D476" s="46">
        <v>22023000457</v>
      </c>
      <c r="E476" s="47" t="s">
        <v>524</v>
      </c>
      <c r="F476" s="53">
        <v>9874.39</v>
      </c>
      <c r="G476" s="47" t="s">
        <v>1360</v>
      </c>
      <c r="H476" s="47" t="s">
        <v>1433</v>
      </c>
      <c r="I476" s="46" t="s">
        <v>511</v>
      </c>
      <c r="J476" s="47" t="s">
        <v>519</v>
      </c>
      <c r="K476" s="47" t="s">
        <v>519</v>
      </c>
      <c r="L476" s="47" t="s">
        <v>520</v>
      </c>
      <c r="M476" s="47" t="s">
        <v>514</v>
      </c>
      <c r="N476" s="47" t="s">
        <v>515</v>
      </c>
      <c r="O476" s="54" t="s">
        <v>382</v>
      </c>
      <c r="P476" s="44" t="s">
        <v>309</v>
      </c>
      <c r="Q476" s="59" t="str">
        <f>MID(Tabla1[[#This Row],[Aplicación]],14,1)</f>
        <v>6</v>
      </c>
      <c r="R476" s="35" t="s">
        <v>299</v>
      </c>
      <c r="S476" s="59" t="str">
        <f>MID(Tabla1[[#This Row],[Aplicación]],6,2)</f>
        <v>02</v>
      </c>
      <c r="T476" s="35" t="str">
        <f>VLOOKUP(Tabla1[[#This Row],[AREA]],Hoja1!A:B,2,FALSE)</f>
        <v>02. Planeamiento urbanístico y vivienda</v>
      </c>
      <c r="U476" s="35" t="str">
        <f>MID(Tabla1[[#This Row],[Aplicación]],9,4)</f>
        <v>1511</v>
      </c>
      <c r="V476" s="35" t="str">
        <f>VLOOKUP(Tabla1[[#This Row],[PROGRAMA]],Hoja1!A:B,2,FALSE)</f>
        <v>1511. Planficación y gestión del urbanismo</v>
      </c>
      <c r="W476" s="56" t="str">
        <f>MID(Tabla1[[#This Row],[Aplicación]],14,2)</f>
        <v>61</v>
      </c>
      <c r="X476" s="56" t="str">
        <f>MID(Tabla1[[#This Row],[Aplicación]],14,6)</f>
        <v>619</v>
      </c>
    </row>
    <row r="477" spans="1:24" x14ac:dyDescent="0.25">
      <c r="A477" s="55">
        <v>220230011725</v>
      </c>
      <c r="B477" s="47" t="s">
        <v>507</v>
      </c>
      <c r="C477" s="52">
        <v>45014</v>
      </c>
      <c r="D477" s="46">
        <v>22023003563</v>
      </c>
      <c r="E477" s="47" t="s">
        <v>1303</v>
      </c>
      <c r="F477" s="53">
        <v>70.75</v>
      </c>
      <c r="G477" s="47" t="s">
        <v>1434</v>
      </c>
      <c r="H477" s="47" t="s">
        <v>1435</v>
      </c>
      <c r="I477" s="46" t="s">
        <v>511</v>
      </c>
      <c r="J477" s="47" t="s">
        <v>519</v>
      </c>
      <c r="K477" s="47" t="s">
        <v>519</v>
      </c>
      <c r="L477" s="47" t="s">
        <v>520</v>
      </c>
      <c r="M477" s="47" t="s">
        <v>976</v>
      </c>
      <c r="N477" s="47" t="s">
        <v>839</v>
      </c>
      <c r="O477" s="54" t="s">
        <v>383</v>
      </c>
      <c r="P477" s="44" t="s">
        <v>309</v>
      </c>
      <c r="Q477" s="59" t="str">
        <f>MID(Tabla1[[#This Row],[Aplicación]],14,1)</f>
        <v>2</v>
      </c>
      <c r="R477" s="35" t="s">
        <v>298</v>
      </c>
      <c r="S477" s="59" t="str">
        <f>MID(Tabla1[[#This Row],[Aplicación]],6,2)</f>
        <v>11</v>
      </c>
      <c r="T477" s="35" t="str">
        <f>VLOOKUP(Tabla1[[#This Row],[AREA]],Hoja1!A:B,2,FALSE)</f>
        <v>11. Salud pública y seguridad ciudadana</v>
      </c>
      <c r="U477" s="35" t="str">
        <f>MID(Tabla1[[#This Row],[Aplicación]],9,4)</f>
        <v>1321</v>
      </c>
      <c r="V477" s="35" t="str">
        <f>VLOOKUP(Tabla1[[#This Row],[PROGRAMA]],Hoja1!A:B,2,FALSE)</f>
        <v>1321. Policía municipal</v>
      </c>
      <c r="W477" s="56" t="str">
        <f>MID(Tabla1[[#This Row],[Aplicación]],14,2)</f>
        <v>22</v>
      </c>
      <c r="X477" s="56" t="str">
        <f>MID(Tabla1[[#This Row],[Aplicación]],14,6)</f>
        <v>22699</v>
      </c>
    </row>
    <row r="478" spans="1:24" x14ac:dyDescent="0.25">
      <c r="A478" s="46">
        <v>220230005909</v>
      </c>
      <c r="B478" s="47" t="s">
        <v>507</v>
      </c>
      <c r="C478" s="52">
        <v>44980</v>
      </c>
      <c r="D478" s="46">
        <v>22023002729</v>
      </c>
      <c r="E478" s="47" t="s">
        <v>1436</v>
      </c>
      <c r="F478" s="53">
        <v>544.5</v>
      </c>
      <c r="G478" s="47" t="s">
        <v>1437</v>
      </c>
      <c r="H478" s="47" t="s">
        <v>1438</v>
      </c>
      <c r="I478" s="46" t="s">
        <v>511</v>
      </c>
      <c r="J478" s="47" t="s">
        <v>519</v>
      </c>
      <c r="K478" s="47" t="s">
        <v>519</v>
      </c>
      <c r="L478" s="47" t="s">
        <v>652</v>
      </c>
      <c r="M478" s="47" t="s">
        <v>976</v>
      </c>
      <c r="N478" s="47" t="s">
        <v>839</v>
      </c>
      <c r="O478" s="45" t="s">
        <v>383</v>
      </c>
      <c r="P478" s="44" t="s">
        <v>309</v>
      </c>
      <c r="Q478" s="59" t="str">
        <f>MID(Tabla1[[#This Row],[Aplicación]],14,1)</f>
        <v>2</v>
      </c>
      <c r="R478" s="35" t="s">
        <v>298</v>
      </c>
      <c r="S478" s="59" t="str">
        <f>MID(Tabla1[[#This Row],[Aplicación]],6,2)</f>
        <v>04</v>
      </c>
      <c r="T478" s="35" t="str">
        <f>VLOOKUP(Tabla1[[#This Row],[AREA]],Hoja1!A:B,2,FALSE)</f>
        <v>04. Planificación y recursos</v>
      </c>
      <c r="U478" s="35" t="str">
        <f>MID(Tabla1[[#This Row],[Aplicación]],9,4)</f>
        <v>9202</v>
      </c>
      <c r="V478" s="35" t="str">
        <f>VLOOKUP(Tabla1[[#This Row],[PROGRAMA]],Hoja1!A:B,2,FALSE)</f>
        <v>9202. Gestión de recursos humanos</v>
      </c>
      <c r="W478" s="56" t="str">
        <f>MID(Tabla1[[#This Row],[Aplicación]],14,2)</f>
        <v>22</v>
      </c>
      <c r="X478" s="56" t="str">
        <f>MID(Tabla1[[#This Row],[Aplicación]],14,6)</f>
        <v>22607</v>
      </c>
    </row>
    <row r="479" spans="1:24" x14ac:dyDescent="0.25">
      <c r="A479" s="46">
        <v>220230006761</v>
      </c>
      <c r="B479" s="47" t="s">
        <v>507</v>
      </c>
      <c r="C479" s="52">
        <v>44986</v>
      </c>
      <c r="D479" s="46">
        <v>22023002865</v>
      </c>
      <c r="E479" s="47" t="s">
        <v>1436</v>
      </c>
      <c r="F479" s="53">
        <v>181.5</v>
      </c>
      <c r="G479" s="47" t="s">
        <v>1437</v>
      </c>
      <c r="H479" s="47" t="s">
        <v>1439</v>
      </c>
      <c r="I479" s="46" t="s">
        <v>511</v>
      </c>
      <c r="J479" s="47" t="s">
        <v>519</v>
      </c>
      <c r="K479" s="47" t="s">
        <v>519</v>
      </c>
      <c r="L479" s="47" t="s">
        <v>652</v>
      </c>
      <c r="M479" s="47" t="s">
        <v>976</v>
      </c>
      <c r="N479" s="47" t="s">
        <v>839</v>
      </c>
      <c r="O479" s="45" t="s">
        <v>383</v>
      </c>
      <c r="P479" s="44" t="s">
        <v>309</v>
      </c>
      <c r="Q479" s="59" t="str">
        <f>MID(Tabla1[[#This Row],[Aplicación]],14,1)</f>
        <v>2</v>
      </c>
      <c r="R479" s="35" t="s">
        <v>298</v>
      </c>
      <c r="S479" s="59" t="str">
        <f>MID(Tabla1[[#This Row],[Aplicación]],6,2)</f>
        <v>04</v>
      </c>
      <c r="T479" s="35" t="str">
        <f>VLOOKUP(Tabla1[[#This Row],[AREA]],Hoja1!A:B,2,FALSE)</f>
        <v>04. Planificación y recursos</v>
      </c>
      <c r="U479" s="35" t="str">
        <f>MID(Tabla1[[#This Row],[Aplicación]],9,4)</f>
        <v>9202</v>
      </c>
      <c r="V479" s="35" t="str">
        <f>VLOOKUP(Tabla1[[#This Row],[PROGRAMA]],Hoja1!A:B,2,FALSE)</f>
        <v>9202. Gestión de recursos humanos</v>
      </c>
      <c r="W479" s="56" t="str">
        <f>MID(Tabla1[[#This Row],[Aplicación]],14,2)</f>
        <v>22</v>
      </c>
      <c r="X479" s="56" t="str">
        <f>MID(Tabla1[[#This Row],[Aplicación]],14,6)</f>
        <v>22607</v>
      </c>
    </row>
    <row r="480" spans="1:24" x14ac:dyDescent="0.25">
      <c r="A480" s="55">
        <v>220230009485</v>
      </c>
      <c r="B480" s="47" t="s">
        <v>507</v>
      </c>
      <c r="C480" s="52">
        <v>45006</v>
      </c>
      <c r="D480" s="46">
        <v>22023003460</v>
      </c>
      <c r="E480" s="47" t="s">
        <v>546</v>
      </c>
      <c r="F480" s="53">
        <v>7061.56</v>
      </c>
      <c r="G480" s="47" t="s">
        <v>1440</v>
      </c>
      <c r="H480" s="47" t="s">
        <v>1441</v>
      </c>
      <c r="I480" s="46" t="s">
        <v>511</v>
      </c>
      <c r="J480" s="47" t="s">
        <v>1442</v>
      </c>
      <c r="K480" s="47" t="s">
        <v>837</v>
      </c>
      <c r="L480" s="47" t="s">
        <v>552</v>
      </c>
      <c r="M480" s="47" t="s">
        <v>976</v>
      </c>
      <c r="N480" s="47" t="s">
        <v>839</v>
      </c>
      <c r="O480" s="54" t="s">
        <v>383</v>
      </c>
      <c r="P480" s="44" t="s">
        <v>309</v>
      </c>
      <c r="Q480" s="59" t="str">
        <f>MID(Tabla1[[#This Row],[Aplicación]],14,1)</f>
        <v>6</v>
      </c>
      <c r="R480" s="35" t="s">
        <v>299</v>
      </c>
      <c r="S480" s="59" t="str">
        <f>MID(Tabla1[[#This Row],[Aplicación]],6,2)</f>
        <v>08</v>
      </c>
      <c r="T480" s="35" t="str">
        <f>VLOOKUP(Tabla1[[#This Row],[AREA]],Hoja1!A:B,2,FALSE)</f>
        <v>08. Movilidad y espacio urbano</v>
      </c>
      <c r="U480" s="35" t="str">
        <f>MID(Tabla1[[#This Row],[Aplicación]],9,4)</f>
        <v>1532</v>
      </c>
      <c r="V480" s="35" t="str">
        <f>VLOOKUP(Tabla1[[#This Row],[PROGRAMA]],Hoja1!A:B,2,FALSE)</f>
        <v>1532. Pavimentación vias públicas y otros servicios urbanísticos</v>
      </c>
      <c r="W480" s="56" t="str">
        <f>MID(Tabla1[[#This Row],[Aplicación]],14,2)</f>
        <v>61</v>
      </c>
      <c r="X480" s="56" t="str">
        <f>MID(Tabla1[[#This Row],[Aplicación]],14,6)</f>
        <v>619</v>
      </c>
    </row>
    <row r="481" spans="1:24" x14ac:dyDescent="0.25">
      <c r="A481" s="55">
        <v>220220062100</v>
      </c>
      <c r="B481" s="47" t="s">
        <v>507</v>
      </c>
      <c r="C481" s="52">
        <v>45014</v>
      </c>
      <c r="D481" s="46">
        <v>22022004762</v>
      </c>
      <c r="E481" s="47" t="s">
        <v>1443</v>
      </c>
      <c r="F481" s="53">
        <v>52769.1</v>
      </c>
      <c r="G481" s="47" t="s">
        <v>1823</v>
      </c>
      <c r="H481" s="47" t="s">
        <v>3452</v>
      </c>
      <c r="I481" s="46" t="s">
        <v>511</v>
      </c>
      <c r="J481" s="47" t="s">
        <v>1032</v>
      </c>
      <c r="K481" s="47" t="s">
        <v>3453</v>
      </c>
      <c r="L481" s="47" t="s">
        <v>520</v>
      </c>
      <c r="M481" s="47" t="s">
        <v>514</v>
      </c>
      <c r="N481" s="47" t="s">
        <v>515</v>
      </c>
      <c r="O481" s="54" t="s">
        <v>371</v>
      </c>
      <c r="P481" s="44" t="s">
        <v>309</v>
      </c>
      <c r="Q481" s="59">
        <v>2</v>
      </c>
      <c r="R481" s="35" t="s">
        <v>298</v>
      </c>
      <c r="S481" s="59" t="str">
        <f>MID(Tabla1[[#This Row],[Aplicación]],6,2)</f>
        <v>05</v>
      </c>
      <c r="T481" s="35" t="str">
        <f>VLOOKUP(Tabla1[[#This Row],[AREA]],Hoja1!A:B,2,FALSE)</f>
        <v>05. Innovación, desarrollo económico, empleo y comercio</v>
      </c>
      <c r="U481" s="35">
        <v>4312</v>
      </c>
      <c r="V481" s="35" t="str">
        <f>VLOOKUP(Tabla1[[#This Row],[PROGRAMA]],Hoja1!A:B,2,FALSE)</f>
        <v>4312. Mercados, abastos y lonjas</v>
      </c>
      <c r="W481" s="56">
        <v>22</v>
      </c>
      <c r="X481" s="56">
        <v>22799</v>
      </c>
    </row>
    <row r="482" spans="1:24" x14ac:dyDescent="0.25">
      <c r="A482" s="46">
        <v>220230003900</v>
      </c>
      <c r="B482" s="47" t="s">
        <v>1337</v>
      </c>
      <c r="C482" s="52">
        <v>44974</v>
      </c>
      <c r="D482" s="46">
        <v>22023000911</v>
      </c>
      <c r="E482" s="47" t="s">
        <v>578</v>
      </c>
      <c r="F482" s="53">
        <v>-294720</v>
      </c>
      <c r="G482" s="47" t="s">
        <v>724</v>
      </c>
      <c r="H482" s="47" t="s">
        <v>1446</v>
      </c>
      <c r="I482" s="46" t="s">
        <v>511</v>
      </c>
      <c r="J482" s="47" t="s">
        <v>519</v>
      </c>
      <c r="K482" s="47" t="s">
        <v>519</v>
      </c>
      <c r="L482" s="47" t="s">
        <v>520</v>
      </c>
      <c r="M482" s="47" t="s">
        <v>514</v>
      </c>
      <c r="N482" s="47" t="s">
        <v>515</v>
      </c>
      <c r="O482" s="54" t="s">
        <v>371</v>
      </c>
      <c r="P482" s="44" t="s">
        <v>309</v>
      </c>
      <c r="Q482" s="59" t="str">
        <f>MID(Tabla1[[#This Row],[Aplicación]],14,1)</f>
        <v>2</v>
      </c>
      <c r="R482" s="35" t="s">
        <v>298</v>
      </c>
      <c r="S482" s="59" t="str">
        <f>MID(Tabla1[[#This Row],[Aplicación]],6,2)</f>
        <v>06</v>
      </c>
      <c r="T482" s="35" t="str">
        <f>VLOOKUP(Tabla1[[#This Row],[AREA]],Hoja1!A:B,2,FALSE)</f>
        <v>06. Educación, infancia, juventud e igualdad</v>
      </c>
      <c r="U482" s="35" t="str">
        <f>MID(Tabla1[[#This Row],[Aplicación]],9,4)</f>
        <v>3231</v>
      </c>
      <c r="V482" s="35" t="str">
        <f>VLOOKUP(Tabla1[[#This Row],[PROGRAMA]],Hoja1!A:B,2,FALSE)</f>
        <v>3231. Escuelas infantiles</v>
      </c>
      <c r="W482" s="56" t="str">
        <f>MID(Tabla1[[#This Row],[Aplicación]],14,2)</f>
        <v>22</v>
      </c>
      <c r="X482" s="56" t="str">
        <f>MID(Tabla1[[#This Row],[Aplicación]],14,6)</f>
        <v>22799</v>
      </c>
    </row>
    <row r="483" spans="1:24" x14ac:dyDescent="0.25">
      <c r="A483" s="55">
        <v>220230011713</v>
      </c>
      <c r="B483" s="47" t="s">
        <v>507</v>
      </c>
      <c r="C483" s="52">
        <v>45014</v>
      </c>
      <c r="D483" s="46">
        <v>22023003553</v>
      </c>
      <c r="E483" s="47" t="s">
        <v>1447</v>
      </c>
      <c r="F483" s="53">
        <v>543.32000000000005</v>
      </c>
      <c r="G483" s="47" t="s">
        <v>442</v>
      </c>
      <c r="H483" s="47" t="s">
        <v>1448</v>
      </c>
      <c r="I483" s="46" t="s">
        <v>511</v>
      </c>
      <c r="J483" s="47" t="s">
        <v>1449</v>
      </c>
      <c r="K483" s="47" t="s">
        <v>512</v>
      </c>
      <c r="L483" s="47" t="s">
        <v>552</v>
      </c>
      <c r="M483" s="47" t="s">
        <v>976</v>
      </c>
      <c r="N483" s="47" t="s">
        <v>839</v>
      </c>
      <c r="O483" s="54" t="s">
        <v>383</v>
      </c>
      <c r="P483" s="44" t="s">
        <v>309</v>
      </c>
      <c r="Q483" s="59" t="str">
        <f>MID(Tabla1[[#This Row],[Aplicación]],14,1)</f>
        <v>2</v>
      </c>
      <c r="R483" s="35" t="s">
        <v>298</v>
      </c>
      <c r="S483" s="59" t="str">
        <f>MID(Tabla1[[#This Row],[Aplicación]],6,2)</f>
        <v>10</v>
      </c>
      <c r="T483" s="35" t="str">
        <f>VLOOKUP(Tabla1[[#This Row],[AREA]],Hoja1!A:B,2,FALSE)</f>
        <v>10. Servicios sociales y mediación comunitaria</v>
      </c>
      <c r="U483" s="35" t="str">
        <f>MID(Tabla1[[#This Row],[Aplicación]],9,4)</f>
        <v>2412</v>
      </c>
      <c r="V483" s="35" t="str">
        <f>VLOOKUP(Tabla1[[#This Row],[PROGRAMA]],Hoja1!A:B,2,FALSE)</f>
        <v>2412. Formación para el empleo</v>
      </c>
      <c r="W483" s="56" t="str">
        <f>MID(Tabla1[[#This Row],[Aplicación]],14,2)</f>
        <v>22</v>
      </c>
      <c r="X483" s="56" t="str">
        <f>MID(Tabla1[[#This Row],[Aplicación]],14,6)</f>
        <v>22001</v>
      </c>
    </row>
    <row r="484" spans="1:24" x14ac:dyDescent="0.25">
      <c r="A484" s="46">
        <v>220219001214</v>
      </c>
      <c r="B484" s="47" t="s">
        <v>507</v>
      </c>
      <c r="C484" s="52">
        <v>44927</v>
      </c>
      <c r="D484" s="46">
        <v>22023003295</v>
      </c>
      <c r="E484" s="47" t="s">
        <v>726</v>
      </c>
      <c r="F484" s="53">
        <v>9165.75</v>
      </c>
      <c r="G484" s="47" t="s">
        <v>1450</v>
      </c>
      <c r="H484" s="47" t="s">
        <v>1451</v>
      </c>
      <c r="I484" s="46" t="s">
        <v>511</v>
      </c>
      <c r="J484" s="47" t="s">
        <v>512</v>
      </c>
      <c r="K484" s="47" t="s">
        <v>512</v>
      </c>
      <c r="L484" s="47" t="s">
        <v>552</v>
      </c>
      <c r="M484" s="47" t="s">
        <v>514</v>
      </c>
      <c r="N484" s="47" t="s">
        <v>515</v>
      </c>
      <c r="O484" s="54" t="s">
        <v>371</v>
      </c>
      <c r="P484" s="44" t="s">
        <v>309</v>
      </c>
      <c r="Q484" s="59" t="str">
        <f>MID(Tabla1[[#This Row],[Aplicación]],14,1)</f>
        <v>6</v>
      </c>
      <c r="R484" s="35" t="s">
        <v>299</v>
      </c>
      <c r="S484" s="59" t="str">
        <f>MID(Tabla1[[#This Row],[Aplicación]],6,2)</f>
        <v>04</v>
      </c>
      <c r="T484" s="35" t="str">
        <f>VLOOKUP(Tabla1[[#This Row],[AREA]],Hoja1!A:B,2,FALSE)</f>
        <v>04. Planificación y recursos</v>
      </c>
      <c r="U484" s="35" t="str">
        <f>MID(Tabla1[[#This Row],[Aplicación]],9,4)</f>
        <v>9204</v>
      </c>
      <c r="V484" s="35" t="str">
        <f>VLOOKUP(Tabla1[[#This Row],[PROGRAMA]],Hoja1!A:B,2,FALSE)</f>
        <v>9204. Tecnologías de la información y comunicación</v>
      </c>
      <c r="W484" s="56" t="str">
        <f>MID(Tabla1[[#This Row],[Aplicación]],14,2)</f>
        <v>64</v>
      </c>
      <c r="X484" s="56" t="str">
        <f>MID(Tabla1[[#This Row],[Aplicación]],14,6)</f>
        <v>641</v>
      </c>
    </row>
    <row r="485" spans="1:24" x14ac:dyDescent="0.25">
      <c r="A485" s="55">
        <v>220219001162</v>
      </c>
      <c r="B485" s="47" t="s">
        <v>507</v>
      </c>
      <c r="C485" s="52">
        <v>45014</v>
      </c>
      <c r="D485" s="46">
        <v>22022002201</v>
      </c>
      <c r="E485" s="47" t="s">
        <v>561</v>
      </c>
      <c r="F485" s="53">
        <v>5420.8</v>
      </c>
      <c r="G485" s="47" t="s">
        <v>340</v>
      </c>
      <c r="H485" s="47" t="s">
        <v>1452</v>
      </c>
      <c r="I485" s="46" t="s">
        <v>511</v>
      </c>
      <c r="J485" s="47" t="s">
        <v>519</v>
      </c>
      <c r="K485" s="47" t="s">
        <v>519</v>
      </c>
      <c r="L485" s="47" t="s">
        <v>520</v>
      </c>
      <c r="M485" s="47" t="s">
        <v>976</v>
      </c>
      <c r="N485" s="47" t="s">
        <v>839</v>
      </c>
      <c r="O485" s="54" t="s">
        <v>383</v>
      </c>
      <c r="P485" s="44" t="s">
        <v>309</v>
      </c>
      <c r="Q485" s="59">
        <v>6</v>
      </c>
      <c r="R485" s="35" t="s">
        <v>299</v>
      </c>
      <c r="S485" s="59" t="str">
        <f>MID(Tabla1[[#This Row],[Aplicación]],6,2)</f>
        <v>08</v>
      </c>
      <c r="T485" s="35" t="str">
        <f>VLOOKUP(Tabla1[[#This Row],[AREA]],Hoja1!A:B,2,FALSE)</f>
        <v>08. Movilidad y espacio urbano</v>
      </c>
      <c r="U485" s="56">
        <v>1341</v>
      </c>
      <c r="V485" s="35" t="str">
        <f>VLOOKUP(Tabla1[[#This Row],[PROGRAMA]],Hoja1!A:B,2,FALSE)</f>
        <v>1341. Movilidad</v>
      </c>
      <c r="W485" s="56">
        <v>60</v>
      </c>
      <c r="X485" s="56">
        <v>609</v>
      </c>
    </row>
    <row r="486" spans="1:24" x14ac:dyDescent="0.25">
      <c r="A486" s="46">
        <v>220219001239</v>
      </c>
      <c r="B486" s="47" t="s">
        <v>507</v>
      </c>
      <c r="C486" s="52">
        <v>44927</v>
      </c>
      <c r="D486" s="46">
        <v>22023003379</v>
      </c>
      <c r="E486" s="47" t="s">
        <v>1453</v>
      </c>
      <c r="F486" s="53">
        <v>10950.5</v>
      </c>
      <c r="G486" s="47" t="s">
        <v>451</v>
      </c>
      <c r="H486" s="47" t="s">
        <v>1454</v>
      </c>
      <c r="I486" s="46" t="s">
        <v>511</v>
      </c>
      <c r="J486" s="47" t="s">
        <v>1455</v>
      </c>
      <c r="K486" s="47" t="s">
        <v>519</v>
      </c>
      <c r="L486" s="47" t="s">
        <v>520</v>
      </c>
      <c r="M486" s="47" t="s">
        <v>514</v>
      </c>
      <c r="N486" s="47" t="s">
        <v>515</v>
      </c>
      <c r="O486" s="45" t="s">
        <v>371</v>
      </c>
      <c r="P486" s="44" t="s">
        <v>309</v>
      </c>
      <c r="Q486" s="59" t="str">
        <f>MID(Tabla1[[#This Row],[Aplicación]],14,1)</f>
        <v>2</v>
      </c>
      <c r="R486" s="35" t="s">
        <v>298</v>
      </c>
      <c r="S486" s="59" t="str">
        <f>MID(Tabla1[[#This Row],[Aplicación]],6,2)</f>
        <v>11</v>
      </c>
      <c r="T486" s="35" t="str">
        <f>VLOOKUP(Tabla1[[#This Row],[AREA]],Hoja1!A:B,2,FALSE)</f>
        <v>11. Salud pública y seguridad ciudadana</v>
      </c>
      <c r="U486" s="35" t="str">
        <f>MID(Tabla1[[#This Row],[Aplicación]],9,4)</f>
        <v>3111</v>
      </c>
      <c r="V486" s="35" t="str">
        <f>VLOOKUP(Tabla1[[#This Row],[PROGRAMA]],Hoja1!A:B,2,FALSE)</f>
        <v>3111. Protección de la salubridad pública</v>
      </c>
      <c r="W486" s="56" t="str">
        <f>MID(Tabla1[[#This Row],[Aplicación]],14,2)</f>
        <v>22</v>
      </c>
      <c r="X486" s="56" t="str">
        <f>MID(Tabla1[[#This Row],[Aplicación]],14,6)</f>
        <v>22799</v>
      </c>
    </row>
    <row r="487" spans="1:24" x14ac:dyDescent="0.25">
      <c r="A487" s="46">
        <v>220230002629</v>
      </c>
      <c r="B487" s="47" t="s">
        <v>507</v>
      </c>
      <c r="C487" s="52">
        <v>44966</v>
      </c>
      <c r="D487" s="46">
        <v>22023002221</v>
      </c>
      <c r="E487" s="47" t="s">
        <v>1456</v>
      </c>
      <c r="F487" s="53">
        <v>1688.24</v>
      </c>
      <c r="G487" s="47" t="s">
        <v>451</v>
      </c>
      <c r="H487" s="47" t="s">
        <v>1457</v>
      </c>
      <c r="I487" s="46" t="s">
        <v>511</v>
      </c>
      <c r="J487" s="47" t="s">
        <v>1455</v>
      </c>
      <c r="K487" s="47" t="s">
        <v>519</v>
      </c>
      <c r="L487" s="47" t="s">
        <v>520</v>
      </c>
      <c r="M487" s="47" t="s">
        <v>976</v>
      </c>
      <c r="N487" s="47" t="s">
        <v>839</v>
      </c>
      <c r="O487" s="45" t="s">
        <v>383</v>
      </c>
      <c r="P487" s="44" t="s">
        <v>309</v>
      </c>
      <c r="Q487" s="59" t="str">
        <f>MID(Tabla1[[#This Row],[Aplicación]],14,1)</f>
        <v>2</v>
      </c>
      <c r="R487" s="35" t="s">
        <v>298</v>
      </c>
      <c r="S487" s="59" t="str">
        <f>MID(Tabla1[[#This Row],[Aplicación]],6,2)</f>
        <v>01</v>
      </c>
      <c r="T487" s="35" t="str">
        <f>VLOOKUP(Tabla1[[#This Row],[AREA]],Hoja1!A:B,2,FALSE)</f>
        <v>01. Alcaldía</v>
      </c>
      <c r="U487" s="35" t="str">
        <f>MID(Tabla1[[#This Row],[Aplicación]],9,4)</f>
        <v>9206</v>
      </c>
      <c r="V487" s="35" t="str">
        <f>VLOOKUP(Tabla1[[#This Row],[PROGRAMA]],Hoja1!A:B,2,FALSE)</f>
        <v>9206. Archivo municipal</v>
      </c>
      <c r="W487" s="56" t="str">
        <f>MID(Tabla1[[#This Row],[Aplicación]],14,2)</f>
        <v>22</v>
      </c>
      <c r="X487" s="56" t="str">
        <f>MID(Tabla1[[#This Row],[Aplicación]],14,6)</f>
        <v>22799</v>
      </c>
    </row>
    <row r="488" spans="1:24" x14ac:dyDescent="0.25">
      <c r="A488" s="46">
        <v>220230002069</v>
      </c>
      <c r="B488" s="47" t="s">
        <v>507</v>
      </c>
      <c r="C488" s="52">
        <v>44963</v>
      </c>
      <c r="D488" s="46">
        <v>22023001840</v>
      </c>
      <c r="E488" s="47" t="s">
        <v>1150</v>
      </c>
      <c r="F488" s="53">
        <v>887.9</v>
      </c>
      <c r="G488" s="47" t="s">
        <v>1458</v>
      </c>
      <c r="H488" s="47" t="s">
        <v>1459</v>
      </c>
      <c r="I488" s="46" t="s">
        <v>511</v>
      </c>
      <c r="J488" s="47" t="s">
        <v>519</v>
      </c>
      <c r="K488" s="47" t="s">
        <v>519</v>
      </c>
      <c r="L488" s="47" t="s">
        <v>552</v>
      </c>
      <c r="M488" s="47" t="s">
        <v>976</v>
      </c>
      <c r="N488" s="47" t="s">
        <v>839</v>
      </c>
      <c r="O488" s="45" t="s">
        <v>383</v>
      </c>
      <c r="P488" s="44" t="s">
        <v>309</v>
      </c>
      <c r="Q488" s="59" t="str">
        <f>MID(Tabla1[[#This Row],[Aplicación]],14,1)</f>
        <v>2</v>
      </c>
      <c r="R488" s="35" t="s">
        <v>298</v>
      </c>
      <c r="S488" s="59" t="str">
        <f>MID(Tabla1[[#This Row],[Aplicación]],6,2)</f>
        <v>03</v>
      </c>
      <c r="T488" s="35" t="str">
        <f>VLOOKUP(Tabla1[[#This Row],[AREA]],Hoja1!A:B,2,FALSE)</f>
        <v>03. Participación ciudadana y deportes</v>
      </c>
      <c r="U488" s="35" t="str">
        <f>MID(Tabla1[[#This Row],[Aplicación]],9,4)</f>
        <v>9241</v>
      </c>
      <c r="V488" s="35" t="str">
        <f>VLOOKUP(Tabla1[[#This Row],[PROGRAMA]],Hoja1!A:B,2,FALSE)</f>
        <v>9241. Participación ciudadana</v>
      </c>
      <c r="W488" s="56" t="str">
        <f>MID(Tabla1[[#This Row],[Aplicación]],14,2)</f>
        <v>21</v>
      </c>
      <c r="X488" s="56" t="str">
        <f>MID(Tabla1[[#This Row],[Aplicación]],14,6)</f>
        <v>213</v>
      </c>
    </row>
    <row r="489" spans="1:24" x14ac:dyDescent="0.25">
      <c r="A489" s="55">
        <v>220220050366</v>
      </c>
      <c r="B489" s="47" t="s">
        <v>507</v>
      </c>
      <c r="C489" s="52">
        <v>45014</v>
      </c>
      <c r="D489" s="46">
        <v>22022006016</v>
      </c>
      <c r="E489" s="47" t="s">
        <v>1460</v>
      </c>
      <c r="F489" s="53">
        <v>8500.34</v>
      </c>
      <c r="G489" s="47" t="s">
        <v>1458</v>
      </c>
      <c r="H489" s="47" t="s">
        <v>1461</v>
      </c>
      <c r="I489" s="46" t="s">
        <v>511</v>
      </c>
      <c r="J489" s="47" t="s">
        <v>519</v>
      </c>
      <c r="K489" s="47" t="s">
        <v>519</v>
      </c>
      <c r="L489" s="47" t="s">
        <v>552</v>
      </c>
      <c r="M489" s="47" t="s">
        <v>976</v>
      </c>
      <c r="N489" s="47" t="s">
        <v>839</v>
      </c>
      <c r="O489" s="54" t="s">
        <v>383</v>
      </c>
      <c r="P489" s="44" t="s">
        <v>309</v>
      </c>
      <c r="Q489" s="59" t="str">
        <f>MID(Tabla1[[#This Row],[Aplicación]],14,1)</f>
        <v>6</v>
      </c>
      <c r="R489" s="35" t="s">
        <v>299</v>
      </c>
      <c r="S489" s="59" t="str">
        <f>MID(Tabla1[[#This Row],[Aplicación]],6,2)</f>
        <v>03</v>
      </c>
      <c r="T489" s="35" t="str">
        <f>VLOOKUP(Tabla1[[#This Row],[AREA]],Hoja1!A:B,2,FALSE)</f>
        <v>03. Participación ciudadana y deportes</v>
      </c>
      <c r="U489" s="35" t="str">
        <f>MID(Tabla1[[#This Row],[Aplicación]],9,4)</f>
        <v>9241</v>
      </c>
      <c r="V489" s="35" t="str">
        <f>VLOOKUP(Tabla1[[#This Row],[PROGRAMA]],Hoja1!A:B,2,FALSE)</f>
        <v>9241. Participación ciudadana</v>
      </c>
      <c r="W489" s="56" t="str">
        <f>MID(Tabla1[[#This Row],[Aplicación]],14,2)</f>
        <v>63</v>
      </c>
      <c r="X489" s="56" t="str">
        <f>MID(Tabla1[[#This Row],[Aplicación]],14,6)</f>
        <v>633</v>
      </c>
    </row>
    <row r="490" spans="1:24" x14ac:dyDescent="0.25">
      <c r="A490" s="46">
        <v>220229000804</v>
      </c>
      <c r="B490" s="47" t="s">
        <v>507</v>
      </c>
      <c r="C490" s="52">
        <v>44927</v>
      </c>
      <c r="D490" s="46">
        <v>22023001876</v>
      </c>
      <c r="E490" s="47" t="s">
        <v>1241</v>
      </c>
      <c r="F490" s="53">
        <v>18344.29</v>
      </c>
      <c r="G490" s="47" t="s">
        <v>65</v>
      </c>
      <c r="H490" s="47" t="s">
        <v>1462</v>
      </c>
      <c r="I490" s="46" t="s">
        <v>511</v>
      </c>
      <c r="J490" s="47" t="s">
        <v>519</v>
      </c>
      <c r="K490" s="47" t="s">
        <v>519</v>
      </c>
      <c r="L490" s="47" t="s">
        <v>520</v>
      </c>
      <c r="M490" s="47" t="s">
        <v>514</v>
      </c>
      <c r="N490" s="47" t="s">
        <v>515</v>
      </c>
      <c r="O490" s="45" t="s">
        <v>371</v>
      </c>
      <c r="P490" s="44" t="s">
        <v>309</v>
      </c>
      <c r="Q490" s="59" t="str">
        <f>MID(Tabla1[[#This Row],[Aplicación]],14,1)</f>
        <v>2</v>
      </c>
      <c r="R490" s="35" t="s">
        <v>298</v>
      </c>
      <c r="S490" s="59" t="str">
        <f>MID(Tabla1[[#This Row],[Aplicación]],6,2)</f>
        <v>06</v>
      </c>
      <c r="T490" s="35" t="str">
        <f>VLOOKUP(Tabla1[[#This Row],[AREA]],Hoja1!A:B,2,FALSE)</f>
        <v>06. Educación, infancia, juventud e igualdad</v>
      </c>
      <c r="U490" s="35" t="str">
        <f>MID(Tabla1[[#This Row],[Aplicación]],9,4)</f>
        <v>3231</v>
      </c>
      <c r="V490" s="35" t="str">
        <f>VLOOKUP(Tabla1[[#This Row],[PROGRAMA]],Hoja1!A:B,2,FALSE)</f>
        <v>3231. Escuelas infantiles</v>
      </c>
      <c r="W490" s="56" t="str">
        <f>MID(Tabla1[[#This Row],[Aplicación]],14,2)</f>
        <v>21</v>
      </c>
      <c r="X490" s="56" t="str">
        <f>MID(Tabla1[[#This Row],[Aplicación]],14,6)</f>
        <v>213</v>
      </c>
    </row>
    <row r="491" spans="1:24" x14ac:dyDescent="0.25">
      <c r="A491" s="46">
        <v>220229000434</v>
      </c>
      <c r="B491" s="47" t="s">
        <v>507</v>
      </c>
      <c r="C491" s="52">
        <v>44927</v>
      </c>
      <c r="D491" s="46">
        <v>22023001182</v>
      </c>
      <c r="E491" s="47" t="s">
        <v>835</v>
      </c>
      <c r="F491" s="53">
        <v>15000</v>
      </c>
      <c r="G491" s="47" t="s">
        <v>65</v>
      </c>
      <c r="H491" s="47" t="s">
        <v>1463</v>
      </c>
      <c r="I491" s="46" t="s">
        <v>511</v>
      </c>
      <c r="J491" s="47" t="s">
        <v>519</v>
      </c>
      <c r="K491" s="47" t="s">
        <v>519</v>
      </c>
      <c r="L491" s="47" t="s">
        <v>520</v>
      </c>
      <c r="M491" s="47" t="s">
        <v>514</v>
      </c>
      <c r="N491" s="47" t="s">
        <v>515</v>
      </c>
      <c r="O491" s="45" t="s">
        <v>371</v>
      </c>
      <c r="P491" s="44" t="s">
        <v>309</v>
      </c>
      <c r="Q491" s="59" t="str">
        <f>MID(Tabla1[[#This Row],[Aplicación]],14,1)</f>
        <v>2</v>
      </c>
      <c r="R491" s="35" t="s">
        <v>298</v>
      </c>
      <c r="S491" s="59" t="str">
        <f>MID(Tabla1[[#This Row],[Aplicación]],6,2)</f>
        <v>05</v>
      </c>
      <c r="T491" s="35" t="str">
        <f>VLOOKUP(Tabla1[[#This Row],[AREA]],Hoja1!A:B,2,FALSE)</f>
        <v>05. Innovación, desarrollo económico, empleo y comercio</v>
      </c>
      <c r="U491" s="35" t="str">
        <f>MID(Tabla1[[#This Row],[Aplicación]],9,4)</f>
        <v>4331</v>
      </c>
      <c r="V491" s="35" t="str">
        <f>VLOOKUP(Tabla1[[#This Row],[PROGRAMA]],Hoja1!A:B,2,FALSE)</f>
        <v>4331. Desarrollo empresarial</v>
      </c>
      <c r="W491" s="56" t="str">
        <f>MID(Tabla1[[#This Row],[Aplicación]],14,2)</f>
        <v>22</v>
      </c>
      <c r="X491" s="56" t="str">
        <f>MID(Tabla1[[#This Row],[Aplicación]],14,6)</f>
        <v>22799</v>
      </c>
    </row>
    <row r="492" spans="1:24" x14ac:dyDescent="0.25">
      <c r="A492" s="46">
        <v>220229000720</v>
      </c>
      <c r="B492" s="47" t="s">
        <v>507</v>
      </c>
      <c r="C492" s="52">
        <v>44927</v>
      </c>
      <c r="D492" s="46">
        <v>22023001301</v>
      </c>
      <c r="E492" s="47" t="s">
        <v>835</v>
      </c>
      <c r="F492" s="53">
        <v>8938.8799999999992</v>
      </c>
      <c r="G492" s="47" t="s">
        <v>65</v>
      </c>
      <c r="H492" s="47" t="s">
        <v>1464</v>
      </c>
      <c r="I492" s="46" t="s">
        <v>511</v>
      </c>
      <c r="J492" s="47" t="s">
        <v>519</v>
      </c>
      <c r="K492" s="47" t="s">
        <v>519</v>
      </c>
      <c r="L492" s="47" t="s">
        <v>520</v>
      </c>
      <c r="M492" s="47" t="s">
        <v>976</v>
      </c>
      <c r="N492" s="47" t="s">
        <v>839</v>
      </c>
      <c r="O492" s="45" t="s">
        <v>383</v>
      </c>
      <c r="P492" s="44" t="s">
        <v>309</v>
      </c>
      <c r="Q492" s="59" t="str">
        <f>MID(Tabla1[[#This Row],[Aplicación]],14,1)</f>
        <v>2</v>
      </c>
      <c r="R492" s="35" t="s">
        <v>298</v>
      </c>
      <c r="S492" s="59" t="str">
        <f>MID(Tabla1[[#This Row],[Aplicación]],6,2)</f>
        <v>05</v>
      </c>
      <c r="T492" s="35" t="str">
        <f>VLOOKUP(Tabla1[[#This Row],[AREA]],Hoja1!A:B,2,FALSE)</f>
        <v>05. Innovación, desarrollo económico, empleo y comercio</v>
      </c>
      <c r="U492" s="35" t="str">
        <f>MID(Tabla1[[#This Row],[Aplicación]],9,4)</f>
        <v>4331</v>
      </c>
      <c r="V492" s="35" t="str">
        <f>VLOOKUP(Tabla1[[#This Row],[PROGRAMA]],Hoja1!A:B,2,FALSE)</f>
        <v>4331. Desarrollo empresarial</v>
      </c>
      <c r="W492" s="56" t="str">
        <f>MID(Tabla1[[#This Row],[Aplicación]],14,2)</f>
        <v>22</v>
      </c>
      <c r="X492" s="56" t="str">
        <f>MID(Tabla1[[#This Row],[Aplicación]],14,6)</f>
        <v>22799</v>
      </c>
    </row>
    <row r="493" spans="1:24" x14ac:dyDescent="0.25">
      <c r="A493" s="46">
        <v>220229000809</v>
      </c>
      <c r="B493" s="47" t="s">
        <v>507</v>
      </c>
      <c r="C493" s="52">
        <v>44927</v>
      </c>
      <c r="D493" s="46">
        <v>22023001881</v>
      </c>
      <c r="E493" s="47" t="s">
        <v>1155</v>
      </c>
      <c r="F493" s="53">
        <v>6171.08</v>
      </c>
      <c r="G493" s="47" t="s">
        <v>65</v>
      </c>
      <c r="H493" s="47" t="s">
        <v>1465</v>
      </c>
      <c r="I493" s="46" t="s">
        <v>511</v>
      </c>
      <c r="J493" s="47" t="s">
        <v>519</v>
      </c>
      <c r="K493" s="47" t="s">
        <v>519</v>
      </c>
      <c r="L493" s="47" t="s">
        <v>520</v>
      </c>
      <c r="M493" s="47" t="s">
        <v>514</v>
      </c>
      <c r="N493" s="47" t="s">
        <v>515</v>
      </c>
      <c r="O493" s="45" t="s">
        <v>371</v>
      </c>
      <c r="P493" s="44" t="s">
        <v>309</v>
      </c>
      <c r="Q493" s="59" t="str">
        <f>MID(Tabla1[[#This Row],[Aplicación]],14,1)</f>
        <v>2</v>
      </c>
      <c r="R493" s="35" t="s">
        <v>298</v>
      </c>
      <c r="S493" s="59" t="str">
        <f>MID(Tabla1[[#This Row],[Aplicación]],6,2)</f>
        <v>06</v>
      </c>
      <c r="T493" s="35" t="str">
        <f>VLOOKUP(Tabla1[[#This Row],[AREA]],Hoja1!A:B,2,FALSE)</f>
        <v>06. Educación, infancia, juventud e igualdad</v>
      </c>
      <c r="U493" s="35" t="str">
        <f>MID(Tabla1[[#This Row],[Aplicación]],9,4)</f>
        <v>2314</v>
      </c>
      <c r="V493" s="35" t="str">
        <f>VLOOKUP(Tabla1[[#This Row],[PROGRAMA]],Hoja1!A:B,2,FALSE)</f>
        <v>2314. Centro de programas juveniles</v>
      </c>
      <c r="W493" s="56" t="str">
        <f>MID(Tabla1[[#This Row],[Aplicación]],14,2)</f>
        <v>21</v>
      </c>
      <c r="X493" s="56" t="str">
        <f>MID(Tabla1[[#This Row],[Aplicación]],14,6)</f>
        <v>213</v>
      </c>
    </row>
    <row r="494" spans="1:24" x14ac:dyDescent="0.25">
      <c r="A494" s="46">
        <v>220230000040</v>
      </c>
      <c r="B494" s="47" t="s">
        <v>507</v>
      </c>
      <c r="C494" s="52">
        <v>44927</v>
      </c>
      <c r="D494" s="46">
        <v>22023000527</v>
      </c>
      <c r="E494" s="47" t="s">
        <v>1150</v>
      </c>
      <c r="F494" s="53">
        <v>1759.18</v>
      </c>
      <c r="G494" s="47" t="s">
        <v>65</v>
      </c>
      <c r="H494" s="47" t="s">
        <v>1466</v>
      </c>
      <c r="I494" s="46" t="s">
        <v>511</v>
      </c>
      <c r="J494" s="47" t="s">
        <v>519</v>
      </c>
      <c r="K494" s="47" t="s">
        <v>519</v>
      </c>
      <c r="L494" s="47" t="s">
        <v>520</v>
      </c>
      <c r="M494" s="47" t="s">
        <v>514</v>
      </c>
      <c r="N494" s="47" t="s">
        <v>604</v>
      </c>
      <c r="O494" s="45" t="s">
        <v>371</v>
      </c>
      <c r="P494" s="44" t="s">
        <v>309</v>
      </c>
      <c r="Q494" s="59" t="str">
        <f>MID(Tabla1[[#This Row],[Aplicación]],14,1)</f>
        <v>2</v>
      </c>
      <c r="R494" s="35" t="s">
        <v>298</v>
      </c>
      <c r="S494" s="59" t="str">
        <f>MID(Tabla1[[#This Row],[Aplicación]],6,2)</f>
        <v>03</v>
      </c>
      <c r="T494" s="35" t="str">
        <f>VLOOKUP(Tabla1[[#This Row],[AREA]],Hoja1!A:B,2,FALSE)</f>
        <v>03. Participación ciudadana y deportes</v>
      </c>
      <c r="U494" s="35" t="str">
        <f>MID(Tabla1[[#This Row],[Aplicación]],9,4)</f>
        <v>9241</v>
      </c>
      <c r="V494" s="35" t="str">
        <f>VLOOKUP(Tabla1[[#This Row],[PROGRAMA]],Hoja1!A:B,2,FALSE)</f>
        <v>9241. Participación ciudadana</v>
      </c>
      <c r="W494" s="56" t="str">
        <f>MID(Tabla1[[#This Row],[Aplicación]],14,2)</f>
        <v>21</v>
      </c>
      <c r="X494" s="56" t="str">
        <f>MID(Tabla1[[#This Row],[Aplicación]],14,6)</f>
        <v>213</v>
      </c>
    </row>
    <row r="495" spans="1:24" x14ac:dyDescent="0.25">
      <c r="A495" s="46">
        <v>220229000810</v>
      </c>
      <c r="B495" s="47" t="s">
        <v>507</v>
      </c>
      <c r="C495" s="52">
        <v>44927</v>
      </c>
      <c r="D495" s="46">
        <v>22023001882</v>
      </c>
      <c r="E495" s="47" t="s">
        <v>673</v>
      </c>
      <c r="F495" s="53">
        <v>1542.77</v>
      </c>
      <c r="G495" s="47" t="s">
        <v>65</v>
      </c>
      <c r="H495" s="47" t="s">
        <v>1467</v>
      </c>
      <c r="I495" s="46" t="s">
        <v>511</v>
      </c>
      <c r="J495" s="47" t="s">
        <v>519</v>
      </c>
      <c r="K495" s="47" t="s">
        <v>519</v>
      </c>
      <c r="L495" s="47" t="s">
        <v>520</v>
      </c>
      <c r="M495" s="47" t="s">
        <v>514</v>
      </c>
      <c r="N495" s="47" t="s">
        <v>515</v>
      </c>
      <c r="O495" s="45" t="s">
        <v>371</v>
      </c>
      <c r="P495" s="44" t="s">
        <v>309</v>
      </c>
      <c r="Q495" s="59" t="str">
        <f>MID(Tabla1[[#This Row],[Aplicación]],14,1)</f>
        <v>2</v>
      </c>
      <c r="R495" s="35" t="s">
        <v>298</v>
      </c>
      <c r="S495" s="59" t="str">
        <f>MID(Tabla1[[#This Row],[Aplicación]],6,2)</f>
        <v>06</v>
      </c>
      <c r="T495" s="35" t="str">
        <f>VLOOKUP(Tabla1[[#This Row],[AREA]],Hoja1!A:B,2,FALSE)</f>
        <v>06. Educación, infancia, juventud e igualdad</v>
      </c>
      <c r="U495" s="35" t="str">
        <f>MID(Tabla1[[#This Row],[Aplicación]],9,4)</f>
        <v>2315</v>
      </c>
      <c r="V495" s="35" t="str">
        <f>VLOOKUP(Tabla1[[#This Row],[PROGRAMA]],Hoja1!A:B,2,FALSE)</f>
        <v>2315. Políticas de Igualdad e infancia</v>
      </c>
      <c r="W495" s="56" t="str">
        <f>MID(Tabla1[[#This Row],[Aplicación]],14,2)</f>
        <v>21</v>
      </c>
      <c r="X495" s="56" t="str">
        <f>MID(Tabla1[[#This Row],[Aplicación]],14,6)</f>
        <v>213</v>
      </c>
    </row>
    <row r="496" spans="1:24" x14ac:dyDescent="0.25">
      <c r="A496" s="46">
        <v>220229000411</v>
      </c>
      <c r="B496" s="47" t="s">
        <v>507</v>
      </c>
      <c r="C496" s="52">
        <v>44927</v>
      </c>
      <c r="D496" s="46">
        <v>22023001181</v>
      </c>
      <c r="E496" s="47" t="s">
        <v>944</v>
      </c>
      <c r="F496" s="53">
        <v>78750</v>
      </c>
      <c r="G496" s="47" t="s">
        <v>65</v>
      </c>
      <c r="H496" s="47" t="s">
        <v>1468</v>
      </c>
      <c r="I496" s="46" t="s">
        <v>511</v>
      </c>
      <c r="J496" s="47" t="s">
        <v>519</v>
      </c>
      <c r="K496" s="47" t="s">
        <v>519</v>
      </c>
      <c r="L496" s="47" t="s">
        <v>520</v>
      </c>
      <c r="M496" s="47" t="s">
        <v>514</v>
      </c>
      <c r="N496" s="47" t="s">
        <v>515</v>
      </c>
      <c r="O496" s="45" t="s">
        <v>371</v>
      </c>
      <c r="P496" s="44" t="s">
        <v>309</v>
      </c>
      <c r="Q496" s="59" t="str">
        <f>MID(Tabla1[[#This Row],[Aplicación]],14,1)</f>
        <v>2</v>
      </c>
      <c r="R496" s="35" t="s">
        <v>298</v>
      </c>
      <c r="S496" s="59" t="str">
        <f>MID(Tabla1[[#This Row],[Aplicación]],6,2)</f>
        <v>04</v>
      </c>
      <c r="T496" s="35" t="str">
        <f>VLOOKUP(Tabla1[[#This Row],[AREA]],Hoja1!A:B,2,FALSE)</f>
        <v>04. Planificación y recursos</v>
      </c>
      <c r="U496" s="35" t="str">
        <f>MID(Tabla1[[#This Row],[Aplicación]],9,4)</f>
        <v>9231</v>
      </c>
      <c r="V496" s="35" t="str">
        <f>VLOOKUP(Tabla1[[#This Row],[PROGRAMA]],Hoja1!A:B,2,FALSE)</f>
        <v>9231. Información, registro y gestión del padrón</v>
      </c>
      <c r="W496" s="56" t="str">
        <f>MID(Tabla1[[#This Row],[Aplicación]],14,2)</f>
        <v>22</v>
      </c>
      <c r="X496" s="56" t="str">
        <f>MID(Tabla1[[#This Row],[Aplicación]],14,6)</f>
        <v>22799</v>
      </c>
    </row>
    <row r="497" spans="1:24" x14ac:dyDescent="0.25">
      <c r="A497" s="46">
        <v>220229000805</v>
      </c>
      <c r="B497" s="47" t="s">
        <v>507</v>
      </c>
      <c r="C497" s="52">
        <v>44927</v>
      </c>
      <c r="D497" s="46">
        <v>22023001877</v>
      </c>
      <c r="E497" s="47" t="s">
        <v>1153</v>
      </c>
      <c r="F497" s="53">
        <v>771.38</v>
      </c>
      <c r="G497" s="47" t="s">
        <v>65</v>
      </c>
      <c r="H497" s="47" t="s">
        <v>1469</v>
      </c>
      <c r="I497" s="46" t="s">
        <v>511</v>
      </c>
      <c r="J497" s="47" t="s">
        <v>519</v>
      </c>
      <c r="K497" s="47" t="s">
        <v>519</v>
      </c>
      <c r="L497" s="47" t="s">
        <v>520</v>
      </c>
      <c r="M497" s="47" t="s">
        <v>514</v>
      </c>
      <c r="N497" s="47" t="s">
        <v>515</v>
      </c>
      <c r="O497" s="45" t="s">
        <v>371</v>
      </c>
      <c r="P497" s="44" t="s">
        <v>309</v>
      </c>
      <c r="Q497" s="59" t="str">
        <f>MID(Tabla1[[#This Row],[Aplicación]],14,1)</f>
        <v>2</v>
      </c>
      <c r="R497" s="35" t="s">
        <v>298</v>
      </c>
      <c r="S497" s="59" t="str">
        <f>MID(Tabla1[[#This Row],[Aplicación]],6,2)</f>
        <v>06</v>
      </c>
      <c r="T497" s="35" t="str">
        <f>VLOOKUP(Tabla1[[#This Row],[AREA]],Hoja1!A:B,2,FALSE)</f>
        <v>06. Educación, infancia, juventud e igualdad</v>
      </c>
      <c r="U497" s="35" t="str">
        <f>MID(Tabla1[[#This Row],[Aplicación]],9,4)</f>
        <v>3261</v>
      </c>
      <c r="V497" s="35" t="str">
        <f>VLOOKUP(Tabla1[[#This Row],[PROGRAMA]],Hoja1!A:B,2,FALSE)</f>
        <v>3261. Servicios complementarios de educación</v>
      </c>
      <c r="W497" s="56" t="str">
        <f>MID(Tabla1[[#This Row],[Aplicación]],14,2)</f>
        <v>21</v>
      </c>
      <c r="X497" s="56" t="str">
        <f>MID(Tabla1[[#This Row],[Aplicación]],14,6)</f>
        <v>213</v>
      </c>
    </row>
    <row r="498" spans="1:24" x14ac:dyDescent="0.25">
      <c r="A498" s="46">
        <v>220230003927</v>
      </c>
      <c r="B498" s="47" t="s">
        <v>507</v>
      </c>
      <c r="C498" s="52">
        <v>44974</v>
      </c>
      <c r="D498" s="46">
        <v>22023002334</v>
      </c>
      <c r="E498" s="47" t="s">
        <v>1241</v>
      </c>
      <c r="F498" s="53">
        <v>14209.55</v>
      </c>
      <c r="G498" s="47" t="s">
        <v>65</v>
      </c>
      <c r="H498" s="47" t="s">
        <v>1470</v>
      </c>
      <c r="I498" s="46" t="s">
        <v>511</v>
      </c>
      <c r="J498" s="47" t="s">
        <v>519</v>
      </c>
      <c r="K498" s="47" t="s">
        <v>519</v>
      </c>
      <c r="L498" s="47" t="s">
        <v>520</v>
      </c>
      <c r="M498" s="47" t="s">
        <v>514</v>
      </c>
      <c r="N498" s="47" t="s">
        <v>515</v>
      </c>
      <c r="O498" s="45" t="s">
        <v>371</v>
      </c>
      <c r="P498" s="44" t="s">
        <v>309</v>
      </c>
      <c r="Q498" s="59" t="str">
        <f>MID(Tabla1[[#This Row],[Aplicación]],14,1)</f>
        <v>2</v>
      </c>
      <c r="R498" s="35" t="s">
        <v>298</v>
      </c>
      <c r="S498" s="59" t="str">
        <f>MID(Tabla1[[#This Row],[Aplicación]],6,2)</f>
        <v>06</v>
      </c>
      <c r="T498" s="35" t="str">
        <f>VLOOKUP(Tabla1[[#This Row],[AREA]],Hoja1!A:B,2,FALSE)</f>
        <v>06. Educación, infancia, juventud e igualdad</v>
      </c>
      <c r="U498" s="35" t="str">
        <f>MID(Tabla1[[#This Row],[Aplicación]],9,4)</f>
        <v>3231</v>
      </c>
      <c r="V498" s="35" t="str">
        <f>VLOOKUP(Tabla1[[#This Row],[PROGRAMA]],Hoja1!A:B,2,FALSE)</f>
        <v>3231. Escuelas infantiles</v>
      </c>
      <c r="W498" s="56" t="str">
        <f>MID(Tabla1[[#This Row],[Aplicación]],14,2)</f>
        <v>21</v>
      </c>
      <c r="X498" s="56" t="str">
        <f>MID(Tabla1[[#This Row],[Aplicación]],14,6)</f>
        <v>213</v>
      </c>
    </row>
    <row r="499" spans="1:24" x14ac:dyDescent="0.25">
      <c r="A499" s="46">
        <v>220230003927</v>
      </c>
      <c r="B499" s="47" t="s">
        <v>507</v>
      </c>
      <c r="C499" s="52">
        <v>44974</v>
      </c>
      <c r="D499" s="46">
        <v>22023002333</v>
      </c>
      <c r="E499" s="47" t="s">
        <v>1241</v>
      </c>
      <c r="F499" s="53">
        <v>4134.74</v>
      </c>
      <c r="G499" s="47" t="s">
        <v>65</v>
      </c>
      <c r="H499" s="47" t="s">
        <v>1470</v>
      </c>
      <c r="I499" s="46" t="s">
        <v>511</v>
      </c>
      <c r="J499" s="47" t="s">
        <v>519</v>
      </c>
      <c r="K499" s="47" t="s">
        <v>519</v>
      </c>
      <c r="L499" s="47" t="s">
        <v>520</v>
      </c>
      <c r="M499" s="47" t="s">
        <v>514</v>
      </c>
      <c r="N499" s="47" t="s">
        <v>515</v>
      </c>
      <c r="O499" s="45" t="s">
        <v>371</v>
      </c>
      <c r="P499" s="44" t="s">
        <v>309</v>
      </c>
      <c r="Q499" s="59" t="str">
        <f>MID(Tabla1[[#This Row],[Aplicación]],14,1)</f>
        <v>2</v>
      </c>
      <c r="R499" s="35" t="s">
        <v>298</v>
      </c>
      <c r="S499" s="59" t="str">
        <f>MID(Tabla1[[#This Row],[Aplicación]],6,2)</f>
        <v>06</v>
      </c>
      <c r="T499" s="35" t="str">
        <f>VLOOKUP(Tabla1[[#This Row],[AREA]],Hoja1!A:B,2,FALSE)</f>
        <v>06. Educación, infancia, juventud e igualdad</v>
      </c>
      <c r="U499" s="35" t="str">
        <f>MID(Tabla1[[#This Row],[Aplicación]],9,4)</f>
        <v>3231</v>
      </c>
      <c r="V499" s="35" t="str">
        <f>VLOOKUP(Tabla1[[#This Row],[PROGRAMA]],Hoja1!A:B,2,FALSE)</f>
        <v>3231. Escuelas infantiles</v>
      </c>
      <c r="W499" s="56" t="str">
        <f>MID(Tabla1[[#This Row],[Aplicación]],14,2)</f>
        <v>21</v>
      </c>
      <c r="X499" s="56" t="str">
        <f>MID(Tabla1[[#This Row],[Aplicación]],14,6)</f>
        <v>213</v>
      </c>
    </row>
    <row r="500" spans="1:24" x14ac:dyDescent="0.25">
      <c r="A500" s="46">
        <v>220230003926</v>
      </c>
      <c r="B500" s="47" t="s">
        <v>1337</v>
      </c>
      <c r="C500" s="52">
        <v>44974</v>
      </c>
      <c r="D500" s="46">
        <v>22023001876</v>
      </c>
      <c r="E500" s="47" t="s">
        <v>1241</v>
      </c>
      <c r="F500" s="53">
        <v>-18344.29</v>
      </c>
      <c r="G500" s="47" t="s">
        <v>65</v>
      </c>
      <c r="H500" s="47" t="s">
        <v>1471</v>
      </c>
      <c r="I500" s="46" t="s">
        <v>511</v>
      </c>
      <c r="J500" s="47" t="s">
        <v>519</v>
      </c>
      <c r="K500" s="47" t="s">
        <v>519</v>
      </c>
      <c r="L500" s="47" t="s">
        <v>520</v>
      </c>
      <c r="M500" s="47" t="s">
        <v>514</v>
      </c>
      <c r="N500" s="47" t="s">
        <v>515</v>
      </c>
      <c r="O500" s="54" t="s">
        <v>371</v>
      </c>
      <c r="P500" s="44" t="s">
        <v>309</v>
      </c>
      <c r="Q500" s="59" t="str">
        <f>MID(Tabla1[[#This Row],[Aplicación]],14,1)</f>
        <v>2</v>
      </c>
      <c r="R500" s="35" t="s">
        <v>298</v>
      </c>
      <c r="S500" s="59" t="str">
        <f>MID(Tabla1[[#This Row],[Aplicación]],6,2)</f>
        <v>06</v>
      </c>
      <c r="T500" s="35" t="str">
        <f>VLOOKUP(Tabla1[[#This Row],[AREA]],Hoja1!A:B,2,FALSE)</f>
        <v>06. Educación, infancia, juventud e igualdad</v>
      </c>
      <c r="U500" s="35" t="str">
        <f>MID(Tabla1[[#This Row],[Aplicación]],9,4)</f>
        <v>3231</v>
      </c>
      <c r="V500" s="35" t="str">
        <f>VLOOKUP(Tabla1[[#This Row],[PROGRAMA]],Hoja1!A:B,2,FALSE)</f>
        <v>3231. Escuelas infantiles</v>
      </c>
      <c r="W500" s="56" t="str">
        <f>MID(Tabla1[[#This Row],[Aplicación]],14,2)</f>
        <v>21</v>
      </c>
      <c r="X500" s="56" t="str">
        <f>MID(Tabla1[[#This Row],[Aplicación]],14,6)</f>
        <v>213</v>
      </c>
    </row>
    <row r="501" spans="1:24" x14ac:dyDescent="0.25">
      <c r="A501" s="46">
        <v>220230003916</v>
      </c>
      <c r="B501" s="47" t="s">
        <v>1337</v>
      </c>
      <c r="C501" s="52">
        <v>44974</v>
      </c>
      <c r="D501" s="46">
        <v>22023000918</v>
      </c>
      <c r="E501" s="47" t="s">
        <v>578</v>
      </c>
      <c r="F501" s="53">
        <v>-175309.29</v>
      </c>
      <c r="G501" s="47" t="s">
        <v>788</v>
      </c>
      <c r="H501" s="47" t="s">
        <v>1472</v>
      </c>
      <c r="I501" s="46" t="s">
        <v>511</v>
      </c>
      <c r="J501" s="47" t="s">
        <v>512</v>
      </c>
      <c r="K501" s="47" t="s">
        <v>512</v>
      </c>
      <c r="L501" s="47" t="s">
        <v>520</v>
      </c>
      <c r="M501" s="47" t="s">
        <v>514</v>
      </c>
      <c r="N501" s="47" t="s">
        <v>515</v>
      </c>
      <c r="O501" s="54" t="s">
        <v>371</v>
      </c>
      <c r="P501" s="44" t="s">
        <v>309</v>
      </c>
      <c r="Q501" s="59" t="str">
        <f>MID(Tabla1[[#This Row],[Aplicación]],14,1)</f>
        <v>2</v>
      </c>
      <c r="R501" s="35" t="s">
        <v>298</v>
      </c>
      <c r="S501" s="59" t="str">
        <f>MID(Tabla1[[#This Row],[Aplicación]],6,2)</f>
        <v>06</v>
      </c>
      <c r="T501" s="35" t="str">
        <f>VLOOKUP(Tabla1[[#This Row],[AREA]],Hoja1!A:B,2,FALSE)</f>
        <v>06. Educación, infancia, juventud e igualdad</v>
      </c>
      <c r="U501" s="35" t="str">
        <f>MID(Tabla1[[#This Row],[Aplicación]],9,4)</f>
        <v>3231</v>
      </c>
      <c r="V501" s="35" t="str">
        <f>VLOOKUP(Tabla1[[#This Row],[PROGRAMA]],Hoja1!A:B,2,FALSE)</f>
        <v>3231. Escuelas infantiles</v>
      </c>
      <c r="W501" s="56" t="str">
        <f>MID(Tabla1[[#This Row],[Aplicación]],14,2)</f>
        <v>22</v>
      </c>
      <c r="X501" s="56" t="str">
        <f>MID(Tabla1[[#This Row],[Aplicación]],14,6)</f>
        <v>22799</v>
      </c>
    </row>
    <row r="502" spans="1:24" x14ac:dyDescent="0.25">
      <c r="A502" s="46">
        <v>220230003914</v>
      </c>
      <c r="B502" s="47" t="s">
        <v>1337</v>
      </c>
      <c r="C502" s="52">
        <v>44974</v>
      </c>
      <c r="D502" s="46">
        <v>22023000917</v>
      </c>
      <c r="E502" s="47" t="s">
        <v>578</v>
      </c>
      <c r="F502" s="53">
        <v>-185441.28</v>
      </c>
      <c r="G502" s="47" t="s">
        <v>788</v>
      </c>
      <c r="H502" s="47" t="s">
        <v>1473</v>
      </c>
      <c r="I502" s="46" t="s">
        <v>511</v>
      </c>
      <c r="J502" s="47" t="s">
        <v>512</v>
      </c>
      <c r="K502" s="47" t="s">
        <v>512</v>
      </c>
      <c r="L502" s="47" t="s">
        <v>520</v>
      </c>
      <c r="M502" s="47" t="s">
        <v>514</v>
      </c>
      <c r="N502" s="47" t="s">
        <v>515</v>
      </c>
      <c r="O502" s="54" t="s">
        <v>371</v>
      </c>
      <c r="P502" s="44" t="s">
        <v>309</v>
      </c>
      <c r="Q502" s="59" t="str">
        <f>MID(Tabla1[[#This Row],[Aplicación]],14,1)</f>
        <v>2</v>
      </c>
      <c r="R502" s="35" t="s">
        <v>298</v>
      </c>
      <c r="S502" s="59" t="str">
        <f>MID(Tabla1[[#This Row],[Aplicación]],6,2)</f>
        <v>06</v>
      </c>
      <c r="T502" s="35" t="str">
        <f>VLOOKUP(Tabla1[[#This Row],[AREA]],Hoja1!A:B,2,FALSE)</f>
        <v>06. Educación, infancia, juventud e igualdad</v>
      </c>
      <c r="U502" s="35" t="str">
        <f>MID(Tabla1[[#This Row],[Aplicación]],9,4)</f>
        <v>3231</v>
      </c>
      <c r="V502" s="35" t="str">
        <f>VLOOKUP(Tabla1[[#This Row],[PROGRAMA]],Hoja1!A:B,2,FALSE)</f>
        <v>3231. Escuelas infantiles</v>
      </c>
      <c r="W502" s="56" t="str">
        <f>MID(Tabla1[[#This Row],[Aplicación]],14,2)</f>
        <v>22</v>
      </c>
      <c r="X502" s="56" t="str">
        <f>MID(Tabla1[[#This Row],[Aplicación]],14,6)</f>
        <v>22799</v>
      </c>
    </row>
    <row r="503" spans="1:24" x14ac:dyDescent="0.25">
      <c r="A503" s="46">
        <v>220230002382</v>
      </c>
      <c r="B503" s="47" t="s">
        <v>507</v>
      </c>
      <c r="C503" s="52">
        <v>44964</v>
      </c>
      <c r="D503" s="46">
        <v>22023000066</v>
      </c>
      <c r="E503" s="47" t="s">
        <v>1386</v>
      </c>
      <c r="F503" s="53">
        <v>18897.12</v>
      </c>
      <c r="G503" s="47" t="s">
        <v>26</v>
      </c>
      <c r="H503" s="47" t="s">
        <v>1474</v>
      </c>
      <c r="I503" s="46" t="s">
        <v>511</v>
      </c>
      <c r="J503" s="47" t="s">
        <v>512</v>
      </c>
      <c r="K503" s="47" t="s">
        <v>512</v>
      </c>
      <c r="L503" s="47" t="s">
        <v>520</v>
      </c>
      <c r="M503" s="47" t="s">
        <v>976</v>
      </c>
      <c r="N503" s="47" t="s">
        <v>839</v>
      </c>
      <c r="O503" s="45" t="s">
        <v>383</v>
      </c>
      <c r="P503" s="44" t="s">
        <v>309</v>
      </c>
      <c r="Q503" s="59" t="str">
        <f>MID(Tabla1[[#This Row],[Aplicación]],14,1)</f>
        <v>2</v>
      </c>
      <c r="R503" s="35" t="s">
        <v>298</v>
      </c>
      <c r="S503" s="59" t="str">
        <f>MID(Tabla1[[#This Row],[Aplicación]],6,2)</f>
        <v>01</v>
      </c>
      <c r="T503" s="35" t="str">
        <f>VLOOKUP(Tabla1[[#This Row],[AREA]],Hoja1!A:B,2,FALSE)</f>
        <v>01. Alcaldía</v>
      </c>
      <c r="U503" s="35" t="str">
        <f>MID(Tabla1[[#This Row],[Aplicación]],9,4)</f>
        <v>9207</v>
      </c>
      <c r="V503" s="35" t="str">
        <f>VLOOKUP(Tabla1[[#This Row],[PROGRAMA]],Hoja1!A:B,2,FALSE)</f>
        <v>9207. Gobierno y relaciones</v>
      </c>
      <c r="W503" s="56" t="str">
        <f>MID(Tabla1[[#This Row],[Aplicación]],14,2)</f>
        <v>22</v>
      </c>
      <c r="X503" s="56" t="str">
        <f>MID(Tabla1[[#This Row],[Aplicación]],14,6)</f>
        <v>22001</v>
      </c>
    </row>
    <row r="504" spans="1:24" x14ac:dyDescent="0.25">
      <c r="A504" s="55">
        <v>220230008945</v>
      </c>
      <c r="B504" s="47" t="s">
        <v>507</v>
      </c>
      <c r="C504" s="52">
        <v>45002</v>
      </c>
      <c r="D504" s="46">
        <v>22023003119</v>
      </c>
      <c r="E504" s="47" t="s">
        <v>1390</v>
      </c>
      <c r="F504" s="53">
        <v>2171.9499999999998</v>
      </c>
      <c r="G504" s="47" t="s">
        <v>1475</v>
      </c>
      <c r="H504" s="47" t="s">
        <v>1476</v>
      </c>
      <c r="I504" s="46" t="s">
        <v>511</v>
      </c>
      <c r="J504" s="47" t="s">
        <v>837</v>
      </c>
      <c r="K504" s="47" t="s">
        <v>837</v>
      </c>
      <c r="L504" s="47" t="s">
        <v>520</v>
      </c>
      <c r="M504" s="47" t="s">
        <v>976</v>
      </c>
      <c r="N504" s="47" t="s">
        <v>839</v>
      </c>
      <c r="O504" s="54" t="s">
        <v>383</v>
      </c>
      <c r="P504" s="44" t="s">
        <v>309</v>
      </c>
      <c r="Q504" s="59" t="str">
        <f>MID(Tabla1[[#This Row],[Aplicación]],14,1)</f>
        <v>2</v>
      </c>
      <c r="R504" s="35" t="s">
        <v>298</v>
      </c>
      <c r="S504" s="59" t="str">
        <f>MID(Tabla1[[#This Row],[Aplicación]],6,2)</f>
        <v>07</v>
      </c>
      <c r="T504" s="35" t="str">
        <f>VLOOKUP(Tabla1[[#This Row],[AREA]],Hoja1!A:B,2,FALSE)</f>
        <v>07. Medio ambiente y desarrollo sostenible</v>
      </c>
      <c r="U504" s="35" t="str">
        <f>MID(Tabla1[[#This Row],[Aplicación]],9,4)</f>
        <v>1721</v>
      </c>
      <c r="V504" s="35" t="str">
        <f>VLOOKUP(Tabla1[[#This Row],[PROGRAMA]],Hoja1!A:B,2,FALSE)</f>
        <v>1721. Protección del medio ambiente</v>
      </c>
      <c r="W504" s="56" t="str">
        <f>MID(Tabla1[[#This Row],[Aplicación]],14,2)</f>
        <v>22</v>
      </c>
      <c r="X504" s="56" t="str">
        <f>MID(Tabla1[[#This Row],[Aplicación]],14,6)</f>
        <v>22799</v>
      </c>
    </row>
    <row r="505" spans="1:24" x14ac:dyDescent="0.25">
      <c r="A505" s="46">
        <v>220230001928</v>
      </c>
      <c r="B505" s="47" t="s">
        <v>507</v>
      </c>
      <c r="C505" s="52">
        <v>44960</v>
      </c>
      <c r="D505" s="46">
        <v>22023000700</v>
      </c>
      <c r="E505" s="47" t="s">
        <v>1191</v>
      </c>
      <c r="F505" s="53">
        <v>2673</v>
      </c>
      <c r="G505" s="47" t="s">
        <v>42</v>
      </c>
      <c r="H505" s="47" t="s">
        <v>1477</v>
      </c>
      <c r="I505" s="46" t="s">
        <v>511</v>
      </c>
      <c r="J505" s="47" t="s">
        <v>1478</v>
      </c>
      <c r="K505" s="47" t="s">
        <v>519</v>
      </c>
      <c r="L505" s="47" t="s">
        <v>520</v>
      </c>
      <c r="M505" s="47" t="s">
        <v>976</v>
      </c>
      <c r="N505" s="47" t="s">
        <v>839</v>
      </c>
      <c r="O505" s="45" t="s">
        <v>383</v>
      </c>
      <c r="P505" s="44" t="s">
        <v>309</v>
      </c>
      <c r="Q505" s="59" t="str">
        <f>MID(Tabla1[[#This Row],[Aplicación]],14,1)</f>
        <v>2</v>
      </c>
      <c r="R505" s="35" t="s">
        <v>298</v>
      </c>
      <c r="S505" s="59" t="str">
        <f>MID(Tabla1[[#This Row],[Aplicación]],6,2)</f>
        <v>06</v>
      </c>
      <c r="T505" s="35" t="str">
        <f>VLOOKUP(Tabla1[[#This Row],[AREA]],Hoja1!A:B,2,FALSE)</f>
        <v>06. Educación, infancia, juventud e igualdad</v>
      </c>
      <c r="U505" s="35" t="str">
        <f>MID(Tabla1[[#This Row],[Aplicación]],9,4)</f>
        <v>2315</v>
      </c>
      <c r="V505" s="35" t="str">
        <f>VLOOKUP(Tabla1[[#This Row],[PROGRAMA]],Hoja1!A:B,2,FALSE)</f>
        <v>2315. Políticas de Igualdad e infancia</v>
      </c>
      <c r="W505" s="56" t="str">
        <f>MID(Tabla1[[#This Row],[Aplicación]],14,2)</f>
        <v>22</v>
      </c>
      <c r="X505" s="56" t="str">
        <f>MID(Tabla1[[#This Row],[Aplicación]],14,6)</f>
        <v>22611</v>
      </c>
    </row>
    <row r="506" spans="1:24" x14ac:dyDescent="0.25">
      <c r="A506" s="46">
        <v>220230008583</v>
      </c>
      <c r="B506" s="47" t="s">
        <v>507</v>
      </c>
      <c r="C506" s="52">
        <v>45000</v>
      </c>
      <c r="D506" s="46">
        <v>22023002986</v>
      </c>
      <c r="E506" s="47" t="s">
        <v>1479</v>
      </c>
      <c r="F506" s="53">
        <v>2090</v>
      </c>
      <c r="G506" s="47" t="s">
        <v>42</v>
      </c>
      <c r="H506" s="47" t="s">
        <v>1480</v>
      </c>
      <c r="I506" s="46" t="s">
        <v>511</v>
      </c>
      <c r="J506" s="47" t="s">
        <v>1478</v>
      </c>
      <c r="K506" s="47" t="s">
        <v>519</v>
      </c>
      <c r="L506" s="47" t="s">
        <v>520</v>
      </c>
      <c r="M506" s="47" t="s">
        <v>976</v>
      </c>
      <c r="N506" s="47" t="s">
        <v>839</v>
      </c>
      <c r="O506" s="54" t="s">
        <v>383</v>
      </c>
      <c r="P506" s="44" t="s">
        <v>309</v>
      </c>
      <c r="Q506" s="59" t="str">
        <f>MID(Tabla1[[#This Row],[Aplicación]],14,1)</f>
        <v>2</v>
      </c>
      <c r="R506" s="35" t="s">
        <v>298</v>
      </c>
      <c r="S506" s="59" t="str">
        <f>MID(Tabla1[[#This Row],[Aplicación]],6,2)</f>
        <v>03</v>
      </c>
      <c r="T506" s="35" t="str">
        <f>VLOOKUP(Tabla1[[#This Row],[AREA]],Hoja1!A:B,2,FALSE)</f>
        <v>03. Participación ciudadana y deportes</v>
      </c>
      <c r="U506" s="35" t="str">
        <f>MID(Tabla1[[#This Row],[Aplicación]],9,4)</f>
        <v>9241</v>
      </c>
      <c r="V506" s="35" t="str">
        <f>VLOOKUP(Tabla1[[#This Row],[PROGRAMA]],Hoja1!A:B,2,FALSE)</f>
        <v>9241. Participación ciudadana</v>
      </c>
      <c r="W506" s="56" t="str">
        <f>MID(Tabla1[[#This Row],[Aplicación]],14,2)</f>
        <v>22</v>
      </c>
      <c r="X506" s="56" t="str">
        <f>MID(Tabla1[[#This Row],[Aplicación]],14,6)</f>
        <v>22609</v>
      </c>
    </row>
    <row r="507" spans="1:24" x14ac:dyDescent="0.25">
      <c r="A507" s="46">
        <v>220219001069</v>
      </c>
      <c r="B507" s="47" t="s">
        <v>507</v>
      </c>
      <c r="C507" s="52">
        <v>44927</v>
      </c>
      <c r="D507" s="46">
        <v>22023003345</v>
      </c>
      <c r="E507" s="47" t="s">
        <v>1004</v>
      </c>
      <c r="F507" s="53">
        <v>25121.49</v>
      </c>
      <c r="G507" s="47" t="s">
        <v>1481</v>
      </c>
      <c r="H507" s="47" t="s">
        <v>1482</v>
      </c>
      <c r="I507" s="46" t="s">
        <v>511</v>
      </c>
      <c r="J507" s="47" t="s">
        <v>837</v>
      </c>
      <c r="K507" s="47" t="s">
        <v>837</v>
      </c>
      <c r="L507" s="47" t="s">
        <v>552</v>
      </c>
      <c r="M507" s="47" t="s">
        <v>514</v>
      </c>
      <c r="N507" s="47" t="s">
        <v>515</v>
      </c>
      <c r="O507" s="45" t="s">
        <v>371</v>
      </c>
      <c r="P507" s="44" t="s">
        <v>309</v>
      </c>
      <c r="Q507" s="59" t="str">
        <f>MID(Tabla1[[#This Row],[Aplicación]],14,1)</f>
        <v>2</v>
      </c>
      <c r="R507" s="35" t="s">
        <v>298</v>
      </c>
      <c r="S507" s="59" t="str">
        <f>MID(Tabla1[[#This Row],[Aplicación]],6,2)</f>
        <v>08</v>
      </c>
      <c r="T507" s="35" t="str">
        <f>VLOOKUP(Tabla1[[#This Row],[AREA]],Hoja1!A:B,2,FALSE)</f>
        <v>08. Movilidad y espacio urbano</v>
      </c>
      <c r="U507" s="35" t="str">
        <f>MID(Tabla1[[#This Row],[Aplicación]],9,4)</f>
        <v>1651</v>
      </c>
      <c r="V507" s="35" t="str">
        <f>VLOOKUP(Tabla1[[#This Row],[PROGRAMA]],Hoja1!A:B,2,FALSE)</f>
        <v>1651. Alumbrado público</v>
      </c>
      <c r="W507" s="56" t="str">
        <f>MID(Tabla1[[#This Row],[Aplicación]],14,2)</f>
        <v>21</v>
      </c>
      <c r="X507" s="56" t="str">
        <f>MID(Tabla1[[#This Row],[Aplicación]],14,6)</f>
        <v>213</v>
      </c>
    </row>
    <row r="508" spans="1:24" x14ac:dyDescent="0.25">
      <c r="A508" s="46">
        <v>220229000130</v>
      </c>
      <c r="B508" s="47" t="s">
        <v>507</v>
      </c>
      <c r="C508" s="52">
        <v>44927</v>
      </c>
      <c r="D508" s="46">
        <v>22023000305</v>
      </c>
      <c r="E508" s="47" t="s">
        <v>1011</v>
      </c>
      <c r="F508" s="53">
        <v>20933.490000000002</v>
      </c>
      <c r="G508" s="47" t="s">
        <v>1483</v>
      </c>
      <c r="H508" s="47" t="s">
        <v>1484</v>
      </c>
      <c r="I508" s="46" t="s">
        <v>511</v>
      </c>
      <c r="J508" s="47" t="s">
        <v>519</v>
      </c>
      <c r="K508" s="47" t="s">
        <v>519</v>
      </c>
      <c r="L508" s="47" t="s">
        <v>520</v>
      </c>
      <c r="M508" s="47" t="s">
        <v>514</v>
      </c>
      <c r="N508" s="47" t="s">
        <v>515</v>
      </c>
      <c r="O508" s="45" t="s">
        <v>371</v>
      </c>
      <c r="P508" s="44" t="s">
        <v>309</v>
      </c>
      <c r="Q508" s="59" t="str">
        <f>MID(Tabla1[[#This Row],[Aplicación]],14,1)</f>
        <v>2</v>
      </c>
      <c r="R508" s="35" t="s">
        <v>298</v>
      </c>
      <c r="S508" s="59" t="str">
        <f>MID(Tabla1[[#This Row],[Aplicación]],6,2)</f>
        <v>09</v>
      </c>
      <c r="T508" s="35" t="str">
        <f>VLOOKUP(Tabla1[[#This Row],[AREA]],Hoja1!A:B,2,FALSE)</f>
        <v>09. Cultura y turismo</v>
      </c>
      <c r="U508" s="35" t="str">
        <f>MID(Tabla1[[#This Row],[Aplicación]],9,4)</f>
        <v>3341</v>
      </c>
      <c r="V508" s="35" t="str">
        <f>VLOOKUP(Tabla1[[#This Row],[PROGRAMA]],Hoja1!A:B,2,FALSE)</f>
        <v>3341. Coordinación de políticas culturales</v>
      </c>
      <c r="W508" s="56" t="str">
        <f>MID(Tabla1[[#This Row],[Aplicación]],14,2)</f>
        <v>22</v>
      </c>
      <c r="X508" s="56" t="str">
        <f>MID(Tabla1[[#This Row],[Aplicación]],14,6)</f>
        <v>22609</v>
      </c>
    </row>
    <row r="509" spans="1:24" x14ac:dyDescent="0.25">
      <c r="A509" s="46">
        <v>220229000058</v>
      </c>
      <c r="B509" s="47" t="s">
        <v>507</v>
      </c>
      <c r="C509" s="52">
        <v>44927</v>
      </c>
      <c r="D509" s="46">
        <v>22023000875</v>
      </c>
      <c r="E509" s="47" t="s">
        <v>931</v>
      </c>
      <c r="F509" s="53">
        <v>4322.5</v>
      </c>
      <c r="G509" s="47" t="s">
        <v>1485</v>
      </c>
      <c r="H509" s="47" t="s">
        <v>1486</v>
      </c>
      <c r="I509" s="46" t="s">
        <v>511</v>
      </c>
      <c r="J509" s="47" t="s">
        <v>1487</v>
      </c>
      <c r="K509" s="47" t="s">
        <v>519</v>
      </c>
      <c r="L509" s="47" t="s">
        <v>520</v>
      </c>
      <c r="M509" s="47" t="s">
        <v>514</v>
      </c>
      <c r="N509" s="47" t="s">
        <v>515</v>
      </c>
      <c r="O509" s="45" t="s">
        <v>371</v>
      </c>
      <c r="P509" s="44" t="s">
        <v>309</v>
      </c>
      <c r="Q509" s="59" t="str">
        <f>MID(Tabla1[[#This Row],[Aplicación]],14,1)</f>
        <v>2</v>
      </c>
      <c r="R509" s="35" t="s">
        <v>298</v>
      </c>
      <c r="S509" s="59" t="str">
        <f>MID(Tabla1[[#This Row],[Aplicación]],6,2)</f>
        <v>09</v>
      </c>
      <c r="T509" s="35" t="str">
        <f>VLOOKUP(Tabla1[[#This Row],[AREA]],Hoja1!A:B,2,FALSE)</f>
        <v>09. Cultura y turismo</v>
      </c>
      <c r="U509" s="35" t="str">
        <f>MID(Tabla1[[#This Row],[Aplicación]],9,4)</f>
        <v>3341</v>
      </c>
      <c r="V509" s="35" t="str">
        <f>VLOOKUP(Tabla1[[#This Row],[PROGRAMA]],Hoja1!A:B,2,FALSE)</f>
        <v>3341. Coordinación de políticas culturales</v>
      </c>
      <c r="W509" s="56" t="str">
        <f>MID(Tabla1[[#This Row],[Aplicación]],14,2)</f>
        <v>22</v>
      </c>
      <c r="X509" s="56" t="str">
        <f>MID(Tabla1[[#This Row],[Aplicación]],14,6)</f>
        <v>22799</v>
      </c>
    </row>
    <row r="510" spans="1:24" x14ac:dyDescent="0.25">
      <c r="A510" s="46">
        <v>220230003623</v>
      </c>
      <c r="B510" s="47" t="s">
        <v>507</v>
      </c>
      <c r="C510" s="52">
        <v>44973</v>
      </c>
      <c r="D510" s="46">
        <v>22023001816</v>
      </c>
      <c r="E510" s="47" t="s">
        <v>1191</v>
      </c>
      <c r="F510" s="53">
        <v>3795.63</v>
      </c>
      <c r="G510" s="47" t="s">
        <v>1485</v>
      </c>
      <c r="H510" s="47" t="s">
        <v>1488</v>
      </c>
      <c r="I510" s="46" t="s">
        <v>511</v>
      </c>
      <c r="J510" s="47" t="s">
        <v>1487</v>
      </c>
      <c r="K510" s="47" t="s">
        <v>519</v>
      </c>
      <c r="L510" s="47" t="s">
        <v>520</v>
      </c>
      <c r="M510" s="47" t="s">
        <v>976</v>
      </c>
      <c r="N510" s="47" t="s">
        <v>839</v>
      </c>
      <c r="O510" s="45" t="s">
        <v>383</v>
      </c>
      <c r="P510" s="44" t="s">
        <v>309</v>
      </c>
      <c r="Q510" s="59" t="str">
        <f>MID(Tabla1[[#This Row],[Aplicación]],14,1)</f>
        <v>2</v>
      </c>
      <c r="R510" s="35" t="s">
        <v>298</v>
      </c>
      <c r="S510" s="59" t="str">
        <f>MID(Tabla1[[#This Row],[Aplicación]],6,2)</f>
        <v>06</v>
      </c>
      <c r="T510" s="35" t="str">
        <f>VLOOKUP(Tabla1[[#This Row],[AREA]],Hoja1!A:B,2,FALSE)</f>
        <v>06. Educación, infancia, juventud e igualdad</v>
      </c>
      <c r="U510" s="35" t="str">
        <f>MID(Tabla1[[#This Row],[Aplicación]],9,4)</f>
        <v>2315</v>
      </c>
      <c r="V510" s="35" t="str">
        <f>VLOOKUP(Tabla1[[#This Row],[PROGRAMA]],Hoja1!A:B,2,FALSE)</f>
        <v>2315. Políticas de Igualdad e infancia</v>
      </c>
      <c r="W510" s="56" t="str">
        <f>MID(Tabla1[[#This Row],[Aplicación]],14,2)</f>
        <v>22</v>
      </c>
      <c r="X510" s="56" t="str">
        <f>MID(Tabla1[[#This Row],[Aplicación]],14,6)</f>
        <v>22611</v>
      </c>
    </row>
    <row r="511" spans="1:24" x14ac:dyDescent="0.25">
      <c r="A511" s="46">
        <v>220230000028</v>
      </c>
      <c r="B511" s="47" t="s">
        <v>507</v>
      </c>
      <c r="C511" s="52">
        <v>44927</v>
      </c>
      <c r="D511" s="46">
        <v>22023000513</v>
      </c>
      <c r="E511" s="47" t="s">
        <v>772</v>
      </c>
      <c r="F511" s="53">
        <v>8735.4</v>
      </c>
      <c r="G511" s="47" t="s">
        <v>773</v>
      </c>
      <c r="H511" s="47" t="s">
        <v>1489</v>
      </c>
      <c r="I511" s="46" t="s">
        <v>511</v>
      </c>
      <c r="J511" s="47" t="s">
        <v>519</v>
      </c>
      <c r="K511" s="47" t="s">
        <v>519</v>
      </c>
      <c r="L511" s="47" t="s">
        <v>520</v>
      </c>
      <c r="M511" s="47" t="s">
        <v>514</v>
      </c>
      <c r="N511" s="47" t="s">
        <v>515</v>
      </c>
      <c r="O511" s="45" t="s">
        <v>371</v>
      </c>
      <c r="P511" s="44" t="s">
        <v>309</v>
      </c>
      <c r="Q511" s="59" t="str">
        <f>MID(Tabla1[[#This Row],[Aplicación]],14,1)</f>
        <v>2</v>
      </c>
      <c r="R511" s="35" t="s">
        <v>298</v>
      </c>
      <c r="S511" s="59" t="str">
        <f>MID(Tabla1[[#This Row],[Aplicación]],6,2)</f>
        <v>06</v>
      </c>
      <c r="T511" s="35" t="str">
        <f>VLOOKUP(Tabla1[[#This Row],[AREA]],Hoja1!A:B,2,FALSE)</f>
        <v>06. Educación, infancia, juventud e igualdad</v>
      </c>
      <c r="U511" s="35" t="str">
        <f>MID(Tabla1[[#This Row],[Aplicación]],9,4)</f>
        <v>2314</v>
      </c>
      <c r="V511" s="35" t="str">
        <f>VLOOKUP(Tabla1[[#This Row],[PROGRAMA]],Hoja1!A:B,2,FALSE)</f>
        <v>2314. Centro de programas juveniles</v>
      </c>
      <c r="W511" s="56" t="str">
        <f>MID(Tabla1[[#This Row],[Aplicación]],14,2)</f>
        <v>22</v>
      </c>
      <c r="X511" s="56" t="str">
        <f>MID(Tabla1[[#This Row],[Aplicación]],14,6)</f>
        <v>22799</v>
      </c>
    </row>
    <row r="512" spans="1:24" x14ac:dyDescent="0.25">
      <c r="A512" s="55">
        <v>220230010315</v>
      </c>
      <c r="B512" s="47" t="s">
        <v>507</v>
      </c>
      <c r="C512" s="52">
        <v>45008</v>
      </c>
      <c r="D512" s="46">
        <v>22023003499</v>
      </c>
      <c r="E512" s="47" t="s">
        <v>1490</v>
      </c>
      <c r="F512" s="53">
        <v>647.35</v>
      </c>
      <c r="G512" s="47" t="s">
        <v>773</v>
      </c>
      <c r="H512" s="47" t="s">
        <v>1491</v>
      </c>
      <c r="I512" s="46" t="s">
        <v>511</v>
      </c>
      <c r="J512" s="47" t="s">
        <v>519</v>
      </c>
      <c r="K512" s="47" t="s">
        <v>519</v>
      </c>
      <c r="L512" s="47" t="s">
        <v>520</v>
      </c>
      <c r="M512" s="47" t="s">
        <v>976</v>
      </c>
      <c r="N512" s="47" t="s">
        <v>839</v>
      </c>
      <c r="O512" s="54" t="s">
        <v>383</v>
      </c>
      <c r="P512" s="44" t="s">
        <v>309</v>
      </c>
      <c r="Q512" s="59" t="str">
        <f>MID(Tabla1[[#This Row],[Aplicación]],14,1)</f>
        <v>2</v>
      </c>
      <c r="R512" s="35" t="s">
        <v>298</v>
      </c>
      <c r="S512" s="59" t="str">
        <f>MID(Tabla1[[#This Row],[Aplicación]],6,2)</f>
        <v>06</v>
      </c>
      <c r="T512" s="35" t="str">
        <f>VLOOKUP(Tabla1[[#This Row],[AREA]],Hoja1!A:B,2,FALSE)</f>
        <v>06. Educación, infancia, juventud e igualdad</v>
      </c>
      <c r="U512" s="35" t="str">
        <f>MID(Tabla1[[#This Row],[Aplicación]],9,4)</f>
        <v>2314</v>
      </c>
      <c r="V512" s="35" t="str">
        <f>VLOOKUP(Tabla1[[#This Row],[PROGRAMA]],Hoja1!A:B,2,FALSE)</f>
        <v>2314. Centro de programas juveniles</v>
      </c>
      <c r="W512" s="56" t="str">
        <f>MID(Tabla1[[#This Row],[Aplicación]],14,2)</f>
        <v>22</v>
      </c>
      <c r="X512" s="56" t="str">
        <f>MID(Tabla1[[#This Row],[Aplicación]],14,6)</f>
        <v>22613</v>
      </c>
    </row>
    <row r="513" spans="1:24" x14ac:dyDescent="0.25">
      <c r="A513" s="46">
        <v>220229000031</v>
      </c>
      <c r="B513" s="47" t="s">
        <v>507</v>
      </c>
      <c r="C513" s="52">
        <v>44927</v>
      </c>
      <c r="D513" s="46">
        <v>22023000870</v>
      </c>
      <c r="E513" s="47" t="s">
        <v>1492</v>
      </c>
      <c r="F513" s="53">
        <v>14418.5</v>
      </c>
      <c r="G513" s="47" t="s">
        <v>1493</v>
      </c>
      <c r="H513" s="47" t="s">
        <v>1494</v>
      </c>
      <c r="I513" s="46" t="s">
        <v>511</v>
      </c>
      <c r="J513" s="47" t="s">
        <v>512</v>
      </c>
      <c r="K513" s="47" t="s">
        <v>512</v>
      </c>
      <c r="L513" s="47" t="s">
        <v>520</v>
      </c>
      <c r="M513" s="47" t="s">
        <v>514</v>
      </c>
      <c r="N513" s="47" t="s">
        <v>515</v>
      </c>
      <c r="O513" s="45" t="s">
        <v>371</v>
      </c>
      <c r="P513" s="44" t="s">
        <v>309</v>
      </c>
      <c r="Q513" s="59" t="str">
        <f>MID(Tabla1[[#This Row],[Aplicación]],14,1)</f>
        <v>2</v>
      </c>
      <c r="R513" s="35" t="s">
        <v>298</v>
      </c>
      <c r="S513" s="59" t="str">
        <f>MID(Tabla1[[#This Row],[Aplicación]],6,2)</f>
        <v>10</v>
      </c>
      <c r="T513" s="35" t="str">
        <f>VLOOKUP(Tabla1[[#This Row],[AREA]],Hoja1!A:B,2,FALSE)</f>
        <v>10. Servicios sociales y mediación comunitaria</v>
      </c>
      <c r="U513" s="35" t="str">
        <f>MID(Tabla1[[#This Row],[Aplicación]],9,4)</f>
        <v>2316</v>
      </c>
      <c r="V513" s="35" t="str">
        <f>VLOOKUP(Tabla1[[#This Row],[PROGRAMA]],Hoja1!A:B,2,FALSE)</f>
        <v>2316. Mediación comunitaria</v>
      </c>
      <c r="W513" s="56" t="str">
        <f>MID(Tabla1[[#This Row],[Aplicación]],14,2)</f>
        <v>22</v>
      </c>
      <c r="X513" s="56" t="str">
        <f>MID(Tabla1[[#This Row],[Aplicación]],14,6)</f>
        <v>22799</v>
      </c>
    </row>
    <row r="514" spans="1:24" x14ac:dyDescent="0.25">
      <c r="A514" s="55">
        <v>220219000706</v>
      </c>
      <c r="B514" s="47" t="s">
        <v>507</v>
      </c>
      <c r="C514" s="52">
        <v>45014</v>
      </c>
      <c r="D514" s="46">
        <v>22022002006</v>
      </c>
      <c r="E514" s="47" t="s">
        <v>583</v>
      </c>
      <c r="F514" s="53">
        <v>4657.54</v>
      </c>
      <c r="G514" s="47" t="s">
        <v>476</v>
      </c>
      <c r="H514" s="47" t="s">
        <v>1324</v>
      </c>
      <c r="I514" s="46" t="s">
        <v>511</v>
      </c>
      <c r="J514" s="47" t="s">
        <v>947</v>
      </c>
      <c r="K514" s="47" t="s">
        <v>947</v>
      </c>
      <c r="L514" s="47" t="s">
        <v>520</v>
      </c>
      <c r="M514" s="47" t="s">
        <v>514</v>
      </c>
      <c r="N514" s="47" t="s">
        <v>515</v>
      </c>
      <c r="O514" s="54" t="s">
        <v>371</v>
      </c>
      <c r="P514" s="44" t="s">
        <v>309</v>
      </c>
      <c r="Q514" s="59" t="str">
        <f>MID(Tabla1[[#This Row],[Aplicación]],14,1)</f>
        <v>6</v>
      </c>
      <c r="R514" s="35" t="s">
        <v>299</v>
      </c>
      <c r="S514" s="59" t="str">
        <f>MID(Tabla1[[#This Row],[Aplicación]],6,2)</f>
        <v>02</v>
      </c>
      <c r="T514" s="35" t="str">
        <f>VLOOKUP(Tabla1[[#This Row],[AREA]],Hoja1!A:B,2,FALSE)</f>
        <v>02. Planeamiento urbanístico y vivienda</v>
      </c>
      <c r="U514" s="35" t="str">
        <f>MID(Tabla1[[#This Row],[Aplicación]],9,4)</f>
        <v>1511</v>
      </c>
      <c r="V514" s="35" t="str">
        <f>VLOOKUP(Tabla1[[#This Row],[PROGRAMA]],Hoja1!A:B,2,FALSE)</f>
        <v>1511. Planficación y gestión del urbanismo</v>
      </c>
      <c r="W514" s="56" t="str">
        <f>MID(Tabla1[[#This Row],[Aplicación]],14,2)</f>
        <v>60</v>
      </c>
      <c r="X514" s="56" t="str">
        <f>MID(Tabla1[[#This Row],[Aplicación]],14,6)</f>
        <v>609</v>
      </c>
    </row>
    <row r="515" spans="1:24" x14ac:dyDescent="0.25">
      <c r="A515" s="46">
        <v>220230001792</v>
      </c>
      <c r="B515" s="47" t="s">
        <v>507</v>
      </c>
      <c r="C515" s="52">
        <v>44960</v>
      </c>
      <c r="D515" s="46">
        <v>22023000214</v>
      </c>
      <c r="E515" s="47" t="s">
        <v>1495</v>
      </c>
      <c r="F515" s="53">
        <v>796.95</v>
      </c>
      <c r="G515" s="47" t="s">
        <v>491</v>
      </c>
      <c r="H515" s="47" t="s">
        <v>1496</v>
      </c>
      <c r="I515" s="46" t="s">
        <v>511</v>
      </c>
      <c r="J515" s="47" t="s">
        <v>519</v>
      </c>
      <c r="K515" s="47" t="s">
        <v>1497</v>
      </c>
      <c r="L515" s="47" t="s">
        <v>520</v>
      </c>
      <c r="M515" s="47" t="s">
        <v>976</v>
      </c>
      <c r="N515" s="47" t="s">
        <v>839</v>
      </c>
      <c r="O515" s="45" t="s">
        <v>383</v>
      </c>
      <c r="P515" s="44" t="s">
        <v>309</v>
      </c>
      <c r="Q515" s="59" t="str">
        <f>MID(Tabla1[[#This Row],[Aplicación]],14,1)</f>
        <v>2</v>
      </c>
      <c r="R515" s="35" t="s">
        <v>298</v>
      </c>
      <c r="S515" s="59" t="str">
        <f>MID(Tabla1[[#This Row],[Aplicación]],6,2)</f>
        <v>10</v>
      </c>
      <c r="T515" s="35" t="str">
        <f>VLOOKUP(Tabla1[[#This Row],[AREA]],Hoja1!A:B,2,FALSE)</f>
        <v>10. Servicios sociales y mediación comunitaria</v>
      </c>
      <c r="U515" s="35" t="str">
        <f>MID(Tabla1[[#This Row],[Aplicación]],9,4)</f>
        <v>2312</v>
      </c>
      <c r="V515" s="35" t="str">
        <f>VLOOKUP(Tabla1[[#This Row],[PROGRAMA]],Hoja1!A:B,2,FALSE)</f>
        <v>2312. Iniciativas sociales</v>
      </c>
      <c r="W515" s="56" t="str">
        <f>MID(Tabla1[[#This Row],[Aplicación]],14,2)</f>
        <v>22</v>
      </c>
      <c r="X515" s="56" t="str">
        <f>MID(Tabla1[[#This Row],[Aplicación]],14,6)</f>
        <v>22617</v>
      </c>
    </row>
    <row r="516" spans="1:24" x14ac:dyDescent="0.25">
      <c r="A516" s="55">
        <v>220230010313</v>
      </c>
      <c r="B516" s="47" t="s">
        <v>507</v>
      </c>
      <c r="C516" s="52">
        <v>45008</v>
      </c>
      <c r="D516" s="46">
        <v>22023003490</v>
      </c>
      <c r="E516" s="47" t="s">
        <v>1490</v>
      </c>
      <c r="F516" s="53">
        <v>1452</v>
      </c>
      <c r="G516" s="47" t="s">
        <v>1498</v>
      </c>
      <c r="H516" s="47" t="s">
        <v>1499</v>
      </c>
      <c r="I516" s="46" t="s">
        <v>511</v>
      </c>
      <c r="J516" s="47" t="s">
        <v>519</v>
      </c>
      <c r="K516" s="47" t="s">
        <v>519</v>
      </c>
      <c r="L516" s="47" t="s">
        <v>520</v>
      </c>
      <c r="M516" s="47" t="s">
        <v>976</v>
      </c>
      <c r="N516" s="47" t="s">
        <v>839</v>
      </c>
      <c r="O516" s="54" t="s">
        <v>383</v>
      </c>
      <c r="P516" s="44" t="s">
        <v>309</v>
      </c>
      <c r="Q516" s="59" t="str">
        <f>MID(Tabla1[[#This Row],[Aplicación]],14,1)</f>
        <v>2</v>
      </c>
      <c r="R516" s="35" t="s">
        <v>298</v>
      </c>
      <c r="S516" s="59" t="str">
        <f>MID(Tabla1[[#This Row],[Aplicación]],6,2)</f>
        <v>06</v>
      </c>
      <c r="T516" s="35" t="str">
        <f>VLOOKUP(Tabla1[[#This Row],[AREA]],Hoja1!A:B,2,FALSE)</f>
        <v>06. Educación, infancia, juventud e igualdad</v>
      </c>
      <c r="U516" s="35" t="str">
        <f>MID(Tabla1[[#This Row],[Aplicación]],9,4)</f>
        <v>2314</v>
      </c>
      <c r="V516" s="35" t="str">
        <f>VLOOKUP(Tabla1[[#This Row],[PROGRAMA]],Hoja1!A:B,2,FALSE)</f>
        <v>2314. Centro de programas juveniles</v>
      </c>
      <c r="W516" s="56" t="str">
        <f>MID(Tabla1[[#This Row],[Aplicación]],14,2)</f>
        <v>22</v>
      </c>
      <c r="X516" s="56" t="str">
        <f>MID(Tabla1[[#This Row],[Aplicación]],14,6)</f>
        <v>22613</v>
      </c>
    </row>
    <row r="517" spans="1:24" x14ac:dyDescent="0.25">
      <c r="A517" s="55">
        <v>220220009849</v>
      </c>
      <c r="B517" s="47" t="s">
        <v>507</v>
      </c>
      <c r="C517" s="52">
        <v>45014</v>
      </c>
      <c r="D517" s="46">
        <v>22022002776</v>
      </c>
      <c r="E517" s="47" t="s">
        <v>1272</v>
      </c>
      <c r="F517" s="53">
        <v>5207.6000000000004</v>
      </c>
      <c r="G517" s="47" t="s">
        <v>497</v>
      </c>
      <c r="H517" s="47" t="s">
        <v>1500</v>
      </c>
      <c r="I517" s="46" t="s">
        <v>511</v>
      </c>
      <c r="J517" s="47" t="s">
        <v>519</v>
      </c>
      <c r="K517" s="47" t="s">
        <v>519</v>
      </c>
      <c r="L517" s="47" t="s">
        <v>520</v>
      </c>
      <c r="M517" s="47" t="s">
        <v>976</v>
      </c>
      <c r="N517" s="47" t="s">
        <v>839</v>
      </c>
      <c r="O517" s="54" t="s">
        <v>383</v>
      </c>
      <c r="P517" s="44" t="s">
        <v>309</v>
      </c>
      <c r="Q517" s="59" t="str">
        <f>MID(Tabla1[[#This Row],[Aplicación]],14,1)</f>
        <v>6</v>
      </c>
      <c r="R517" s="35" t="s">
        <v>299</v>
      </c>
      <c r="S517" s="59" t="str">
        <f>MID(Tabla1[[#This Row],[Aplicación]],6,2)</f>
        <v>02</v>
      </c>
      <c r="T517" s="35" t="str">
        <f>VLOOKUP(Tabla1[[#This Row],[AREA]],Hoja1!A:B,2,FALSE)</f>
        <v>02. Planeamiento urbanístico y vivienda</v>
      </c>
      <c r="U517" s="35" t="str">
        <f>MID(Tabla1[[#This Row],[Aplicación]],9,4)</f>
        <v>9332</v>
      </c>
      <c r="V517" s="35" t="str">
        <f>VLOOKUP(Tabla1[[#This Row],[PROGRAMA]],Hoja1!A:B,2,FALSE)</f>
        <v>9332. Mantenimiento de edificios e instalaciones municipales</v>
      </c>
      <c r="W517" s="56" t="str">
        <f>MID(Tabla1[[#This Row],[Aplicación]],14,2)</f>
        <v>63</v>
      </c>
      <c r="X517" s="56" t="str">
        <f>MID(Tabla1[[#This Row],[Aplicación]],14,6)</f>
        <v>632</v>
      </c>
    </row>
    <row r="518" spans="1:24" x14ac:dyDescent="0.25">
      <c r="A518" s="46">
        <v>220230003426</v>
      </c>
      <c r="B518" s="47" t="s">
        <v>507</v>
      </c>
      <c r="C518" s="52">
        <v>44971</v>
      </c>
      <c r="D518" s="46">
        <v>22023002327</v>
      </c>
      <c r="E518" s="47" t="s">
        <v>1371</v>
      </c>
      <c r="F518" s="53">
        <v>2800</v>
      </c>
      <c r="G518" s="47" t="s">
        <v>499</v>
      </c>
      <c r="H518" s="47" t="s">
        <v>1501</v>
      </c>
      <c r="I518" s="46" t="s">
        <v>511</v>
      </c>
      <c r="J518" s="47" t="s">
        <v>519</v>
      </c>
      <c r="K518" s="47" t="s">
        <v>519</v>
      </c>
      <c r="L518" s="47" t="s">
        <v>552</v>
      </c>
      <c r="M518" s="47" t="s">
        <v>976</v>
      </c>
      <c r="N518" s="47" t="s">
        <v>839</v>
      </c>
      <c r="O518" s="45" t="s">
        <v>383</v>
      </c>
      <c r="P518" s="44" t="s">
        <v>309</v>
      </c>
      <c r="Q518" s="59" t="str">
        <f>MID(Tabla1[[#This Row],[Aplicación]],14,1)</f>
        <v>2</v>
      </c>
      <c r="R518" s="35" t="s">
        <v>298</v>
      </c>
      <c r="S518" s="59" t="str">
        <f>MID(Tabla1[[#This Row],[Aplicación]],6,2)</f>
        <v>10</v>
      </c>
      <c r="T518" s="35" t="str">
        <f>VLOOKUP(Tabla1[[#This Row],[AREA]],Hoja1!A:B,2,FALSE)</f>
        <v>10. Servicios sociales y mediación comunitaria</v>
      </c>
      <c r="U518" s="35" t="str">
        <f>MID(Tabla1[[#This Row],[Aplicación]],9,4)</f>
        <v>2412</v>
      </c>
      <c r="V518" s="35" t="str">
        <f>VLOOKUP(Tabla1[[#This Row],[PROGRAMA]],Hoja1!A:B,2,FALSE)</f>
        <v>2412. Formación para el empleo</v>
      </c>
      <c r="W518" s="56" t="str">
        <f>MID(Tabla1[[#This Row],[Aplicación]],14,2)</f>
        <v>22</v>
      </c>
      <c r="X518" s="56" t="str">
        <f>MID(Tabla1[[#This Row],[Aplicación]],14,6)</f>
        <v>22104</v>
      </c>
    </row>
    <row r="519" spans="1:24" x14ac:dyDescent="0.25">
      <c r="A519" s="55">
        <v>220230008954</v>
      </c>
      <c r="B519" s="47" t="s">
        <v>507</v>
      </c>
      <c r="C519" s="52">
        <v>45002</v>
      </c>
      <c r="D519" s="46">
        <v>22023003149</v>
      </c>
      <c r="E519" s="47" t="s">
        <v>1502</v>
      </c>
      <c r="F519" s="53">
        <v>319.44</v>
      </c>
      <c r="G519" s="47" t="s">
        <v>499</v>
      </c>
      <c r="H519" s="47" t="s">
        <v>1503</v>
      </c>
      <c r="I519" s="46" t="s">
        <v>511</v>
      </c>
      <c r="J519" s="47" t="s">
        <v>519</v>
      </c>
      <c r="K519" s="47" t="s">
        <v>519</v>
      </c>
      <c r="L519" s="47" t="s">
        <v>552</v>
      </c>
      <c r="M519" s="47" t="s">
        <v>976</v>
      </c>
      <c r="N519" s="47" t="s">
        <v>839</v>
      </c>
      <c r="O519" s="54" t="s">
        <v>383</v>
      </c>
      <c r="P519" s="44" t="s">
        <v>309</v>
      </c>
      <c r="Q519" s="59" t="str">
        <f>MID(Tabla1[[#This Row],[Aplicación]],14,1)</f>
        <v>2</v>
      </c>
      <c r="R519" s="35" t="s">
        <v>298</v>
      </c>
      <c r="S519" s="59" t="str">
        <f>MID(Tabla1[[#This Row],[Aplicación]],6,2)</f>
        <v>10</v>
      </c>
      <c r="T519" s="35" t="str">
        <f>VLOOKUP(Tabla1[[#This Row],[AREA]],Hoja1!A:B,2,FALSE)</f>
        <v>10. Servicios sociales y mediación comunitaria</v>
      </c>
      <c r="U519" s="35" t="str">
        <f>MID(Tabla1[[#This Row],[Aplicación]],9,4)</f>
        <v>2412</v>
      </c>
      <c r="V519" s="35" t="str">
        <f>VLOOKUP(Tabla1[[#This Row],[PROGRAMA]],Hoja1!A:B,2,FALSE)</f>
        <v>2412. Formación para el empleo</v>
      </c>
      <c r="W519" s="56" t="str">
        <f>MID(Tabla1[[#This Row],[Aplicación]],14,2)</f>
        <v>22</v>
      </c>
      <c r="X519" s="56" t="str">
        <f>MID(Tabla1[[#This Row],[Aplicación]],14,6)</f>
        <v>22199</v>
      </c>
    </row>
    <row r="520" spans="1:24" x14ac:dyDescent="0.25">
      <c r="A520" s="46">
        <v>220230005389</v>
      </c>
      <c r="B520" s="47" t="s">
        <v>507</v>
      </c>
      <c r="C520" s="52">
        <v>44979</v>
      </c>
      <c r="D520" s="46">
        <v>22023002456</v>
      </c>
      <c r="E520" s="47" t="s">
        <v>1504</v>
      </c>
      <c r="F520" s="53">
        <v>460.36</v>
      </c>
      <c r="G520" s="47" t="s">
        <v>98</v>
      </c>
      <c r="H520" s="47" t="s">
        <v>1505</v>
      </c>
      <c r="I520" s="46" t="s">
        <v>511</v>
      </c>
      <c r="J520" s="47" t="s">
        <v>519</v>
      </c>
      <c r="K520" s="47" t="s">
        <v>519</v>
      </c>
      <c r="L520" s="47" t="s">
        <v>652</v>
      </c>
      <c r="M520" s="47" t="s">
        <v>514</v>
      </c>
      <c r="N520" s="47" t="s">
        <v>515</v>
      </c>
      <c r="O520" s="45" t="s">
        <v>382</v>
      </c>
      <c r="P520" s="44" t="s">
        <v>309</v>
      </c>
      <c r="Q520" s="59" t="str">
        <f>MID(Tabla1[[#This Row],[Aplicación]],14,1)</f>
        <v>2</v>
      </c>
      <c r="R520" s="35" t="s">
        <v>298</v>
      </c>
      <c r="S520" s="59" t="str">
        <f>MID(Tabla1[[#This Row],[Aplicación]],6,2)</f>
        <v>04</v>
      </c>
      <c r="T520" s="35" t="str">
        <f>VLOOKUP(Tabla1[[#This Row],[AREA]],Hoja1!A:B,2,FALSE)</f>
        <v>04. Planificación y recursos</v>
      </c>
      <c r="U520" s="35" t="str">
        <f>MID(Tabla1[[#This Row],[Aplicación]],9,4)</f>
        <v>9321</v>
      </c>
      <c r="V520" s="35" t="str">
        <f>VLOOKUP(Tabla1[[#This Row],[PROGRAMA]],Hoja1!A:B,2,FALSE)</f>
        <v>9321. Gestión de ingresos e inspección</v>
      </c>
      <c r="W520" s="56" t="str">
        <f>MID(Tabla1[[#This Row],[Aplicación]],14,2)</f>
        <v>22</v>
      </c>
      <c r="X520" s="56" t="str">
        <f>MID(Tabla1[[#This Row],[Aplicación]],14,6)</f>
        <v>22799</v>
      </c>
    </row>
    <row r="521" spans="1:24" x14ac:dyDescent="0.25">
      <c r="A521" s="46">
        <v>220230002005</v>
      </c>
      <c r="B521" s="47" t="s">
        <v>507</v>
      </c>
      <c r="C521" s="52">
        <v>44960</v>
      </c>
      <c r="D521" s="46">
        <v>22023001495</v>
      </c>
      <c r="E521" s="47" t="s">
        <v>1506</v>
      </c>
      <c r="F521" s="53">
        <v>23.27</v>
      </c>
      <c r="G521" s="47" t="s">
        <v>1507</v>
      </c>
      <c r="H521" s="47" t="s">
        <v>1508</v>
      </c>
      <c r="I521" s="46" t="s">
        <v>511</v>
      </c>
      <c r="J521" s="47" t="s">
        <v>519</v>
      </c>
      <c r="K521" s="47" t="s">
        <v>519</v>
      </c>
      <c r="L521" s="47" t="s">
        <v>552</v>
      </c>
      <c r="M521" s="47" t="s">
        <v>976</v>
      </c>
      <c r="N521" s="47" t="s">
        <v>839</v>
      </c>
      <c r="O521" s="45" t="s">
        <v>383</v>
      </c>
      <c r="P521" s="44" t="s">
        <v>309</v>
      </c>
      <c r="Q521" s="59" t="str">
        <f>MID(Tabla1[[#This Row],[Aplicación]],14,1)</f>
        <v>2</v>
      </c>
      <c r="R521" s="35" t="s">
        <v>298</v>
      </c>
      <c r="S521" s="59" t="str">
        <f>MID(Tabla1[[#This Row],[Aplicación]],6,2)</f>
        <v>03</v>
      </c>
      <c r="T521" s="35" t="str">
        <f>VLOOKUP(Tabla1[[#This Row],[AREA]],Hoja1!A:B,2,FALSE)</f>
        <v>03. Participación ciudadana y deportes</v>
      </c>
      <c r="U521" s="35" t="str">
        <f>MID(Tabla1[[#This Row],[Aplicación]],9,4)</f>
        <v>9241</v>
      </c>
      <c r="V521" s="35" t="str">
        <f>VLOOKUP(Tabla1[[#This Row],[PROGRAMA]],Hoja1!A:B,2,FALSE)</f>
        <v>9241. Participación ciudadana</v>
      </c>
      <c r="W521" s="56" t="str">
        <f>MID(Tabla1[[#This Row],[Aplicación]],14,2)</f>
        <v>21</v>
      </c>
      <c r="X521" s="56" t="str">
        <f>MID(Tabla1[[#This Row],[Aplicación]],14,6)</f>
        <v>212</v>
      </c>
    </row>
    <row r="522" spans="1:24" x14ac:dyDescent="0.25">
      <c r="A522" s="46">
        <v>220230002071</v>
      </c>
      <c r="B522" s="47" t="s">
        <v>507</v>
      </c>
      <c r="C522" s="52">
        <v>44963</v>
      </c>
      <c r="D522" s="46">
        <v>22023001842</v>
      </c>
      <c r="E522" s="47" t="s">
        <v>1506</v>
      </c>
      <c r="F522" s="53">
        <v>89.43</v>
      </c>
      <c r="G522" s="47" t="s">
        <v>1507</v>
      </c>
      <c r="H522" s="47" t="s">
        <v>1509</v>
      </c>
      <c r="I522" s="46" t="s">
        <v>511</v>
      </c>
      <c r="J522" s="47" t="s">
        <v>519</v>
      </c>
      <c r="K522" s="47" t="s">
        <v>519</v>
      </c>
      <c r="L522" s="47" t="s">
        <v>552</v>
      </c>
      <c r="M522" s="47" t="s">
        <v>976</v>
      </c>
      <c r="N522" s="47" t="s">
        <v>839</v>
      </c>
      <c r="O522" s="45" t="s">
        <v>383</v>
      </c>
      <c r="P522" s="44" t="s">
        <v>309</v>
      </c>
      <c r="Q522" s="59" t="str">
        <f>MID(Tabla1[[#This Row],[Aplicación]],14,1)</f>
        <v>2</v>
      </c>
      <c r="R522" s="35" t="s">
        <v>298</v>
      </c>
      <c r="S522" s="59" t="str">
        <f>MID(Tabla1[[#This Row],[Aplicación]],6,2)</f>
        <v>03</v>
      </c>
      <c r="T522" s="35" t="str">
        <f>VLOOKUP(Tabla1[[#This Row],[AREA]],Hoja1!A:B,2,FALSE)</f>
        <v>03. Participación ciudadana y deportes</v>
      </c>
      <c r="U522" s="35" t="str">
        <f>MID(Tabla1[[#This Row],[Aplicación]],9,4)</f>
        <v>9241</v>
      </c>
      <c r="V522" s="35" t="str">
        <f>VLOOKUP(Tabla1[[#This Row],[PROGRAMA]],Hoja1!A:B,2,FALSE)</f>
        <v>9241. Participación ciudadana</v>
      </c>
      <c r="W522" s="56" t="str">
        <f>MID(Tabla1[[#This Row],[Aplicación]],14,2)</f>
        <v>21</v>
      </c>
      <c r="X522" s="56" t="str">
        <f>MID(Tabla1[[#This Row],[Aplicación]],14,6)</f>
        <v>212</v>
      </c>
    </row>
    <row r="523" spans="1:24" x14ac:dyDescent="0.25">
      <c r="A523" s="46">
        <v>220230003424</v>
      </c>
      <c r="B523" s="47" t="s">
        <v>507</v>
      </c>
      <c r="C523" s="52">
        <v>44971</v>
      </c>
      <c r="D523" s="46">
        <v>22023002266</v>
      </c>
      <c r="E523" s="47" t="s">
        <v>1510</v>
      </c>
      <c r="F523" s="53">
        <v>36.92</v>
      </c>
      <c r="G523" s="47" t="s">
        <v>1507</v>
      </c>
      <c r="H523" s="47" t="s">
        <v>1511</v>
      </c>
      <c r="I523" s="46" t="s">
        <v>511</v>
      </c>
      <c r="J523" s="47" t="s">
        <v>519</v>
      </c>
      <c r="K523" s="47" t="s">
        <v>519</v>
      </c>
      <c r="L523" s="47" t="s">
        <v>552</v>
      </c>
      <c r="M523" s="47" t="s">
        <v>976</v>
      </c>
      <c r="N523" s="47" t="s">
        <v>839</v>
      </c>
      <c r="O523" s="45" t="s">
        <v>383</v>
      </c>
      <c r="P523" s="44" t="s">
        <v>309</v>
      </c>
      <c r="Q523" s="59" t="str">
        <f>MID(Tabla1[[#This Row],[Aplicación]],14,1)</f>
        <v>2</v>
      </c>
      <c r="R523" s="35" t="s">
        <v>298</v>
      </c>
      <c r="S523" s="59" t="str">
        <f>MID(Tabla1[[#This Row],[Aplicación]],6,2)</f>
        <v>10</v>
      </c>
      <c r="T523" s="35" t="str">
        <f>VLOOKUP(Tabla1[[#This Row],[AREA]],Hoja1!A:B,2,FALSE)</f>
        <v>10. Servicios sociales y mediación comunitaria</v>
      </c>
      <c r="U523" s="35" t="str">
        <f>MID(Tabla1[[#This Row],[Aplicación]],9,4)</f>
        <v>2311</v>
      </c>
      <c r="V523" s="35" t="str">
        <f>VLOOKUP(Tabla1[[#This Row],[PROGRAMA]],Hoja1!A:B,2,FALSE)</f>
        <v>2311. Intervención social</v>
      </c>
      <c r="W523" s="56" t="str">
        <f>MID(Tabla1[[#This Row],[Aplicación]],14,2)</f>
        <v>21</v>
      </c>
      <c r="X523" s="56" t="str">
        <f>MID(Tabla1[[#This Row],[Aplicación]],14,6)</f>
        <v>212</v>
      </c>
    </row>
    <row r="524" spans="1:24" x14ac:dyDescent="0.25">
      <c r="A524" s="55">
        <v>220230008938</v>
      </c>
      <c r="B524" s="47" t="s">
        <v>507</v>
      </c>
      <c r="C524" s="52">
        <v>45002</v>
      </c>
      <c r="D524" s="46">
        <v>22023003117</v>
      </c>
      <c r="E524" s="47" t="s">
        <v>1512</v>
      </c>
      <c r="F524" s="53">
        <v>11.74</v>
      </c>
      <c r="G524" s="47" t="s">
        <v>1507</v>
      </c>
      <c r="H524" s="47" t="s">
        <v>1513</v>
      </c>
      <c r="I524" s="46" t="s">
        <v>511</v>
      </c>
      <c r="J524" s="47" t="s">
        <v>519</v>
      </c>
      <c r="K524" s="47" t="s">
        <v>519</v>
      </c>
      <c r="L524" s="47" t="s">
        <v>552</v>
      </c>
      <c r="M524" s="47" t="s">
        <v>976</v>
      </c>
      <c r="N524" s="47" t="s">
        <v>839</v>
      </c>
      <c r="O524" s="54" t="s">
        <v>383</v>
      </c>
      <c r="P524" s="44" t="s">
        <v>309</v>
      </c>
      <c r="Q524" s="59" t="str">
        <f>MID(Tabla1[[#This Row],[Aplicación]],14,1)</f>
        <v>2</v>
      </c>
      <c r="R524" s="35" t="s">
        <v>298</v>
      </c>
      <c r="S524" s="59" t="str">
        <f>MID(Tabla1[[#This Row],[Aplicación]],6,2)</f>
        <v>10</v>
      </c>
      <c r="T524" s="35" t="str">
        <f>VLOOKUP(Tabla1[[#This Row],[AREA]],Hoja1!A:B,2,FALSE)</f>
        <v>10. Servicios sociales y mediación comunitaria</v>
      </c>
      <c r="U524" s="35" t="str">
        <f>MID(Tabla1[[#This Row],[Aplicación]],9,4)</f>
        <v>2312</v>
      </c>
      <c r="V524" s="35" t="str">
        <f>VLOOKUP(Tabla1[[#This Row],[PROGRAMA]],Hoja1!A:B,2,FALSE)</f>
        <v>2312. Iniciativas sociales</v>
      </c>
      <c r="W524" s="56" t="str">
        <f>MID(Tabla1[[#This Row],[Aplicación]],14,2)</f>
        <v>21</v>
      </c>
      <c r="X524" s="56" t="str">
        <f>MID(Tabla1[[#This Row],[Aplicación]],14,6)</f>
        <v>212</v>
      </c>
    </row>
    <row r="525" spans="1:24" x14ac:dyDescent="0.25">
      <c r="A525" s="55">
        <v>220230009269</v>
      </c>
      <c r="B525" s="47" t="s">
        <v>1514</v>
      </c>
      <c r="C525" s="52">
        <v>45006</v>
      </c>
      <c r="D525" s="46">
        <v>22023001549</v>
      </c>
      <c r="E525" s="47" t="s">
        <v>1515</v>
      </c>
      <c r="F525" s="53">
        <v>229.56</v>
      </c>
      <c r="G525" s="47" t="s">
        <v>1507</v>
      </c>
      <c r="H525" s="47" t="s">
        <v>1516</v>
      </c>
      <c r="I525" s="46" t="s">
        <v>1517</v>
      </c>
      <c r="J525" s="47" t="s">
        <v>519</v>
      </c>
      <c r="K525" s="47" t="s">
        <v>519</v>
      </c>
      <c r="L525" s="47" t="s">
        <v>552</v>
      </c>
      <c r="M525" s="47" t="s">
        <v>976</v>
      </c>
      <c r="N525" s="47" t="s">
        <v>839</v>
      </c>
      <c r="O525" s="54" t="s">
        <v>383</v>
      </c>
      <c r="P525" s="44" t="s">
        <v>309</v>
      </c>
      <c r="Q525" s="59" t="str">
        <f>MID(Tabla1[[#This Row],[Aplicación]],14,1)</f>
        <v>2</v>
      </c>
      <c r="R525" s="35" t="s">
        <v>298</v>
      </c>
      <c r="S525" s="59" t="str">
        <f>MID(Tabla1[[#This Row],[Aplicación]],6,2)</f>
        <v>07</v>
      </c>
      <c r="T525" s="35" t="str">
        <f>VLOOKUP(Tabla1[[#This Row],[AREA]],Hoja1!A:B,2,FALSE)</f>
        <v>07. Medio ambiente y desarrollo sostenible</v>
      </c>
      <c r="U525" s="35" t="str">
        <f>MID(Tabla1[[#This Row],[Aplicación]],9,4)</f>
        <v>1711</v>
      </c>
      <c r="V525" s="35" t="str">
        <f>VLOOKUP(Tabla1[[#This Row],[PROGRAMA]],Hoja1!A:B,2,FALSE)</f>
        <v>1711. Parques y jardines</v>
      </c>
      <c r="W525" s="56" t="str">
        <f>MID(Tabla1[[#This Row],[Aplicación]],14,2)</f>
        <v>22</v>
      </c>
      <c r="X525" s="56" t="str">
        <f>MID(Tabla1[[#This Row],[Aplicación]],14,6)</f>
        <v>22199</v>
      </c>
    </row>
    <row r="526" spans="1:24" x14ac:dyDescent="0.25">
      <c r="A526" s="46">
        <v>220230003239</v>
      </c>
      <c r="B526" s="47" t="s">
        <v>507</v>
      </c>
      <c r="C526" s="52">
        <v>44971</v>
      </c>
      <c r="D526" s="46">
        <v>22023002409</v>
      </c>
      <c r="E526" s="47" t="s">
        <v>1386</v>
      </c>
      <c r="F526" s="53">
        <v>473.2</v>
      </c>
      <c r="G526" s="47" t="s">
        <v>92</v>
      </c>
      <c r="H526" s="47" t="s">
        <v>1518</v>
      </c>
      <c r="I526" s="46" t="s">
        <v>511</v>
      </c>
      <c r="J526" s="47" t="s">
        <v>512</v>
      </c>
      <c r="K526" s="47" t="s">
        <v>512</v>
      </c>
      <c r="L526" s="47" t="s">
        <v>552</v>
      </c>
      <c r="M526" s="47" t="s">
        <v>976</v>
      </c>
      <c r="N526" s="47" t="s">
        <v>839</v>
      </c>
      <c r="O526" s="45" t="s">
        <v>383</v>
      </c>
      <c r="P526" s="44" t="s">
        <v>309</v>
      </c>
      <c r="Q526" s="59" t="str">
        <f>MID(Tabla1[[#This Row],[Aplicación]],14,1)</f>
        <v>2</v>
      </c>
      <c r="R526" s="35" t="s">
        <v>298</v>
      </c>
      <c r="S526" s="59" t="str">
        <f>MID(Tabla1[[#This Row],[Aplicación]],6,2)</f>
        <v>01</v>
      </c>
      <c r="T526" s="35" t="str">
        <f>VLOOKUP(Tabla1[[#This Row],[AREA]],Hoja1!A:B,2,FALSE)</f>
        <v>01. Alcaldía</v>
      </c>
      <c r="U526" s="35" t="str">
        <f>MID(Tabla1[[#This Row],[Aplicación]],9,4)</f>
        <v>9207</v>
      </c>
      <c r="V526" s="35" t="str">
        <f>VLOOKUP(Tabla1[[#This Row],[PROGRAMA]],Hoja1!A:B,2,FALSE)</f>
        <v>9207. Gobierno y relaciones</v>
      </c>
      <c r="W526" s="56" t="str">
        <f>MID(Tabla1[[#This Row],[Aplicación]],14,2)</f>
        <v>22</v>
      </c>
      <c r="X526" s="56" t="str">
        <f>MID(Tabla1[[#This Row],[Aplicación]],14,6)</f>
        <v>22001</v>
      </c>
    </row>
    <row r="527" spans="1:24" x14ac:dyDescent="0.25">
      <c r="A527" s="46">
        <v>220230006757</v>
      </c>
      <c r="B527" s="47" t="s">
        <v>507</v>
      </c>
      <c r="C527" s="52">
        <v>44986</v>
      </c>
      <c r="D527" s="46">
        <v>22023002753</v>
      </c>
      <c r="E527" s="47" t="s">
        <v>1519</v>
      </c>
      <c r="F527" s="53">
        <v>656.72</v>
      </c>
      <c r="G527" s="47" t="s">
        <v>422</v>
      </c>
      <c r="H527" s="47" t="s">
        <v>1520</v>
      </c>
      <c r="I527" s="46" t="s">
        <v>511</v>
      </c>
      <c r="J527" s="47" t="s">
        <v>512</v>
      </c>
      <c r="K527" s="47" t="s">
        <v>512</v>
      </c>
      <c r="L527" s="47" t="s">
        <v>520</v>
      </c>
      <c r="M527" s="47" t="s">
        <v>976</v>
      </c>
      <c r="N527" s="47" t="s">
        <v>839</v>
      </c>
      <c r="O527" s="45" t="s">
        <v>383</v>
      </c>
      <c r="P527" s="44" t="s">
        <v>309</v>
      </c>
      <c r="Q527" s="59" t="str">
        <f>MID(Tabla1[[#This Row],[Aplicación]],14,1)</f>
        <v>2</v>
      </c>
      <c r="R527" s="35" t="s">
        <v>298</v>
      </c>
      <c r="S527" s="59" t="str">
        <f>MID(Tabla1[[#This Row],[Aplicación]],6,2)</f>
        <v>02</v>
      </c>
      <c r="T527" s="35" t="str">
        <f>VLOOKUP(Tabla1[[#This Row],[AREA]],Hoja1!A:B,2,FALSE)</f>
        <v>02. Planeamiento urbanístico y vivienda</v>
      </c>
      <c r="U527" s="35" t="str">
        <f>MID(Tabla1[[#This Row],[Aplicación]],9,4)</f>
        <v>9332</v>
      </c>
      <c r="V527" s="35" t="str">
        <f>VLOOKUP(Tabla1[[#This Row],[PROGRAMA]],Hoja1!A:B,2,FALSE)</f>
        <v>9332. Mantenimiento de edificios e instalaciones municipales</v>
      </c>
      <c r="W527" s="56" t="str">
        <f>MID(Tabla1[[#This Row],[Aplicación]],14,2)</f>
        <v>22</v>
      </c>
      <c r="X527" s="56" t="str">
        <f>MID(Tabla1[[#This Row],[Aplicación]],14,6)</f>
        <v>22799</v>
      </c>
    </row>
    <row r="528" spans="1:24" x14ac:dyDescent="0.25">
      <c r="A528" s="46">
        <v>220230008192</v>
      </c>
      <c r="B528" s="47" t="s">
        <v>507</v>
      </c>
      <c r="C528" s="52">
        <v>44998</v>
      </c>
      <c r="D528" s="46">
        <v>22023003057</v>
      </c>
      <c r="E528" s="47" t="s">
        <v>693</v>
      </c>
      <c r="F528" s="53">
        <v>108.4</v>
      </c>
      <c r="G528" s="47" t="s">
        <v>1521</v>
      </c>
      <c r="H528" s="47" t="s">
        <v>1522</v>
      </c>
      <c r="I528" s="46" t="s">
        <v>511</v>
      </c>
      <c r="J528" s="47" t="s">
        <v>512</v>
      </c>
      <c r="K528" s="47" t="s">
        <v>512</v>
      </c>
      <c r="L528" s="47" t="s">
        <v>520</v>
      </c>
      <c r="M528" s="47" t="s">
        <v>976</v>
      </c>
      <c r="N528" s="47" t="s">
        <v>839</v>
      </c>
      <c r="O528" s="54" t="s">
        <v>383</v>
      </c>
      <c r="P528" s="44" t="s">
        <v>309</v>
      </c>
      <c r="Q528" s="59" t="str">
        <f>MID(Tabla1[[#This Row],[Aplicación]],14,1)</f>
        <v>2</v>
      </c>
      <c r="R528" s="35" t="s">
        <v>298</v>
      </c>
      <c r="S528" s="59" t="str">
        <f>MID(Tabla1[[#This Row],[Aplicación]],6,2)</f>
        <v>11</v>
      </c>
      <c r="T528" s="35" t="str">
        <f>VLOOKUP(Tabla1[[#This Row],[AREA]],Hoja1!A:B,2,FALSE)</f>
        <v>11. Salud pública y seguridad ciudadana</v>
      </c>
      <c r="U528" s="35" t="str">
        <f>MID(Tabla1[[#This Row],[Aplicación]],9,4)</f>
        <v>1361</v>
      </c>
      <c r="V528" s="35" t="str">
        <f>VLOOKUP(Tabla1[[#This Row],[PROGRAMA]],Hoja1!A:B,2,FALSE)</f>
        <v>1361. Prevención y extinción de incencios</v>
      </c>
      <c r="W528" s="56" t="str">
        <f>MID(Tabla1[[#This Row],[Aplicación]],14,2)</f>
        <v>21</v>
      </c>
      <c r="X528" s="56" t="str">
        <f>MID(Tabla1[[#This Row],[Aplicación]],14,6)</f>
        <v>213</v>
      </c>
    </row>
    <row r="529" spans="1:24" x14ac:dyDescent="0.25">
      <c r="A529" s="46">
        <v>220230002022</v>
      </c>
      <c r="B529" s="47" t="s">
        <v>507</v>
      </c>
      <c r="C529" s="52">
        <v>44960</v>
      </c>
      <c r="D529" s="46">
        <v>22023001641</v>
      </c>
      <c r="E529" s="47" t="s">
        <v>1285</v>
      </c>
      <c r="F529" s="53">
        <v>1105.76</v>
      </c>
      <c r="G529" s="47" t="s">
        <v>1523</v>
      </c>
      <c r="H529" s="47" t="s">
        <v>1524</v>
      </c>
      <c r="I529" s="46" t="s">
        <v>511</v>
      </c>
      <c r="J529" s="47" t="s">
        <v>1525</v>
      </c>
      <c r="K529" s="47" t="s">
        <v>512</v>
      </c>
      <c r="L529" s="47" t="s">
        <v>552</v>
      </c>
      <c r="M529" s="47" t="s">
        <v>976</v>
      </c>
      <c r="N529" s="47" t="s">
        <v>839</v>
      </c>
      <c r="O529" s="45" t="s">
        <v>383</v>
      </c>
      <c r="P529" s="44" t="s">
        <v>309</v>
      </c>
      <c r="Q529" s="59" t="str">
        <f>MID(Tabla1[[#This Row],[Aplicación]],14,1)</f>
        <v>2</v>
      </c>
      <c r="R529" s="35" t="s">
        <v>298</v>
      </c>
      <c r="S529" s="59" t="str">
        <f>MID(Tabla1[[#This Row],[Aplicación]],6,2)</f>
        <v>11</v>
      </c>
      <c r="T529" s="35" t="str">
        <f>VLOOKUP(Tabla1[[#This Row],[AREA]],Hoja1!A:B,2,FALSE)</f>
        <v>11. Salud pública y seguridad ciudadana</v>
      </c>
      <c r="U529" s="35" t="str">
        <f>MID(Tabla1[[#This Row],[Aplicación]],9,4)</f>
        <v>1361</v>
      </c>
      <c r="V529" s="35" t="str">
        <f>VLOOKUP(Tabla1[[#This Row],[PROGRAMA]],Hoja1!A:B,2,FALSE)</f>
        <v>1361. Prevención y extinción de incencios</v>
      </c>
      <c r="W529" s="56" t="str">
        <f>MID(Tabla1[[#This Row],[Aplicación]],14,2)</f>
        <v>22</v>
      </c>
      <c r="X529" s="56" t="str">
        <f>MID(Tabla1[[#This Row],[Aplicación]],14,6)</f>
        <v>22199</v>
      </c>
    </row>
    <row r="530" spans="1:24" x14ac:dyDescent="0.25">
      <c r="A530" s="55">
        <v>220220076401</v>
      </c>
      <c r="B530" s="47" t="s">
        <v>507</v>
      </c>
      <c r="C530" s="52">
        <v>45014</v>
      </c>
      <c r="D530" s="46">
        <v>22022008952</v>
      </c>
      <c r="E530" s="47" t="s">
        <v>549</v>
      </c>
      <c r="F530" s="53">
        <v>516393.34</v>
      </c>
      <c r="G530" s="47" t="s">
        <v>422</v>
      </c>
      <c r="H530" s="47" t="s">
        <v>1526</v>
      </c>
      <c r="I530" s="46" t="s">
        <v>511</v>
      </c>
      <c r="J530" s="47" t="s">
        <v>512</v>
      </c>
      <c r="K530" s="47" t="s">
        <v>512</v>
      </c>
      <c r="L530" s="47" t="s">
        <v>520</v>
      </c>
      <c r="M530" s="47" t="s">
        <v>514</v>
      </c>
      <c r="N530" s="47" t="s">
        <v>515</v>
      </c>
      <c r="O530" s="54" t="s">
        <v>371</v>
      </c>
      <c r="P530" s="44" t="s">
        <v>309</v>
      </c>
      <c r="Q530" s="59" t="str">
        <f>MID(Tabla1[[#This Row],[Aplicación]],14,1)</f>
        <v>6</v>
      </c>
      <c r="R530" s="35" t="s">
        <v>299</v>
      </c>
      <c r="S530" s="59" t="str">
        <f>MID(Tabla1[[#This Row],[Aplicación]],6,2)</f>
        <v>11</v>
      </c>
      <c r="T530" s="35" t="str">
        <f>VLOOKUP(Tabla1[[#This Row],[AREA]],Hoja1!A:B,2,FALSE)</f>
        <v>11. Salud pública y seguridad ciudadana</v>
      </c>
      <c r="U530" s="35" t="str">
        <f>MID(Tabla1[[#This Row],[Aplicación]],9,4)</f>
        <v>1621</v>
      </c>
      <c r="V530" s="35" t="str">
        <f>VLOOKUP(Tabla1[[#This Row],[PROGRAMA]],Hoja1!A:B,2,FALSE)</f>
        <v>1621. Servicio de limpieza</v>
      </c>
      <c r="W530" s="56" t="str">
        <f>MID(Tabla1[[#This Row],[Aplicación]],14,2)</f>
        <v>63</v>
      </c>
      <c r="X530" s="56" t="str">
        <f>MID(Tabla1[[#This Row],[Aplicación]],14,6)</f>
        <v>634</v>
      </c>
    </row>
    <row r="531" spans="1:24" x14ac:dyDescent="0.25">
      <c r="A531" s="46">
        <v>220230006417</v>
      </c>
      <c r="B531" s="47" t="s">
        <v>507</v>
      </c>
      <c r="C531" s="52">
        <v>44985</v>
      </c>
      <c r="D531" s="46">
        <v>22023002744</v>
      </c>
      <c r="E531" s="47" t="s">
        <v>1318</v>
      </c>
      <c r="F531" s="53">
        <v>363</v>
      </c>
      <c r="G531" s="47" t="s">
        <v>1527</v>
      </c>
      <c r="H531" s="47" t="s">
        <v>1528</v>
      </c>
      <c r="I531" s="46" t="s">
        <v>511</v>
      </c>
      <c r="J531" s="47" t="s">
        <v>837</v>
      </c>
      <c r="K531" s="47" t="s">
        <v>837</v>
      </c>
      <c r="L531" s="47" t="s">
        <v>520</v>
      </c>
      <c r="M531" s="47" t="s">
        <v>976</v>
      </c>
      <c r="N531" s="47" t="s">
        <v>839</v>
      </c>
      <c r="O531" s="45" t="s">
        <v>383</v>
      </c>
      <c r="P531" s="44" t="s">
        <v>309</v>
      </c>
      <c r="Q531" s="59" t="str">
        <f>MID(Tabla1[[#This Row],[Aplicación]],14,1)</f>
        <v>2</v>
      </c>
      <c r="R531" s="35" t="s">
        <v>298</v>
      </c>
      <c r="S531" s="59" t="str">
        <f>MID(Tabla1[[#This Row],[Aplicación]],6,2)</f>
        <v>05</v>
      </c>
      <c r="T531" s="35" t="str">
        <f>VLOOKUP(Tabla1[[#This Row],[AREA]],Hoja1!A:B,2,FALSE)</f>
        <v>05. Innovación, desarrollo económico, empleo y comercio</v>
      </c>
      <c r="U531" s="35" t="str">
        <f>MID(Tabla1[[#This Row],[Aplicación]],9,4)</f>
        <v>4331</v>
      </c>
      <c r="V531" s="35" t="str">
        <f>VLOOKUP(Tabla1[[#This Row],[PROGRAMA]],Hoja1!A:B,2,FALSE)</f>
        <v>4331. Desarrollo empresarial</v>
      </c>
      <c r="W531" s="56" t="str">
        <f>MID(Tabla1[[#This Row],[Aplicación]],14,2)</f>
        <v>22</v>
      </c>
      <c r="X531" s="56" t="str">
        <f>MID(Tabla1[[#This Row],[Aplicación]],14,6)</f>
        <v>22699</v>
      </c>
    </row>
    <row r="532" spans="1:24" x14ac:dyDescent="0.25">
      <c r="A532" s="55">
        <v>220230008937</v>
      </c>
      <c r="B532" s="47" t="s">
        <v>507</v>
      </c>
      <c r="C532" s="52">
        <v>45002</v>
      </c>
      <c r="D532" s="46">
        <v>22023003116</v>
      </c>
      <c r="E532" s="47" t="s">
        <v>1318</v>
      </c>
      <c r="F532" s="53">
        <v>363</v>
      </c>
      <c r="G532" s="47" t="s">
        <v>1527</v>
      </c>
      <c r="H532" s="47" t="s">
        <v>1529</v>
      </c>
      <c r="I532" s="46" t="s">
        <v>511</v>
      </c>
      <c r="J532" s="47" t="s">
        <v>837</v>
      </c>
      <c r="K532" s="47" t="s">
        <v>837</v>
      </c>
      <c r="L532" s="47" t="s">
        <v>520</v>
      </c>
      <c r="M532" s="47" t="s">
        <v>976</v>
      </c>
      <c r="N532" s="47" t="s">
        <v>839</v>
      </c>
      <c r="O532" s="54" t="s">
        <v>383</v>
      </c>
      <c r="P532" s="44" t="s">
        <v>309</v>
      </c>
      <c r="Q532" s="59" t="str">
        <f>MID(Tabla1[[#This Row],[Aplicación]],14,1)</f>
        <v>2</v>
      </c>
      <c r="R532" s="35" t="s">
        <v>298</v>
      </c>
      <c r="S532" s="59" t="str">
        <f>MID(Tabla1[[#This Row],[Aplicación]],6,2)</f>
        <v>05</v>
      </c>
      <c r="T532" s="35" t="str">
        <f>VLOOKUP(Tabla1[[#This Row],[AREA]],Hoja1!A:B,2,FALSE)</f>
        <v>05. Innovación, desarrollo económico, empleo y comercio</v>
      </c>
      <c r="U532" s="35" t="str">
        <f>MID(Tabla1[[#This Row],[Aplicación]],9,4)</f>
        <v>4331</v>
      </c>
      <c r="V532" s="35" t="str">
        <f>VLOOKUP(Tabla1[[#This Row],[PROGRAMA]],Hoja1!A:B,2,FALSE)</f>
        <v>4331. Desarrollo empresarial</v>
      </c>
      <c r="W532" s="56" t="str">
        <f>MID(Tabla1[[#This Row],[Aplicación]],14,2)</f>
        <v>22</v>
      </c>
      <c r="X532" s="56" t="str">
        <f>MID(Tabla1[[#This Row],[Aplicación]],14,6)</f>
        <v>22699</v>
      </c>
    </row>
    <row r="533" spans="1:24" x14ac:dyDescent="0.25">
      <c r="A533" s="46">
        <v>220230005399</v>
      </c>
      <c r="B533" s="47" t="s">
        <v>507</v>
      </c>
      <c r="C533" s="52">
        <v>44979</v>
      </c>
      <c r="D533" s="46">
        <v>22023002481</v>
      </c>
      <c r="E533" s="47" t="s">
        <v>1318</v>
      </c>
      <c r="F533" s="53">
        <v>484</v>
      </c>
      <c r="G533" s="47" t="s">
        <v>1527</v>
      </c>
      <c r="H533" s="47" t="s">
        <v>1530</v>
      </c>
      <c r="I533" s="46" t="s">
        <v>511</v>
      </c>
      <c r="J533" s="47" t="s">
        <v>837</v>
      </c>
      <c r="K533" s="47" t="s">
        <v>837</v>
      </c>
      <c r="L533" s="47" t="s">
        <v>520</v>
      </c>
      <c r="M533" s="47" t="s">
        <v>976</v>
      </c>
      <c r="N533" s="47" t="s">
        <v>839</v>
      </c>
      <c r="O533" s="45" t="s">
        <v>383</v>
      </c>
      <c r="P533" s="44" t="s">
        <v>309</v>
      </c>
      <c r="Q533" s="59" t="str">
        <f>MID(Tabla1[[#This Row],[Aplicación]],14,1)</f>
        <v>2</v>
      </c>
      <c r="R533" s="35" t="s">
        <v>298</v>
      </c>
      <c r="S533" s="59" t="str">
        <f>MID(Tabla1[[#This Row],[Aplicación]],6,2)</f>
        <v>05</v>
      </c>
      <c r="T533" s="35" t="str">
        <f>VLOOKUP(Tabla1[[#This Row],[AREA]],Hoja1!A:B,2,FALSE)</f>
        <v>05. Innovación, desarrollo económico, empleo y comercio</v>
      </c>
      <c r="U533" s="35" t="str">
        <f>MID(Tabla1[[#This Row],[Aplicación]],9,4)</f>
        <v>4331</v>
      </c>
      <c r="V533" s="35" t="str">
        <f>VLOOKUP(Tabla1[[#This Row],[PROGRAMA]],Hoja1!A:B,2,FALSE)</f>
        <v>4331. Desarrollo empresarial</v>
      </c>
      <c r="W533" s="56" t="str">
        <f>MID(Tabla1[[#This Row],[Aplicación]],14,2)</f>
        <v>22</v>
      </c>
      <c r="X533" s="56" t="str">
        <f>MID(Tabla1[[#This Row],[Aplicación]],14,6)</f>
        <v>22699</v>
      </c>
    </row>
    <row r="534" spans="1:24" x14ac:dyDescent="0.25">
      <c r="A534" s="46">
        <v>220230005398</v>
      </c>
      <c r="B534" s="47" t="s">
        <v>507</v>
      </c>
      <c r="C534" s="52">
        <v>44979</v>
      </c>
      <c r="D534" s="46">
        <v>22023002478</v>
      </c>
      <c r="E534" s="47" t="s">
        <v>1318</v>
      </c>
      <c r="F534" s="53">
        <v>363</v>
      </c>
      <c r="G534" s="47" t="s">
        <v>1527</v>
      </c>
      <c r="H534" s="47" t="s">
        <v>1531</v>
      </c>
      <c r="I534" s="46" t="s">
        <v>511</v>
      </c>
      <c r="J534" s="47" t="s">
        <v>837</v>
      </c>
      <c r="K534" s="47" t="s">
        <v>837</v>
      </c>
      <c r="L534" s="47" t="s">
        <v>520</v>
      </c>
      <c r="M534" s="47" t="s">
        <v>976</v>
      </c>
      <c r="N534" s="47" t="s">
        <v>839</v>
      </c>
      <c r="O534" s="45" t="s">
        <v>383</v>
      </c>
      <c r="P534" s="44" t="s">
        <v>309</v>
      </c>
      <c r="Q534" s="59" t="str">
        <f>MID(Tabla1[[#This Row],[Aplicación]],14,1)</f>
        <v>2</v>
      </c>
      <c r="R534" s="35" t="s">
        <v>298</v>
      </c>
      <c r="S534" s="59" t="str">
        <f>MID(Tabla1[[#This Row],[Aplicación]],6,2)</f>
        <v>05</v>
      </c>
      <c r="T534" s="35" t="str">
        <f>VLOOKUP(Tabla1[[#This Row],[AREA]],Hoja1!A:B,2,FALSE)</f>
        <v>05. Innovación, desarrollo económico, empleo y comercio</v>
      </c>
      <c r="U534" s="35" t="str">
        <f>MID(Tabla1[[#This Row],[Aplicación]],9,4)</f>
        <v>4331</v>
      </c>
      <c r="V534" s="35" t="str">
        <f>VLOOKUP(Tabla1[[#This Row],[PROGRAMA]],Hoja1!A:B,2,FALSE)</f>
        <v>4331. Desarrollo empresarial</v>
      </c>
      <c r="W534" s="56" t="str">
        <f>MID(Tabla1[[#This Row],[Aplicación]],14,2)</f>
        <v>22</v>
      </c>
      <c r="X534" s="56" t="str">
        <f>MID(Tabla1[[#This Row],[Aplicación]],14,6)</f>
        <v>22699</v>
      </c>
    </row>
    <row r="535" spans="1:24" x14ac:dyDescent="0.25">
      <c r="A535" s="46">
        <v>220230008588</v>
      </c>
      <c r="B535" s="47" t="s">
        <v>507</v>
      </c>
      <c r="C535" s="52">
        <v>45000</v>
      </c>
      <c r="D535" s="46">
        <v>22023002991</v>
      </c>
      <c r="E535" s="47" t="s">
        <v>1532</v>
      </c>
      <c r="F535" s="53">
        <v>556.6</v>
      </c>
      <c r="G535" s="47" t="s">
        <v>1533</v>
      </c>
      <c r="H535" s="47" t="s">
        <v>1534</v>
      </c>
      <c r="I535" s="46" t="s">
        <v>511</v>
      </c>
      <c r="J535" s="47" t="s">
        <v>1535</v>
      </c>
      <c r="K535" s="47" t="s">
        <v>512</v>
      </c>
      <c r="L535" s="47" t="s">
        <v>520</v>
      </c>
      <c r="M535" s="47" t="s">
        <v>976</v>
      </c>
      <c r="N535" s="47" t="s">
        <v>839</v>
      </c>
      <c r="O535" s="54" t="s">
        <v>383</v>
      </c>
      <c r="P535" s="44" t="s">
        <v>309</v>
      </c>
      <c r="Q535" s="59" t="str">
        <f>MID(Tabla1[[#This Row],[Aplicación]],14,1)</f>
        <v>2</v>
      </c>
      <c r="R535" s="35" t="s">
        <v>298</v>
      </c>
      <c r="S535" s="59" t="str">
        <f>MID(Tabla1[[#This Row],[Aplicación]],6,2)</f>
        <v>09</v>
      </c>
      <c r="T535" s="35" t="str">
        <f>VLOOKUP(Tabla1[[#This Row],[AREA]],Hoja1!A:B,2,FALSE)</f>
        <v>09. Cultura y turismo</v>
      </c>
      <c r="U535" s="35" t="str">
        <f>MID(Tabla1[[#This Row],[Aplicación]],9,4)</f>
        <v>3341</v>
      </c>
      <c r="V535" s="35" t="str">
        <f>VLOOKUP(Tabla1[[#This Row],[PROGRAMA]],Hoja1!A:B,2,FALSE)</f>
        <v>3341. Coordinación de políticas culturales</v>
      </c>
      <c r="W535" s="56" t="str">
        <f>MID(Tabla1[[#This Row],[Aplicación]],14,2)</f>
        <v>22</v>
      </c>
      <c r="X535" s="56" t="str">
        <f>MID(Tabla1[[#This Row],[Aplicación]],14,6)</f>
        <v>22699</v>
      </c>
    </row>
    <row r="536" spans="1:24" x14ac:dyDescent="0.25">
      <c r="A536" s="46">
        <v>220230008183</v>
      </c>
      <c r="B536" s="47" t="s">
        <v>507</v>
      </c>
      <c r="C536" s="52">
        <v>44998</v>
      </c>
      <c r="D536" s="46">
        <v>22023002899</v>
      </c>
      <c r="E536" s="47" t="s">
        <v>1285</v>
      </c>
      <c r="F536" s="53">
        <v>160</v>
      </c>
      <c r="G536" s="47" t="s">
        <v>396</v>
      </c>
      <c r="H536" s="47" t="s">
        <v>1536</v>
      </c>
      <c r="I536" s="46" t="s">
        <v>511</v>
      </c>
      <c r="J536" s="47" t="s">
        <v>519</v>
      </c>
      <c r="K536" s="47" t="s">
        <v>519</v>
      </c>
      <c r="L536" s="47" t="s">
        <v>520</v>
      </c>
      <c r="M536" s="47" t="s">
        <v>976</v>
      </c>
      <c r="N536" s="47" t="s">
        <v>839</v>
      </c>
      <c r="O536" s="54" t="s">
        <v>383</v>
      </c>
      <c r="P536" s="44" t="s">
        <v>309</v>
      </c>
      <c r="Q536" s="59" t="str">
        <f>MID(Tabla1[[#This Row],[Aplicación]],14,1)</f>
        <v>2</v>
      </c>
      <c r="R536" s="35" t="s">
        <v>298</v>
      </c>
      <c r="S536" s="59" t="str">
        <f>MID(Tabla1[[#This Row],[Aplicación]],6,2)</f>
        <v>11</v>
      </c>
      <c r="T536" s="35" t="str">
        <f>VLOOKUP(Tabla1[[#This Row],[AREA]],Hoja1!A:B,2,FALSE)</f>
        <v>11. Salud pública y seguridad ciudadana</v>
      </c>
      <c r="U536" s="35" t="str">
        <f>MID(Tabla1[[#This Row],[Aplicación]],9,4)</f>
        <v>1361</v>
      </c>
      <c r="V536" s="35" t="str">
        <f>VLOOKUP(Tabla1[[#This Row],[PROGRAMA]],Hoja1!A:B,2,FALSE)</f>
        <v>1361. Prevención y extinción de incencios</v>
      </c>
      <c r="W536" s="56" t="str">
        <f>MID(Tabla1[[#This Row],[Aplicación]],14,2)</f>
        <v>22</v>
      </c>
      <c r="X536" s="56" t="str">
        <f>MID(Tabla1[[#This Row],[Aplicación]],14,6)</f>
        <v>22199</v>
      </c>
    </row>
    <row r="537" spans="1:24" x14ac:dyDescent="0.25">
      <c r="A537" s="46">
        <v>220229000602</v>
      </c>
      <c r="B537" s="47" t="s">
        <v>507</v>
      </c>
      <c r="C537" s="52">
        <v>44927</v>
      </c>
      <c r="D537" s="46">
        <v>22023000468</v>
      </c>
      <c r="E537" s="47" t="s">
        <v>1376</v>
      </c>
      <c r="F537" s="53">
        <v>30129</v>
      </c>
      <c r="G537" s="47" t="s">
        <v>1537</v>
      </c>
      <c r="H537" s="47" t="s">
        <v>1538</v>
      </c>
      <c r="I537" s="46" t="s">
        <v>511</v>
      </c>
      <c r="J537" s="47" t="s">
        <v>519</v>
      </c>
      <c r="K537" s="47" t="s">
        <v>519</v>
      </c>
      <c r="L537" s="47" t="s">
        <v>552</v>
      </c>
      <c r="M537" s="47" t="s">
        <v>514</v>
      </c>
      <c r="N537" s="47" t="s">
        <v>515</v>
      </c>
      <c r="O537" s="45" t="s">
        <v>371</v>
      </c>
      <c r="P537" s="44" t="s">
        <v>309</v>
      </c>
      <c r="Q537" s="59" t="str">
        <f>MID(Tabla1[[#This Row],[Aplicación]],14,1)</f>
        <v>2</v>
      </c>
      <c r="R537" s="35" t="s">
        <v>298</v>
      </c>
      <c r="S537" s="59" t="str">
        <f>MID(Tabla1[[#This Row],[Aplicación]],6,2)</f>
        <v>11</v>
      </c>
      <c r="T537" s="35" t="str">
        <f>VLOOKUP(Tabla1[[#This Row],[AREA]],Hoja1!A:B,2,FALSE)</f>
        <v>11. Salud pública y seguridad ciudadana</v>
      </c>
      <c r="U537" s="35" t="str">
        <f>MID(Tabla1[[#This Row],[Aplicación]],9,4)</f>
        <v>1321</v>
      </c>
      <c r="V537" s="35" t="str">
        <f>VLOOKUP(Tabla1[[#This Row],[PROGRAMA]],Hoja1!A:B,2,FALSE)</f>
        <v>1321. Policía municipal</v>
      </c>
      <c r="W537" s="56" t="str">
        <f>MID(Tabla1[[#This Row],[Aplicación]],14,2)</f>
        <v>22</v>
      </c>
      <c r="X537" s="56" t="str">
        <f>MID(Tabla1[[#This Row],[Aplicación]],14,6)</f>
        <v>22104</v>
      </c>
    </row>
    <row r="538" spans="1:24" x14ac:dyDescent="0.25">
      <c r="A538" s="55">
        <v>220220020833</v>
      </c>
      <c r="B538" s="47" t="s">
        <v>507</v>
      </c>
      <c r="C538" s="52">
        <v>45014</v>
      </c>
      <c r="D538" s="46">
        <v>22022003703</v>
      </c>
      <c r="E538" s="47" t="s">
        <v>1272</v>
      </c>
      <c r="F538" s="53">
        <v>7151.1</v>
      </c>
      <c r="G538" s="47" t="s">
        <v>1539</v>
      </c>
      <c r="H538" s="47" t="s">
        <v>1540</v>
      </c>
      <c r="I538" s="46" t="s">
        <v>511</v>
      </c>
      <c r="J538" s="47" t="s">
        <v>1541</v>
      </c>
      <c r="K538" s="47" t="s">
        <v>545</v>
      </c>
      <c r="L538" s="47" t="s">
        <v>527</v>
      </c>
      <c r="M538" s="47" t="s">
        <v>976</v>
      </c>
      <c r="N538" s="47" t="s">
        <v>839</v>
      </c>
      <c r="O538" s="54" t="s">
        <v>383</v>
      </c>
      <c r="P538" s="44" t="s">
        <v>309</v>
      </c>
      <c r="Q538" s="59" t="str">
        <f>MID(Tabla1[[#This Row],[Aplicación]],14,1)</f>
        <v>6</v>
      </c>
      <c r="R538" s="35" t="s">
        <v>299</v>
      </c>
      <c r="S538" s="59" t="str">
        <f>MID(Tabla1[[#This Row],[Aplicación]],6,2)</f>
        <v>02</v>
      </c>
      <c r="T538" s="35" t="str">
        <f>VLOOKUP(Tabla1[[#This Row],[AREA]],Hoja1!A:B,2,FALSE)</f>
        <v>02. Planeamiento urbanístico y vivienda</v>
      </c>
      <c r="U538" s="35" t="str">
        <f>MID(Tabla1[[#This Row],[Aplicación]],9,4)</f>
        <v>9332</v>
      </c>
      <c r="V538" s="35" t="str">
        <f>VLOOKUP(Tabla1[[#This Row],[PROGRAMA]],Hoja1!A:B,2,FALSE)</f>
        <v>9332. Mantenimiento de edificios e instalaciones municipales</v>
      </c>
      <c r="W538" s="56" t="str">
        <f>MID(Tabla1[[#This Row],[Aplicación]],14,2)</f>
        <v>63</v>
      </c>
      <c r="X538" s="56" t="str">
        <f>MID(Tabla1[[#This Row],[Aplicación]],14,6)</f>
        <v>632</v>
      </c>
    </row>
    <row r="539" spans="1:24" x14ac:dyDescent="0.25">
      <c r="A539" s="46">
        <v>220229000322</v>
      </c>
      <c r="B539" s="47" t="s">
        <v>507</v>
      </c>
      <c r="C539" s="52">
        <v>44927</v>
      </c>
      <c r="D539" s="46">
        <v>22023001148</v>
      </c>
      <c r="E539" s="47" t="s">
        <v>539</v>
      </c>
      <c r="F539" s="53">
        <v>3363</v>
      </c>
      <c r="G539" s="47" t="s">
        <v>804</v>
      </c>
      <c r="H539" s="47" t="s">
        <v>1542</v>
      </c>
      <c r="I539" s="46" t="s">
        <v>511</v>
      </c>
      <c r="J539" s="47" t="s">
        <v>519</v>
      </c>
      <c r="K539" s="47" t="s">
        <v>519</v>
      </c>
      <c r="L539" s="47" t="s">
        <v>520</v>
      </c>
      <c r="M539" s="47" t="s">
        <v>514</v>
      </c>
      <c r="N539" s="47" t="s">
        <v>515</v>
      </c>
      <c r="O539" s="45" t="s">
        <v>371</v>
      </c>
      <c r="P539" s="44" t="s">
        <v>309</v>
      </c>
      <c r="Q539" s="59" t="str">
        <f>MID(Tabla1[[#This Row],[Aplicación]],14,1)</f>
        <v>2</v>
      </c>
      <c r="R539" s="35" t="s">
        <v>298</v>
      </c>
      <c r="S539" s="59" t="str">
        <f>MID(Tabla1[[#This Row],[Aplicación]],6,2)</f>
        <v>10</v>
      </c>
      <c r="T539" s="35" t="str">
        <f>VLOOKUP(Tabla1[[#This Row],[AREA]],Hoja1!A:B,2,FALSE)</f>
        <v>10. Servicios sociales y mediación comunitaria</v>
      </c>
      <c r="U539" s="35" t="str">
        <f>MID(Tabla1[[#This Row],[Aplicación]],9,4)</f>
        <v>2312</v>
      </c>
      <c r="V539" s="35" t="str">
        <f>VLOOKUP(Tabla1[[#This Row],[PROGRAMA]],Hoja1!A:B,2,FALSE)</f>
        <v>2312. Iniciativas sociales</v>
      </c>
      <c r="W539" s="56" t="str">
        <f>MID(Tabla1[[#This Row],[Aplicación]],14,2)</f>
        <v>22</v>
      </c>
      <c r="X539" s="56" t="str">
        <f>MID(Tabla1[[#This Row],[Aplicación]],14,6)</f>
        <v>22799</v>
      </c>
    </row>
    <row r="540" spans="1:24" x14ac:dyDescent="0.25">
      <c r="A540" s="46">
        <v>220229000321</v>
      </c>
      <c r="B540" s="47" t="s">
        <v>507</v>
      </c>
      <c r="C540" s="52">
        <v>44927</v>
      </c>
      <c r="D540" s="46">
        <v>22023001147</v>
      </c>
      <c r="E540" s="47" t="s">
        <v>539</v>
      </c>
      <c r="F540" s="53">
        <v>885</v>
      </c>
      <c r="G540" s="47" t="s">
        <v>804</v>
      </c>
      <c r="H540" s="47" t="s">
        <v>1543</v>
      </c>
      <c r="I540" s="46" t="s">
        <v>511</v>
      </c>
      <c r="J540" s="47" t="s">
        <v>519</v>
      </c>
      <c r="K540" s="47" t="s">
        <v>519</v>
      </c>
      <c r="L540" s="47" t="s">
        <v>520</v>
      </c>
      <c r="M540" s="47" t="s">
        <v>514</v>
      </c>
      <c r="N540" s="47" t="s">
        <v>515</v>
      </c>
      <c r="O540" s="45" t="s">
        <v>371</v>
      </c>
      <c r="P540" s="44" t="s">
        <v>309</v>
      </c>
      <c r="Q540" s="59" t="str">
        <f>MID(Tabla1[[#This Row],[Aplicación]],14,1)</f>
        <v>2</v>
      </c>
      <c r="R540" s="35" t="s">
        <v>298</v>
      </c>
      <c r="S540" s="59" t="str">
        <f>MID(Tabla1[[#This Row],[Aplicación]],6,2)</f>
        <v>10</v>
      </c>
      <c r="T540" s="35" t="str">
        <f>VLOOKUP(Tabla1[[#This Row],[AREA]],Hoja1!A:B,2,FALSE)</f>
        <v>10. Servicios sociales y mediación comunitaria</v>
      </c>
      <c r="U540" s="35" t="str">
        <f>MID(Tabla1[[#This Row],[Aplicación]],9,4)</f>
        <v>2312</v>
      </c>
      <c r="V540" s="35" t="str">
        <f>VLOOKUP(Tabla1[[#This Row],[PROGRAMA]],Hoja1!A:B,2,FALSE)</f>
        <v>2312. Iniciativas sociales</v>
      </c>
      <c r="W540" s="56" t="str">
        <f>MID(Tabla1[[#This Row],[Aplicación]],14,2)</f>
        <v>22</v>
      </c>
      <c r="X540" s="56" t="str">
        <f>MID(Tabla1[[#This Row],[Aplicación]],14,6)</f>
        <v>22799</v>
      </c>
    </row>
    <row r="541" spans="1:24" x14ac:dyDescent="0.25">
      <c r="A541" s="46">
        <v>220229000783</v>
      </c>
      <c r="B541" s="47" t="s">
        <v>507</v>
      </c>
      <c r="C541" s="52">
        <v>44927</v>
      </c>
      <c r="D541" s="46">
        <v>22023001866</v>
      </c>
      <c r="E541" s="47" t="s">
        <v>1544</v>
      </c>
      <c r="F541" s="53">
        <v>17046.349999999999</v>
      </c>
      <c r="G541" s="47" t="s">
        <v>1545</v>
      </c>
      <c r="H541" s="47" t="s">
        <v>1546</v>
      </c>
      <c r="I541" s="46" t="s">
        <v>511</v>
      </c>
      <c r="J541" s="47" t="s">
        <v>519</v>
      </c>
      <c r="K541" s="47" t="s">
        <v>519</v>
      </c>
      <c r="L541" s="47" t="s">
        <v>520</v>
      </c>
      <c r="M541" s="47" t="s">
        <v>514</v>
      </c>
      <c r="N541" s="47" t="s">
        <v>515</v>
      </c>
      <c r="O541" s="45" t="s">
        <v>371</v>
      </c>
      <c r="P541" s="44" t="s">
        <v>309</v>
      </c>
      <c r="Q541" s="59" t="str">
        <f>MID(Tabla1[[#This Row],[Aplicación]],14,1)</f>
        <v>2</v>
      </c>
      <c r="R541" s="35" t="s">
        <v>298</v>
      </c>
      <c r="S541" s="59" t="str">
        <f>MID(Tabla1[[#This Row],[Aplicación]],6,2)</f>
        <v>10</v>
      </c>
      <c r="T541" s="35" t="str">
        <f>VLOOKUP(Tabla1[[#This Row],[AREA]],Hoja1!A:B,2,FALSE)</f>
        <v>10. Servicios sociales y mediación comunitaria</v>
      </c>
      <c r="U541" s="35" t="str">
        <f>MID(Tabla1[[#This Row],[Aplicación]],9,4)</f>
        <v>2412</v>
      </c>
      <c r="V541" s="35" t="str">
        <f>VLOOKUP(Tabla1[[#This Row],[PROGRAMA]],Hoja1!A:B,2,FALSE)</f>
        <v>2412. Formación para el empleo</v>
      </c>
      <c r="W541" s="56" t="str">
        <f>MID(Tabla1[[#This Row],[Aplicación]],14,2)</f>
        <v>22</v>
      </c>
      <c r="X541" s="56" t="str">
        <f>MID(Tabla1[[#This Row],[Aplicación]],14,6)</f>
        <v>22799</v>
      </c>
    </row>
    <row r="542" spans="1:24" x14ac:dyDescent="0.25">
      <c r="A542" s="46">
        <v>220230008578</v>
      </c>
      <c r="B542" s="47" t="s">
        <v>507</v>
      </c>
      <c r="C542" s="52">
        <v>45000</v>
      </c>
      <c r="D542" s="46">
        <v>22023002981</v>
      </c>
      <c r="E542" s="47" t="s">
        <v>1479</v>
      </c>
      <c r="F542" s="53">
        <v>605</v>
      </c>
      <c r="G542" s="47" t="s">
        <v>479</v>
      </c>
      <c r="H542" s="47" t="s">
        <v>1547</v>
      </c>
      <c r="I542" s="46" t="s">
        <v>511</v>
      </c>
      <c r="J542" s="47" t="s">
        <v>519</v>
      </c>
      <c r="K542" s="47" t="s">
        <v>519</v>
      </c>
      <c r="L542" s="47" t="s">
        <v>520</v>
      </c>
      <c r="M542" s="47" t="s">
        <v>976</v>
      </c>
      <c r="N542" s="47" t="s">
        <v>839</v>
      </c>
      <c r="O542" s="54" t="s">
        <v>383</v>
      </c>
      <c r="P542" s="44" t="s">
        <v>309</v>
      </c>
      <c r="Q542" s="59" t="str">
        <f>MID(Tabla1[[#This Row],[Aplicación]],14,1)</f>
        <v>2</v>
      </c>
      <c r="R542" s="35" t="s">
        <v>298</v>
      </c>
      <c r="S542" s="59" t="str">
        <f>MID(Tabla1[[#This Row],[Aplicación]],6,2)</f>
        <v>03</v>
      </c>
      <c r="T542" s="35" t="str">
        <f>VLOOKUP(Tabla1[[#This Row],[AREA]],Hoja1!A:B,2,FALSE)</f>
        <v>03. Participación ciudadana y deportes</v>
      </c>
      <c r="U542" s="35" t="str">
        <f>MID(Tabla1[[#This Row],[Aplicación]],9,4)</f>
        <v>9241</v>
      </c>
      <c r="V542" s="35" t="str">
        <f>VLOOKUP(Tabla1[[#This Row],[PROGRAMA]],Hoja1!A:B,2,FALSE)</f>
        <v>9241. Participación ciudadana</v>
      </c>
      <c r="W542" s="56" t="str">
        <f>MID(Tabla1[[#This Row],[Aplicación]],14,2)</f>
        <v>22</v>
      </c>
      <c r="X542" s="56" t="str">
        <f>MID(Tabla1[[#This Row],[Aplicación]],14,6)</f>
        <v>22609</v>
      </c>
    </row>
    <row r="543" spans="1:24" x14ac:dyDescent="0.25">
      <c r="A543" s="46">
        <v>220230002942</v>
      </c>
      <c r="B543" s="47" t="s">
        <v>507</v>
      </c>
      <c r="C543" s="52">
        <v>44967</v>
      </c>
      <c r="D543" s="46">
        <v>22023001812</v>
      </c>
      <c r="E543" s="47" t="s">
        <v>1548</v>
      </c>
      <c r="F543" s="53">
        <v>1331</v>
      </c>
      <c r="G543" s="47" t="s">
        <v>1549</v>
      </c>
      <c r="H543" s="47" t="s">
        <v>1550</v>
      </c>
      <c r="I543" s="46" t="s">
        <v>511</v>
      </c>
      <c r="J543" s="47" t="s">
        <v>1478</v>
      </c>
      <c r="K543" s="47" t="s">
        <v>519</v>
      </c>
      <c r="L543" s="47" t="s">
        <v>520</v>
      </c>
      <c r="M543" s="47" t="s">
        <v>976</v>
      </c>
      <c r="N543" s="47" t="s">
        <v>839</v>
      </c>
      <c r="O543" s="45" t="s">
        <v>383</v>
      </c>
      <c r="P543" s="44" t="s">
        <v>309</v>
      </c>
      <c r="Q543" s="59" t="str">
        <f>MID(Tabla1[[#This Row],[Aplicación]],14,1)</f>
        <v>2</v>
      </c>
      <c r="R543" s="35" t="s">
        <v>298</v>
      </c>
      <c r="S543" s="59" t="str">
        <f>MID(Tabla1[[#This Row],[Aplicación]],6,2)</f>
        <v>07</v>
      </c>
      <c r="T543" s="35" t="str">
        <f>VLOOKUP(Tabla1[[#This Row],[AREA]],Hoja1!A:B,2,FALSE)</f>
        <v>07. Medio ambiente y desarrollo sostenible</v>
      </c>
      <c r="U543" s="35" t="str">
        <f>MID(Tabla1[[#This Row],[Aplicación]],9,4)</f>
        <v>1721</v>
      </c>
      <c r="V543" s="35" t="str">
        <f>VLOOKUP(Tabla1[[#This Row],[PROGRAMA]],Hoja1!A:B,2,FALSE)</f>
        <v>1721. Protección del medio ambiente</v>
      </c>
      <c r="W543" s="56" t="str">
        <f>MID(Tabla1[[#This Row],[Aplicación]],14,2)</f>
        <v>22</v>
      </c>
      <c r="X543" s="56" t="str">
        <f>MID(Tabla1[[#This Row],[Aplicación]],14,6)</f>
        <v>22706</v>
      </c>
    </row>
    <row r="544" spans="1:24" x14ac:dyDescent="0.25">
      <c r="A544" s="55">
        <v>220230012869</v>
      </c>
      <c r="B544" s="47" t="s">
        <v>507</v>
      </c>
      <c r="C544" s="52">
        <v>45016</v>
      </c>
      <c r="D544" s="46">
        <v>22023003680</v>
      </c>
      <c r="E544" s="47" t="s">
        <v>1551</v>
      </c>
      <c r="F544" s="53">
        <v>63.53</v>
      </c>
      <c r="G544" s="47" t="s">
        <v>111</v>
      </c>
      <c r="H544" s="47" t="s">
        <v>1552</v>
      </c>
      <c r="I544" s="46" t="s">
        <v>511</v>
      </c>
      <c r="J544" s="47" t="s">
        <v>519</v>
      </c>
      <c r="K544" s="47" t="s">
        <v>519</v>
      </c>
      <c r="L544" s="47" t="s">
        <v>552</v>
      </c>
      <c r="M544" s="47" t="s">
        <v>976</v>
      </c>
      <c r="N544" s="47" t="s">
        <v>839</v>
      </c>
      <c r="O544" s="54" t="s">
        <v>383</v>
      </c>
      <c r="P544" s="44" t="s">
        <v>309</v>
      </c>
      <c r="Q544" s="59" t="str">
        <f>MID(Tabla1[[#This Row],[Aplicación]],14,1)</f>
        <v>2</v>
      </c>
      <c r="R544" s="35" t="s">
        <v>298</v>
      </c>
      <c r="S544" s="59" t="str">
        <f>MID(Tabla1[[#This Row],[Aplicación]],6,2)</f>
        <v>02</v>
      </c>
      <c r="T544" s="35" t="str">
        <f>VLOOKUP(Tabla1[[#This Row],[AREA]],Hoja1!A:B,2,FALSE)</f>
        <v>02. Planeamiento urbanístico y vivienda</v>
      </c>
      <c r="U544" s="35" t="str">
        <f>MID(Tabla1[[#This Row],[Aplicación]],9,4)</f>
        <v>9332</v>
      </c>
      <c r="V544" s="35" t="str">
        <f>VLOOKUP(Tabla1[[#This Row],[PROGRAMA]],Hoja1!A:B,2,FALSE)</f>
        <v>9332. Mantenimiento de edificios e instalaciones municipales</v>
      </c>
      <c r="W544" s="56" t="str">
        <f>MID(Tabla1[[#This Row],[Aplicación]],14,2)</f>
        <v>21</v>
      </c>
      <c r="X544" s="56" t="str">
        <f>MID(Tabla1[[#This Row],[Aplicación]],14,6)</f>
        <v>212</v>
      </c>
    </row>
    <row r="545" spans="1:24" x14ac:dyDescent="0.25">
      <c r="A545" s="46">
        <v>220219000524</v>
      </c>
      <c r="B545" s="47" t="s">
        <v>507</v>
      </c>
      <c r="C545" s="52">
        <v>44927</v>
      </c>
      <c r="D545" s="46">
        <v>22023003291</v>
      </c>
      <c r="E545" s="47" t="s">
        <v>1029</v>
      </c>
      <c r="F545" s="53">
        <v>7852.16</v>
      </c>
      <c r="G545" s="47" t="s">
        <v>1553</v>
      </c>
      <c r="H545" s="47" t="s">
        <v>1554</v>
      </c>
      <c r="I545" s="46" t="s">
        <v>511</v>
      </c>
      <c r="J545" s="47" t="s">
        <v>512</v>
      </c>
      <c r="K545" s="47" t="s">
        <v>512</v>
      </c>
      <c r="L545" s="47" t="s">
        <v>552</v>
      </c>
      <c r="M545" s="47" t="s">
        <v>514</v>
      </c>
      <c r="N545" s="47" t="s">
        <v>604</v>
      </c>
      <c r="O545" s="45" t="s">
        <v>371</v>
      </c>
      <c r="P545" s="44" t="s">
        <v>309</v>
      </c>
      <c r="Q545" s="59" t="str">
        <f>MID(Tabla1[[#This Row],[Aplicación]],14,1)</f>
        <v>2</v>
      </c>
      <c r="R545" s="35" t="s">
        <v>298</v>
      </c>
      <c r="S545" s="59" t="str">
        <f>MID(Tabla1[[#This Row],[Aplicación]],6,2)</f>
        <v>04</v>
      </c>
      <c r="T545" s="35" t="str">
        <f>VLOOKUP(Tabla1[[#This Row],[AREA]],Hoja1!A:B,2,FALSE)</f>
        <v>04. Planificación y recursos</v>
      </c>
      <c r="U545" s="35" t="str">
        <f>MID(Tabla1[[#This Row],[Aplicación]],9,4)</f>
        <v>9204</v>
      </c>
      <c r="V545" s="35" t="str">
        <f>VLOOKUP(Tabla1[[#This Row],[PROGRAMA]],Hoja1!A:B,2,FALSE)</f>
        <v>9204. Tecnologías de la información y comunicación</v>
      </c>
      <c r="W545" s="56" t="str">
        <f>MID(Tabla1[[#This Row],[Aplicación]],14,2)</f>
        <v>22</v>
      </c>
      <c r="X545" s="56" t="str">
        <f>MID(Tabla1[[#This Row],[Aplicación]],14,6)</f>
        <v>22002</v>
      </c>
    </row>
    <row r="546" spans="1:24" x14ac:dyDescent="0.25">
      <c r="A546" s="46">
        <v>220230007139</v>
      </c>
      <c r="B546" s="47" t="s">
        <v>507</v>
      </c>
      <c r="C546" s="52">
        <v>44987</v>
      </c>
      <c r="D546" s="46">
        <v>22023002676</v>
      </c>
      <c r="E546" s="47" t="s">
        <v>1453</v>
      </c>
      <c r="F546" s="53">
        <v>10883.95</v>
      </c>
      <c r="G546" s="47" t="s">
        <v>1555</v>
      </c>
      <c r="H546" s="47" t="s">
        <v>1556</v>
      </c>
      <c r="I546" s="46" t="s">
        <v>511</v>
      </c>
      <c r="J546" s="47" t="s">
        <v>1557</v>
      </c>
      <c r="K546" s="47" t="s">
        <v>708</v>
      </c>
      <c r="L546" s="47" t="s">
        <v>520</v>
      </c>
      <c r="M546" s="47" t="s">
        <v>976</v>
      </c>
      <c r="N546" s="47" t="s">
        <v>839</v>
      </c>
      <c r="O546" s="45" t="s">
        <v>383</v>
      </c>
      <c r="P546" s="44" t="s">
        <v>309</v>
      </c>
      <c r="Q546" s="59" t="str">
        <f>MID(Tabla1[[#This Row],[Aplicación]],14,1)</f>
        <v>2</v>
      </c>
      <c r="R546" s="35" t="s">
        <v>298</v>
      </c>
      <c r="S546" s="59" t="str">
        <f>MID(Tabla1[[#This Row],[Aplicación]],6,2)</f>
        <v>11</v>
      </c>
      <c r="T546" s="35" t="str">
        <f>VLOOKUP(Tabla1[[#This Row],[AREA]],Hoja1!A:B,2,FALSE)</f>
        <v>11. Salud pública y seguridad ciudadana</v>
      </c>
      <c r="U546" s="35" t="str">
        <f>MID(Tabla1[[#This Row],[Aplicación]],9,4)</f>
        <v>3111</v>
      </c>
      <c r="V546" s="35" t="str">
        <f>VLOOKUP(Tabla1[[#This Row],[PROGRAMA]],Hoja1!A:B,2,FALSE)</f>
        <v>3111. Protección de la salubridad pública</v>
      </c>
      <c r="W546" s="56" t="str">
        <f>MID(Tabla1[[#This Row],[Aplicación]],14,2)</f>
        <v>22</v>
      </c>
      <c r="X546" s="56" t="str">
        <f>MID(Tabla1[[#This Row],[Aplicación]],14,6)</f>
        <v>22799</v>
      </c>
    </row>
    <row r="547" spans="1:24" x14ac:dyDescent="0.25">
      <c r="A547" s="55">
        <v>220230010349</v>
      </c>
      <c r="B547" s="47" t="s">
        <v>507</v>
      </c>
      <c r="C547" s="52">
        <v>45008</v>
      </c>
      <c r="D547" s="46">
        <v>22023003552</v>
      </c>
      <c r="E547" s="47" t="s">
        <v>1558</v>
      </c>
      <c r="F547" s="53">
        <v>91.96</v>
      </c>
      <c r="G547" s="47" t="s">
        <v>1559</v>
      </c>
      <c r="H547" s="47" t="s">
        <v>1560</v>
      </c>
      <c r="I547" s="46" t="s">
        <v>511</v>
      </c>
      <c r="J547" s="47" t="s">
        <v>519</v>
      </c>
      <c r="K547" s="47" t="s">
        <v>519</v>
      </c>
      <c r="L547" s="47" t="s">
        <v>520</v>
      </c>
      <c r="M547" s="47" t="s">
        <v>976</v>
      </c>
      <c r="N547" s="47" t="s">
        <v>839</v>
      </c>
      <c r="O547" s="54" t="s">
        <v>383</v>
      </c>
      <c r="P547" s="44" t="s">
        <v>309</v>
      </c>
      <c r="Q547" s="59" t="str">
        <f>MID(Tabla1[[#This Row],[Aplicación]],14,1)</f>
        <v>2</v>
      </c>
      <c r="R547" s="35" t="s">
        <v>298</v>
      </c>
      <c r="S547" s="59" t="str">
        <f>MID(Tabla1[[#This Row],[Aplicación]],6,2)</f>
        <v>11</v>
      </c>
      <c r="T547" s="35" t="str">
        <f>VLOOKUP(Tabla1[[#This Row],[AREA]],Hoja1!A:B,2,FALSE)</f>
        <v>11. Salud pública y seguridad ciudadana</v>
      </c>
      <c r="U547" s="35" t="str">
        <f>MID(Tabla1[[#This Row],[Aplicación]],9,4)</f>
        <v>3111</v>
      </c>
      <c r="V547" s="35" t="str">
        <f>VLOOKUP(Tabla1[[#This Row],[PROGRAMA]],Hoja1!A:B,2,FALSE)</f>
        <v>3111. Protección de la salubridad pública</v>
      </c>
      <c r="W547" s="56" t="str">
        <f>MID(Tabla1[[#This Row],[Aplicación]],14,2)</f>
        <v>21</v>
      </c>
      <c r="X547" s="56" t="str">
        <f>MID(Tabla1[[#This Row],[Aplicación]],14,6)</f>
        <v>213</v>
      </c>
    </row>
    <row r="548" spans="1:24" x14ac:dyDescent="0.25">
      <c r="A548" s="46">
        <v>220230001959</v>
      </c>
      <c r="B548" s="47" t="s">
        <v>507</v>
      </c>
      <c r="C548" s="52">
        <v>44960</v>
      </c>
      <c r="D548" s="46">
        <v>22023001392</v>
      </c>
      <c r="E548" s="47" t="s">
        <v>1561</v>
      </c>
      <c r="F548" s="53">
        <v>854.26</v>
      </c>
      <c r="G548" s="47" t="s">
        <v>1562</v>
      </c>
      <c r="H548" s="47" t="s">
        <v>1563</v>
      </c>
      <c r="I548" s="46" t="s">
        <v>511</v>
      </c>
      <c r="J548" s="47" t="s">
        <v>519</v>
      </c>
      <c r="K548" s="47" t="s">
        <v>519</v>
      </c>
      <c r="L548" s="47" t="s">
        <v>520</v>
      </c>
      <c r="M548" s="47" t="s">
        <v>976</v>
      </c>
      <c r="N548" s="47" t="s">
        <v>839</v>
      </c>
      <c r="O548" s="45" t="s">
        <v>383</v>
      </c>
      <c r="P548" s="44" t="s">
        <v>309</v>
      </c>
      <c r="Q548" s="59" t="str">
        <f>MID(Tabla1[[#This Row],[Aplicación]],14,1)</f>
        <v>2</v>
      </c>
      <c r="R548" s="35" t="s">
        <v>298</v>
      </c>
      <c r="S548" s="59" t="str">
        <f>MID(Tabla1[[#This Row],[Aplicación]],6,2)</f>
        <v>07</v>
      </c>
      <c r="T548" s="35" t="str">
        <f>VLOOKUP(Tabla1[[#This Row],[AREA]],Hoja1!A:B,2,FALSE)</f>
        <v>07. Medio ambiente y desarrollo sostenible</v>
      </c>
      <c r="U548" s="35" t="str">
        <f>MID(Tabla1[[#This Row],[Aplicación]],9,4)</f>
        <v>1701</v>
      </c>
      <c r="V548" s="35" t="str">
        <f>VLOOKUP(Tabla1[[#This Row],[PROGRAMA]],Hoja1!A:B,2,FALSE)</f>
        <v>1701. Dirección del área de medio ambiente</v>
      </c>
      <c r="W548" s="56" t="str">
        <f>MID(Tabla1[[#This Row],[Aplicación]],14,2)</f>
        <v>21</v>
      </c>
      <c r="X548" s="56" t="str">
        <f>MID(Tabla1[[#This Row],[Aplicación]],14,6)</f>
        <v>213</v>
      </c>
    </row>
    <row r="549" spans="1:24" x14ac:dyDescent="0.25">
      <c r="A549" s="46">
        <v>220230002594</v>
      </c>
      <c r="B549" s="47" t="s">
        <v>507</v>
      </c>
      <c r="C549" s="52">
        <v>44965</v>
      </c>
      <c r="D549" s="46">
        <v>22023002121</v>
      </c>
      <c r="E549" s="47" t="s">
        <v>1558</v>
      </c>
      <c r="F549" s="53">
        <v>2300</v>
      </c>
      <c r="G549" s="47" t="s">
        <v>1562</v>
      </c>
      <c r="H549" s="47" t="s">
        <v>1564</v>
      </c>
      <c r="I549" s="46" t="s">
        <v>511</v>
      </c>
      <c r="J549" s="47" t="s">
        <v>519</v>
      </c>
      <c r="K549" s="47" t="s">
        <v>519</v>
      </c>
      <c r="L549" s="47" t="s">
        <v>520</v>
      </c>
      <c r="M549" s="47" t="s">
        <v>976</v>
      </c>
      <c r="N549" s="47" t="s">
        <v>839</v>
      </c>
      <c r="O549" s="45" t="s">
        <v>383</v>
      </c>
      <c r="P549" s="44" t="s">
        <v>309</v>
      </c>
      <c r="Q549" s="59" t="str">
        <f>MID(Tabla1[[#This Row],[Aplicación]],14,1)</f>
        <v>2</v>
      </c>
      <c r="R549" s="35" t="s">
        <v>298</v>
      </c>
      <c r="S549" s="59" t="str">
        <f>MID(Tabla1[[#This Row],[Aplicación]],6,2)</f>
        <v>11</v>
      </c>
      <c r="T549" s="35" t="str">
        <f>VLOOKUP(Tabla1[[#This Row],[AREA]],Hoja1!A:B,2,FALSE)</f>
        <v>11. Salud pública y seguridad ciudadana</v>
      </c>
      <c r="U549" s="35" t="str">
        <f>MID(Tabla1[[#This Row],[Aplicación]],9,4)</f>
        <v>3111</v>
      </c>
      <c r="V549" s="35" t="str">
        <f>VLOOKUP(Tabla1[[#This Row],[PROGRAMA]],Hoja1!A:B,2,FALSE)</f>
        <v>3111. Protección de la salubridad pública</v>
      </c>
      <c r="W549" s="56" t="str">
        <f>MID(Tabla1[[#This Row],[Aplicación]],14,2)</f>
        <v>21</v>
      </c>
      <c r="X549" s="56" t="str">
        <f>MID(Tabla1[[#This Row],[Aplicación]],14,6)</f>
        <v>213</v>
      </c>
    </row>
    <row r="550" spans="1:24" x14ac:dyDescent="0.25">
      <c r="A550" s="46">
        <v>220230003253</v>
      </c>
      <c r="B550" s="47" t="s">
        <v>507</v>
      </c>
      <c r="C550" s="52">
        <v>44971</v>
      </c>
      <c r="D550" s="46">
        <v>22023002202</v>
      </c>
      <c r="E550" s="47" t="s">
        <v>1403</v>
      </c>
      <c r="F550" s="53">
        <v>2420.91</v>
      </c>
      <c r="G550" s="47" t="s">
        <v>1562</v>
      </c>
      <c r="H550" s="47" t="s">
        <v>1565</v>
      </c>
      <c r="I550" s="46" t="s">
        <v>511</v>
      </c>
      <c r="J550" s="47" t="s">
        <v>519</v>
      </c>
      <c r="K550" s="47" t="s">
        <v>519</v>
      </c>
      <c r="L550" s="47" t="s">
        <v>520</v>
      </c>
      <c r="M550" s="47" t="s">
        <v>976</v>
      </c>
      <c r="N550" s="47" t="s">
        <v>839</v>
      </c>
      <c r="O550" s="45" t="s">
        <v>383</v>
      </c>
      <c r="P550" s="44" t="s">
        <v>309</v>
      </c>
      <c r="Q550" s="59" t="str">
        <f>MID(Tabla1[[#This Row],[Aplicación]],14,1)</f>
        <v>2</v>
      </c>
      <c r="R550" s="35" t="s">
        <v>298</v>
      </c>
      <c r="S550" s="59" t="str">
        <f>MID(Tabla1[[#This Row],[Aplicación]],6,2)</f>
        <v>07</v>
      </c>
      <c r="T550" s="35" t="str">
        <f>VLOOKUP(Tabla1[[#This Row],[AREA]],Hoja1!A:B,2,FALSE)</f>
        <v>07. Medio ambiente y desarrollo sostenible</v>
      </c>
      <c r="U550" s="35" t="str">
        <f>MID(Tabla1[[#This Row],[Aplicación]],9,4)</f>
        <v>1721</v>
      </c>
      <c r="V550" s="35" t="str">
        <f>VLOOKUP(Tabla1[[#This Row],[PROGRAMA]],Hoja1!A:B,2,FALSE)</f>
        <v>1721. Protección del medio ambiente</v>
      </c>
      <c r="W550" s="56" t="str">
        <f>MID(Tabla1[[#This Row],[Aplicación]],14,2)</f>
        <v>21</v>
      </c>
      <c r="X550" s="56" t="str">
        <f>MID(Tabla1[[#This Row],[Aplicación]],14,6)</f>
        <v>213</v>
      </c>
    </row>
    <row r="551" spans="1:24" x14ac:dyDescent="0.25">
      <c r="A551" s="46">
        <v>220230008187</v>
      </c>
      <c r="B551" s="47" t="s">
        <v>507</v>
      </c>
      <c r="C551" s="52">
        <v>44998</v>
      </c>
      <c r="D551" s="46">
        <v>22023002999</v>
      </c>
      <c r="E551" s="47" t="s">
        <v>1150</v>
      </c>
      <c r="F551" s="53">
        <v>358.28</v>
      </c>
      <c r="G551" s="47" t="s">
        <v>1562</v>
      </c>
      <c r="H551" s="47" t="s">
        <v>1566</v>
      </c>
      <c r="I551" s="46" t="s">
        <v>511</v>
      </c>
      <c r="J551" s="47" t="s">
        <v>519</v>
      </c>
      <c r="K551" s="47" t="s">
        <v>519</v>
      </c>
      <c r="L551" s="47" t="s">
        <v>552</v>
      </c>
      <c r="M551" s="47" t="s">
        <v>976</v>
      </c>
      <c r="N551" s="47" t="s">
        <v>839</v>
      </c>
      <c r="O551" s="54" t="s">
        <v>383</v>
      </c>
      <c r="P551" s="44" t="s">
        <v>309</v>
      </c>
      <c r="Q551" s="59" t="str">
        <f>MID(Tabla1[[#This Row],[Aplicación]],14,1)</f>
        <v>2</v>
      </c>
      <c r="R551" s="35" t="s">
        <v>298</v>
      </c>
      <c r="S551" s="59" t="str">
        <f>MID(Tabla1[[#This Row],[Aplicación]],6,2)</f>
        <v>03</v>
      </c>
      <c r="T551" s="35" t="str">
        <f>VLOOKUP(Tabla1[[#This Row],[AREA]],Hoja1!A:B,2,FALSE)</f>
        <v>03. Participación ciudadana y deportes</v>
      </c>
      <c r="U551" s="35" t="str">
        <f>MID(Tabla1[[#This Row],[Aplicación]],9,4)</f>
        <v>9241</v>
      </c>
      <c r="V551" s="35" t="str">
        <f>VLOOKUP(Tabla1[[#This Row],[PROGRAMA]],Hoja1!A:B,2,FALSE)</f>
        <v>9241. Participación ciudadana</v>
      </c>
      <c r="W551" s="56" t="str">
        <f>MID(Tabla1[[#This Row],[Aplicación]],14,2)</f>
        <v>21</v>
      </c>
      <c r="X551" s="56" t="str">
        <f>MID(Tabla1[[#This Row],[Aplicación]],14,6)</f>
        <v>213</v>
      </c>
    </row>
    <row r="552" spans="1:24" x14ac:dyDescent="0.25">
      <c r="A552" s="46">
        <v>220230003238</v>
      </c>
      <c r="B552" s="47" t="s">
        <v>507</v>
      </c>
      <c r="C552" s="52">
        <v>44971</v>
      </c>
      <c r="D552" s="46">
        <v>22023002395</v>
      </c>
      <c r="E552" s="47" t="s">
        <v>1305</v>
      </c>
      <c r="F552" s="53">
        <v>6534</v>
      </c>
      <c r="G552" s="47" t="s">
        <v>1567</v>
      </c>
      <c r="H552" s="47" t="s">
        <v>1568</v>
      </c>
      <c r="I552" s="46" t="s">
        <v>511</v>
      </c>
      <c r="J552" s="47" t="s">
        <v>519</v>
      </c>
      <c r="K552" s="47" t="s">
        <v>519</v>
      </c>
      <c r="L552" s="47" t="s">
        <v>520</v>
      </c>
      <c r="M552" s="47" t="s">
        <v>976</v>
      </c>
      <c r="N552" s="47" t="s">
        <v>839</v>
      </c>
      <c r="O552" s="45" t="s">
        <v>383</v>
      </c>
      <c r="P552" s="44" t="s">
        <v>309</v>
      </c>
      <c r="Q552" s="59" t="str">
        <f>MID(Tabla1[[#This Row],[Aplicación]],14,1)</f>
        <v>2</v>
      </c>
      <c r="R552" s="35" t="s">
        <v>298</v>
      </c>
      <c r="S552" s="59" t="str">
        <f>MID(Tabla1[[#This Row],[Aplicación]],6,2)</f>
        <v>06</v>
      </c>
      <c r="T552" s="35" t="str">
        <f>VLOOKUP(Tabla1[[#This Row],[AREA]],Hoja1!A:B,2,FALSE)</f>
        <v>06. Educación, infancia, juventud e igualdad</v>
      </c>
      <c r="U552" s="35" t="str">
        <f>MID(Tabla1[[#This Row],[Aplicación]],9,4)</f>
        <v>3232</v>
      </c>
      <c r="V552" s="35" t="str">
        <f>VLOOKUP(Tabla1[[#This Row],[PROGRAMA]],Hoja1!A:B,2,FALSE)</f>
        <v>3232. Conservación y mantenimiento centros educación infantil y primaria</v>
      </c>
      <c r="W552" s="56" t="str">
        <f>MID(Tabla1[[#This Row],[Aplicación]],14,2)</f>
        <v>21</v>
      </c>
      <c r="X552" s="56" t="str">
        <f>MID(Tabla1[[#This Row],[Aplicación]],14,6)</f>
        <v>212</v>
      </c>
    </row>
    <row r="553" spans="1:24" x14ac:dyDescent="0.25">
      <c r="A553" s="46">
        <v>220230007172</v>
      </c>
      <c r="B553" s="47" t="s">
        <v>507</v>
      </c>
      <c r="C553" s="52">
        <v>44987</v>
      </c>
      <c r="D553" s="46">
        <v>22023002395</v>
      </c>
      <c r="E553" s="47" t="s">
        <v>1305</v>
      </c>
      <c r="F553" s="53">
        <v>726</v>
      </c>
      <c r="G553" s="47" t="s">
        <v>1567</v>
      </c>
      <c r="H553" s="47" t="s">
        <v>1569</v>
      </c>
      <c r="I553" s="46" t="s">
        <v>511</v>
      </c>
      <c r="J553" s="47" t="s">
        <v>519</v>
      </c>
      <c r="K553" s="47" t="s">
        <v>519</v>
      </c>
      <c r="L553" s="47" t="s">
        <v>520</v>
      </c>
      <c r="M553" s="47" t="s">
        <v>976</v>
      </c>
      <c r="N553" s="47" t="s">
        <v>839</v>
      </c>
      <c r="O553" s="45" t="s">
        <v>383</v>
      </c>
      <c r="P553" s="44" t="s">
        <v>309</v>
      </c>
      <c r="Q553" s="59" t="str">
        <f>MID(Tabla1[[#This Row],[Aplicación]],14,1)</f>
        <v>2</v>
      </c>
      <c r="R553" s="35" t="s">
        <v>298</v>
      </c>
      <c r="S553" s="59" t="str">
        <f>MID(Tabla1[[#This Row],[Aplicación]],6,2)</f>
        <v>06</v>
      </c>
      <c r="T553" s="35" t="str">
        <f>VLOOKUP(Tabla1[[#This Row],[AREA]],Hoja1!A:B,2,FALSE)</f>
        <v>06. Educación, infancia, juventud e igualdad</v>
      </c>
      <c r="U553" s="35" t="str">
        <f>MID(Tabla1[[#This Row],[Aplicación]],9,4)</f>
        <v>3232</v>
      </c>
      <c r="V553" s="35" t="str">
        <f>VLOOKUP(Tabla1[[#This Row],[PROGRAMA]],Hoja1!A:B,2,FALSE)</f>
        <v>3232. Conservación y mantenimiento centros educación infantil y primaria</v>
      </c>
      <c r="W553" s="56" t="str">
        <f>MID(Tabla1[[#This Row],[Aplicación]],14,2)</f>
        <v>21</v>
      </c>
      <c r="X553" s="56" t="str">
        <f>MID(Tabla1[[#This Row],[Aplicación]],14,6)</f>
        <v>212</v>
      </c>
    </row>
    <row r="554" spans="1:24" x14ac:dyDescent="0.25">
      <c r="A554" s="46">
        <v>220219000704</v>
      </c>
      <c r="B554" s="47" t="s">
        <v>507</v>
      </c>
      <c r="C554" s="52">
        <v>44927</v>
      </c>
      <c r="D554" s="46">
        <v>22023003362</v>
      </c>
      <c r="E554" s="47" t="s">
        <v>539</v>
      </c>
      <c r="F554" s="53">
        <v>10424</v>
      </c>
      <c r="G554" s="47" t="s">
        <v>1570</v>
      </c>
      <c r="H554" s="47" t="s">
        <v>1571</v>
      </c>
      <c r="I554" s="46" t="s">
        <v>511</v>
      </c>
      <c r="J554" s="47" t="s">
        <v>519</v>
      </c>
      <c r="K554" s="47" t="s">
        <v>519</v>
      </c>
      <c r="L554" s="47" t="s">
        <v>520</v>
      </c>
      <c r="M554" s="47" t="s">
        <v>514</v>
      </c>
      <c r="N554" s="47" t="s">
        <v>515</v>
      </c>
      <c r="O554" s="45" t="s">
        <v>371</v>
      </c>
      <c r="P554" s="44" t="s">
        <v>309</v>
      </c>
      <c r="Q554" s="59" t="str">
        <f>MID(Tabla1[[#This Row],[Aplicación]],14,1)</f>
        <v>2</v>
      </c>
      <c r="R554" s="35" t="s">
        <v>298</v>
      </c>
      <c r="S554" s="59" t="str">
        <f>MID(Tabla1[[#This Row],[Aplicación]],6,2)</f>
        <v>10</v>
      </c>
      <c r="T554" s="35" t="str">
        <f>VLOOKUP(Tabla1[[#This Row],[AREA]],Hoja1!A:B,2,FALSE)</f>
        <v>10. Servicios sociales y mediación comunitaria</v>
      </c>
      <c r="U554" s="35" t="str">
        <f>MID(Tabla1[[#This Row],[Aplicación]],9,4)</f>
        <v>2312</v>
      </c>
      <c r="V554" s="35" t="str">
        <f>VLOOKUP(Tabla1[[#This Row],[PROGRAMA]],Hoja1!A:B,2,FALSE)</f>
        <v>2312. Iniciativas sociales</v>
      </c>
      <c r="W554" s="56" t="str">
        <f>MID(Tabla1[[#This Row],[Aplicación]],14,2)</f>
        <v>22</v>
      </c>
      <c r="X554" s="56" t="str">
        <f>MID(Tabla1[[#This Row],[Aplicación]],14,6)</f>
        <v>22799</v>
      </c>
    </row>
    <row r="555" spans="1:24" x14ac:dyDescent="0.25">
      <c r="A555" s="46">
        <v>220229000290</v>
      </c>
      <c r="B555" s="47" t="s">
        <v>507</v>
      </c>
      <c r="C555" s="52">
        <v>44927</v>
      </c>
      <c r="D555" s="46">
        <v>22023001925</v>
      </c>
      <c r="E555" s="47" t="s">
        <v>539</v>
      </c>
      <c r="F555" s="53">
        <v>1400</v>
      </c>
      <c r="G555" s="47" t="s">
        <v>1570</v>
      </c>
      <c r="H555" s="47" t="s">
        <v>1572</v>
      </c>
      <c r="I555" s="46" t="s">
        <v>511</v>
      </c>
      <c r="J555" s="47" t="s">
        <v>519</v>
      </c>
      <c r="K555" s="47" t="s">
        <v>519</v>
      </c>
      <c r="L555" s="47" t="s">
        <v>520</v>
      </c>
      <c r="M555" s="47" t="s">
        <v>514</v>
      </c>
      <c r="N555" s="47" t="s">
        <v>515</v>
      </c>
      <c r="O555" s="45" t="s">
        <v>371</v>
      </c>
      <c r="P555" s="44" t="s">
        <v>309</v>
      </c>
      <c r="Q555" s="59" t="str">
        <f>MID(Tabla1[[#This Row],[Aplicación]],14,1)</f>
        <v>2</v>
      </c>
      <c r="R555" s="35" t="s">
        <v>298</v>
      </c>
      <c r="S555" s="59" t="str">
        <f>MID(Tabla1[[#This Row],[Aplicación]],6,2)</f>
        <v>10</v>
      </c>
      <c r="T555" s="35" t="str">
        <f>VLOOKUP(Tabla1[[#This Row],[AREA]],Hoja1!A:B,2,FALSE)</f>
        <v>10. Servicios sociales y mediación comunitaria</v>
      </c>
      <c r="U555" s="35" t="str">
        <f>MID(Tabla1[[#This Row],[Aplicación]],9,4)</f>
        <v>2312</v>
      </c>
      <c r="V555" s="35" t="str">
        <f>VLOOKUP(Tabla1[[#This Row],[PROGRAMA]],Hoja1!A:B,2,FALSE)</f>
        <v>2312. Iniciativas sociales</v>
      </c>
      <c r="W555" s="56" t="str">
        <f>MID(Tabla1[[#This Row],[Aplicación]],14,2)</f>
        <v>22</v>
      </c>
      <c r="X555" s="56" t="str">
        <f>MID(Tabla1[[#This Row],[Aplicación]],14,6)</f>
        <v>22799</v>
      </c>
    </row>
    <row r="556" spans="1:24" x14ac:dyDescent="0.25">
      <c r="A556" s="46">
        <v>220230008596</v>
      </c>
      <c r="B556" s="47" t="s">
        <v>507</v>
      </c>
      <c r="C556" s="52">
        <v>45000</v>
      </c>
      <c r="D556" s="46">
        <v>22023003000</v>
      </c>
      <c r="E556" s="47" t="s">
        <v>1495</v>
      </c>
      <c r="F556" s="53">
        <v>556.6</v>
      </c>
      <c r="G556" s="47" t="s">
        <v>1573</v>
      </c>
      <c r="H556" s="47" t="s">
        <v>1574</v>
      </c>
      <c r="I556" s="46" t="s">
        <v>511</v>
      </c>
      <c r="J556" s="47" t="s">
        <v>1478</v>
      </c>
      <c r="K556" s="47" t="s">
        <v>519</v>
      </c>
      <c r="L556" s="47" t="s">
        <v>520</v>
      </c>
      <c r="M556" s="47" t="s">
        <v>976</v>
      </c>
      <c r="N556" s="47" t="s">
        <v>839</v>
      </c>
      <c r="O556" s="54" t="s">
        <v>383</v>
      </c>
      <c r="P556" s="44" t="s">
        <v>309</v>
      </c>
      <c r="Q556" s="59" t="str">
        <f>MID(Tabla1[[#This Row],[Aplicación]],14,1)</f>
        <v>2</v>
      </c>
      <c r="R556" s="35" t="s">
        <v>298</v>
      </c>
      <c r="S556" s="59" t="str">
        <f>MID(Tabla1[[#This Row],[Aplicación]],6,2)</f>
        <v>10</v>
      </c>
      <c r="T556" s="35" t="str">
        <f>VLOOKUP(Tabla1[[#This Row],[AREA]],Hoja1!A:B,2,FALSE)</f>
        <v>10. Servicios sociales y mediación comunitaria</v>
      </c>
      <c r="U556" s="35" t="str">
        <f>MID(Tabla1[[#This Row],[Aplicación]],9,4)</f>
        <v>2312</v>
      </c>
      <c r="V556" s="35" t="str">
        <f>VLOOKUP(Tabla1[[#This Row],[PROGRAMA]],Hoja1!A:B,2,FALSE)</f>
        <v>2312. Iniciativas sociales</v>
      </c>
      <c r="W556" s="56" t="str">
        <f>MID(Tabla1[[#This Row],[Aplicación]],14,2)</f>
        <v>22</v>
      </c>
      <c r="X556" s="56" t="str">
        <f>MID(Tabla1[[#This Row],[Aplicación]],14,6)</f>
        <v>22617</v>
      </c>
    </row>
    <row r="557" spans="1:24" x14ac:dyDescent="0.25">
      <c r="A557" s="46">
        <v>220229000134</v>
      </c>
      <c r="B557" s="47" t="s">
        <v>507</v>
      </c>
      <c r="C557" s="52">
        <v>44927</v>
      </c>
      <c r="D557" s="46">
        <v>22023000899</v>
      </c>
      <c r="E557" s="47" t="s">
        <v>1326</v>
      </c>
      <c r="F557" s="53">
        <v>11656</v>
      </c>
      <c r="G557" s="47" t="s">
        <v>1575</v>
      </c>
      <c r="H557" s="47" t="s">
        <v>1576</v>
      </c>
      <c r="I557" s="46" t="s">
        <v>511</v>
      </c>
      <c r="J557" s="47" t="s">
        <v>519</v>
      </c>
      <c r="K557" s="47" t="s">
        <v>519</v>
      </c>
      <c r="L557" s="47" t="s">
        <v>520</v>
      </c>
      <c r="M557" s="47" t="s">
        <v>514</v>
      </c>
      <c r="N557" s="47" t="s">
        <v>515</v>
      </c>
      <c r="O557" s="45" t="s">
        <v>371</v>
      </c>
      <c r="P557" s="44" t="s">
        <v>309</v>
      </c>
      <c r="Q557" s="59" t="str">
        <f>MID(Tabla1[[#This Row],[Aplicación]],14,1)</f>
        <v>2</v>
      </c>
      <c r="R557" s="35" t="s">
        <v>298</v>
      </c>
      <c r="S557" s="59" t="str">
        <f>MID(Tabla1[[#This Row],[Aplicación]],6,2)</f>
        <v>07</v>
      </c>
      <c r="T557" s="35" t="str">
        <f>VLOOKUP(Tabla1[[#This Row],[AREA]],Hoja1!A:B,2,FALSE)</f>
        <v>07. Medio ambiente y desarrollo sostenible</v>
      </c>
      <c r="U557" s="35" t="str">
        <f>MID(Tabla1[[#This Row],[Aplicación]],9,4)</f>
        <v>1701</v>
      </c>
      <c r="V557" s="35" t="str">
        <f>VLOOKUP(Tabla1[[#This Row],[PROGRAMA]],Hoja1!A:B,2,FALSE)</f>
        <v>1701. Dirección del área de medio ambiente</v>
      </c>
      <c r="W557" s="56" t="str">
        <f>MID(Tabla1[[#This Row],[Aplicación]],14,2)</f>
        <v>22</v>
      </c>
      <c r="X557" s="56" t="str">
        <f>MID(Tabla1[[#This Row],[Aplicación]],14,6)</f>
        <v>22799</v>
      </c>
    </row>
    <row r="558" spans="1:24" x14ac:dyDescent="0.25">
      <c r="A558" s="46">
        <v>220229000579</v>
      </c>
      <c r="B558" s="47" t="s">
        <v>507</v>
      </c>
      <c r="C558" s="52">
        <v>44927</v>
      </c>
      <c r="D558" s="46">
        <v>22023000465</v>
      </c>
      <c r="E558" s="47" t="s">
        <v>1035</v>
      </c>
      <c r="F558" s="53">
        <v>11246.84</v>
      </c>
      <c r="G558" s="47" t="s">
        <v>426</v>
      </c>
      <c r="H558" s="47" t="s">
        <v>1577</v>
      </c>
      <c r="I558" s="46" t="s">
        <v>511</v>
      </c>
      <c r="J558" s="47" t="s">
        <v>519</v>
      </c>
      <c r="K558" s="47" t="s">
        <v>519</v>
      </c>
      <c r="L558" s="47" t="s">
        <v>520</v>
      </c>
      <c r="M558" s="47" t="s">
        <v>514</v>
      </c>
      <c r="N558" s="47" t="s">
        <v>515</v>
      </c>
      <c r="O558" s="45" t="s">
        <v>371</v>
      </c>
      <c r="P558" s="44" t="s">
        <v>309</v>
      </c>
      <c r="Q558" s="59" t="str">
        <f>MID(Tabla1[[#This Row],[Aplicación]],14,1)</f>
        <v>2</v>
      </c>
      <c r="R558" s="35" t="s">
        <v>298</v>
      </c>
      <c r="S558" s="59" t="str">
        <f>MID(Tabla1[[#This Row],[Aplicación]],6,2)</f>
        <v>09</v>
      </c>
      <c r="T558" s="35" t="str">
        <f>VLOOKUP(Tabla1[[#This Row],[AREA]],Hoja1!A:B,2,FALSE)</f>
        <v>09. Cultura y turismo</v>
      </c>
      <c r="U558" s="35" t="str">
        <f>MID(Tabla1[[#This Row],[Aplicación]],9,4)</f>
        <v>3301</v>
      </c>
      <c r="V558" s="35" t="str">
        <f>VLOOKUP(Tabla1[[#This Row],[PROGRAMA]],Hoja1!A:B,2,FALSE)</f>
        <v>3301. Dirección del área de cultura</v>
      </c>
      <c r="W558" s="56" t="str">
        <f>MID(Tabla1[[#This Row],[Aplicación]],14,2)</f>
        <v>22</v>
      </c>
      <c r="X558" s="56" t="str">
        <f>MID(Tabla1[[#This Row],[Aplicación]],14,6)</f>
        <v>22706</v>
      </c>
    </row>
    <row r="559" spans="1:24" x14ac:dyDescent="0.25">
      <c r="A559" s="46">
        <v>220230002582</v>
      </c>
      <c r="B559" s="47" t="s">
        <v>507</v>
      </c>
      <c r="C559" s="52">
        <v>44965</v>
      </c>
      <c r="D559" s="46">
        <v>22023001611</v>
      </c>
      <c r="E559" s="47" t="s">
        <v>835</v>
      </c>
      <c r="F559" s="53">
        <v>17484.5</v>
      </c>
      <c r="G559" s="47" t="s">
        <v>426</v>
      </c>
      <c r="H559" s="47" t="s">
        <v>1578</v>
      </c>
      <c r="I559" s="46" t="s">
        <v>511</v>
      </c>
      <c r="J559" s="47" t="s">
        <v>519</v>
      </c>
      <c r="K559" s="47" t="s">
        <v>519</v>
      </c>
      <c r="L559" s="47" t="s">
        <v>520</v>
      </c>
      <c r="M559" s="47" t="s">
        <v>976</v>
      </c>
      <c r="N559" s="47" t="s">
        <v>839</v>
      </c>
      <c r="O559" s="47" t="s">
        <v>383</v>
      </c>
      <c r="P559" s="44" t="s">
        <v>309</v>
      </c>
      <c r="Q559" s="59" t="str">
        <f>MID(Tabla1[[#This Row],[Aplicación]],14,1)</f>
        <v>2</v>
      </c>
      <c r="R559" s="35" t="s">
        <v>298</v>
      </c>
      <c r="S559" s="59" t="str">
        <f>MID(Tabla1[[#This Row],[Aplicación]],6,2)</f>
        <v>05</v>
      </c>
      <c r="T559" s="35" t="str">
        <f>VLOOKUP(Tabla1[[#This Row],[AREA]],Hoja1!A:B,2,FALSE)</f>
        <v>05. Innovación, desarrollo económico, empleo y comercio</v>
      </c>
      <c r="U559" s="35" t="str">
        <f>MID(Tabla1[[#This Row],[Aplicación]],9,4)</f>
        <v>4331</v>
      </c>
      <c r="V559" s="35" t="str">
        <f>VLOOKUP(Tabla1[[#This Row],[PROGRAMA]],Hoja1!A:B,2,FALSE)</f>
        <v>4331. Desarrollo empresarial</v>
      </c>
      <c r="W559" s="56" t="str">
        <f>MID(Tabla1[[#This Row],[Aplicación]],14,2)</f>
        <v>22</v>
      </c>
      <c r="X559" s="56" t="str">
        <f>MID(Tabla1[[#This Row],[Aplicación]],14,6)</f>
        <v>22799</v>
      </c>
    </row>
    <row r="560" spans="1:24" x14ac:dyDescent="0.25">
      <c r="A560" s="46">
        <v>220230003431</v>
      </c>
      <c r="B560" s="47" t="s">
        <v>507</v>
      </c>
      <c r="C560" s="52">
        <v>44971</v>
      </c>
      <c r="D560" s="46">
        <v>22023002361</v>
      </c>
      <c r="E560" s="47" t="s">
        <v>1344</v>
      </c>
      <c r="F560" s="53">
        <v>173.25</v>
      </c>
      <c r="G560" s="47" t="s">
        <v>1579</v>
      </c>
      <c r="H560" s="47" t="s">
        <v>1580</v>
      </c>
      <c r="I560" s="46" t="s">
        <v>511</v>
      </c>
      <c r="J560" s="47" t="s">
        <v>1359</v>
      </c>
      <c r="K560" s="47" t="s">
        <v>1359</v>
      </c>
      <c r="L560" s="47" t="s">
        <v>520</v>
      </c>
      <c r="M560" s="47" t="s">
        <v>976</v>
      </c>
      <c r="N560" s="47" t="s">
        <v>839</v>
      </c>
      <c r="O560" s="45" t="s">
        <v>383</v>
      </c>
      <c r="P560" s="44" t="s">
        <v>309</v>
      </c>
      <c r="Q560" s="59" t="str">
        <f>MID(Tabla1[[#This Row],[Aplicación]],14,1)</f>
        <v>2</v>
      </c>
      <c r="R560" s="35" t="s">
        <v>298</v>
      </c>
      <c r="S560" s="59" t="str">
        <f>MID(Tabla1[[#This Row],[Aplicación]],6,2)</f>
        <v>10</v>
      </c>
      <c r="T560" s="35" t="str">
        <f>VLOOKUP(Tabla1[[#This Row],[AREA]],Hoja1!A:B,2,FALSE)</f>
        <v>10. Servicios sociales y mediación comunitaria</v>
      </c>
      <c r="U560" s="35" t="str">
        <f>MID(Tabla1[[#This Row],[Aplicación]],9,4)</f>
        <v>2312</v>
      </c>
      <c r="V560" s="35" t="str">
        <f>VLOOKUP(Tabla1[[#This Row],[PROGRAMA]],Hoja1!A:B,2,FALSE)</f>
        <v>2312. Iniciativas sociales</v>
      </c>
      <c r="W560" s="56" t="str">
        <f>MID(Tabla1[[#This Row],[Aplicación]],14,2)</f>
        <v>22</v>
      </c>
      <c r="X560" s="56" t="str">
        <f>MID(Tabla1[[#This Row],[Aplicación]],14,6)</f>
        <v>22606</v>
      </c>
    </row>
    <row r="561" spans="1:24" x14ac:dyDescent="0.25">
      <c r="A561" s="55">
        <v>220230008959</v>
      </c>
      <c r="B561" s="47" t="s">
        <v>507</v>
      </c>
      <c r="C561" s="52">
        <v>45002</v>
      </c>
      <c r="D561" s="46">
        <v>22023003171</v>
      </c>
      <c r="E561" s="47" t="s">
        <v>1191</v>
      </c>
      <c r="F561" s="53">
        <v>127.05</v>
      </c>
      <c r="G561" s="47" t="s">
        <v>1581</v>
      </c>
      <c r="H561" s="47" t="s">
        <v>1582</v>
      </c>
      <c r="I561" s="46" t="s">
        <v>511</v>
      </c>
      <c r="J561" s="47" t="s">
        <v>519</v>
      </c>
      <c r="K561" s="47" t="s">
        <v>519</v>
      </c>
      <c r="L561" s="47" t="s">
        <v>520</v>
      </c>
      <c r="M561" s="47" t="s">
        <v>976</v>
      </c>
      <c r="N561" s="47" t="s">
        <v>839</v>
      </c>
      <c r="O561" s="54" t="s">
        <v>383</v>
      </c>
      <c r="P561" s="44" t="s">
        <v>309</v>
      </c>
      <c r="Q561" s="59" t="str">
        <f>MID(Tabla1[[#This Row],[Aplicación]],14,1)</f>
        <v>2</v>
      </c>
      <c r="R561" s="35" t="s">
        <v>298</v>
      </c>
      <c r="S561" s="59" t="str">
        <f>MID(Tabla1[[#This Row],[Aplicación]],6,2)</f>
        <v>06</v>
      </c>
      <c r="T561" s="35" t="str">
        <f>VLOOKUP(Tabla1[[#This Row],[AREA]],Hoja1!A:B,2,FALSE)</f>
        <v>06. Educación, infancia, juventud e igualdad</v>
      </c>
      <c r="U561" s="35" t="str">
        <f>MID(Tabla1[[#This Row],[Aplicación]],9,4)</f>
        <v>2315</v>
      </c>
      <c r="V561" s="35" t="str">
        <f>VLOOKUP(Tabla1[[#This Row],[PROGRAMA]],Hoja1!A:B,2,FALSE)</f>
        <v>2315. Políticas de Igualdad e infancia</v>
      </c>
      <c r="W561" s="56" t="str">
        <f>MID(Tabla1[[#This Row],[Aplicación]],14,2)</f>
        <v>22</v>
      </c>
      <c r="X561" s="56" t="str">
        <f>MID(Tabla1[[#This Row],[Aplicación]],14,6)</f>
        <v>22611</v>
      </c>
    </row>
    <row r="562" spans="1:24" x14ac:dyDescent="0.25">
      <c r="A562" s="46">
        <v>220230003442</v>
      </c>
      <c r="B562" s="47" t="s">
        <v>507</v>
      </c>
      <c r="C562" s="52">
        <v>44972</v>
      </c>
      <c r="D562" s="46">
        <v>22023002366</v>
      </c>
      <c r="E562" s="47" t="s">
        <v>1436</v>
      </c>
      <c r="F562" s="53">
        <v>104</v>
      </c>
      <c r="G562" s="47" t="s">
        <v>121</v>
      </c>
      <c r="H562" s="47" t="s">
        <v>1583</v>
      </c>
      <c r="I562" s="46" t="s">
        <v>511</v>
      </c>
      <c r="J562" s="47" t="s">
        <v>519</v>
      </c>
      <c r="K562" s="47" t="s">
        <v>519</v>
      </c>
      <c r="L562" s="47" t="s">
        <v>652</v>
      </c>
      <c r="M562" s="47" t="s">
        <v>976</v>
      </c>
      <c r="N562" s="47" t="s">
        <v>839</v>
      </c>
      <c r="O562" s="45" t="s">
        <v>383</v>
      </c>
      <c r="P562" s="44" t="s">
        <v>309</v>
      </c>
      <c r="Q562" s="59" t="str">
        <f>MID(Tabla1[[#This Row],[Aplicación]],14,1)</f>
        <v>2</v>
      </c>
      <c r="R562" s="35" t="s">
        <v>298</v>
      </c>
      <c r="S562" s="59" t="str">
        <f>MID(Tabla1[[#This Row],[Aplicación]],6,2)</f>
        <v>04</v>
      </c>
      <c r="T562" s="35" t="str">
        <f>VLOOKUP(Tabla1[[#This Row],[AREA]],Hoja1!A:B,2,FALSE)</f>
        <v>04. Planificación y recursos</v>
      </c>
      <c r="U562" s="35" t="str">
        <f>MID(Tabla1[[#This Row],[Aplicación]],9,4)</f>
        <v>9202</v>
      </c>
      <c r="V562" s="35" t="str">
        <f>VLOOKUP(Tabla1[[#This Row],[PROGRAMA]],Hoja1!A:B,2,FALSE)</f>
        <v>9202. Gestión de recursos humanos</v>
      </c>
      <c r="W562" s="56" t="str">
        <f>MID(Tabla1[[#This Row],[Aplicación]],14,2)</f>
        <v>22</v>
      </c>
      <c r="X562" s="56" t="str">
        <f>MID(Tabla1[[#This Row],[Aplicación]],14,6)</f>
        <v>22607</v>
      </c>
    </row>
    <row r="563" spans="1:24" x14ac:dyDescent="0.25">
      <c r="A563" s="46">
        <v>220230008568</v>
      </c>
      <c r="B563" s="47" t="s">
        <v>507</v>
      </c>
      <c r="C563" s="52">
        <v>45000</v>
      </c>
      <c r="D563" s="46">
        <v>22023002745</v>
      </c>
      <c r="E563" s="47" t="s">
        <v>1436</v>
      </c>
      <c r="F563" s="53">
        <v>393.5</v>
      </c>
      <c r="G563" s="47" t="s">
        <v>121</v>
      </c>
      <c r="H563" s="47" t="s">
        <v>1584</v>
      </c>
      <c r="I563" s="46" t="s">
        <v>511</v>
      </c>
      <c r="J563" s="47" t="s">
        <v>519</v>
      </c>
      <c r="K563" s="47" t="s">
        <v>519</v>
      </c>
      <c r="L563" s="47" t="s">
        <v>652</v>
      </c>
      <c r="M563" s="47" t="s">
        <v>976</v>
      </c>
      <c r="N563" s="47" t="s">
        <v>839</v>
      </c>
      <c r="O563" s="54" t="s">
        <v>383</v>
      </c>
      <c r="P563" s="44" t="s">
        <v>309</v>
      </c>
      <c r="Q563" s="59" t="str">
        <f>MID(Tabla1[[#This Row],[Aplicación]],14,1)</f>
        <v>2</v>
      </c>
      <c r="R563" s="35" t="s">
        <v>298</v>
      </c>
      <c r="S563" s="59" t="str">
        <f>MID(Tabla1[[#This Row],[Aplicación]],6,2)</f>
        <v>04</v>
      </c>
      <c r="T563" s="35" t="str">
        <f>VLOOKUP(Tabla1[[#This Row],[AREA]],Hoja1!A:B,2,FALSE)</f>
        <v>04. Planificación y recursos</v>
      </c>
      <c r="U563" s="35" t="str">
        <f>MID(Tabla1[[#This Row],[Aplicación]],9,4)</f>
        <v>9202</v>
      </c>
      <c r="V563" s="35" t="str">
        <f>VLOOKUP(Tabla1[[#This Row],[PROGRAMA]],Hoja1!A:B,2,FALSE)</f>
        <v>9202. Gestión de recursos humanos</v>
      </c>
      <c r="W563" s="56" t="str">
        <f>MID(Tabla1[[#This Row],[Aplicación]],14,2)</f>
        <v>22</v>
      </c>
      <c r="X563" s="56" t="str">
        <f>MID(Tabla1[[#This Row],[Aplicación]],14,6)</f>
        <v>22607</v>
      </c>
    </row>
    <row r="564" spans="1:24" x14ac:dyDescent="0.25">
      <c r="A564" s="55">
        <v>220230010342</v>
      </c>
      <c r="B564" s="47" t="s">
        <v>507</v>
      </c>
      <c r="C564" s="52">
        <v>45008</v>
      </c>
      <c r="D564" s="46">
        <v>22023003391</v>
      </c>
      <c r="E564" s="47" t="s">
        <v>1043</v>
      </c>
      <c r="F564" s="53">
        <v>214.5</v>
      </c>
      <c r="G564" s="47" t="s">
        <v>121</v>
      </c>
      <c r="H564" s="47" t="s">
        <v>1585</v>
      </c>
      <c r="I564" s="46" t="s">
        <v>511</v>
      </c>
      <c r="J564" s="47" t="s">
        <v>519</v>
      </c>
      <c r="K564" s="47" t="s">
        <v>519</v>
      </c>
      <c r="L564" s="47" t="s">
        <v>520</v>
      </c>
      <c r="M564" s="47" t="s">
        <v>976</v>
      </c>
      <c r="N564" s="47" t="s">
        <v>839</v>
      </c>
      <c r="O564" s="54" t="s">
        <v>383</v>
      </c>
      <c r="P564" s="44" t="s">
        <v>309</v>
      </c>
      <c r="Q564" s="59" t="str">
        <f>MID(Tabla1[[#This Row],[Aplicación]],14,1)</f>
        <v>2</v>
      </c>
      <c r="R564" s="35" t="s">
        <v>298</v>
      </c>
      <c r="S564" s="59" t="str">
        <f>MID(Tabla1[[#This Row],[Aplicación]],6,2)</f>
        <v>10</v>
      </c>
      <c r="T564" s="35" t="str">
        <f>VLOOKUP(Tabla1[[#This Row],[AREA]],Hoja1!A:B,2,FALSE)</f>
        <v>10. Servicios sociales y mediación comunitaria</v>
      </c>
      <c r="U564" s="35" t="str">
        <f>MID(Tabla1[[#This Row],[Aplicación]],9,4)</f>
        <v>2312</v>
      </c>
      <c r="V564" s="35" t="str">
        <f>VLOOKUP(Tabla1[[#This Row],[PROGRAMA]],Hoja1!A:B,2,FALSE)</f>
        <v>2312. Iniciativas sociales</v>
      </c>
      <c r="W564" s="56" t="str">
        <f>MID(Tabla1[[#This Row],[Aplicación]],14,2)</f>
        <v>22</v>
      </c>
      <c r="X564" s="56" t="str">
        <f>MID(Tabla1[[#This Row],[Aplicación]],14,6)</f>
        <v>22699</v>
      </c>
    </row>
    <row r="565" spans="1:24" x14ac:dyDescent="0.25">
      <c r="A565" s="46">
        <v>220229000399</v>
      </c>
      <c r="B565" s="47" t="s">
        <v>507</v>
      </c>
      <c r="C565" s="52">
        <v>44927</v>
      </c>
      <c r="D565" s="46">
        <v>22023001174</v>
      </c>
      <c r="E565" s="47" t="s">
        <v>521</v>
      </c>
      <c r="F565" s="53">
        <v>2148.96</v>
      </c>
      <c r="G565" s="47" t="s">
        <v>522</v>
      </c>
      <c r="H565" s="47" t="s">
        <v>1586</v>
      </c>
      <c r="I565" s="46" t="s">
        <v>511</v>
      </c>
      <c r="J565" s="47" t="s">
        <v>512</v>
      </c>
      <c r="K565" s="47" t="s">
        <v>512</v>
      </c>
      <c r="L565" s="47" t="s">
        <v>520</v>
      </c>
      <c r="M565" s="47" t="s">
        <v>976</v>
      </c>
      <c r="N565" s="47" t="s">
        <v>839</v>
      </c>
      <c r="O565" s="45" t="s">
        <v>383</v>
      </c>
      <c r="P565" s="44" t="s">
        <v>309</v>
      </c>
      <c r="Q565" s="59" t="str">
        <f>MID(Tabla1[[#This Row],[Aplicación]],14,1)</f>
        <v>2</v>
      </c>
      <c r="R565" s="35" t="s">
        <v>298</v>
      </c>
      <c r="S565" s="59" t="str">
        <f>MID(Tabla1[[#This Row],[Aplicación]],6,2)</f>
        <v>06</v>
      </c>
      <c r="T565" s="35" t="str">
        <f>VLOOKUP(Tabla1[[#This Row],[AREA]],Hoja1!A:B,2,FALSE)</f>
        <v>06. Educación, infancia, juventud e igualdad</v>
      </c>
      <c r="U565" s="35" t="str">
        <f>MID(Tabla1[[#This Row],[Aplicación]],9,4)</f>
        <v>3232</v>
      </c>
      <c r="V565" s="35" t="str">
        <f>VLOOKUP(Tabla1[[#This Row],[PROGRAMA]],Hoja1!A:B,2,FALSE)</f>
        <v>3232. Conservación y mantenimiento centros educación infantil y primaria</v>
      </c>
      <c r="W565" s="56" t="str">
        <f>MID(Tabla1[[#This Row],[Aplicación]],14,2)</f>
        <v>22</v>
      </c>
      <c r="X565" s="56" t="str">
        <f>MID(Tabla1[[#This Row],[Aplicación]],14,6)</f>
        <v>22700</v>
      </c>
    </row>
    <row r="566" spans="1:24" x14ac:dyDescent="0.25">
      <c r="A566" s="46">
        <v>220230001923</v>
      </c>
      <c r="B566" s="47" t="s">
        <v>507</v>
      </c>
      <c r="C566" s="52">
        <v>44960</v>
      </c>
      <c r="D566" s="46">
        <v>22023000510</v>
      </c>
      <c r="E566" s="47" t="s">
        <v>1043</v>
      </c>
      <c r="F566" s="53">
        <v>70.33</v>
      </c>
      <c r="G566" s="47" t="s">
        <v>1587</v>
      </c>
      <c r="H566" s="47" t="s">
        <v>1588</v>
      </c>
      <c r="I566" s="46" t="s">
        <v>511</v>
      </c>
      <c r="J566" s="47" t="s">
        <v>519</v>
      </c>
      <c r="K566" s="47" t="s">
        <v>519</v>
      </c>
      <c r="L566" s="47" t="s">
        <v>520</v>
      </c>
      <c r="M566" s="47" t="s">
        <v>976</v>
      </c>
      <c r="N566" s="47" t="s">
        <v>839</v>
      </c>
      <c r="O566" s="45" t="s">
        <v>383</v>
      </c>
      <c r="P566" s="44" t="s">
        <v>309</v>
      </c>
      <c r="Q566" s="59" t="str">
        <f>MID(Tabla1[[#This Row],[Aplicación]],14,1)</f>
        <v>2</v>
      </c>
      <c r="R566" s="35" t="s">
        <v>298</v>
      </c>
      <c r="S566" s="59" t="str">
        <f>MID(Tabla1[[#This Row],[Aplicación]],6,2)</f>
        <v>10</v>
      </c>
      <c r="T566" s="35" t="str">
        <f>VLOOKUP(Tabla1[[#This Row],[AREA]],Hoja1!A:B,2,FALSE)</f>
        <v>10. Servicios sociales y mediación comunitaria</v>
      </c>
      <c r="U566" s="35" t="str">
        <f>MID(Tabla1[[#This Row],[Aplicación]],9,4)</f>
        <v>2312</v>
      </c>
      <c r="V566" s="35" t="str">
        <f>VLOOKUP(Tabla1[[#This Row],[PROGRAMA]],Hoja1!A:B,2,FALSE)</f>
        <v>2312. Iniciativas sociales</v>
      </c>
      <c r="W566" s="56" t="str">
        <f>MID(Tabla1[[#This Row],[Aplicación]],14,2)</f>
        <v>22</v>
      </c>
      <c r="X566" s="56" t="str">
        <f>MID(Tabla1[[#This Row],[Aplicación]],14,6)</f>
        <v>22699</v>
      </c>
    </row>
    <row r="567" spans="1:24" x14ac:dyDescent="0.25">
      <c r="A567" s="46">
        <v>220230001923</v>
      </c>
      <c r="B567" s="47" t="s">
        <v>507</v>
      </c>
      <c r="C567" s="52">
        <v>44960</v>
      </c>
      <c r="D567" s="46">
        <v>22023000511</v>
      </c>
      <c r="E567" s="47" t="s">
        <v>1043</v>
      </c>
      <c r="F567" s="53">
        <v>70.33</v>
      </c>
      <c r="G567" s="47" t="s">
        <v>1587</v>
      </c>
      <c r="H567" s="47" t="s">
        <v>1588</v>
      </c>
      <c r="I567" s="46" t="s">
        <v>511</v>
      </c>
      <c r="J567" s="47" t="s">
        <v>519</v>
      </c>
      <c r="K567" s="47" t="s">
        <v>519</v>
      </c>
      <c r="L567" s="47" t="s">
        <v>520</v>
      </c>
      <c r="M567" s="47" t="s">
        <v>976</v>
      </c>
      <c r="N567" s="47" t="s">
        <v>839</v>
      </c>
      <c r="O567" s="45" t="s">
        <v>383</v>
      </c>
      <c r="P567" s="44" t="s">
        <v>309</v>
      </c>
      <c r="Q567" s="59" t="str">
        <f>MID(Tabla1[[#This Row],[Aplicación]],14,1)</f>
        <v>2</v>
      </c>
      <c r="R567" s="35" t="s">
        <v>298</v>
      </c>
      <c r="S567" s="59" t="str">
        <f>MID(Tabla1[[#This Row],[Aplicación]],6,2)</f>
        <v>10</v>
      </c>
      <c r="T567" s="35" t="str">
        <f>VLOOKUP(Tabla1[[#This Row],[AREA]],Hoja1!A:B,2,FALSE)</f>
        <v>10. Servicios sociales y mediación comunitaria</v>
      </c>
      <c r="U567" s="35" t="str">
        <f>MID(Tabla1[[#This Row],[Aplicación]],9,4)</f>
        <v>2312</v>
      </c>
      <c r="V567" s="35" t="str">
        <f>VLOOKUP(Tabla1[[#This Row],[PROGRAMA]],Hoja1!A:B,2,FALSE)</f>
        <v>2312. Iniciativas sociales</v>
      </c>
      <c r="W567" s="56" t="str">
        <f>MID(Tabla1[[#This Row],[Aplicación]],14,2)</f>
        <v>22</v>
      </c>
      <c r="X567" s="56" t="str">
        <f>MID(Tabla1[[#This Row],[Aplicación]],14,6)</f>
        <v>22699</v>
      </c>
    </row>
    <row r="568" spans="1:24" x14ac:dyDescent="0.25">
      <c r="A568" s="55">
        <v>220230008936</v>
      </c>
      <c r="B568" s="47" t="s">
        <v>507</v>
      </c>
      <c r="C568" s="52">
        <v>45002</v>
      </c>
      <c r="D568" s="46">
        <v>22023003114</v>
      </c>
      <c r="E568" s="47" t="s">
        <v>1043</v>
      </c>
      <c r="F568" s="53">
        <v>2184.23</v>
      </c>
      <c r="G568" s="47" t="s">
        <v>1587</v>
      </c>
      <c r="H568" s="47" t="s">
        <v>1589</v>
      </c>
      <c r="I568" s="46" t="s">
        <v>511</v>
      </c>
      <c r="J568" s="47" t="s">
        <v>519</v>
      </c>
      <c r="K568" s="47" t="s">
        <v>519</v>
      </c>
      <c r="L568" s="47" t="s">
        <v>520</v>
      </c>
      <c r="M568" s="47" t="s">
        <v>976</v>
      </c>
      <c r="N568" s="47" t="s">
        <v>839</v>
      </c>
      <c r="O568" s="54" t="s">
        <v>383</v>
      </c>
      <c r="P568" s="44" t="s">
        <v>309</v>
      </c>
      <c r="Q568" s="59" t="str">
        <f>MID(Tabla1[[#This Row],[Aplicación]],14,1)</f>
        <v>2</v>
      </c>
      <c r="R568" s="35" t="s">
        <v>298</v>
      </c>
      <c r="S568" s="59" t="str">
        <f>MID(Tabla1[[#This Row],[Aplicación]],6,2)</f>
        <v>10</v>
      </c>
      <c r="T568" s="35" t="str">
        <f>VLOOKUP(Tabla1[[#This Row],[AREA]],Hoja1!A:B,2,FALSE)</f>
        <v>10. Servicios sociales y mediación comunitaria</v>
      </c>
      <c r="U568" s="35" t="str">
        <f>MID(Tabla1[[#This Row],[Aplicación]],9,4)</f>
        <v>2312</v>
      </c>
      <c r="V568" s="35" t="str">
        <f>VLOOKUP(Tabla1[[#This Row],[PROGRAMA]],Hoja1!A:B,2,FALSE)</f>
        <v>2312. Iniciativas sociales</v>
      </c>
      <c r="W568" s="56" t="str">
        <f>MID(Tabla1[[#This Row],[Aplicación]],14,2)</f>
        <v>22</v>
      </c>
      <c r="X568" s="56" t="str">
        <f>MID(Tabla1[[#This Row],[Aplicación]],14,6)</f>
        <v>22699</v>
      </c>
    </row>
    <row r="569" spans="1:24" x14ac:dyDescent="0.25">
      <c r="A569" s="55">
        <v>220230008936</v>
      </c>
      <c r="B569" s="47" t="s">
        <v>507</v>
      </c>
      <c r="C569" s="52">
        <v>45002</v>
      </c>
      <c r="D569" s="46">
        <v>22023003115</v>
      </c>
      <c r="E569" s="47" t="s">
        <v>1043</v>
      </c>
      <c r="F569" s="53">
        <v>2184.23</v>
      </c>
      <c r="G569" s="47" t="s">
        <v>1587</v>
      </c>
      <c r="H569" s="47" t="s">
        <v>1589</v>
      </c>
      <c r="I569" s="46" t="s">
        <v>511</v>
      </c>
      <c r="J569" s="47" t="s">
        <v>519</v>
      </c>
      <c r="K569" s="47" t="s">
        <v>519</v>
      </c>
      <c r="L569" s="47" t="s">
        <v>520</v>
      </c>
      <c r="M569" s="47" t="s">
        <v>976</v>
      </c>
      <c r="N569" s="47" t="s">
        <v>839</v>
      </c>
      <c r="O569" s="54" t="s">
        <v>383</v>
      </c>
      <c r="P569" s="44" t="s">
        <v>309</v>
      </c>
      <c r="Q569" s="59" t="str">
        <f>MID(Tabla1[[#This Row],[Aplicación]],14,1)</f>
        <v>2</v>
      </c>
      <c r="R569" s="35" t="s">
        <v>298</v>
      </c>
      <c r="S569" s="59" t="str">
        <f>MID(Tabla1[[#This Row],[Aplicación]],6,2)</f>
        <v>10</v>
      </c>
      <c r="T569" s="35" t="str">
        <f>VLOOKUP(Tabla1[[#This Row],[AREA]],Hoja1!A:B,2,FALSE)</f>
        <v>10. Servicios sociales y mediación comunitaria</v>
      </c>
      <c r="U569" s="35" t="str">
        <f>MID(Tabla1[[#This Row],[Aplicación]],9,4)</f>
        <v>2312</v>
      </c>
      <c r="V569" s="35" t="str">
        <f>VLOOKUP(Tabla1[[#This Row],[PROGRAMA]],Hoja1!A:B,2,FALSE)</f>
        <v>2312. Iniciativas sociales</v>
      </c>
      <c r="W569" s="56" t="str">
        <f>MID(Tabla1[[#This Row],[Aplicación]],14,2)</f>
        <v>22</v>
      </c>
      <c r="X569" s="56" t="str">
        <f>MID(Tabla1[[#This Row],[Aplicación]],14,6)</f>
        <v>22699</v>
      </c>
    </row>
    <row r="570" spans="1:24" x14ac:dyDescent="0.25">
      <c r="A570" s="55">
        <v>220230010308</v>
      </c>
      <c r="B570" s="47" t="s">
        <v>507</v>
      </c>
      <c r="C570" s="52">
        <v>45008</v>
      </c>
      <c r="D570" s="46">
        <v>22023003473</v>
      </c>
      <c r="E570" s="47" t="s">
        <v>1490</v>
      </c>
      <c r="F570" s="53">
        <v>1093.3699999999999</v>
      </c>
      <c r="G570" s="47" t="s">
        <v>1590</v>
      </c>
      <c r="H570" s="47" t="s">
        <v>1591</v>
      </c>
      <c r="I570" s="46" t="s">
        <v>511</v>
      </c>
      <c r="J570" s="47" t="s">
        <v>519</v>
      </c>
      <c r="K570" s="47" t="s">
        <v>519</v>
      </c>
      <c r="L570" s="47" t="s">
        <v>520</v>
      </c>
      <c r="M570" s="47" t="s">
        <v>976</v>
      </c>
      <c r="N570" s="47" t="s">
        <v>839</v>
      </c>
      <c r="O570" s="54" t="s">
        <v>383</v>
      </c>
      <c r="P570" s="44" t="s">
        <v>309</v>
      </c>
      <c r="Q570" s="59" t="str">
        <f>MID(Tabla1[[#This Row],[Aplicación]],14,1)</f>
        <v>2</v>
      </c>
      <c r="R570" s="35" t="s">
        <v>298</v>
      </c>
      <c r="S570" s="59" t="str">
        <f>MID(Tabla1[[#This Row],[Aplicación]],6,2)</f>
        <v>06</v>
      </c>
      <c r="T570" s="35" t="str">
        <f>VLOOKUP(Tabla1[[#This Row],[AREA]],Hoja1!A:B,2,FALSE)</f>
        <v>06. Educación, infancia, juventud e igualdad</v>
      </c>
      <c r="U570" s="35" t="str">
        <f>MID(Tabla1[[#This Row],[Aplicación]],9,4)</f>
        <v>2314</v>
      </c>
      <c r="V570" s="35" t="str">
        <f>VLOOKUP(Tabla1[[#This Row],[PROGRAMA]],Hoja1!A:B,2,FALSE)</f>
        <v>2314. Centro de programas juveniles</v>
      </c>
      <c r="W570" s="56" t="str">
        <f>MID(Tabla1[[#This Row],[Aplicación]],14,2)</f>
        <v>22</v>
      </c>
      <c r="X570" s="56" t="str">
        <f>MID(Tabla1[[#This Row],[Aplicación]],14,6)</f>
        <v>22613</v>
      </c>
    </row>
    <row r="571" spans="1:24" x14ac:dyDescent="0.25">
      <c r="A571" s="46">
        <v>220230008582</v>
      </c>
      <c r="B571" s="47" t="s">
        <v>507</v>
      </c>
      <c r="C571" s="52">
        <v>45000</v>
      </c>
      <c r="D571" s="46">
        <v>22023002985</v>
      </c>
      <c r="E571" s="47" t="s">
        <v>1479</v>
      </c>
      <c r="F571" s="53">
        <v>665.5</v>
      </c>
      <c r="G571" s="47" t="s">
        <v>403</v>
      </c>
      <c r="H571" s="47" t="s">
        <v>1592</v>
      </c>
      <c r="I571" s="46" t="s">
        <v>511</v>
      </c>
      <c r="J571" s="47" t="s">
        <v>519</v>
      </c>
      <c r="K571" s="47" t="s">
        <v>519</v>
      </c>
      <c r="L571" s="47" t="s">
        <v>520</v>
      </c>
      <c r="M571" s="47" t="s">
        <v>976</v>
      </c>
      <c r="N571" s="47" t="s">
        <v>839</v>
      </c>
      <c r="O571" s="54" t="s">
        <v>383</v>
      </c>
      <c r="P571" s="44" t="s">
        <v>309</v>
      </c>
      <c r="Q571" s="59" t="str">
        <f>MID(Tabla1[[#This Row],[Aplicación]],14,1)</f>
        <v>2</v>
      </c>
      <c r="R571" s="35" t="s">
        <v>298</v>
      </c>
      <c r="S571" s="59" t="str">
        <f>MID(Tabla1[[#This Row],[Aplicación]],6,2)</f>
        <v>03</v>
      </c>
      <c r="T571" s="35" t="str">
        <f>VLOOKUP(Tabla1[[#This Row],[AREA]],Hoja1!A:B,2,FALSE)</f>
        <v>03. Participación ciudadana y deportes</v>
      </c>
      <c r="U571" s="35" t="str">
        <f>MID(Tabla1[[#This Row],[Aplicación]],9,4)</f>
        <v>9241</v>
      </c>
      <c r="V571" s="35" t="str">
        <f>VLOOKUP(Tabla1[[#This Row],[PROGRAMA]],Hoja1!A:B,2,FALSE)</f>
        <v>9241. Participación ciudadana</v>
      </c>
      <c r="W571" s="56" t="str">
        <f>MID(Tabla1[[#This Row],[Aplicación]],14,2)</f>
        <v>22</v>
      </c>
      <c r="X571" s="56" t="str">
        <f>MID(Tabla1[[#This Row],[Aplicación]],14,6)</f>
        <v>22609</v>
      </c>
    </row>
    <row r="572" spans="1:24" x14ac:dyDescent="0.25">
      <c r="A572" s="46">
        <v>220230002010</v>
      </c>
      <c r="B572" s="47" t="s">
        <v>507</v>
      </c>
      <c r="C572" s="52">
        <v>44960</v>
      </c>
      <c r="D572" s="46">
        <v>22023001500</v>
      </c>
      <c r="E572" s="47" t="s">
        <v>777</v>
      </c>
      <c r="F572" s="53">
        <v>460.78</v>
      </c>
      <c r="G572" s="47" t="s">
        <v>1593</v>
      </c>
      <c r="H572" s="47" t="s">
        <v>1594</v>
      </c>
      <c r="I572" s="46" t="s">
        <v>511</v>
      </c>
      <c r="J572" s="47" t="s">
        <v>1595</v>
      </c>
      <c r="K572" s="47" t="s">
        <v>512</v>
      </c>
      <c r="L572" s="47" t="s">
        <v>520</v>
      </c>
      <c r="M572" s="47" t="s">
        <v>976</v>
      </c>
      <c r="N572" s="47" t="s">
        <v>839</v>
      </c>
      <c r="O572" s="45" t="s">
        <v>383</v>
      </c>
      <c r="P572" s="44" t="s">
        <v>309</v>
      </c>
      <c r="Q572" s="59" t="str">
        <f>MID(Tabla1[[#This Row],[Aplicación]],14,1)</f>
        <v>2</v>
      </c>
      <c r="R572" s="35" t="s">
        <v>298</v>
      </c>
      <c r="S572" s="59" t="str">
        <f>MID(Tabla1[[#This Row],[Aplicación]],6,2)</f>
        <v>03</v>
      </c>
      <c r="T572" s="35" t="str">
        <f>VLOOKUP(Tabla1[[#This Row],[AREA]],Hoja1!A:B,2,FALSE)</f>
        <v>03. Participación ciudadana y deportes</v>
      </c>
      <c r="U572" s="35" t="str">
        <f>MID(Tabla1[[#This Row],[Aplicación]],9,4)</f>
        <v>9241</v>
      </c>
      <c r="V572" s="35" t="str">
        <f>VLOOKUP(Tabla1[[#This Row],[PROGRAMA]],Hoja1!A:B,2,FALSE)</f>
        <v>9241. Participación ciudadana</v>
      </c>
      <c r="W572" s="56" t="str">
        <f>MID(Tabla1[[#This Row],[Aplicación]],14,2)</f>
        <v>22</v>
      </c>
      <c r="X572" s="56" t="str">
        <f>MID(Tabla1[[#This Row],[Aplicación]],14,6)</f>
        <v>22799</v>
      </c>
    </row>
    <row r="573" spans="1:24" x14ac:dyDescent="0.25">
      <c r="A573" s="46">
        <v>220229000293</v>
      </c>
      <c r="B573" s="47" t="s">
        <v>507</v>
      </c>
      <c r="C573" s="52">
        <v>44927</v>
      </c>
      <c r="D573" s="46">
        <v>22023000944</v>
      </c>
      <c r="E573" s="47" t="s">
        <v>1596</v>
      </c>
      <c r="F573" s="53">
        <v>1700</v>
      </c>
      <c r="G573" s="47" t="s">
        <v>16</v>
      </c>
      <c r="H573" s="47" t="s">
        <v>1597</v>
      </c>
      <c r="I573" s="46" t="s">
        <v>511</v>
      </c>
      <c r="J573" s="47" t="s">
        <v>837</v>
      </c>
      <c r="K573" s="47" t="s">
        <v>837</v>
      </c>
      <c r="L573" s="47" t="s">
        <v>552</v>
      </c>
      <c r="M573" s="47" t="s">
        <v>514</v>
      </c>
      <c r="N573" s="47" t="s">
        <v>515</v>
      </c>
      <c r="O573" s="45" t="s">
        <v>371</v>
      </c>
      <c r="P573" s="44" t="s">
        <v>309</v>
      </c>
      <c r="Q573" s="59" t="str">
        <f>MID(Tabla1[[#This Row],[Aplicación]],14,1)</f>
        <v>2</v>
      </c>
      <c r="R573" s="35" t="s">
        <v>298</v>
      </c>
      <c r="S573" s="59" t="str">
        <f>MID(Tabla1[[#This Row],[Aplicación]],6,2)</f>
        <v>05</v>
      </c>
      <c r="T573" s="35" t="str">
        <f>VLOOKUP(Tabla1[[#This Row],[AREA]],Hoja1!A:B,2,FALSE)</f>
        <v>05. Innovación, desarrollo económico, empleo y comercio</v>
      </c>
      <c r="U573" s="35" t="str">
        <f>MID(Tabla1[[#This Row],[Aplicación]],9,4)</f>
        <v>4312</v>
      </c>
      <c r="V573" s="35" t="str">
        <f>VLOOKUP(Tabla1[[#This Row],[PROGRAMA]],Hoja1!A:B,2,FALSE)</f>
        <v>4312. Mercados, abastos y lonjas</v>
      </c>
      <c r="W573" s="56" t="str">
        <f>MID(Tabla1[[#This Row],[Aplicación]],14,2)</f>
        <v>22</v>
      </c>
      <c r="X573" s="56" t="str">
        <f>MID(Tabla1[[#This Row],[Aplicación]],14,6)</f>
        <v>22102</v>
      </c>
    </row>
    <row r="574" spans="1:24" x14ac:dyDescent="0.25">
      <c r="A574" s="46">
        <v>220230002648</v>
      </c>
      <c r="B574" s="47" t="s">
        <v>507</v>
      </c>
      <c r="C574" s="52">
        <v>44966</v>
      </c>
      <c r="D574" s="46">
        <v>22023002279</v>
      </c>
      <c r="E574" s="47" t="s">
        <v>882</v>
      </c>
      <c r="F574" s="53">
        <v>1050</v>
      </c>
      <c r="G574" s="47" t="s">
        <v>16</v>
      </c>
      <c r="H574" s="47" t="s">
        <v>1598</v>
      </c>
      <c r="I574" s="46" t="s">
        <v>511</v>
      </c>
      <c r="J574" s="47" t="s">
        <v>837</v>
      </c>
      <c r="K574" s="47" t="s">
        <v>837</v>
      </c>
      <c r="L574" s="47" t="s">
        <v>520</v>
      </c>
      <c r="M574" s="47" t="s">
        <v>976</v>
      </c>
      <c r="N574" s="47" t="s">
        <v>839</v>
      </c>
      <c r="O574" s="45" t="s">
        <v>383</v>
      </c>
      <c r="P574" s="44" t="s">
        <v>309</v>
      </c>
      <c r="Q574" s="59" t="str">
        <f>MID(Tabla1[[#This Row],[Aplicación]],14,1)</f>
        <v>2</v>
      </c>
      <c r="R574" s="35" t="s">
        <v>298</v>
      </c>
      <c r="S574" s="59" t="str">
        <f>MID(Tabla1[[#This Row],[Aplicación]],6,2)</f>
        <v>06</v>
      </c>
      <c r="T574" s="35" t="str">
        <f>VLOOKUP(Tabla1[[#This Row],[AREA]],Hoja1!A:B,2,FALSE)</f>
        <v>06. Educación, infancia, juventud e igualdad</v>
      </c>
      <c r="U574" s="35" t="str">
        <f>MID(Tabla1[[#This Row],[Aplicación]],9,4)</f>
        <v>3232</v>
      </c>
      <c r="V574" s="35" t="str">
        <f>VLOOKUP(Tabla1[[#This Row],[PROGRAMA]],Hoja1!A:B,2,FALSE)</f>
        <v>3232. Conservación y mantenimiento centros educación infantil y primaria</v>
      </c>
      <c r="W574" s="56" t="str">
        <f>MID(Tabla1[[#This Row],[Aplicación]],14,2)</f>
        <v>22</v>
      </c>
      <c r="X574" s="56" t="str">
        <f>MID(Tabla1[[#This Row],[Aplicación]],14,6)</f>
        <v>22102</v>
      </c>
    </row>
    <row r="575" spans="1:24" x14ac:dyDescent="0.25">
      <c r="A575" s="55">
        <v>220230009425</v>
      </c>
      <c r="B575" s="47" t="s">
        <v>1337</v>
      </c>
      <c r="C575" s="52">
        <v>45006</v>
      </c>
      <c r="D575" s="46">
        <v>22023000949</v>
      </c>
      <c r="E575" s="47" t="s">
        <v>878</v>
      </c>
      <c r="F575" s="53">
        <v>-30000</v>
      </c>
      <c r="G575" s="47" t="s">
        <v>16</v>
      </c>
      <c r="H575" s="47" t="s">
        <v>879</v>
      </c>
      <c r="I575" s="46" t="s">
        <v>511</v>
      </c>
      <c r="J575" s="47" t="s">
        <v>837</v>
      </c>
      <c r="K575" s="47" t="s">
        <v>837</v>
      </c>
      <c r="L575" s="47" t="s">
        <v>552</v>
      </c>
      <c r="M575" s="47" t="s">
        <v>514</v>
      </c>
      <c r="N575" s="47" t="s">
        <v>515</v>
      </c>
      <c r="O575" s="54" t="s">
        <v>371</v>
      </c>
      <c r="P575" s="44" t="s">
        <v>309</v>
      </c>
      <c r="Q575" s="59" t="str">
        <f>MID(Tabla1[[#This Row],[Aplicación]],14,1)</f>
        <v>2</v>
      </c>
      <c r="R575" s="35" t="s">
        <v>298</v>
      </c>
      <c r="S575" s="59" t="str">
        <f>MID(Tabla1[[#This Row],[Aplicación]],6,2)</f>
        <v>11</v>
      </c>
      <c r="T575" s="35" t="str">
        <f>VLOOKUP(Tabla1[[#This Row],[AREA]],Hoja1!A:B,2,FALSE)</f>
        <v>11. Salud pública y seguridad ciudadana</v>
      </c>
      <c r="U575" s="35" t="str">
        <f>MID(Tabla1[[#This Row],[Aplicación]],9,4)</f>
        <v>1361</v>
      </c>
      <c r="V575" s="35" t="str">
        <f>VLOOKUP(Tabla1[[#This Row],[PROGRAMA]],Hoja1!A:B,2,FALSE)</f>
        <v>1361. Prevención y extinción de incencios</v>
      </c>
      <c r="W575" s="56" t="str">
        <f>MID(Tabla1[[#This Row],[Aplicación]],14,2)</f>
        <v>22</v>
      </c>
      <c r="X575" s="56" t="str">
        <f>MID(Tabla1[[#This Row],[Aplicación]],14,6)</f>
        <v>22102</v>
      </c>
    </row>
    <row r="576" spans="1:24" x14ac:dyDescent="0.25">
      <c r="A576" s="46">
        <v>220230001795</v>
      </c>
      <c r="B576" s="47" t="s">
        <v>507</v>
      </c>
      <c r="C576" s="52">
        <v>44960</v>
      </c>
      <c r="D576" s="46">
        <v>22023000203</v>
      </c>
      <c r="E576" s="47" t="s">
        <v>1285</v>
      </c>
      <c r="F576" s="53">
        <v>95.9</v>
      </c>
      <c r="G576" s="47" t="s">
        <v>1599</v>
      </c>
      <c r="H576" s="47" t="s">
        <v>1600</v>
      </c>
      <c r="I576" s="46" t="s">
        <v>511</v>
      </c>
      <c r="J576" s="47" t="s">
        <v>519</v>
      </c>
      <c r="K576" s="47" t="s">
        <v>519</v>
      </c>
      <c r="L576" s="47" t="s">
        <v>552</v>
      </c>
      <c r="M576" s="47" t="s">
        <v>976</v>
      </c>
      <c r="N576" s="47" t="s">
        <v>839</v>
      </c>
      <c r="O576" s="45" t="s">
        <v>383</v>
      </c>
      <c r="P576" s="44" t="s">
        <v>309</v>
      </c>
      <c r="Q576" s="59" t="str">
        <f>MID(Tabla1[[#This Row],[Aplicación]],14,1)</f>
        <v>2</v>
      </c>
      <c r="R576" s="35" t="s">
        <v>298</v>
      </c>
      <c r="S576" s="59" t="str">
        <f>MID(Tabla1[[#This Row],[Aplicación]],6,2)</f>
        <v>11</v>
      </c>
      <c r="T576" s="35" t="str">
        <f>VLOOKUP(Tabla1[[#This Row],[AREA]],Hoja1!A:B,2,FALSE)</f>
        <v>11. Salud pública y seguridad ciudadana</v>
      </c>
      <c r="U576" s="35" t="str">
        <f>MID(Tabla1[[#This Row],[Aplicación]],9,4)</f>
        <v>1361</v>
      </c>
      <c r="V576" s="35" t="str">
        <f>VLOOKUP(Tabla1[[#This Row],[PROGRAMA]],Hoja1!A:B,2,FALSE)</f>
        <v>1361. Prevención y extinción de incencios</v>
      </c>
      <c r="W576" s="56" t="str">
        <f>MID(Tabla1[[#This Row],[Aplicación]],14,2)</f>
        <v>22</v>
      </c>
      <c r="X576" s="56" t="str">
        <f>MID(Tabla1[[#This Row],[Aplicación]],14,6)</f>
        <v>22199</v>
      </c>
    </row>
    <row r="577" spans="1:24" x14ac:dyDescent="0.25">
      <c r="A577" s="46">
        <v>220230002061</v>
      </c>
      <c r="B577" s="47" t="s">
        <v>507</v>
      </c>
      <c r="C577" s="52">
        <v>44963</v>
      </c>
      <c r="D577" s="46">
        <v>22023002022</v>
      </c>
      <c r="E577" s="47" t="s">
        <v>669</v>
      </c>
      <c r="F577" s="53">
        <v>3000</v>
      </c>
      <c r="G577" s="47" t="s">
        <v>1599</v>
      </c>
      <c r="H577" s="47" t="s">
        <v>1601</v>
      </c>
      <c r="I577" s="46" t="s">
        <v>511</v>
      </c>
      <c r="J577" s="47" t="s">
        <v>519</v>
      </c>
      <c r="K577" s="47" t="s">
        <v>519</v>
      </c>
      <c r="L577" s="47" t="s">
        <v>552</v>
      </c>
      <c r="M577" s="47" t="s">
        <v>976</v>
      </c>
      <c r="N577" s="47" t="s">
        <v>839</v>
      </c>
      <c r="O577" s="45" t="s">
        <v>383</v>
      </c>
      <c r="P577" s="44" t="s">
        <v>309</v>
      </c>
      <c r="Q577" s="59" t="str">
        <f>MID(Tabla1[[#This Row],[Aplicación]],14,1)</f>
        <v>2</v>
      </c>
      <c r="R577" s="35" t="s">
        <v>298</v>
      </c>
      <c r="S577" s="59" t="str">
        <f>MID(Tabla1[[#This Row],[Aplicación]],6,2)</f>
        <v>06</v>
      </c>
      <c r="T577" s="35" t="str">
        <f>VLOOKUP(Tabla1[[#This Row],[AREA]],Hoja1!A:B,2,FALSE)</f>
        <v>06. Educación, infancia, juventud e igualdad</v>
      </c>
      <c r="U577" s="35" t="str">
        <f>MID(Tabla1[[#This Row],[Aplicación]],9,4)</f>
        <v>3232</v>
      </c>
      <c r="V577" s="35" t="str">
        <f>VLOOKUP(Tabla1[[#This Row],[PROGRAMA]],Hoja1!A:B,2,FALSE)</f>
        <v>3232. Conservación y mantenimiento centros educación infantil y primaria</v>
      </c>
      <c r="W577" s="56" t="str">
        <f>MID(Tabla1[[#This Row],[Aplicación]],14,2)</f>
        <v>21</v>
      </c>
      <c r="X577" s="56" t="str">
        <f>MID(Tabla1[[#This Row],[Aplicación]],14,6)</f>
        <v>213</v>
      </c>
    </row>
    <row r="578" spans="1:24" x14ac:dyDescent="0.25">
      <c r="A578" s="46">
        <v>220230008179</v>
      </c>
      <c r="B578" s="47" t="s">
        <v>507</v>
      </c>
      <c r="C578" s="52">
        <v>44998</v>
      </c>
      <c r="D578" s="46">
        <v>22023002830</v>
      </c>
      <c r="E578" s="47" t="s">
        <v>1285</v>
      </c>
      <c r="F578" s="53">
        <v>95.9</v>
      </c>
      <c r="G578" s="47" t="s">
        <v>1599</v>
      </c>
      <c r="H578" s="47" t="s">
        <v>1602</v>
      </c>
      <c r="I578" s="46" t="s">
        <v>511</v>
      </c>
      <c r="J578" s="47" t="s">
        <v>519</v>
      </c>
      <c r="K578" s="47" t="s">
        <v>519</v>
      </c>
      <c r="L578" s="47" t="s">
        <v>552</v>
      </c>
      <c r="M578" s="47" t="s">
        <v>976</v>
      </c>
      <c r="N578" s="47" t="s">
        <v>839</v>
      </c>
      <c r="O578" s="54" t="s">
        <v>383</v>
      </c>
      <c r="P578" s="44" t="s">
        <v>309</v>
      </c>
      <c r="Q578" s="59" t="str">
        <f>MID(Tabla1[[#This Row],[Aplicación]],14,1)</f>
        <v>2</v>
      </c>
      <c r="R578" s="35" t="s">
        <v>298</v>
      </c>
      <c r="S578" s="59" t="str">
        <f>MID(Tabla1[[#This Row],[Aplicación]],6,2)</f>
        <v>11</v>
      </c>
      <c r="T578" s="35" t="str">
        <f>VLOOKUP(Tabla1[[#This Row],[AREA]],Hoja1!A:B,2,FALSE)</f>
        <v>11. Salud pública y seguridad ciudadana</v>
      </c>
      <c r="U578" s="35" t="str">
        <f>MID(Tabla1[[#This Row],[Aplicación]],9,4)</f>
        <v>1361</v>
      </c>
      <c r="V578" s="35" t="str">
        <f>VLOOKUP(Tabla1[[#This Row],[PROGRAMA]],Hoja1!A:B,2,FALSE)</f>
        <v>1361. Prevención y extinción de incencios</v>
      </c>
      <c r="W578" s="56" t="str">
        <f>MID(Tabla1[[#This Row],[Aplicación]],14,2)</f>
        <v>22</v>
      </c>
      <c r="X578" s="56" t="str">
        <f>MID(Tabla1[[#This Row],[Aplicación]],14,6)</f>
        <v>22199</v>
      </c>
    </row>
    <row r="579" spans="1:24" x14ac:dyDescent="0.25">
      <c r="A579" s="55">
        <v>220230009468</v>
      </c>
      <c r="B579" s="47" t="s">
        <v>507</v>
      </c>
      <c r="C579" s="52">
        <v>45006</v>
      </c>
      <c r="D579" s="46">
        <v>22023003253</v>
      </c>
      <c r="E579" s="47" t="s">
        <v>1603</v>
      </c>
      <c r="F579" s="53">
        <v>253.68</v>
      </c>
      <c r="G579" s="47" t="s">
        <v>1599</v>
      </c>
      <c r="H579" s="47" t="s">
        <v>1604</v>
      </c>
      <c r="I579" s="46" t="s">
        <v>511</v>
      </c>
      <c r="J579" s="47" t="s">
        <v>519</v>
      </c>
      <c r="K579" s="47" t="s">
        <v>519</v>
      </c>
      <c r="L579" s="47" t="s">
        <v>552</v>
      </c>
      <c r="M579" s="47" t="s">
        <v>976</v>
      </c>
      <c r="N579" s="47" t="s">
        <v>839</v>
      </c>
      <c r="O579" s="54" t="s">
        <v>383</v>
      </c>
      <c r="P579" s="44" t="s">
        <v>309</v>
      </c>
      <c r="Q579" s="59" t="str">
        <f>MID(Tabla1[[#This Row],[Aplicación]],14,1)</f>
        <v>2</v>
      </c>
      <c r="R579" s="35" t="s">
        <v>298</v>
      </c>
      <c r="S579" s="59" t="str">
        <f>MID(Tabla1[[#This Row],[Aplicación]],6,2)</f>
        <v>08</v>
      </c>
      <c r="T579" s="35" t="str">
        <f>VLOOKUP(Tabla1[[#This Row],[AREA]],Hoja1!A:B,2,FALSE)</f>
        <v>08. Movilidad y espacio urbano</v>
      </c>
      <c r="U579" s="35" t="str">
        <f>MID(Tabla1[[#This Row],[Aplicación]],9,4)</f>
        <v>1532</v>
      </c>
      <c r="V579" s="35" t="str">
        <f>VLOOKUP(Tabla1[[#This Row],[PROGRAMA]],Hoja1!A:B,2,FALSE)</f>
        <v>1532. Pavimentación vias públicas y otros servicios urbanísticos</v>
      </c>
      <c r="W579" s="56" t="str">
        <f>MID(Tabla1[[#This Row],[Aplicación]],14,2)</f>
        <v>21</v>
      </c>
      <c r="X579" s="56" t="str">
        <f>MID(Tabla1[[#This Row],[Aplicación]],14,6)</f>
        <v>210</v>
      </c>
    </row>
    <row r="580" spans="1:24" x14ac:dyDescent="0.25">
      <c r="A580" s="46">
        <v>220229000095</v>
      </c>
      <c r="B580" s="47" t="s">
        <v>507</v>
      </c>
      <c r="C580" s="52">
        <v>44927</v>
      </c>
      <c r="D580" s="46">
        <v>22023000298</v>
      </c>
      <c r="E580" s="47" t="s">
        <v>659</v>
      </c>
      <c r="F580" s="53">
        <v>10782.31</v>
      </c>
      <c r="G580" s="47" t="s">
        <v>23</v>
      </c>
      <c r="H580" s="47" t="s">
        <v>1605</v>
      </c>
      <c r="I580" s="46" t="s">
        <v>511</v>
      </c>
      <c r="J580" s="47" t="s">
        <v>519</v>
      </c>
      <c r="K580" s="47" t="s">
        <v>519</v>
      </c>
      <c r="L580" s="47" t="s">
        <v>520</v>
      </c>
      <c r="M580" s="47" t="s">
        <v>514</v>
      </c>
      <c r="N580" s="47" t="s">
        <v>515</v>
      </c>
      <c r="O580" s="45" t="s">
        <v>371</v>
      </c>
      <c r="P580" s="44" t="s">
        <v>309</v>
      </c>
      <c r="Q580" s="59" t="str">
        <f>MID(Tabla1[[#This Row],[Aplicación]],14,1)</f>
        <v>2</v>
      </c>
      <c r="R580" s="35" t="s">
        <v>298</v>
      </c>
      <c r="S580" s="59" t="str">
        <f>MID(Tabla1[[#This Row],[Aplicación]],6,2)</f>
        <v>11</v>
      </c>
      <c r="T580" s="35" t="str">
        <f>VLOOKUP(Tabla1[[#This Row],[AREA]],Hoja1!A:B,2,FALSE)</f>
        <v>11. Salud pública y seguridad ciudadana</v>
      </c>
      <c r="U580" s="35" t="str">
        <f>MID(Tabla1[[#This Row],[Aplicación]],9,4)</f>
        <v>1321</v>
      </c>
      <c r="V580" s="35" t="str">
        <f>VLOOKUP(Tabla1[[#This Row],[PROGRAMA]],Hoja1!A:B,2,FALSE)</f>
        <v>1321. Policía municipal</v>
      </c>
      <c r="W580" s="56" t="str">
        <f>MID(Tabla1[[#This Row],[Aplicación]],14,2)</f>
        <v>21</v>
      </c>
      <c r="X580" s="56" t="str">
        <f>MID(Tabla1[[#This Row],[Aplicación]],14,6)</f>
        <v>213</v>
      </c>
    </row>
    <row r="581" spans="1:24" x14ac:dyDescent="0.25">
      <c r="A581" s="46">
        <v>220229000096</v>
      </c>
      <c r="B581" s="47" t="s">
        <v>507</v>
      </c>
      <c r="C581" s="52">
        <v>44927</v>
      </c>
      <c r="D581" s="46">
        <v>22023000299</v>
      </c>
      <c r="E581" s="47" t="s">
        <v>659</v>
      </c>
      <c r="F581" s="53">
        <v>6875</v>
      </c>
      <c r="G581" s="47" t="s">
        <v>23</v>
      </c>
      <c r="H581" s="47" t="s">
        <v>1606</v>
      </c>
      <c r="I581" s="46" t="s">
        <v>511</v>
      </c>
      <c r="J581" s="47" t="s">
        <v>519</v>
      </c>
      <c r="K581" s="47" t="s">
        <v>519</v>
      </c>
      <c r="L581" s="47" t="s">
        <v>520</v>
      </c>
      <c r="M581" s="47" t="s">
        <v>514</v>
      </c>
      <c r="N581" s="47" t="s">
        <v>515</v>
      </c>
      <c r="O581" s="45" t="s">
        <v>371</v>
      </c>
      <c r="P581" s="44" t="s">
        <v>309</v>
      </c>
      <c r="Q581" s="59" t="str">
        <f>MID(Tabla1[[#This Row],[Aplicación]],14,1)</f>
        <v>2</v>
      </c>
      <c r="R581" s="35" t="s">
        <v>298</v>
      </c>
      <c r="S581" s="59" t="str">
        <f>MID(Tabla1[[#This Row],[Aplicación]],6,2)</f>
        <v>11</v>
      </c>
      <c r="T581" s="35" t="str">
        <f>VLOOKUP(Tabla1[[#This Row],[AREA]],Hoja1!A:B,2,FALSE)</f>
        <v>11. Salud pública y seguridad ciudadana</v>
      </c>
      <c r="U581" s="35" t="str">
        <f>MID(Tabla1[[#This Row],[Aplicación]],9,4)</f>
        <v>1321</v>
      </c>
      <c r="V581" s="35" t="str">
        <f>VLOOKUP(Tabla1[[#This Row],[PROGRAMA]],Hoja1!A:B,2,FALSE)</f>
        <v>1321. Policía municipal</v>
      </c>
      <c r="W581" s="56" t="str">
        <f>MID(Tabla1[[#This Row],[Aplicación]],14,2)</f>
        <v>21</v>
      </c>
      <c r="X581" s="56" t="str">
        <f>MID(Tabla1[[#This Row],[Aplicación]],14,6)</f>
        <v>213</v>
      </c>
    </row>
    <row r="582" spans="1:24" x14ac:dyDescent="0.25">
      <c r="A582" s="46">
        <v>220229000097</v>
      </c>
      <c r="B582" s="47" t="s">
        <v>507</v>
      </c>
      <c r="C582" s="52">
        <v>44927</v>
      </c>
      <c r="D582" s="46">
        <v>22023000885</v>
      </c>
      <c r="E582" s="47" t="s">
        <v>659</v>
      </c>
      <c r="F582" s="53">
        <v>625</v>
      </c>
      <c r="G582" s="47" t="s">
        <v>23</v>
      </c>
      <c r="H582" s="47" t="s">
        <v>1607</v>
      </c>
      <c r="I582" s="46" t="s">
        <v>511</v>
      </c>
      <c r="J582" s="47" t="s">
        <v>519</v>
      </c>
      <c r="K582" s="47" t="s">
        <v>519</v>
      </c>
      <c r="L582" s="47" t="s">
        <v>520</v>
      </c>
      <c r="M582" s="47" t="s">
        <v>514</v>
      </c>
      <c r="N582" s="47" t="s">
        <v>515</v>
      </c>
      <c r="O582" s="45" t="s">
        <v>371</v>
      </c>
      <c r="P582" s="44" t="s">
        <v>309</v>
      </c>
      <c r="Q582" s="59" t="str">
        <f>MID(Tabla1[[#This Row],[Aplicación]],14,1)</f>
        <v>2</v>
      </c>
      <c r="R582" s="35" t="s">
        <v>298</v>
      </c>
      <c r="S582" s="59" t="str">
        <f>MID(Tabla1[[#This Row],[Aplicación]],6,2)</f>
        <v>11</v>
      </c>
      <c r="T582" s="35" t="str">
        <f>VLOOKUP(Tabla1[[#This Row],[AREA]],Hoja1!A:B,2,FALSE)</f>
        <v>11. Salud pública y seguridad ciudadana</v>
      </c>
      <c r="U582" s="35" t="str">
        <f>MID(Tabla1[[#This Row],[Aplicación]],9,4)</f>
        <v>1321</v>
      </c>
      <c r="V582" s="35" t="str">
        <f>VLOOKUP(Tabla1[[#This Row],[PROGRAMA]],Hoja1!A:B,2,FALSE)</f>
        <v>1321. Policía municipal</v>
      </c>
      <c r="W582" s="56" t="str">
        <f>MID(Tabla1[[#This Row],[Aplicación]],14,2)</f>
        <v>21</v>
      </c>
      <c r="X582" s="56" t="str">
        <f>MID(Tabla1[[#This Row],[Aplicación]],14,6)</f>
        <v>213</v>
      </c>
    </row>
    <row r="583" spans="1:24" x14ac:dyDescent="0.25">
      <c r="A583" s="46">
        <v>220229000648</v>
      </c>
      <c r="B583" s="47" t="s">
        <v>507</v>
      </c>
      <c r="C583" s="52">
        <v>44927</v>
      </c>
      <c r="D583" s="46">
        <v>22023001255</v>
      </c>
      <c r="E583" s="47" t="s">
        <v>618</v>
      </c>
      <c r="F583" s="53">
        <v>2032.8</v>
      </c>
      <c r="G583" s="47" t="s">
        <v>23</v>
      </c>
      <c r="H583" s="47" t="s">
        <v>1608</v>
      </c>
      <c r="I583" s="46" t="s">
        <v>511</v>
      </c>
      <c r="J583" s="47" t="s">
        <v>519</v>
      </c>
      <c r="K583" s="47" t="s">
        <v>519</v>
      </c>
      <c r="L583" s="47" t="s">
        <v>520</v>
      </c>
      <c r="M583" s="47" t="s">
        <v>976</v>
      </c>
      <c r="N583" s="47" t="s">
        <v>839</v>
      </c>
      <c r="O583" s="45" t="s">
        <v>383</v>
      </c>
      <c r="P583" s="44" t="s">
        <v>309</v>
      </c>
      <c r="Q583" s="59" t="str">
        <f>MID(Tabla1[[#This Row],[Aplicación]],14,1)</f>
        <v>2</v>
      </c>
      <c r="R583" s="35" t="s">
        <v>298</v>
      </c>
      <c r="S583" s="59" t="str">
        <f>MID(Tabla1[[#This Row],[Aplicación]],6,2)</f>
        <v>10</v>
      </c>
      <c r="T583" s="35" t="str">
        <f>VLOOKUP(Tabla1[[#This Row],[AREA]],Hoja1!A:B,2,FALSE)</f>
        <v>10. Servicios sociales y mediación comunitaria</v>
      </c>
      <c r="U583" s="35" t="str">
        <f>MID(Tabla1[[#This Row],[Aplicación]],9,4)</f>
        <v>2311</v>
      </c>
      <c r="V583" s="35" t="str">
        <f>VLOOKUP(Tabla1[[#This Row],[PROGRAMA]],Hoja1!A:B,2,FALSE)</f>
        <v>2311. Intervención social</v>
      </c>
      <c r="W583" s="56" t="str">
        <f>MID(Tabla1[[#This Row],[Aplicación]],14,2)</f>
        <v>21</v>
      </c>
      <c r="X583" s="56" t="str">
        <f>MID(Tabla1[[#This Row],[Aplicación]],14,6)</f>
        <v>213</v>
      </c>
    </row>
    <row r="584" spans="1:24" x14ac:dyDescent="0.25">
      <c r="A584" s="46">
        <v>220229000653</v>
      </c>
      <c r="B584" s="47" t="s">
        <v>507</v>
      </c>
      <c r="C584" s="52">
        <v>44927</v>
      </c>
      <c r="D584" s="46">
        <v>22023001261</v>
      </c>
      <c r="E584" s="47" t="s">
        <v>613</v>
      </c>
      <c r="F584" s="53">
        <v>3310.56</v>
      </c>
      <c r="G584" s="47" t="s">
        <v>23</v>
      </c>
      <c r="H584" s="47" t="s">
        <v>1609</v>
      </c>
      <c r="I584" s="46" t="s">
        <v>511</v>
      </c>
      <c r="J584" s="47" t="s">
        <v>519</v>
      </c>
      <c r="K584" s="47" t="s">
        <v>519</v>
      </c>
      <c r="L584" s="47" t="s">
        <v>520</v>
      </c>
      <c r="M584" s="47" t="s">
        <v>976</v>
      </c>
      <c r="N584" s="47" t="s">
        <v>839</v>
      </c>
      <c r="O584" s="45" t="s">
        <v>383</v>
      </c>
      <c r="P584" s="44" t="s">
        <v>309</v>
      </c>
      <c r="Q584" s="59" t="str">
        <f>MID(Tabla1[[#This Row],[Aplicación]],14,1)</f>
        <v>2</v>
      </c>
      <c r="R584" s="35" t="s">
        <v>298</v>
      </c>
      <c r="S584" s="59" t="str">
        <f>MID(Tabla1[[#This Row],[Aplicación]],6,2)</f>
        <v>10</v>
      </c>
      <c r="T584" s="35" t="str">
        <f>VLOOKUP(Tabla1[[#This Row],[AREA]],Hoja1!A:B,2,FALSE)</f>
        <v>10. Servicios sociales y mediación comunitaria</v>
      </c>
      <c r="U584" s="35" t="str">
        <f>MID(Tabla1[[#This Row],[Aplicación]],9,4)</f>
        <v>2312</v>
      </c>
      <c r="V584" s="35" t="str">
        <f>VLOOKUP(Tabla1[[#This Row],[PROGRAMA]],Hoja1!A:B,2,FALSE)</f>
        <v>2312. Iniciativas sociales</v>
      </c>
      <c r="W584" s="56" t="str">
        <f>MID(Tabla1[[#This Row],[Aplicación]],14,2)</f>
        <v>21</v>
      </c>
      <c r="X584" s="56" t="str">
        <f>MID(Tabla1[[#This Row],[Aplicación]],14,6)</f>
        <v>213</v>
      </c>
    </row>
    <row r="585" spans="1:24" x14ac:dyDescent="0.25">
      <c r="A585" s="46">
        <v>220229000654</v>
      </c>
      <c r="B585" s="47" t="s">
        <v>507</v>
      </c>
      <c r="C585" s="52">
        <v>44927</v>
      </c>
      <c r="D585" s="46">
        <v>22023001262</v>
      </c>
      <c r="E585" s="47" t="s">
        <v>613</v>
      </c>
      <c r="F585" s="53">
        <v>2758.8</v>
      </c>
      <c r="G585" s="47" t="s">
        <v>23</v>
      </c>
      <c r="H585" s="47" t="s">
        <v>1610</v>
      </c>
      <c r="I585" s="46" t="s">
        <v>511</v>
      </c>
      <c r="J585" s="47" t="s">
        <v>519</v>
      </c>
      <c r="K585" s="47" t="s">
        <v>519</v>
      </c>
      <c r="L585" s="47" t="s">
        <v>520</v>
      </c>
      <c r="M585" s="47" t="s">
        <v>976</v>
      </c>
      <c r="N585" s="47" t="s">
        <v>839</v>
      </c>
      <c r="O585" s="45" t="s">
        <v>383</v>
      </c>
      <c r="P585" s="44" t="s">
        <v>309</v>
      </c>
      <c r="Q585" s="59" t="str">
        <f>MID(Tabla1[[#This Row],[Aplicación]],14,1)</f>
        <v>2</v>
      </c>
      <c r="R585" s="35" t="s">
        <v>298</v>
      </c>
      <c r="S585" s="59" t="str">
        <f>MID(Tabla1[[#This Row],[Aplicación]],6,2)</f>
        <v>10</v>
      </c>
      <c r="T585" s="35" t="str">
        <f>VLOOKUP(Tabla1[[#This Row],[AREA]],Hoja1!A:B,2,FALSE)</f>
        <v>10. Servicios sociales y mediación comunitaria</v>
      </c>
      <c r="U585" s="35" t="str">
        <f>MID(Tabla1[[#This Row],[Aplicación]],9,4)</f>
        <v>2312</v>
      </c>
      <c r="V585" s="35" t="str">
        <f>VLOOKUP(Tabla1[[#This Row],[PROGRAMA]],Hoja1!A:B,2,FALSE)</f>
        <v>2312. Iniciativas sociales</v>
      </c>
      <c r="W585" s="56" t="str">
        <f>MID(Tabla1[[#This Row],[Aplicación]],14,2)</f>
        <v>21</v>
      </c>
      <c r="X585" s="56" t="str">
        <f>MID(Tabla1[[#This Row],[Aplicación]],14,6)</f>
        <v>213</v>
      </c>
    </row>
    <row r="586" spans="1:24" x14ac:dyDescent="0.25">
      <c r="A586" s="55">
        <v>220230009472</v>
      </c>
      <c r="B586" s="47" t="s">
        <v>507</v>
      </c>
      <c r="C586" s="52">
        <v>45006</v>
      </c>
      <c r="D586" s="46">
        <v>22023003287</v>
      </c>
      <c r="E586" s="47" t="s">
        <v>1551</v>
      </c>
      <c r="F586" s="53">
        <v>1000</v>
      </c>
      <c r="G586" s="47" t="s">
        <v>1599</v>
      </c>
      <c r="H586" s="47" t="s">
        <v>1611</v>
      </c>
      <c r="I586" s="46" t="s">
        <v>511</v>
      </c>
      <c r="J586" s="47" t="s">
        <v>519</v>
      </c>
      <c r="K586" s="47" t="s">
        <v>519</v>
      </c>
      <c r="L586" s="47" t="s">
        <v>520</v>
      </c>
      <c r="M586" s="47" t="s">
        <v>976</v>
      </c>
      <c r="N586" s="47" t="s">
        <v>839</v>
      </c>
      <c r="O586" s="54" t="s">
        <v>383</v>
      </c>
      <c r="P586" s="44" t="s">
        <v>309</v>
      </c>
      <c r="Q586" s="59" t="str">
        <f>MID(Tabla1[[#This Row],[Aplicación]],14,1)</f>
        <v>2</v>
      </c>
      <c r="R586" s="35" t="s">
        <v>298</v>
      </c>
      <c r="S586" s="59" t="str">
        <f>MID(Tabla1[[#This Row],[Aplicación]],6,2)</f>
        <v>02</v>
      </c>
      <c r="T586" s="35" t="str">
        <f>VLOOKUP(Tabla1[[#This Row],[AREA]],Hoja1!A:B,2,FALSE)</f>
        <v>02. Planeamiento urbanístico y vivienda</v>
      </c>
      <c r="U586" s="35" t="str">
        <f>MID(Tabla1[[#This Row],[Aplicación]],9,4)</f>
        <v>9332</v>
      </c>
      <c r="V586" s="35" t="str">
        <f>VLOOKUP(Tabla1[[#This Row],[PROGRAMA]],Hoja1!A:B,2,FALSE)</f>
        <v>9332. Mantenimiento de edificios e instalaciones municipales</v>
      </c>
      <c r="W586" s="56" t="str">
        <f>MID(Tabla1[[#This Row],[Aplicación]],14,2)</f>
        <v>21</v>
      </c>
      <c r="X586" s="56" t="str">
        <f>MID(Tabla1[[#This Row],[Aplicación]],14,6)</f>
        <v>212</v>
      </c>
    </row>
    <row r="587" spans="1:24" x14ac:dyDescent="0.25">
      <c r="A587" s="46">
        <v>220230006170</v>
      </c>
      <c r="B587" s="47" t="s">
        <v>507</v>
      </c>
      <c r="C587" s="52">
        <v>44980</v>
      </c>
      <c r="D587" s="46">
        <v>22023002578</v>
      </c>
      <c r="E587" s="47" t="s">
        <v>1290</v>
      </c>
      <c r="F587" s="53">
        <v>4000</v>
      </c>
      <c r="G587" s="47" t="s">
        <v>60</v>
      </c>
      <c r="H587" s="47" t="s">
        <v>1612</v>
      </c>
      <c r="I587" s="46" t="s">
        <v>511</v>
      </c>
      <c r="J587" s="47" t="s">
        <v>1613</v>
      </c>
      <c r="K587" s="47" t="s">
        <v>512</v>
      </c>
      <c r="L587" s="47" t="s">
        <v>552</v>
      </c>
      <c r="M587" s="47" t="s">
        <v>976</v>
      </c>
      <c r="N587" s="47" t="s">
        <v>839</v>
      </c>
      <c r="O587" s="45" t="s">
        <v>383</v>
      </c>
      <c r="P587" s="44" t="s">
        <v>309</v>
      </c>
      <c r="Q587" s="59" t="str">
        <f>MID(Tabla1[[#This Row],[Aplicación]],14,1)</f>
        <v>2</v>
      </c>
      <c r="R587" s="35" t="s">
        <v>298</v>
      </c>
      <c r="S587" s="59" t="str">
        <f>MID(Tabla1[[#This Row],[Aplicación]],6,2)</f>
        <v>11</v>
      </c>
      <c r="T587" s="35" t="str">
        <f>VLOOKUP(Tabla1[[#This Row],[AREA]],Hoja1!A:B,2,FALSE)</f>
        <v>11. Salud pública y seguridad ciudadana</v>
      </c>
      <c r="U587" s="35" t="str">
        <f>MID(Tabla1[[#This Row],[Aplicación]],9,4)</f>
        <v>1621</v>
      </c>
      <c r="V587" s="35" t="str">
        <f>VLOOKUP(Tabla1[[#This Row],[PROGRAMA]],Hoja1!A:B,2,FALSE)</f>
        <v>1621. Servicio de limpieza</v>
      </c>
      <c r="W587" s="56" t="str">
        <f>MID(Tabla1[[#This Row],[Aplicación]],14,2)</f>
        <v>21</v>
      </c>
      <c r="X587" s="56" t="str">
        <f>MID(Tabla1[[#This Row],[Aplicación]],14,6)</f>
        <v>214</v>
      </c>
    </row>
    <row r="588" spans="1:24" x14ac:dyDescent="0.25">
      <c r="A588" s="46">
        <v>220230002025</v>
      </c>
      <c r="B588" s="47" t="s">
        <v>507</v>
      </c>
      <c r="C588" s="52">
        <v>44960</v>
      </c>
      <c r="D588" s="46">
        <v>22023001646</v>
      </c>
      <c r="E588" s="47" t="s">
        <v>1430</v>
      </c>
      <c r="F588" s="53">
        <v>180</v>
      </c>
      <c r="G588" s="47" t="s">
        <v>1614</v>
      </c>
      <c r="H588" s="47" t="s">
        <v>1615</v>
      </c>
      <c r="I588" s="46" t="s">
        <v>511</v>
      </c>
      <c r="J588" s="47" t="s">
        <v>1405</v>
      </c>
      <c r="K588" s="47" t="s">
        <v>519</v>
      </c>
      <c r="L588" s="47" t="s">
        <v>520</v>
      </c>
      <c r="M588" s="47" t="s">
        <v>976</v>
      </c>
      <c r="N588" s="47" t="s">
        <v>839</v>
      </c>
      <c r="O588" s="45" t="s">
        <v>383</v>
      </c>
      <c r="P588" s="44" t="s">
        <v>309</v>
      </c>
      <c r="Q588" s="59" t="str">
        <f>MID(Tabla1[[#This Row],[Aplicación]],14,1)</f>
        <v>2</v>
      </c>
      <c r="R588" s="35" t="s">
        <v>298</v>
      </c>
      <c r="S588" s="59" t="str">
        <f>MID(Tabla1[[#This Row],[Aplicación]],6,2)</f>
        <v>06</v>
      </c>
      <c r="T588" s="35" t="str">
        <f>VLOOKUP(Tabla1[[#This Row],[AREA]],Hoja1!A:B,2,FALSE)</f>
        <v>06. Educación, infancia, juventud e igualdad</v>
      </c>
      <c r="U588" s="35" t="str">
        <f>MID(Tabla1[[#This Row],[Aplicación]],9,4)</f>
        <v>2315</v>
      </c>
      <c r="V588" s="35" t="str">
        <f>VLOOKUP(Tabla1[[#This Row],[PROGRAMA]],Hoja1!A:B,2,FALSE)</f>
        <v>2315. Políticas de Igualdad e infancia</v>
      </c>
      <c r="W588" s="56" t="str">
        <f>MID(Tabla1[[#This Row],[Aplicación]],14,2)</f>
        <v>22</v>
      </c>
      <c r="X588" s="56" t="str">
        <f>MID(Tabla1[[#This Row],[Aplicación]],14,6)</f>
        <v>22614</v>
      </c>
    </row>
    <row r="589" spans="1:24" x14ac:dyDescent="0.25">
      <c r="A589" s="46">
        <v>220230005402</v>
      </c>
      <c r="B589" s="47" t="s">
        <v>507</v>
      </c>
      <c r="C589" s="52">
        <v>44979</v>
      </c>
      <c r="D589" s="46">
        <v>22023002551</v>
      </c>
      <c r="E589" s="47" t="s">
        <v>1191</v>
      </c>
      <c r="F589" s="53">
        <v>110</v>
      </c>
      <c r="G589" s="47" t="s">
        <v>1614</v>
      </c>
      <c r="H589" s="47" t="s">
        <v>1616</v>
      </c>
      <c r="I589" s="46" t="s">
        <v>511</v>
      </c>
      <c r="J589" s="47" t="s">
        <v>1405</v>
      </c>
      <c r="K589" s="47" t="s">
        <v>519</v>
      </c>
      <c r="L589" s="47" t="s">
        <v>520</v>
      </c>
      <c r="M589" s="47" t="s">
        <v>976</v>
      </c>
      <c r="N589" s="47" t="s">
        <v>839</v>
      </c>
      <c r="O589" s="45" t="s">
        <v>383</v>
      </c>
      <c r="P589" s="44" t="s">
        <v>309</v>
      </c>
      <c r="Q589" s="59" t="str">
        <f>MID(Tabla1[[#This Row],[Aplicación]],14,1)</f>
        <v>2</v>
      </c>
      <c r="R589" s="35" t="s">
        <v>298</v>
      </c>
      <c r="S589" s="59" t="str">
        <f>MID(Tabla1[[#This Row],[Aplicación]],6,2)</f>
        <v>06</v>
      </c>
      <c r="T589" s="35" t="str">
        <f>VLOOKUP(Tabla1[[#This Row],[AREA]],Hoja1!A:B,2,FALSE)</f>
        <v>06. Educación, infancia, juventud e igualdad</v>
      </c>
      <c r="U589" s="35" t="str">
        <f>MID(Tabla1[[#This Row],[Aplicación]],9,4)</f>
        <v>2315</v>
      </c>
      <c r="V589" s="35" t="str">
        <f>VLOOKUP(Tabla1[[#This Row],[PROGRAMA]],Hoja1!A:B,2,FALSE)</f>
        <v>2315. Políticas de Igualdad e infancia</v>
      </c>
      <c r="W589" s="56" t="str">
        <f>MID(Tabla1[[#This Row],[Aplicación]],14,2)</f>
        <v>22</v>
      </c>
      <c r="X589" s="56" t="str">
        <f>MID(Tabla1[[#This Row],[Aplicación]],14,6)</f>
        <v>22611</v>
      </c>
    </row>
    <row r="590" spans="1:24" x14ac:dyDescent="0.25">
      <c r="A590" s="55">
        <v>220230011727</v>
      </c>
      <c r="B590" s="47" t="s">
        <v>507</v>
      </c>
      <c r="C590" s="52">
        <v>45014</v>
      </c>
      <c r="D590" s="46">
        <v>22023003566</v>
      </c>
      <c r="E590" s="47" t="s">
        <v>1430</v>
      </c>
      <c r="F590" s="53">
        <v>110</v>
      </c>
      <c r="G590" s="47" t="s">
        <v>1614</v>
      </c>
      <c r="H590" s="47" t="s">
        <v>1617</v>
      </c>
      <c r="I590" s="46" t="s">
        <v>511</v>
      </c>
      <c r="J590" s="47" t="s">
        <v>1405</v>
      </c>
      <c r="K590" s="47" t="s">
        <v>519</v>
      </c>
      <c r="L590" s="47" t="s">
        <v>520</v>
      </c>
      <c r="M590" s="47" t="s">
        <v>976</v>
      </c>
      <c r="N590" s="47" t="s">
        <v>839</v>
      </c>
      <c r="O590" s="54" t="s">
        <v>383</v>
      </c>
      <c r="P590" s="44" t="s">
        <v>309</v>
      </c>
      <c r="Q590" s="59" t="str">
        <f>MID(Tabla1[[#This Row],[Aplicación]],14,1)</f>
        <v>2</v>
      </c>
      <c r="R590" s="35" t="s">
        <v>298</v>
      </c>
      <c r="S590" s="59" t="str">
        <f>MID(Tabla1[[#This Row],[Aplicación]],6,2)</f>
        <v>06</v>
      </c>
      <c r="T590" s="35" t="str">
        <f>VLOOKUP(Tabla1[[#This Row],[AREA]],Hoja1!A:B,2,FALSE)</f>
        <v>06. Educación, infancia, juventud e igualdad</v>
      </c>
      <c r="U590" s="35" t="str">
        <f>MID(Tabla1[[#This Row],[Aplicación]],9,4)</f>
        <v>2315</v>
      </c>
      <c r="V590" s="35" t="str">
        <f>VLOOKUP(Tabla1[[#This Row],[PROGRAMA]],Hoja1!A:B,2,FALSE)</f>
        <v>2315. Políticas de Igualdad e infancia</v>
      </c>
      <c r="W590" s="56" t="str">
        <f>MID(Tabla1[[#This Row],[Aplicación]],14,2)</f>
        <v>22</v>
      </c>
      <c r="X590" s="56" t="str">
        <f>MID(Tabla1[[#This Row],[Aplicación]],14,6)</f>
        <v>22614</v>
      </c>
    </row>
    <row r="591" spans="1:24" x14ac:dyDescent="0.25">
      <c r="A591" s="46">
        <v>220230002925</v>
      </c>
      <c r="B591" s="47" t="s">
        <v>507</v>
      </c>
      <c r="C591" s="52">
        <v>44967</v>
      </c>
      <c r="D591" s="46">
        <v>22023000080</v>
      </c>
      <c r="E591" s="47" t="s">
        <v>1618</v>
      </c>
      <c r="F591" s="53">
        <v>1075.6199999999999</v>
      </c>
      <c r="G591" s="47" t="s">
        <v>439</v>
      </c>
      <c r="H591" s="47" t="s">
        <v>1619</v>
      </c>
      <c r="I591" s="46" t="s">
        <v>511</v>
      </c>
      <c r="J591" s="47" t="s">
        <v>519</v>
      </c>
      <c r="K591" s="47" t="s">
        <v>519</v>
      </c>
      <c r="L591" s="47" t="s">
        <v>652</v>
      </c>
      <c r="M591" s="47" t="s">
        <v>976</v>
      </c>
      <c r="N591" s="47" t="s">
        <v>839</v>
      </c>
      <c r="O591" s="45" t="s">
        <v>383</v>
      </c>
      <c r="P591" s="44" t="s">
        <v>309</v>
      </c>
      <c r="Q591" s="59" t="str">
        <f>MID(Tabla1[[#This Row],[Aplicación]],14,1)</f>
        <v>2</v>
      </c>
      <c r="R591" s="35" t="s">
        <v>298</v>
      </c>
      <c r="S591" s="59" t="str">
        <f>MID(Tabla1[[#This Row],[Aplicación]],6,2)</f>
        <v>09</v>
      </c>
      <c r="T591" s="35" t="str">
        <f>VLOOKUP(Tabla1[[#This Row],[AREA]],Hoja1!A:B,2,FALSE)</f>
        <v>09. Cultura y turismo</v>
      </c>
      <c r="U591" s="35" t="str">
        <f>MID(Tabla1[[#This Row],[Aplicación]],9,4)</f>
        <v>3341</v>
      </c>
      <c r="V591" s="35" t="str">
        <f>VLOOKUP(Tabla1[[#This Row],[PROGRAMA]],Hoja1!A:B,2,FALSE)</f>
        <v>3341. Coordinación de políticas culturales</v>
      </c>
      <c r="W591" s="56" t="str">
        <f>MID(Tabla1[[#This Row],[Aplicación]],14,2)</f>
        <v>22</v>
      </c>
      <c r="X591" s="56" t="str">
        <f>MID(Tabla1[[#This Row],[Aplicación]],14,6)</f>
        <v>22700</v>
      </c>
    </row>
    <row r="592" spans="1:24" x14ac:dyDescent="0.25">
      <c r="A592" s="46">
        <v>220230001204</v>
      </c>
      <c r="B592" s="47" t="s">
        <v>1249</v>
      </c>
      <c r="C592" s="52">
        <v>44959</v>
      </c>
      <c r="D592" s="46">
        <v>22023001684</v>
      </c>
      <c r="E592" s="47" t="s">
        <v>627</v>
      </c>
      <c r="F592" s="53">
        <v>39.81</v>
      </c>
      <c r="G592" s="47" t="s">
        <v>51</v>
      </c>
      <c r="H592" s="47" t="s">
        <v>1620</v>
      </c>
      <c r="I592" s="46" t="s">
        <v>1251</v>
      </c>
      <c r="J592" s="47" t="s">
        <v>512</v>
      </c>
      <c r="K592" s="47" t="s">
        <v>512</v>
      </c>
      <c r="L592" s="47" t="s">
        <v>520</v>
      </c>
      <c r="M592" s="47" t="s">
        <v>976</v>
      </c>
      <c r="N592" s="47" t="s">
        <v>839</v>
      </c>
      <c r="O592" s="45" t="s">
        <v>383</v>
      </c>
      <c r="P592" s="44" t="s">
        <v>309</v>
      </c>
      <c r="Q592" s="59" t="str">
        <f>MID(Tabla1[[#This Row],[Aplicación]],14,1)</f>
        <v>2</v>
      </c>
      <c r="R592" s="35" t="s">
        <v>298</v>
      </c>
      <c r="S592" s="59" t="str">
        <f>MID(Tabla1[[#This Row],[Aplicación]],6,2)</f>
        <v>05</v>
      </c>
      <c r="T592" s="35" t="str">
        <f>VLOOKUP(Tabla1[[#This Row],[AREA]],Hoja1!A:B,2,FALSE)</f>
        <v>05. Innovación, desarrollo económico, empleo y comercio</v>
      </c>
      <c r="U592" s="35" t="str">
        <f>MID(Tabla1[[#This Row],[Aplicación]],9,4)</f>
        <v>4331</v>
      </c>
      <c r="V592" s="35" t="str">
        <f>VLOOKUP(Tabla1[[#This Row],[PROGRAMA]],Hoja1!A:B,2,FALSE)</f>
        <v>4331. Desarrollo empresarial</v>
      </c>
      <c r="W592" s="56" t="str">
        <f>MID(Tabla1[[#This Row],[Aplicación]],14,2)</f>
        <v>20</v>
      </c>
      <c r="X592" s="56" t="str">
        <f>MID(Tabla1[[#This Row],[Aplicación]],14,6)</f>
        <v>203</v>
      </c>
    </row>
    <row r="593" spans="1:24" x14ac:dyDescent="0.25">
      <c r="A593" s="46">
        <v>220219001133</v>
      </c>
      <c r="B593" s="47" t="s">
        <v>507</v>
      </c>
      <c r="C593" s="52">
        <v>44927</v>
      </c>
      <c r="D593" s="46">
        <v>22023003328</v>
      </c>
      <c r="E593" s="47" t="s">
        <v>1403</v>
      </c>
      <c r="F593" s="53">
        <v>211.06</v>
      </c>
      <c r="G593" s="47" t="s">
        <v>1621</v>
      </c>
      <c r="H593" s="47" t="s">
        <v>1622</v>
      </c>
      <c r="I593" s="46" t="s">
        <v>511</v>
      </c>
      <c r="J593" s="47" t="s">
        <v>1623</v>
      </c>
      <c r="K593" s="47" t="s">
        <v>1624</v>
      </c>
      <c r="L593" s="47" t="s">
        <v>520</v>
      </c>
      <c r="M593" s="47" t="s">
        <v>514</v>
      </c>
      <c r="N593" s="47" t="s">
        <v>515</v>
      </c>
      <c r="O593" s="45" t="s">
        <v>371</v>
      </c>
      <c r="P593" s="44" t="s">
        <v>309</v>
      </c>
      <c r="Q593" s="59" t="str">
        <f>MID(Tabla1[[#This Row],[Aplicación]],14,1)</f>
        <v>2</v>
      </c>
      <c r="R593" s="35" t="s">
        <v>298</v>
      </c>
      <c r="S593" s="59" t="str">
        <f>MID(Tabla1[[#This Row],[Aplicación]],6,2)</f>
        <v>07</v>
      </c>
      <c r="T593" s="35" t="str">
        <f>VLOOKUP(Tabla1[[#This Row],[AREA]],Hoja1!A:B,2,FALSE)</f>
        <v>07. Medio ambiente y desarrollo sostenible</v>
      </c>
      <c r="U593" s="35" t="str">
        <f>MID(Tabla1[[#This Row],[Aplicación]],9,4)</f>
        <v>1721</v>
      </c>
      <c r="V593" s="35" t="str">
        <f>VLOOKUP(Tabla1[[#This Row],[PROGRAMA]],Hoja1!A:B,2,FALSE)</f>
        <v>1721. Protección del medio ambiente</v>
      </c>
      <c r="W593" s="56" t="str">
        <f>MID(Tabla1[[#This Row],[Aplicación]],14,2)</f>
        <v>21</v>
      </c>
      <c r="X593" s="56" t="str">
        <f>MID(Tabla1[[#This Row],[Aplicación]],14,6)</f>
        <v>213</v>
      </c>
    </row>
    <row r="594" spans="1:24" x14ac:dyDescent="0.25">
      <c r="A594" s="46">
        <v>220230001140</v>
      </c>
      <c r="B594" s="47" t="s">
        <v>1249</v>
      </c>
      <c r="C594" s="52">
        <v>44959</v>
      </c>
      <c r="D594" s="46">
        <v>22023001378</v>
      </c>
      <c r="E594" s="47" t="s">
        <v>1544</v>
      </c>
      <c r="F594" s="53">
        <v>1769.31</v>
      </c>
      <c r="G594" s="47" t="s">
        <v>941</v>
      </c>
      <c r="H594" s="47" t="s">
        <v>1625</v>
      </c>
      <c r="I594" s="46" t="s">
        <v>1251</v>
      </c>
      <c r="J594" s="47" t="s">
        <v>519</v>
      </c>
      <c r="K594" s="47" t="s">
        <v>519</v>
      </c>
      <c r="L594" s="47" t="s">
        <v>520</v>
      </c>
      <c r="M594" s="47" t="s">
        <v>514</v>
      </c>
      <c r="N594" s="47" t="s">
        <v>515</v>
      </c>
      <c r="O594" s="45" t="s">
        <v>371</v>
      </c>
      <c r="P594" s="44" t="s">
        <v>309</v>
      </c>
      <c r="Q594" s="59" t="str">
        <f>MID(Tabla1[[#This Row],[Aplicación]],14,1)</f>
        <v>2</v>
      </c>
      <c r="R594" s="35" t="s">
        <v>298</v>
      </c>
      <c r="S594" s="59" t="str">
        <f>MID(Tabla1[[#This Row],[Aplicación]],6,2)</f>
        <v>10</v>
      </c>
      <c r="T594" s="35" t="str">
        <f>VLOOKUP(Tabla1[[#This Row],[AREA]],Hoja1!A:B,2,FALSE)</f>
        <v>10. Servicios sociales y mediación comunitaria</v>
      </c>
      <c r="U594" s="35" t="str">
        <f>MID(Tabla1[[#This Row],[Aplicación]],9,4)</f>
        <v>2412</v>
      </c>
      <c r="V594" s="35" t="str">
        <f>VLOOKUP(Tabla1[[#This Row],[PROGRAMA]],Hoja1!A:B,2,FALSE)</f>
        <v>2412. Formación para el empleo</v>
      </c>
      <c r="W594" s="56" t="str">
        <f>MID(Tabla1[[#This Row],[Aplicación]],14,2)</f>
        <v>22</v>
      </c>
      <c r="X594" s="56" t="str">
        <f>MID(Tabla1[[#This Row],[Aplicación]],14,6)</f>
        <v>22799</v>
      </c>
    </row>
    <row r="595" spans="1:24" x14ac:dyDescent="0.25">
      <c r="A595" s="46">
        <v>220230000165</v>
      </c>
      <c r="B595" s="47" t="s">
        <v>507</v>
      </c>
      <c r="C595" s="52">
        <v>44927</v>
      </c>
      <c r="D595" s="46">
        <v>22023000798</v>
      </c>
      <c r="E595" s="47" t="s">
        <v>709</v>
      </c>
      <c r="F595" s="53">
        <v>622.9</v>
      </c>
      <c r="G595" s="47" t="s">
        <v>1621</v>
      </c>
      <c r="H595" s="47" t="s">
        <v>1626</v>
      </c>
      <c r="I595" s="46" t="s">
        <v>511</v>
      </c>
      <c r="J595" s="47" t="s">
        <v>1623</v>
      </c>
      <c r="K595" s="47" t="s">
        <v>1624</v>
      </c>
      <c r="L595" s="47" t="s">
        <v>520</v>
      </c>
      <c r="M595" s="47" t="s">
        <v>514</v>
      </c>
      <c r="N595" s="47" t="s">
        <v>515</v>
      </c>
      <c r="O595" s="45" t="s">
        <v>371</v>
      </c>
      <c r="P595" s="44" t="s">
        <v>309</v>
      </c>
      <c r="Q595" s="59" t="str">
        <f>MID(Tabla1[[#This Row],[Aplicación]],14,1)</f>
        <v>2</v>
      </c>
      <c r="R595" s="35" t="s">
        <v>298</v>
      </c>
      <c r="S595" s="59" t="str">
        <f>MID(Tabla1[[#This Row],[Aplicación]],6,2)</f>
        <v>07</v>
      </c>
      <c r="T595" s="35" t="str">
        <f>VLOOKUP(Tabla1[[#This Row],[AREA]],Hoja1!A:B,2,FALSE)</f>
        <v>07. Medio ambiente y desarrollo sostenible</v>
      </c>
      <c r="U595" s="35" t="str">
        <f>MID(Tabla1[[#This Row],[Aplicación]],9,4)</f>
        <v>1711</v>
      </c>
      <c r="V595" s="35" t="str">
        <f>VLOOKUP(Tabla1[[#This Row],[PROGRAMA]],Hoja1!A:B,2,FALSE)</f>
        <v>1711. Parques y jardines</v>
      </c>
      <c r="W595" s="56" t="str">
        <f>MID(Tabla1[[#This Row],[Aplicación]],14,2)</f>
        <v>22</v>
      </c>
      <c r="X595" s="56" t="str">
        <f>MID(Tabla1[[#This Row],[Aplicación]],14,6)</f>
        <v>22799</v>
      </c>
    </row>
    <row r="596" spans="1:24" x14ac:dyDescent="0.25">
      <c r="A596" s="46">
        <v>220230001161</v>
      </c>
      <c r="B596" s="47" t="s">
        <v>1249</v>
      </c>
      <c r="C596" s="52">
        <v>44959</v>
      </c>
      <c r="D596" s="46">
        <v>22023001443</v>
      </c>
      <c r="E596" s="47" t="s">
        <v>1627</v>
      </c>
      <c r="F596" s="53">
        <v>648.98</v>
      </c>
      <c r="G596" s="47" t="s">
        <v>68</v>
      </c>
      <c r="H596" s="47" t="s">
        <v>1628</v>
      </c>
      <c r="I596" s="46" t="s">
        <v>1251</v>
      </c>
      <c r="J596" s="47" t="s">
        <v>519</v>
      </c>
      <c r="K596" s="47" t="s">
        <v>519</v>
      </c>
      <c r="L596" s="47" t="s">
        <v>552</v>
      </c>
      <c r="M596" s="47" t="s">
        <v>976</v>
      </c>
      <c r="N596" s="47" t="s">
        <v>839</v>
      </c>
      <c r="O596" s="45" t="s">
        <v>383</v>
      </c>
      <c r="P596" s="44" t="s">
        <v>309</v>
      </c>
      <c r="Q596" s="59" t="str">
        <f>MID(Tabla1[[#This Row],[Aplicación]],14,1)</f>
        <v>2</v>
      </c>
      <c r="R596" s="35" t="s">
        <v>298</v>
      </c>
      <c r="S596" s="59" t="str">
        <f>MID(Tabla1[[#This Row],[Aplicación]],6,2)</f>
        <v>03</v>
      </c>
      <c r="T596" s="35" t="str">
        <f>VLOOKUP(Tabla1[[#This Row],[AREA]],Hoja1!A:B,2,FALSE)</f>
        <v>03. Participación ciudadana y deportes</v>
      </c>
      <c r="U596" s="35" t="str">
        <f>MID(Tabla1[[#This Row],[Aplicación]],9,4)</f>
        <v>9241</v>
      </c>
      <c r="V596" s="35" t="str">
        <f>VLOOKUP(Tabla1[[#This Row],[PROGRAMA]],Hoja1!A:B,2,FALSE)</f>
        <v>9241. Participación ciudadana</v>
      </c>
      <c r="W596" s="56" t="str">
        <f>MID(Tabla1[[#This Row],[Aplicación]],14,2)</f>
        <v>22</v>
      </c>
      <c r="X596" s="56" t="str">
        <f>MID(Tabla1[[#This Row],[Aplicación]],14,6)</f>
        <v>22199</v>
      </c>
    </row>
    <row r="597" spans="1:24" x14ac:dyDescent="0.25">
      <c r="A597" s="46">
        <v>220230001162</v>
      </c>
      <c r="B597" s="47" t="s">
        <v>1249</v>
      </c>
      <c r="C597" s="52">
        <v>44959</v>
      </c>
      <c r="D597" s="46">
        <v>22023001446</v>
      </c>
      <c r="E597" s="47" t="s">
        <v>1479</v>
      </c>
      <c r="F597" s="53">
        <v>1500</v>
      </c>
      <c r="G597" s="47" t="s">
        <v>1629</v>
      </c>
      <c r="H597" s="47" t="s">
        <v>1630</v>
      </c>
      <c r="I597" s="46" t="s">
        <v>1251</v>
      </c>
      <c r="J597" s="47" t="s">
        <v>519</v>
      </c>
      <c r="K597" s="47" t="s">
        <v>519</v>
      </c>
      <c r="L597" s="47" t="s">
        <v>520</v>
      </c>
      <c r="M597" s="47" t="s">
        <v>976</v>
      </c>
      <c r="N597" s="47" t="s">
        <v>839</v>
      </c>
      <c r="O597" s="45" t="s">
        <v>383</v>
      </c>
      <c r="P597" s="44" t="s">
        <v>309</v>
      </c>
      <c r="Q597" s="59" t="str">
        <f>MID(Tabla1[[#This Row],[Aplicación]],14,1)</f>
        <v>2</v>
      </c>
      <c r="R597" s="35" t="s">
        <v>298</v>
      </c>
      <c r="S597" s="59" t="str">
        <f>MID(Tabla1[[#This Row],[Aplicación]],6,2)</f>
        <v>03</v>
      </c>
      <c r="T597" s="35" t="str">
        <f>VLOOKUP(Tabla1[[#This Row],[AREA]],Hoja1!A:B,2,FALSE)</f>
        <v>03. Participación ciudadana y deportes</v>
      </c>
      <c r="U597" s="35" t="str">
        <f>MID(Tabla1[[#This Row],[Aplicación]],9,4)</f>
        <v>9241</v>
      </c>
      <c r="V597" s="35" t="str">
        <f>VLOOKUP(Tabla1[[#This Row],[PROGRAMA]],Hoja1!A:B,2,FALSE)</f>
        <v>9241. Participación ciudadana</v>
      </c>
      <c r="W597" s="56" t="str">
        <f>MID(Tabla1[[#This Row],[Aplicación]],14,2)</f>
        <v>22</v>
      </c>
      <c r="X597" s="56" t="str">
        <f>MID(Tabla1[[#This Row],[Aplicación]],14,6)</f>
        <v>22609</v>
      </c>
    </row>
    <row r="598" spans="1:24" x14ac:dyDescent="0.25">
      <c r="A598" s="46">
        <v>220230001163</v>
      </c>
      <c r="B598" s="47" t="s">
        <v>1249</v>
      </c>
      <c r="C598" s="52">
        <v>44959</v>
      </c>
      <c r="D598" s="46">
        <v>22023001453</v>
      </c>
      <c r="E598" s="47" t="s">
        <v>1627</v>
      </c>
      <c r="F598" s="53">
        <v>7176.51</v>
      </c>
      <c r="G598" s="47" t="s">
        <v>1631</v>
      </c>
      <c r="H598" s="47" t="s">
        <v>1632</v>
      </c>
      <c r="I598" s="46" t="s">
        <v>1251</v>
      </c>
      <c r="J598" s="47" t="s">
        <v>519</v>
      </c>
      <c r="K598" s="47" t="s">
        <v>519</v>
      </c>
      <c r="L598" s="47" t="s">
        <v>552</v>
      </c>
      <c r="M598" s="47" t="s">
        <v>976</v>
      </c>
      <c r="N598" s="47" t="s">
        <v>839</v>
      </c>
      <c r="O598" s="45" t="s">
        <v>383</v>
      </c>
      <c r="P598" s="44" t="s">
        <v>309</v>
      </c>
      <c r="Q598" s="59" t="str">
        <f>MID(Tabla1[[#This Row],[Aplicación]],14,1)</f>
        <v>2</v>
      </c>
      <c r="R598" s="35" t="s">
        <v>298</v>
      </c>
      <c r="S598" s="59" t="str">
        <f>MID(Tabla1[[#This Row],[Aplicación]],6,2)</f>
        <v>03</v>
      </c>
      <c r="T598" s="35" t="str">
        <f>VLOOKUP(Tabla1[[#This Row],[AREA]],Hoja1!A:B,2,FALSE)</f>
        <v>03. Participación ciudadana y deportes</v>
      </c>
      <c r="U598" s="35" t="str">
        <f>MID(Tabla1[[#This Row],[Aplicación]],9,4)</f>
        <v>9241</v>
      </c>
      <c r="V598" s="35" t="str">
        <f>VLOOKUP(Tabla1[[#This Row],[PROGRAMA]],Hoja1!A:B,2,FALSE)</f>
        <v>9241. Participación ciudadana</v>
      </c>
      <c r="W598" s="56" t="str">
        <f>MID(Tabla1[[#This Row],[Aplicación]],14,2)</f>
        <v>22</v>
      </c>
      <c r="X598" s="56" t="str">
        <f>MID(Tabla1[[#This Row],[Aplicación]],14,6)</f>
        <v>22199</v>
      </c>
    </row>
    <row r="599" spans="1:24" x14ac:dyDescent="0.25">
      <c r="A599" s="55">
        <v>220230009453</v>
      </c>
      <c r="B599" s="47" t="s">
        <v>507</v>
      </c>
      <c r="C599" s="52">
        <v>45006</v>
      </c>
      <c r="D599" s="46">
        <v>22023003185</v>
      </c>
      <c r="E599" s="47" t="s">
        <v>613</v>
      </c>
      <c r="F599" s="53">
        <v>2268.75</v>
      </c>
      <c r="G599" s="47" t="s">
        <v>1621</v>
      </c>
      <c r="H599" s="47" t="s">
        <v>1633</v>
      </c>
      <c r="I599" s="46" t="s">
        <v>511</v>
      </c>
      <c r="J599" s="47" t="s">
        <v>1623</v>
      </c>
      <c r="K599" s="47" t="s">
        <v>1624</v>
      </c>
      <c r="L599" s="47" t="s">
        <v>520</v>
      </c>
      <c r="M599" s="47" t="s">
        <v>976</v>
      </c>
      <c r="N599" s="47" t="s">
        <v>839</v>
      </c>
      <c r="O599" s="54" t="s">
        <v>383</v>
      </c>
      <c r="P599" s="44" t="s">
        <v>309</v>
      </c>
      <c r="Q599" s="59" t="str">
        <f>MID(Tabla1[[#This Row],[Aplicación]],14,1)</f>
        <v>2</v>
      </c>
      <c r="R599" s="35" t="s">
        <v>298</v>
      </c>
      <c r="S599" s="59" t="str">
        <f>MID(Tabla1[[#This Row],[Aplicación]],6,2)</f>
        <v>10</v>
      </c>
      <c r="T599" s="35" t="str">
        <f>VLOOKUP(Tabla1[[#This Row],[AREA]],Hoja1!A:B,2,FALSE)</f>
        <v>10. Servicios sociales y mediación comunitaria</v>
      </c>
      <c r="U599" s="35" t="str">
        <f>MID(Tabla1[[#This Row],[Aplicación]],9,4)</f>
        <v>2312</v>
      </c>
      <c r="V599" s="35" t="str">
        <f>VLOOKUP(Tabla1[[#This Row],[PROGRAMA]],Hoja1!A:B,2,FALSE)</f>
        <v>2312. Iniciativas sociales</v>
      </c>
      <c r="W599" s="56" t="str">
        <f>MID(Tabla1[[#This Row],[Aplicación]],14,2)</f>
        <v>21</v>
      </c>
      <c r="X599" s="56" t="str">
        <f>MID(Tabla1[[#This Row],[Aplicación]],14,6)</f>
        <v>213</v>
      </c>
    </row>
    <row r="600" spans="1:24" x14ac:dyDescent="0.25">
      <c r="A600" s="55">
        <v>220230009453</v>
      </c>
      <c r="B600" s="47" t="s">
        <v>507</v>
      </c>
      <c r="C600" s="52">
        <v>45006</v>
      </c>
      <c r="D600" s="46">
        <v>22023003186</v>
      </c>
      <c r="E600" s="47" t="s">
        <v>613</v>
      </c>
      <c r="F600" s="53">
        <v>3176.25</v>
      </c>
      <c r="G600" s="47" t="s">
        <v>1621</v>
      </c>
      <c r="H600" s="47" t="s">
        <v>1633</v>
      </c>
      <c r="I600" s="46" t="s">
        <v>511</v>
      </c>
      <c r="J600" s="47" t="s">
        <v>1623</v>
      </c>
      <c r="K600" s="47" t="s">
        <v>1624</v>
      </c>
      <c r="L600" s="47" t="s">
        <v>520</v>
      </c>
      <c r="M600" s="47" t="s">
        <v>976</v>
      </c>
      <c r="N600" s="47" t="s">
        <v>839</v>
      </c>
      <c r="O600" s="54" t="s">
        <v>383</v>
      </c>
      <c r="P600" s="44" t="s">
        <v>309</v>
      </c>
      <c r="Q600" s="59" t="str">
        <f>MID(Tabla1[[#This Row],[Aplicación]],14,1)</f>
        <v>2</v>
      </c>
      <c r="R600" s="35" t="s">
        <v>298</v>
      </c>
      <c r="S600" s="59" t="str">
        <f>MID(Tabla1[[#This Row],[Aplicación]],6,2)</f>
        <v>10</v>
      </c>
      <c r="T600" s="35" t="str">
        <f>VLOOKUP(Tabla1[[#This Row],[AREA]],Hoja1!A:B,2,FALSE)</f>
        <v>10. Servicios sociales y mediación comunitaria</v>
      </c>
      <c r="U600" s="35" t="str">
        <f>MID(Tabla1[[#This Row],[Aplicación]],9,4)</f>
        <v>2312</v>
      </c>
      <c r="V600" s="35" t="str">
        <f>VLOOKUP(Tabla1[[#This Row],[PROGRAMA]],Hoja1!A:B,2,FALSE)</f>
        <v>2312. Iniciativas sociales</v>
      </c>
      <c r="W600" s="56" t="str">
        <f>MID(Tabla1[[#This Row],[Aplicación]],14,2)</f>
        <v>21</v>
      </c>
      <c r="X600" s="56" t="str">
        <f>MID(Tabla1[[#This Row],[Aplicación]],14,6)</f>
        <v>213</v>
      </c>
    </row>
    <row r="601" spans="1:24" x14ac:dyDescent="0.25">
      <c r="A601" s="46">
        <v>220230001231</v>
      </c>
      <c r="B601" s="47" t="s">
        <v>1249</v>
      </c>
      <c r="C601" s="52">
        <v>44959</v>
      </c>
      <c r="D601" s="46">
        <v>22023001801</v>
      </c>
      <c r="E601" s="47" t="s">
        <v>1382</v>
      </c>
      <c r="F601" s="53">
        <v>7139</v>
      </c>
      <c r="G601" s="47" t="s">
        <v>1634</v>
      </c>
      <c r="H601" s="47" t="s">
        <v>1635</v>
      </c>
      <c r="I601" s="46" t="s">
        <v>1251</v>
      </c>
      <c r="J601" s="47" t="s">
        <v>1636</v>
      </c>
      <c r="K601" s="47" t="s">
        <v>1637</v>
      </c>
      <c r="L601" s="47" t="s">
        <v>552</v>
      </c>
      <c r="M601" s="47" t="s">
        <v>976</v>
      </c>
      <c r="N601" s="47" t="s">
        <v>839</v>
      </c>
      <c r="O601" s="45" t="s">
        <v>383</v>
      </c>
      <c r="P601" s="44" t="s">
        <v>309</v>
      </c>
      <c r="Q601" s="59" t="str">
        <f>MID(Tabla1[[#This Row],[Aplicación]],14,1)</f>
        <v>2</v>
      </c>
      <c r="R601" s="35" t="s">
        <v>298</v>
      </c>
      <c r="S601" s="59" t="str">
        <f>MID(Tabla1[[#This Row],[Aplicación]],6,2)</f>
        <v>03</v>
      </c>
      <c r="T601" s="35" t="str">
        <f>VLOOKUP(Tabla1[[#This Row],[AREA]],Hoja1!A:B,2,FALSE)</f>
        <v>03. Participación ciudadana y deportes</v>
      </c>
      <c r="U601" s="35" t="str">
        <f>MID(Tabla1[[#This Row],[Aplicación]],9,4)</f>
        <v>9241</v>
      </c>
      <c r="V601" s="35" t="str">
        <f>VLOOKUP(Tabla1[[#This Row],[PROGRAMA]],Hoja1!A:B,2,FALSE)</f>
        <v>9241. Participación ciudadana</v>
      </c>
      <c r="W601" s="56" t="str">
        <f>MID(Tabla1[[#This Row],[Aplicación]],14,2)</f>
        <v>22</v>
      </c>
      <c r="X601" s="56" t="str">
        <f>MID(Tabla1[[#This Row],[Aplicación]],14,6)</f>
        <v>22699</v>
      </c>
    </row>
    <row r="602" spans="1:24" x14ac:dyDescent="0.25">
      <c r="A602" s="46">
        <v>220230001229</v>
      </c>
      <c r="B602" s="47" t="s">
        <v>1249</v>
      </c>
      <c r="C602" s="52">
        <v>44959</v>
      </c>
      <c r="D602" s="46">
        <v>22023001799</v>
      </c>
      <c r="E602" s="47" t="s">
        <v>1260</v>
      </c>
      <c r="F602" s="53">
        <v>251.68</v>
      </c>
      <c r="G602" s="47" t="s">
        <v>1638</v>
      </c>
      <c r="H602" s="47" t="s">
        <v>1639</v>
      </c>
      <c r="I602" s="46" t="s">
        <v>1251</v>
      </c>
      <c r="J602" s="47" t="s">
        <v>1640</v>
      </c>
      <c r="K602" s="47" t="s">
        <v>837</v>
      </c>
      <c r="L602" s="47" t="s">
        <v>552</v>
      </c>
      <c r="M602" s="47" t="s">
        <v>976</v>
      </c>
      <c r="N602" s="47" t="s">
        <v>839</v>
      </c>
      <c r="O602" s="45" t="s">
        <v>383</v>
      </c>
      <c r="P602" s="44" t="s">
        <v>309</v>
      </c>
      <c r="Q602" s="59" t="str">
        <f>MID(Tabla1[[#This Row],[Aplicación]],14,1)</f>
        <v>2</v>
      </c>
      <c r="R602" s="35" t="s">
        <v>298</v>
      </c>
      <c r="S602" s="59" t="str">
        <f>MID(Tabla1[[#This Row],[Aplicación]],6,2)</f>
        <v>03</v>
      </c>
      <c r="T602" s="35" t="str">
        <f>VLOOKUP(Tabla1[[#This Row],[AREA]],Hoja1!A:B,2,FALSE)</f>
        <v>03. Participación ciudadana y deportes</v>
      </c>
      <c r="U602" s="35" t="str">
        <f>MID(Tabla1[[#This Row],[Aplicación]],9,4)</f>
        <v>9241</v>
      </c>
      <c r="V602" s="35" t="str">
        <f>VLOOKUP(Tabla1[[#This Row],[PROGRAMA]],Hoja1!A:B,2,FALSE)</f>
        <v>9241. Participación ciudadana</v>
      </c>
      <c r="W602" s="56" t="str">
        <f>MID(Tabla1[[#This Row],[Aplicación]],14,2)</f>
        <v>22</v>
      </c>
      <c r="X602" s="56" t="str">
        <f>MID(Tabla1[[#This Row],[Aplicación]],14,6)</f>
        <v>22602</v>
      </c>
    </row>
    <row r="603" spans="1:24" x14ac:dyDescent="0.25">
      <c r="A603" s="46">
        <v>220230001189</v>
      </c>
      <c r="B603" s="47" t="s">
        <v>1249</v>
      </c>
      <c r="C603" s="52">
        <v>44959</v>
      </c>
      <c r="D603" s="46">
        <v>22023001583</v>
      </c>
      <c r="E603" s="47" t="s">
        <v>1641</v>
      </c>
      <c r="F603" s="53">
        <v>392.06</v>
      </c>
      <c r="G603" s="47" t="s">
        <v>1163</v>
      </c>
      <c r="H603" s="47" t="s">
        <v>1642</v>
      </c>
      <c r="I603" s="46" t="s">
        <v>1251</v>
      </c>
      <c r="J603" s="47" t="s">
        <v>1165</v>
      </c>
      <c r="K603" s="47" t="s">
        <v>837</v>
      </c>
      <c r="L603" s="47" t="s">
        <v>520</v>
      </c>
      <c r="M603" s="47" t="s">
        <v>514</v>
      </c>
      <c r="N603" s="47" t="s">
        <v>515</v>
      </c>
      <c r="O603" s="45" t="s">
        <v>382</v>
      </c>
      <c r="P603" s="44" t="s">
        <v>309</v>
      </c>
      <c r="Q603" s="59" t="str">
        <f>MID(Tabla1[[#This Row],[Aplicación]],14,1)</f>
        <v>2</v>
      </c>
      <c r="R603" s="35" t="s">
        <v>298</v>
      </c>
      <c r="S603" s="59" t="str">
        <f>MID(Tabla1[[#This Row],[Aplicación]],6,2)</f>
        <v>06</v>
      </c>
      <c r="T603" s="35" t="str">
        <f>VLOOKUP(Tabla1[[#This Row],[AREA]],Hoja1!A:B,2,FALSE)</f>
        <v>06. Educación, infancia, juventud e igualdad</v>
      </c>
      <c r="U603" s="35" t="str">
        <f>MID(Tabla1[[#This Row],[Aplicación]],9,4)</f>
        <v>3232</v>
      </c>
      <c r="V603" s="35" t="str">
        <f>VLOOKUP(Tabla1[[#This Row],[PROGRAMA]],Hoja1!A:B,2,FALSE)</f>
        <v>3232. Conservación y mantenimiento centros educación infantil y primaria</v>
      </c>
      <c r="W603" s="56" t="str">
        <f>MID(Tabla1[[#This Row],[Aplicación]],14,2)</f>
        <v>22</v>
      </c>
      <c r="X603" s="56" t="str">
        <f>MID(Tabla1[[#This Row],[Aplicación]],14,6)</f>
        <v>22706</v>
      </c>
    </row>
    <row r="604" spans="1:24" x14ac:dyDescent="0.25">
      <c r="A604" s="46">
        <v>220230001243</v>
      </c>
      <c r="B604" s="47" t="s">
        <v>1249</v>
      </c>
      <c r="C604" s="52">
        <v>44959</v>
      </c>
      <c r="D604" s="46">
        <v>22023001930</v>
      </c>
      <c r="E604" s="47" t="s">
        <v>1551</v>
      </c>
      <c r="F604" s="53">
        <v>1828.79</v>
      </c>
      <c r="G604" s="47" t="s">
        <v>54</v>
      </c>
      <c r="H604" s="47" t="s">
        <v>1643</v>
      </c>
      <c r="I604" s="46" t="s">
        <v>1251</v>
      </c>
      <c r="J604" s="47" t="s">
        <v>519</v>
      </c>
      <c r="K604" s="47" t="s">
        <v>519</v>
      </c>
      <c r="L604" s="47" t="s">
        <v>520</v>
      </c>
      <c r="M604" s="47" t="s">
        <v>976</v>
      </c>
      <c r="N604" s="47" t="s">
        <v>839</v>
      </c>
      <c r="O604" s="45" t="s">
        <v>383</v>
      </c>
      <c r="P604" s="44" t="s">
        <v>309</v>
      </c>
      <c r="Q604" s="59" t="str">
        <f>MID(Tabla1[[#This Row],[Aplicación]],14,1)</f>
        <v>2</v>
      </c>
      <c r="R604" s="35" t="s">
        <v>298</v>
      </c>
      <c r="S604" s="59" t="str">
        <f>MID(Tabla1[[#This Row],[Aplicación]],6,2)</f>
        <v>02</v>
      </c>
      <c r="T604" s="35" t="str">
        <f>VLOOKUP(Tabla1[[#This Row],[AREA]],Hoja1!A:B,2,FALSE)</f>
        <v>02. Planeamiento urbanístico y vivienda</v>
      </c>
      <c r="U604" s="35" t="str">
        <f>MID(Tabla1[[#This Row],[Aplicación]],9,4)</f>
        <v>9332</v>
      </c>
      <c r="V604" s="35" t="str">
        <f>VLOOKUP(Tabla1[[#This Row],[PROGRAMA]],Hoja1!A:B,2,FALSE)</f>
        <v>9332. Mantenimiento de edificios e instalaciones municipales</v>
      </c>
      <c r="W604" s="56" t="str">
        <f>MID(Tabla1[[#This Row],[Aplicación]],14,2)</f>
        <v>21</v>
      </c>
      <c r="X604" s="56" t="str">
        <f>MID(Tabla1[[#This Row],[Aplicación]],14,6)</f>
        <v>212</v>
      </c>
    </row>
    <row r="605" spans="1:24" x14ac:dyDescent="0.25">
      <c r="A605" s="46">
        <v>220230002081</v>
      </c>
      <c r="B605" s="47" t="s">
        <v>507</v>
      </c>
      <c r="C605" s="52">
        <v>44963</v>
      </c>
      <c r="D605" s="46">
        <v>22023002080</v>
      </c>
      <c r="E605" s="47" t="s">
        <v>1644</v>
      </c>
      <c r="F605" s="53">
        <v>96.8</v>
      </c>
      <c r="G605" s="47" t="s">
        <v>18</v>
      </c>
      <c r="H605" s="47" t="s">
        <v>1645</v>
      </c>
      <c r="I605" s="46" t="s">
        <v>511</v>
      </c>
      <c r="J605" s="47" t="s">
        <v>519</v>
      </c>
      <c r="K605" s="47" t="s">
        <v>519</v>
      </c>
      <c r="L605" s="47" t="s">
        <v>552</v>
      </c>
      <c r="M605" s="47" t="s">
        <v>976</v>
      </c>
      <c r="N605" s="47" t="s">
        <v>839</v>
      </c>
      <c r="O605" s="45" t="s">
        <v>383</v>
      </c>
      <c r="P605" s="44" t="s">
        <v>309</v>
      </c>
      <c r="Q605" s="59" t="str">
        <f>MID(Tabla1[[#This Row],[Aplicación]],14,1)</f>
        <v>2</v>
      </c>
      <c r="R605" s="35" t="s">
        <v>298</v>
      </c>
      <c r="S605" s="59" t="str">
        <f>MID(Tabla1[[#This Row],[Aplicación]],6,2)</f>
        <v>09</v>
      </c>
      <c r="T605" s="35" t="str">
        <f>VLOOKUP(Tabla1[[#This Row],[AREA]],Hoja1!A:B,2,FALSE)</f>
        <v>09. Cultura y turismo</v>
      </c>
      <c r="U605" s="35" t="str">
        <f>MID(Tabla1[[#This Row],[Aplicación]],9,4)</f>
        <v>4321</v>
      </c>
      <c r="V605" s="35" t="str">
        <f>VLOOKUP(Tabla1[[#This Row],[PROGRAMA]],Hoja1!A:B,2,FALSE)</f>
        <v>4321. Turismo</v>
      </c>
      <c r="W605" s="56" t="str">
        <f>MID(Tabla1[[#This Row],[Aplicación]],14,2)</f>
        <v>22</v>
      </c>
      <c r="X605" s="56" t="str">
        <f>MID(Tabla1[[#This Row],[Aplicación]],14,6)</f>
        <v>22199</v>
      </c>
    </row>
    <row r="606" spans="1:24" x14ac:dyDescent="0.25">
      <c r="A606" s="46">
        <v>220230001230</v>
      </c>
      <c r="B606" s="47" t="s">
        <v>1249</v>
      </c>
      <c r="C606" s="52">
        <v>44959</v>
      </c>
      <c r="D606" s="46">
        <v>22023001800</v>
      </c>
      <c r="E606" s="47" t="s">
        <v>1479</v>
      </c>
      <c r="F606" s="53">
        <v>440</v>
      </c>
      <c r="G606" s="47" t="s">
        <v>477</v>
      </c>
      <c r="H606" s="47" t="s">
        <v>1646</v>
      </c>
      <c r="I606" s="46" t="s">
        <v>1251</v>
      </c>
      <c r="J606" s="47" t="s">
        <v>1647</v>
      </c>
      <c r="K606" s="47" t="s">
        <v>755</v>
      </c>
      <c r="L606" s="47" t="s">
        <v>520</v>
      </c>
      <c r="M606" s="47" t="s">
        <v>976</v>
      </c>
      <c r="N606" s="47" t="s">
        <v>839</v>
      </c>
      <c r="O606" s="45" t="s">
        <v>383</v>
      </c>
      <c r="P606" s="44" t="s">
        <v>309</v>
      </c>
      <c r="Q606" s="59" t="str">
        <f>MID(Tabla1[[#This Row],[Aplicación]],14,1)</f>
        <v>2</v>
      </c>
      <c r="R606" s="35" t="s">
        <v>298</v>
      </c>
      <c r="S606" s="59" t="str">
        <f>MID(Tabla1[[#This Row],[Aplicación]],6,2)</f>
        <v>03</v>
      </c>
      <c r="T606" s="35" t="str">
        <f>VLOOKUP(Tabla1[[#This Row],[AREA]],Hoja1!A:B,2,FALSE)</f>
        <v>03. Participación ciudadana y deportes</v>
      </c>
      <c r="U606" s="35" t="str">
        <f>MID(Tabla1[[#This Row],[Aplicación]],9,4)</f>
        <v>9241</v>
      </c>
      <c r="V606" s="35" t="str">
        <f>VLOOKUP(Tabla1[[#This Row],[PROGRAMA]],Hoja1!A:B,2,FALSE)</f>
        <v>9241. Participación ciudadana</v>
      </c>
      <c r="W606" s="56" t="str">
        <f>MID(Tabla1[[#This Row],[Aplicación]],14,2)</f>
        <v>22</v>
      </c>
      <c r="X606" s="56" t="str">
        <f>MID(Tabla1[[#This Row],[Aplicación]],14,6)</f>
        <v>22609</v>
      </c>
    </row>
    <row r="607" spans="1:24" x14ac:dyDescent="0.25">
      <c r="A607" s="46">
        <v>220230001234</v>
      </c>
      <c r="B607" s="47" t="s">
        <v>1249</v>
      </c>
      <c r="C607" s="52">
        <v>44959</v>
      </c>
      <c r="D607" s="46">
        <v>22023001804</v>
      </c>
      <c r="E607" s="47" t="s">
        <v>1479</v>
      </c>
      <c r="F607" s="53">
        <v>1045</v>
      </c>
      <c r="G607" s="47" t="s">
        <v>1648</v>
      </c>
      <c r="H607" s="47" t="s">
        <v>1649</v>
      </c>
      <c r="I607" s="46" t="s">
        <v>1251</v>
      </c>
      <c r="J607" s="47" t="s">
        <v>519</v>
      </c>
      <c r="K607" s="47" t="s">
        <v>519</v>
      </c>
      <c r="L607" s="47" t="s">
        <v>520</v>
      </c>
      <c r="M607" s="47" t="s">
        <v>976</v>
      </c>
      <c r="N607" s="47" t="s">
        <v>839</v>
      </c>
      <c r="O607" s="45" t="s">
        <v>383</v>
      </c>
      <c r="P607" s="44" t="s">
        <v>309</v>
      </c>
      <c r="Q607" s="59" t="str">
        <f>MID(Tabla1[[#This Row],[Aplicación]],14,1)</f>
        <v>2</v>
      </c>
      <c r="R607" s="35" t="s">
        <v>298</v>
      </c>
      <c r="S607" s="59" t="str">
        <f>MID(Tabla1[[#This Row],[Aplicación]],6,2)</f>
        <v>03</v>
      </c>
      <c r="T607" s="35" t="str">
        <f>VLOOKUP(Tabla1[[#This Row],[AREA]],Hoja1!A:B,2,FALSE)</f>
        <v>03. Participación ciudadana y deportes</v>
      </c>
      <c r="U607" s="35" t="str">
        <f>MID(Tabla1[[#This Row],[Aplicación]],9,4)</f>
        <v>9241</v>
      </c>
      <c r="V607" s="35" t="str">
        <f>VLOOKUP(Tabla1[[#This Row],[PROGRAMA]],Hoja1!A:B,2,FALSE)</f>
        <v>9241. Participación ciudadana</v>
      </c>
      <c r="W607" s="56" t="str">
        <f>MID(Tabla1[[#This Row],[Aplicación]],14,2)</f>
        <v>22</v>
      </c>
      <c r="X607" s="56" t="str">
        <f>MID(Tabla1[[#This Row],[Aplicación]],14,6)</f>
        <v>22609</v>
      </c>
    </row>
    <row r="608" spans="1:24" x14ac:dyDescent="0.25">
      <c r="A608" s="46">
        <v>220230001233</v>
      </c>
      <c r="B608" s="47" t="s">
        <v>1249</v>
      </c>
      <c r="C608" s="52">
        <v>44959</v>
      </c>
      <c r="D608" s="46">
        <v>22023001803</v>
      </c>
      <c r="E608" s="47" t="s">
        <v>1479</v>
      </c>
      <c r="F608" s="53">
        <v>660</v>
      </c>
      <c r="G608" s="47" t="s">
        <v>1650</v>
      </c>
      <c r="H608" s="47" t="s">
        <v>1651</v>
      </c>
      <c r="I608" s="46" t="s">
        <v>1251</v>
      </c>
      <c r="J608" s="47" t="s">
        <v>1652</v>
      </c>
      <c r="K608" s="47" t="s">
        <v>545</v>
      </c>
      <c r="L608" s="47" t="s">
        <v>520</v>
      </c>
      <c r="M608" s="47" t="s">
        <v>976</v>
      </c>
      <c r="N608" s="47" t="s">
        <v>839</v>
      </c>
      <c r="O608" s="45" t="s">
        <v>383</v>
      </c>
      <c r="P608" s="44" t="s">
        <v>309</v>
      </c>
      <c r="Q608" s="59" t="str">
        <f>MID(Tabla1[[#This Row],[Aplicación]],14,1)</f>
        <v>2</v>
      </c>
      <c r="R608" s="35" t="s">
        <v>298</v>
      </c>
      <c r="S608" s="59" t="str">
        <f>MID(Tabla1[[#This Row],[Aplicación]],6,2)</f>
        <v>03</v>
      </c>
      <c r="T608" s="35" t="str">
        <f>VLOOKUP(Tabla1[[#This Row],[AREA]],Hoja1!A:B,2,FALSE)</f>
        <v>03. Participación ciudadana y deportes</v>
      </c>
      <c r="U608" s="35" t="str">
        <f>MID(Tabla1[[#This Row],[Aplicación]],9,4)</f>
        <v>9241</v>
      </c>
      <c r="V608" s="35" t="str">
        <f>VLOOKUP(Tabla1[[#This Row],[PROGRAMA]],Hoja1!A:B,2,FALSE)</f>
        <v>9241. Participación ciudadana</v>
      </c>
      <c r="W608" s="56" t="str">
        <f>MID(Tabla1[[#This Row],[Aplicación]],14,2)</f>
        <v>22</v>
      </c>
      <c r="X608" s="56" t="str">
        <f>MID(Tabla1[[#This Row],[Aplicación]],14,6)</f>
        <v>22609</v>
      </c>
    </row>
    <row r="609" spans="1:24" x14ac:dyDescent="0.25">
      <c r="A609" s="46">
        <v>220230001235</v>
      </c>
      <c r="B609" s="47" t="s">
        <v>1249</v>
      </c>
      <c r="C609" s="52">
        <v>44959</v>
      </c>
      <c r="D609" s="46">
        <v>22023001805</v>
      </c>
      <c r="E609" s="47" t="s">
        <v>1479</v>
      </c>
      <c r="F609" s="53">
        <v>544.5</v>
      </c>
      <c r="G609" s="47" t="s">
        <v>494</v>
      </c>
      <c r="H609" s="47" t="s">
        <v>1653</v>
      </c>
      <c r="I609" s="46" t="s">
        <v>1251</v>
      </c>
      <c r="J609" s="47" t="s">
        <v>1478</v>
      </c>
      <c r="K609" s="47" t="s">
        <v>519</v>
      </c>
      <c r="L609" s="47" t="s">
        <v>520</v>
      </c>
      <c r="M609" s="47" t="s">
        <v>976</v>
      </c>
      <c r="N609" s="47" t="s">
        <v>839</v>
      </c>
      <c r="O609" s="45" t="s">
        <v>383</v>
      </c>
      <c r="P609" s="44" t="s">
        <v>309</v>
      </c>
      <c r="Q609" s="59" t="str">
        <f>MID(Tabla1[[#This Row],[Aplicación]],14,1)</f>
        <v>2</v>
      </c>
      <c r="R609" s="35" t="s">
        <v>298</v>
      </c>
      <c r="S609" s="59" t="str">
        <f>MID(Tabla1[[#This Row],[Aplicación]],6,2)</f>
        <v>03</v>
      </c>
      <c r="T609" s="35" t="str">
        <f>VLOOKUP(Tabla1[[#This Row],[AREA]],Hoja1!A:B,2,FALSE)</f>
        <v>03. Participación ciudadana y deportes</v>
      </c>
      <c r="U609" s="35" t="str">
        <f>MID(Tabla1[[#This Row],[Aplicación]],9,4)</f>
        <v>9241</v>
      </c>
      <c r="V609" s="35" t="str">
        <f>VLOOKUP(Tabla1[[#This Row],[PROGRAMA]],Hoja1!A:B,2,FALSE)</f>
        <v>9241. Participación ciudadana</v>
      </c>
      <c r="W609" s="56" t="str">
        <f>MID(Tabla1[[#This Row],[Aplicación]],14,2)</f>
        <v>22</v>
      </c>
      <c r="X609" s="56" t="str">
        <f>MID(Tabla1[[#This Row],[Aplicación]],14,6)</f>
        <v>22609</v>
      </c>
    </row>
    <row r="610" spans="1:24" x14ac:dyDescent="0.25">
      <c r="A610" s="46">
        <v>220229000236</v>
      </c>
      <c r="B610" s="47" t="s">
        <v>507</v>
      </c>
      <c r="C610" s="52">
        <v>44927</v>
      </c>
      <c r="D610" s="46">
        <v>22023000686</v>
      </c>
      <c r="E610" s="47" t="s">
        <v>777</v>
      </c>
      <c r="F610" s="53">
        <v>21185.59</v>
      </c>
      <c r="G610" s="47" t="s">
        <v>14</v>
      </c>
      <c r="H610" s="47" t="s">
        <v>1654</v>
      </c>
      <c r="I610" s="46" t="s">
        <v>511</v>
      </c>
      <c r="J610" s="47" t="s">
        <v>519</v>
      </c>
      <c r="K610" s="47" t="s">
        <v>519</v>
      </c>
      <c r="L610" s="47" t="s">
        <v>520</v>
      </c>
      <c r="M610" s="47" t="s">
        <v>514</v>
      </c>
      <c r="N610" s="47" t="s">
        <v>515</v>
      </c>
      <c r="O610" s="45" t="s">
        <v>371</v>
      </c>
      <c r="P610" s="44" t="s">
        <v>309</v>
      </c>
      <c r="Q610" s="59" t="str">
        <f>MID(Tabla1[[#This Row],[Aplicación]],14,1)</f>
        <v>2</v>
      </c>
      <c r="R610" s="35" t="s">
        <v>298</v>
      </c>
      <c r="S610" s="59" t="str">
        <f>MID(Tabla1[[#This Row],[Aplicación]],6,2)</f>
        <v>03</v>
      </c>
      <c r="T610" s="35" t="str">
        <f>VLOOKUP(Tabla1[[#This Row],[AREA]],Hoja1!A:B,2,FALSE)</f>
        <v>03. Participación ciudadana y deportes</v>
      </c>
      <c r="U610" s="35" t="str">
        <f>MID(Tabla1[[#This Row],[Aplicación]],9,4)</f>
        <v>9241</v>
      </c>
      <c r="V610" s="35" t="str">
        <f>VLOOKUP(Tabla1[[#This Row],[PROGRAMA]],Hoja1!A:B,2,FALSE)</f>
        <v>9241. Participación ciudadana</v>
      </c>
      <c r="W610" s="56" t="str">
        <f>MID(Tabla1[[#This Row],[Aplicación]],14,2)</f>
        <v>22</v>
      </c>
      <c r="X610" s="56" t="str">
        <f>MID(Tabla1[[#This Row],[Aplicación]],14,6)</f>
        <v>22799</v>
      </c>
    </row>
    <row r="611" spans="1:24" x14ac:dyDescent="0.25">
      <c r="A611" s="46">
        <v>220230001958</v>
      </c>
      <c r="B611" s="47" t="s">
        <v>507</v>
      </c>
      <c r="C611" s="52">
        <v>44960</v>
      </c>
      <c r="D611" s="46">
        <v>22023001390</v>
      </c>
      <c r="E611" s="47" t="s">
        <v>1390</v>
      </c>
      <c r="F611" s="53">
        <v>4119.2</v>
      </c>
      <c r="G611" s="47" t="s">
        <v>14</v>
      </c>
      <c r="H611" s="47" t="s">
        <v>1655</v>
      </c>
      <c r="I611" s="46" t="s">
        <v>511</v>
      </c>
      <c r="J611" s="47" t="s">
        <v>519</v>
      </c>
      <c r="K611" s="47" t="s">
        <v>519</v>
      </c>
      <c r="L611" s="47" t="s">
        <v>520</v>
      </c>
      <c r="M611" s="47" t="s">
        <v>976</v>
      </c>
      <c r="N611" s="47" t="s">
        <v>839</v>
      </c>
      <c r="O611" s="45" t="s">
        <v>383</v>
      </c>
      <c r="P611" s="44" t="s">
        <v>309</v>
      </c>
      <c r="Q611" s="59" t="str">
        <f>MID(Tabla1[[#This Row],[Aplicación]],14,1)</f>
        <v>2</v>
      </c>
      <c r="R611" s="35" t="s">
        <v>298</v>
      </c>
      <c r="S611" s="59" t="str">
        <f>MID(Tabla1[[#This Row],[Aplicación]],6,2)</f>
        <v>07</v>
      </c>
      <c r="T611" s="35" t="str">
        <f>VLOOKUP(Tabla1[[#This Row],[AREA]],Hoja1!A:B,2,FALSE)</f>
        <v>07. Medio ambiente y desarrollo sostenible</v>
      </c>
      <c r="U611" s="35" t="str">
        <f>MID(Tabla1[[#This Row],[Aplicación]],9,4)</f>
        <v>1721</v>
      </c>
      <c r="V611" s="35" t="str">
        <f>VLOOKUP(Tabla1[[#This Row],[PROGRAMA]],Hoja1!A:B,2,FALSE)</f>
        <v>1721. Protección del medio ambiente</v>
      </c>
      <c r="W611" s="56" t="str">
        <f>MID(Tabla1[[#This Row],[Aplicación]],14,2)</f>
        <v>22</v>
      </c>
      <c r="X611" s="56" t="str">
        <f>MID(Tabla1[[#This Row],[Aplicación]],14,6)</f>
        <v>22799</v>
      </c>
    </row>
    <row r="612" spans="1:24" x14ac:dyDescent="0.25">
      <c r="A612" s="55">
        <v>220230009495</v>
      </c>
      <c r="B612" s="47" t="s">
        <v>507</v>
      </c>
      <c r="C612" s="52">
        <v>45006</v>
      </c>
      <c r="D612" s="46">
        <v>22023003453</v>
      </c>
      <c r="E612" s="47" t="s">
        <v>1403</v>
      </c>
      <c r="F612" s="53">
        <v>7260</v>
      </c>
      <c r="G612" s="47" t="s">
        <v>343</v>
      </c>
      <c r="H612" s="47" t="s">
        <v>1656</v>
      </c>
      <c r="I612" s="46" t="s">
        <v>511</v>
      </c>
      <c r="J612" s="47" t="s">
        <v>556</v>
      </c>
      <c r="K612" s="47" t="s">
        <v>512</v>
      </c>
      <c r="L612" s="47" t="s">
        <v>520</v>
      </c>
      <c r="M612" s="47" t="s">
        <v>976</v>
      </c>
      <c r="N612" s="47" t="s">
        <v>839</v>
      </c>
      <c r="O612" s="54" t="s">
        <v>383</v>
      </c>
      <c r="P612" s="44" t="s">
        <v>309</v>
      </c>
      <c r="Q612" s="59" t="str">
        <f>MID(Tabla1[[#This Row],[Aplicación]],14,1)</f>
        <v>2</v>
      </c>
      <c r="R612" s="35" t="s">
        <v>298</v>
      </c>
      <c r="S612" s="59" t="str">
        <f>MID(Tabla1[[#This Row],[Aplicación]],6,2)</f>
        <v>07</v>
      </c>
      <c r="T612" s="35" t="str">
        <f>VLOOKUP(Tabla1[[#This Row],[AREA]],Hoja1!A:B,2,FALSE)</f>
        <v>07. Medio ambiente y desarrollo sostenible</v>
      </c>
      <c r="U612" s="35" t="str">
        <f>MID(Tabla1[[#This Row],[Aplicación]],9,4)</f>
        <v>1721</v>
      </c>
      <c r="V612" s="35" t="str">
        <f>VLOOKUP(Tabla1[[#This Row],[PROGRAMA]],Hoja1!A:B,2,FALSE)</f>
        <v>1721. Protección del medio ambiente</v>
      </c>
      <c r="W612" s="56" t="str">
        <f>MID(Tabla1[[#This Row],[Aplicación]],14,2)</f>
        <v>21</v>
      </c>
      <c r="X612" s="56" t="str">
        <f>MID(Tabla1[[#This Row],[Aplicación]],14,6)</f>
        <v>213</v>
      </c>
    </row>
    <row r="613" spans="1:24" x14ac:dyDescent="0.25">
      <c r="A613" s="46">
        <v>220230001964</v>
      </c>
      <c r="B613" s="47" t="s">
        <v>507</v>
      </c>
      <c r="C613" s="52">
        <v>44960</v>
      </c>
      <c r="D613" s="46">
        <v>22023001372</v>
      </c>
      <c r="E613" s="47" t="s">
        <v>1657</v>
      </c>
      <c r="F613" s="53">
        <v>205.7</v>
      </c>
      <c r="G613" s="47" t="s">
        <v>1658</v>
      </c>
      <c r="H613" s="47" t="s">
        <v>1659</v>
      </c>
      <c r="I613" s="46" t="s">
        <v>511</v>
      </c>
      <c r="J613" s="47" t="s">
        <v>519</v>
      </c>
      <c r="K613" s="47" t="s">
        <v>519</v>
      </c>
      <c r="L613" s="47" t="s">
        <v>520</v>
      </c>
      <c r="M613" s="47" t="s">
        <v>976</v>
      </c>
      <c r="N613" s="47" t="s">
        <v>839</v>
      </c>
      <c r="O613" s="45" t="s">
        <v>383</v>
      </c>
      <c r="P613" s="44" t="s">
        <v>309</v>
      </c>
      <c r="Q613" s="59" t="str">
        <f>MID(Tabla1[[#This Row],[Aplicación]],14,1)</f>
        <v>2</v>
      </c>
      <c r="R613" s="35" t="s">
        <v>298</v>
      </c>
      <c r="S613" s="59" t="str">
        <f>MID(Tabla1[[#This Row],[Aplicación]],6,2)</f>
        <v>10</v>
      </c>
      <c r="T613" s="35" t="str">
        <f>VLOOKUP(Tabla1[[#This Row],[AREA]],Hoja1!A:B,2,FALSE)</f>
        <v>10. Servicios sociales y mediación comunitaria</v>
      </c>
      <c r="U613" s="35" t="str">
        <f>MID(Tabla1[[#This Row],[Aplicación]],9,4)</f>
        <v>2412</v>
      </c>
      <c r="V613" s="35" t="str">
        <f>VLOOKUP(Tabla1[[#This Row],[PROGRAMA]],Hoja1!A:B,2,FALSE)</f>
        <v>2412. Formación para el empleo</v>
      </c>
      <c r="W613" s="56" t="str">
        <f>MID(Tabla1[[#This Row],[Aplicación]],14,2)</f>
        <v>21</v>
      </c>
      <c r="X613" s="56" t="str">
        <f>MID(Tabla1[[#This Row],[Aplicación]],14,6)</f>
        <v>212</v>
      </c>
    </row>
    <row r="614" spans="1:24" x14ac:dyDescent="0.25">
      <c r="A614" s="46">
        <v>220230001991</v>
      </c>
      <c r="B614" s="47" t="s">
        <v>507</v>
      </c>
      <c r="C614" s="52">
        <v>44960</v>
      </c>
      <c r="D614" s="46">
        <v>22023001577</v>
      </c>
      <c r="E614" s="47" t="s">
        <v>898</v>
      </c>
      <c r="F614" s="53">
        <v>2000</v>
      </c>
      <c r="G614" s="47" t="s">
        <v>1658</v>
      </c>
      <c r="H614" s="47" t="s">
        <v>1660</v>
      </c>
      <c r="I614" s="46" t="s">
        <v>511</v>
      </c>
      <c r="J614" s="47" t="s">
        <v>519</v>
      </c>
      <c r="K614" s="47" t="s">
        <v>519</v>
      </c>
      <c r="L614" s="47" t="s">
        <v>520</v>
      </c>
      <c r="M614" s="47" t="s">
        <v>976</v>
      </c>
      <c r="N614" s="47" t="s">
        <v>839</v>
      </c>
      <c r="O614" s="45" t="s">
        <v>383</v>
      </c>
      <c r="P614" s="44" t="s">
        <v>309</v>
      </c>
      <c r="Q614" s="59" t="str">
        <f>MID(Tabla1[[#This Row],[Aplicación]],14,1)</f>
        <v>2</v>
      </c>
      <c r="R614" s="35" t="s">
        <v>298</v>
      </c>
      <c r="S614" s="59" t="str">
        <f>MID(Tabla1[[#This Row],[Aplicación]],6,2)</f>
        <v>06</v>
      </c>
      <c r="T614" s="35" t="str">
        <f>VLOOKUP(Tabla1[[#This Row],[AREA]],Hoja1!A:B,2,FALSE)</f>
        <v>06. Educación, infancia, juventud e igualdad</v>
      </c>
      <c r="U614" s="35" t="str">
        <f>MID(Tabla1[[#This Row],[Aplicación]],9,4)</f>
        <v>3232</v>
      </c>
      <c r="V614" s="35" t="str">
        <f>VLOOKUP(Tabla1[[#This Row],[PROGRAMA]],Hoja1!A:B,2,FALSE)</f>
        <v>3232. Conservación y mantenimiento centros educación infantil y primaria</v>
      </c>
      <c r="W614" s="56" t="str">
        <f>MID(Tabla1[[#This Row],[Aplicación]],14,2)</f>
        <v>22</v>
      </c>
      <c r="X614" s="56" t="str">
        <f>MID(Tabla1[[#This Row],[Aplicación]],14,6)</f>
        <v>22799</v>
      </c>
    </row>
    <row r="615" spans="1:24" x14ac:dyDescent="0.25">
      <c r="A615" s="46">
        <v>220230002031</v>
      </c>
      <c r="B615" s="47" t="s">
        <v>507</v>
      </c>
      <c r="C615" s="52">
        <v>44960</v>
      </c>
      <c r="D615" s="46">
        <v>22023001688</v>
      </c>
      <c r="E615" s="47" t="s">
        <v>659</v>
      </c>
      <c r="F615" s="53">
        <v>2000</v>
      </c>
      <c r="G615" s="47" t="s">
        <v>486</v>
      </c>
      <c r="H615" s="47" t="s">
        <v>1661</v>
      </c>
      <c r="I615" s="46" t="s">
        <v>511</v>
      </c>
      <c r="J615" s="47" t="s">
        <v>1662</v>
      </c>
      <c r="K615" s="47" t="s">
        <v>545</v>
      </c>
      <c r="L615" s="47" t="s">
        <v>520</v>
      </c>
      <c r="M615" s="47" t="s">
        <v>976</v>
      </c>
      <c r="N615" s="47" t="s">
        <v>839</v>
      </c>
      <c r="O615" s="45" t="s">
        <v>383</v>
      </c>
      <c r="P615" s="44" t="s">
        <v>309</v>
      </c>
      <c r="Q615" s="59" t="str">
        <f>MID(Tabla1[[#This Row],[Aplicación]],14,1)</f>
        <v>2</v>
      </c>
      <c r="R615" s="35" t="s">
        <v>298</v>
      </c>
      <c r="S615" s="59" t="str">
        <f>MID(Tabla1[[#This Row],[Aplicación]],6,2)</f>
        <v>11</v>
      </c>
      <c r="T615" s="35" t="str">
        <f>VLOOKUP(Tabla1[[#This Row],[AREA]],Hoja1!A:B,2,FALSE)</f>
        <v>11. Salud pública y seguridad ciudadana</v>
      </c>
      <c r="U615" s="35" t="str">
        <f>MID(Tabla1[[#This Row],[Aplicación]],9,4)</f>
        <v>1321</v>
      </c>
      <c r="V615" s="35" t="str">
        <f>VLOOKUP(Tabla1[[#This Row],[PROGRAMA]],Hoja1!A:B,2,FALSE)</f>
        <v>1321. Policía municipal</v>
      </c>
      <c r="W615" s="56" t="str">
        <f>MID(Tabla1[[#This Row],[Aplicación]],14,2)</f>
        <v>21</v>
      </c>
      <c r="X615" s="56" t="str">
        <f>MID(Tabla1[[#This Row],[Aplicación]],14,6)</f>
        <v>213</v>
      </c>
    </row>
    <row r="616" spans="1:24" x14ac:dyDescent="0.25">
      <c r="A616" s="46">
        <v>220230001978</v>
      </c>
      <c r="B616" s="47" t="s">
        <v>507</v>
      </c>
      <c r="C616" s="52">
        <v>44960</v>
      </c>
      <c r="D616" s="46">
        <v>22023000679</v>
      </c>
      <c r="E616" s="47" t="s">
        <v>1663</v>
      </c>
      <c r="F616" s="53">
        <v>762.3</v>
      </c>
      <c r="G616" s="47" t="s">
        <v>1664</v>
      </c>
      <c r="H616" s="47" t="s">
        <v>1665</v>
      </c>
      <c r="I616" s="46" t="s">
        <v>511</v>
      </c>
      <c r="J616" s="47" t="s">
        <v>519</v>
      </c>
      <c r="K616" s="47" t="s">
        <v>519</v>
      </c>
      <c r="L616" s="47" t="s">
        <v>520</v>
      </c>
      <c r="M616" s="47" t="s">
        <v>976</v>
      </c>
      <c r="N616" s="47" t="s">
        <v>839</v>
      </c>
      <c r="O616" s="45" t="s">
        <v>383</v>
      </c>
      <c r="P616" s="44" t="s">
        <v>309</v>
      </c>
      <c r="Q616" s="59" t="str">
        <f>MID(Tabla1[[#This Row],[Aplicación]],14,1)</f>
        <v>2</v>
      </c>
      <c r="R616" s="35" t="s">
        <v>298</v>
      </c>
      <c r="S616" s="59" t="str">
        <f>MID(Tabla1[[#This Row],[Aplicación]],6,2)</f>
        <v>01</v>
      </c>
      <c r="T616" s="35" t="str">
        <f>VLOOKUP(Tabla1[[#This Row],[AREA]],Hoja1!A:B,2,FALSE)</f>
        <v>01. Alcaldía</v>
      </c>
      <c r="U616" s="35" t="str">
        <f>MID(Tabla1[[#This Row],[Aplicación]],9,4)</f>
        <v>9207</v>
      </c>
      <c r="V616" s="35" t="str">
        <f>VLOOKUP(Tabla1[[#This Row],[PROGRAMA]],Hoja1!A:B,2,FALSE)</f>
        <v>9207. Gobierno y relaciones</v>
      </c>
      <c r="W616" s="56" t="str">
        <f>MID(Tabla1[[#This Row],[Aplicación]],14,2)</f>
        <v>22</v>
      </c>
      <c r="X616" s="56" t="str">
        <f>MID(Tabla1[[#This Row],[Aplicación]],14,6)</f>
        <v>22699</v>
      </c>
    </row>
    <row r="617" spans="1:24" x14ac:dyDescent="0.25">
      <c r="A617" s="46">
        <v>220230002033</v>
      </c>
      <c r="B617" s="47" t="s">
        <v>507</v>
      </c>
      <c r="C617" s="52">
        <v>44960</v>
      </c>
      <c r="D617" s="46">
        <v>22023001700</v>
      </c>
      <c r="E617" s="47" t="s">
        <v>659</v>
      </c>
      <c r="F617" s="53">
        <v>7247.9</v>
      </c>
      <c r="G617" s="47" t="s">
        <v>44</v>
      </c>
      <c r="H617" s="47" t="s">
        <v>1666</v>
      </c>
      <c r="I617" s="46" t="s">
        <v>511</v>
      </c>
      <c r="J617" s="47" t="s">
        <v>565</v>
      </c>
      <c r="K617" s="47" t="s">
        <v>565</v>
      </c>
      <c r="L617" s="47" t="s">
        <v>520</v>
      </c>
      <c r="M617" s="47" t="s">
        <v>976</v>
      </c>
      <c r="N617" s="47" t="s">
        <v>839</v>
      </c>
      <c r="O617" s="45" t="s">
        <v>383</v>
      </c>
      <c r="P617" s="44" t="s">
        <v>309</v>
      </c>
      <c r="Q617" s="59" t="str">
        <f>MID(Tabla1[[#This Row],[Aplicación]],14,1)</f>
        <v>2</v>
      </c>
      <c r="R617" s="35" t="s">
        <v>298</v>
      </c>
      <c r="S617" s="59" t="str">
        <f>MID(Tabla1[[#This Row],[Aplicación]],6,2)</f>
        <v>11</v>
      </c>
      <c r="T617" s="35" t="str">
        <f>VLOOKUP(Tabla1[[#This Row],[AREA]],Hoja1!A:B,2,FALSE)</f>
        <v>11. Salud pública y seguridad ciudadana</v>
      </c>
      <c r="U617" s="35" t="str">
        <f>MID(Tabla1[[#This Row],[Aplicación]],9,4)</f>
        <v>1321</v>
      </c>
      <c r="V617" s="35" t="str">
        <f>VLOOKUP(Tabla1[[#This Row],[PROGRAMA]],Hoja1!A:B,2,FALSE)</f>
        <v>1321. Policía municipal</v>
      </c>
      <c r="W617" s="56" t="str">
        <f>MID(Tabla1[[#This Row],[Aplicación]],14,2)</f>
        <v>21</v>
      </c>
      <c r="X617" s="56" t="str">
        <f>MID(Tabla1[[#This Row],[Aplicación]],14,6)</f>
        <v>213</v>
      </c>
    </row>
    <row r="618" spans="1:24" x14ac:dyDescent="0.25">
      <c r="A618" s="46">
        <v>220230001969</v>
      </c>
      <c r="B618" s="47" t="s">
        <v>507</v>
      </c>
      <c r="C618" s="52">
        <v>44960</v>
      </c>
      <c r="D618" s="46">
        <v>22023001481</v>
      </c>
      <c r="E618" s="47" t="s">
        <v>1667</v>
      </c>
      <c r="F618" s="53">
        <v>7211.6</v>
      </c>
      <c r="G618" s="47" t="s">
        <v>105</v>
      </c>
      <c r="H618" s="47" t="s">
        <v>1668</v>
      </c>
      <c r="I618" s="46" t="s">
        <v>511</v>
      </c>
      <c r="J618" s="47" t="s">
        <v>1669</v>
      </c>
      <c r="K618" s="47" t="s">
        <v>512</v>
      </c>
      <c r="L618" s="47" t="s">
        <v>552</v>
      </c>
      <c r="M618" s="47" t="s">
        <v>976</v>
      </c>
      <c r="N618" s="47" t="s">
        <v>839</v>
      </c>
      <c r="O618" s="45" t="s">
        <v>383</v>
      </c>
      <c r="P618" s="44" t="s">
        <v>309</v>
      </c>
      <c r="Q618" s="59" t="str">
        <f>MID(Tabla1[[#This Row],[Aplicación]],14,1)</f>
        <v>2</v>
      </c>
      <c r="R618" s="35" t="s">
        <v>298</v>
      </c>
      <c r="S618" s="59" t="str">
        <f>MID(Tabla1[[#This Row],[Aplicación]],6,2)</f>
        <v>01</v>
      </c>
      <c r="T618" s="35" t="str">
        <f>VLOOKUP(Tabla1[[#This Row],[AREA]],Hoja1!A:B,2,FALSE)</f>
        <v>01. Alcaldía</v>
      </c>
      <c r="U618" s="35" t="str">
        <f>MID(Tabla1[[#This Row],[Aplicación]],9,4)</f>
        <v>9205</v>
      </c>
      <c r="V618" s="35" t="str">
        <f>VLOOKUP(Tabla1[[#This Row],[PROGRAMA]],Hoja1!A:B,2,FALSE)</f>
        <v>9205. Imprenta municipal</v>
      </c>
      <c r="W618" s="56" t="str">
        <f>MID(Tabla1[[#This Row],[Aplicación]],14,2)</f>
        <v>22</v>
      </c>
      <c r="X618" s="56" t="str">
        <f>MID(Tabla1[[#This Row],[Aplicación]],14,6)</f>
        <v>22199</v>
      </c>
    </row>
    <row r="619" spans="1:24" x14ac:dyDescent="0.25">
      <c r="A619" s="46">
        <v>220230002035</v>
      </c>
      <c r="B619" s="47" t="s">
        <v>507</v>
      </c>
      <c r="C619" s="52">
        <v>44960</v>
      </c>
      <c r="D619" s="46">
        <v>22023001808</v>
      </c>
      <c r="E619" s="47" t="s">
        <v>1670</v>
      </c>
      <c r="F619" s="53">
        <v>749.99</v>
      </c>
      <c r="G619" s="47" t="s">
        <v>1671</v>
      </c>
      <c r="H619" s="47" t="s">
        <v>1672</v>
      </c>
      <c r="I619" s="46" t="s">
        <v>511</v>
      </c>
      <c r="J619" s="47" t="s">
        <v>512</v>
      </c>
      <c r="K619" s="47" t="s">
        <v>512</v>
      </c>
      <c r="L619" s="47" t="s">
        <v>520</v>
      </c>
      <c r="M619" s="47" t="s">
        <v>514</v>
      </c>
      <c r="N619" s="47" t="s">
        <v>515</v>
      </c>
      <c r="O619" s="45" t="s">
        <v>382</v>
      </c>
      <c r="P619" s="44" t="s">
        <v>309</v>
      </c>
      <c r="Q619" s="59" t="str">
        <f>MID(Tabla1[[#This Row],[Aplicación]],14,1)</f>
        <v>2</v>
      </c>
      <c r="R619" s="35" t="s">
        <v>298</v>
      </c>
      <c r="S619" s="59" t="str">
        <f>MID(Tabla1[[#This Row],[Aplicación]],6,2)</f>
        <v>07</v>
      </c>
      <c r="T619" s="35" t="str">
        <f>VLOOKUP(Tabla1[[#This Row],[AREA]],Hoja1!A:B,2,FALSE)</f>
        <v>07. Medio ambiente y desarrollo sostenible</v>
      </c>
      <c r="U619" s="35" t="str">
        <f>MID(Tabla1[[#This Row],[Aplicación]],9,4)</f>
        <v>1721</v>
      </c>
      <c r="V619" s="35" t="str">
        <f>VLOOKUP(Tabla1[[#This Row],[PROGRAMA]],Hoja1!A:B,2,FALSE)</f>
        <v>1721. Protección del medio ambiente</v>
      </c>
      <c r="W619" s="56" t="str">
        <f>MID(Tabla1[[#This Row],[Aplicación]],14,2)</f>
        <v>22</v>
      </c>
      <c r="X619" s="56" t="str">
        <f>MID(Tabla1[[#This Row],[Aplicación]],14,6)</f>
        <v>22602</v>
      </c>
    </row>
    <row r="620" spans="1:24" x14ac:dyDescent="0.25">
      <c r="A620" s="46">
        <v>220230002599</v>
      </c>
      <c r="B620" s="47" t="s">
        <v>507</v>
      </c>
      <c r="C620" s="52">
        <v>44965</v>
      </c>
      <c r="D620" s="46">
        <v>22023001492</v>
      </c>
      <c r="E620" s="47" t="s">
        <v>1561</v>
      </c>
      <c r="F620" s="53">
        <v>2333.36</v>
      </c>
      <c r="G620" s="47" t="s">
        <v>39</v>
      </c>
      <c r="H620" s="47" t="s">
        <v>1673</v>
      </c>
      <c r="I620" s="46" t="s">
        <v>511</v>
      </c>
      <c r="J620" s="47" t="s">
        <v>1152</v>
      </c>
      <c r="K620" s="47" t="s">
        <v>771</v>
      </c>
      <c r="L620" s="47" t="s">
        <v>520</v>
      </c>
      <c r="M620" s="47" t="s">
        <v>976</v>
      </c>
      <c r="N620" s="47" t="s">
        <v>839</v>
      </c>
      <c r="O620" s="45" t="s">
        <v>383</v>
      </c>
      <c r="P620" s="44" t="s">
        <v>309</v>
      </c>
      <c r="Q620" s="59" t="str">
        <f>MID(Tabla1[[#This Row],[Aplicación]],14,1)</f>
        <v>2</v>
      </c>
      <c r="R620" s="35" t="s">
        <v>298</v>
      </c>
      <c r="S620" s="59" t="str">
        <f>MID(Tabla1[[#This Row],[Aplicación]],6,2)</f>
        <v>07</v>
      </c>
      <c r="T620" s="35" t="str">
        <f>VLOOKUP(Tabla1[[#This Row],[AREA]],Hoja1!A:B,2,FALSE)</f>
        <v>07. Medio ambiente y desarrollo sostenible</v>
      </c>
      <c r="U620" s="35" t="str">
        <f>MID(Tabla1[[#This Row],[Aplicación]],9,4)</f>
        <v>1701</v>
      </c>
      <c r="V620" s="35" t="str">
        <f>VLOOKUP(Tabla1[[#This Row],[PROGRAMA]],Hoja1!A:B,2,FALSE)</f>
        <v>1701. Dirección del área de medio ambiente</v>
      </c>
      <c r="W620" s="56" t="str">
        <f>MID(Tabla1[[#This Row],[Aplicación]],14,2)</f>
        <v>21</v>
      </c>
      <c r="X620" s="56" t="str">
        <f>MID(Tabla1[[#This Row],[Aplicación]],14,6)</f>
        <v>213</v>
      </c>
    </row>
    <row r="621" spans="1:24" x14ac:dyDescent="0.25">
      <c r="A621" s="46">
        <v>220230001776</v>
      </c>
      <c r="B621" s="47" t="s">
        <v>507</v>
      </c>
      <c r="C621" s="52">
        <v>44960</v>
      </c>
      <c r="D621" s="46">
        <v>22023000001</v>
      </c>
      <c r="E621" s="47" t="s">
        <v>1674</v>
      </c>
      <c r="F621" s="53">
        <v>1500.4</v>
      </c>
      <c r="G621" s="47" t="s">
        <v>1675</v>
      </c>
      <c r="H621" s="47" t="s">
        <v>1676</v>
      </c>
      <c r="I621" s="46" t="s">
        <v>511</v>
      </c>
      <c r="J621" s="47" t="s">
        <v>519</v>
      </c>
      <c r="K621" s="51" t="s">
        <v>519</v>
      </c>
      <c r="L621" s="47" t="s">
        <v>520</v>
      </c>
      <c r="M621" s="47" t="s">
        <v>976</v>
      </c>
      <c r="N621" s="47" t="s">
        <v>839</v>
      </c>
      <c r="O621" s="45" t="s">
        <v>383</v>
      </c>
      <c r="P621" s="44" t="s">
        <v>309</v>
      </c>
      <c r="Q621" s="59" t="str">
        <f>MID(Tabla1[[#This Row],[Aplicación]],14,1)</f>
        <v>2</v>
      </c>
      <c r="R621" s="35" t="s">
        <v>298</v>
      </c>
      <c r="S621" s="59" t="str">
        <f>MID(Tabla1[[#This Row],[Aplicación]],6,2)</f>
        <v>10</v>
      </c>
      <c r="T621" s="35" t="str">
        <f>VLOOKUP(Tabla1[[#This Row],[AREA]],Hoja1!A:B,2,FALSE)</f>
        <v>10. Servicios sociales y mediación comunitaria</v>
      </c>
      <c r="U621" s="35" t="str">
        <f>MID(Tabla1[[#This Row],[Aplicación]],9,4)</f>
        <v>2312</v>
      </c>
      <c r="V621" s="35" t="str">
        <f>VLOOKUP(Tabla1[[#This Row],[PROGRAMA]],Hoja1!A:B,2,FALSE)</f>
        <v>2312. Iniciativas sociales</v>
      </c>
      <c r="W621" s="56" t="str">
        <f>MID(Tabla1[[#This Row],[Aplicación]],14,2)</f>
        <v>22</v>
      </c>
      <c r="X621" s="56" t="str">
        <f>MID(Tabla1[[#This Row],[Aplicación]],14,6)</f>
        <v>22618</v>
      </c>
    </row>
    <row r="622" spans="1:24" x14ac:dyDescent="0.25">
      <c r="A622" s="46">
        <v>220230002013</v>
      </c>
      <c r="B622" s="47" t="s">
        <v>507</v>
      </c>
      <c r="C622" s="52">
        <v>44960</v>
      </c>
      <c r="D622" s="46">
        <v>22023001503</v>
      </c>
      <c r="E622" s="47" t="s">
        <v>1150</v>
      </c>
      <c r="F622" s="53">
        <v>519.29999999999995</v>
      </c>
      <c r="G622" s="47" t="s">
        <v>39</v>
      </c>
      <c r="H622" s="47" t="s">
        <v>1677</v>
      </c>
      <c r="I622" s="46" t="s">
        <v>511</v>
      </c>
      <c r="J622" s="47" t="s">
        <v>1152</v>
      </c>
      <c r="K622" s="47" t="s">
        <v>771</v>
      </c>
      <c r="L622" s="47" t="s">
        <v>552</v>
      </c>
      <c r="M622" s="47" t="s">
        <v>976</v>
      </c>
      <c r="N622" s="47" t="s">
        <v>839</v>
      </c>
      <c r="O622" s="45" t="s">
        <v>383</v>
      </c>
      <c r="P622" s="44" t="s">
        <v>309</v>
      </c>
      <c r="Q622" s="59" t="str">
        <f>MID(Tabla1[[#This Row],[Aplicación]],14,1)</f>
        <v>2</v>
      </c>
      <c r="R622" s="35" t="s">
        <v>298</v>
      </c>
      <c r="S622" s="59" t="str">
        <f>MID(Tabla1[[#This Row],[Aplicación]],6,2)</f>
        <v>03</v>
      </c>
      <c r="T622" s="35" t="str">
        <f>VLOOKUP(Tabla1[[#This Row],[AREA]],Hoja1!A:B,2,FALSE)</f>
        <v>03. Participación ciudadana y deportes</v>
      </c>
      <c r="U622" s="35" t="str">
        <f>MID(Tabla1[[#This Row],[Aplicación]],9,4)</f>
        <v>9241</v>
      </c>
      <c r="V622" s="35" t="str">
        <f>VLOOKUP(Tabla1[[#This Row],[PROGRAMA]],Hoja1!A:B,2,FALSE)</f>
        <v>9241. Participación ciudadana</v>
      </c>
      <c r="W622" s="56" t="str">
        <f>MID(Tabla1[[#This Row],[Aplicación]],14,2)</f>
        <v>21</v>
      </c>
      <c r="X622" s="56" t="str">
        <f>MID(Tabla1[[#This Row],[Aplicación]],14,6)</f>
        <v>213</v>
      </c>
    </row>
    <row r="623" spans="1:24" x14ac:dyDescent="0.25">
      <c r="A623" s="46">
        <v>220230002014</v>
      </c>
      <c r="B623" s="47" t="s">
        <v>507</v>
      </c>
      <c r="C623" s="52">
        <v>44960</v>
      </c>
      <c r="D623" s="46">
        <v>22023001504</v>
      </c>
      <c r="E623" s="47" t="s">
        <v>1150</v>
      </c>
      <c r="F623" s="53">
        <v>3690.08</v>
      </c>
      <c r="G623" s="47" t="s">
        <v>39</v>
      </c>
      <c r="H623" s="47" t="s">
        <v>1678</v>
      </c>
      <c r="I623" s="46" t="s">
        <v>511</v>
      </c>
      <c r="J623" s="47" t="s">
        <v>1152</v>
      </c>
      <c r="K623" s="47" t="s">
        <v>771</v>
      </c>
      <c r="L623" s="47" t="s">
        <v>552</v>
      </c>
      <c r="M623" s="47" t="s">
        <v>976</v>
      </c>
      <c r="N623" s="47" t="s">
        <v>839</v>
      </c>
      <c r="O623" s="45" t="s">
        <v>383</v>
      </c>
      <c r="P623" s="44" t="s">
        <v>309</v>
      </c>
      <c r="Q623" s="59" t="str">
        <f>MID(Tabla1[[#This Row],[Aplicación]],14,1)</f>
        <v>2</v>
      </c>
      <c r="R623" s="35" t="s">
        <v>298</v>
      </c>
      <c r="S623" s="59" t="str">
        <f>MID(Tabla1[[#This Row],[Aplicación]],6,2)</f>
        <v>03</v>
      </c>
      <c r="T623" s="35" t="str">
        <f>VLOOKUP(Tabla1[[#This Row],[AREA]],Hoja1!A:B,2,FALSE)</f>
        <v>03. Participación ciudadana y deportes</v>
      </c>
      <c r="U623" s="35" t="str">
        <f>MID(Tabla1[[#This Row],[Aplicación]],9,4)</f>
        <v>9241</v>
      </c>
      <c r="V623" s="35" t="str">
        <f>VLOOKUP(Tabla1[[#This Row],[PROGRAMA]],Hoja1!A:B,2,FALSE)</f>
        <v>9241. Participación ciudadana</v>
      </c>
      <c r="W623" s="56" t="str">
        <f>MID(Tabla1[[#This Row],[Aplicación]],14,2)</f>
        <v>21</v>
      </c>
      <c r="X623" s="56" t="str">
        <f>MID(Tabla1[[#This Row],[Aplicación]],14,6)</f>
        <v>213</v>
      </c>
    </row>
    <row r="624" spans="1:24" x14ac:dyDescent="0.25">
      <c r="A624" s="46">
        <v>220230002015</v>
      </c>
      <c r="B624" s="47" t="s">
        <v>507</v>
      </c>
      <c r="C624" s="52">
        <v>44960</v>
      </c>
      <c r="D624" s="46">
        <v>22023001506</v>
      </c>
      <c r="E624" s="47" t="s">
        <v>1150</v>
      </c>
      <c r="F624" s="53">
        <v>3574.96</v>
      </c>
      <c r="G624" s="47" t="s">
        <v>39</v>
      </c>
      <c r="H624" s="47" t="s">
        <v>1679</v>
      </c>
      <c r="I624" s="46" t="s">
        <v>511</v>
      </c>
      <c r="J624" s="47" t="s">
        <v>1152</v>
      </c>
      <c r="K624" s="47" t="s">
        <v>771</v>
      </c>
      <c r="L624" s="47" t="s">
        <v>552</v>
      </c>
      <c r="M624" s="47" t="s">
        <v>976</v>
      </c>
      <c r="N624" s="47" t="s">
        <v>839</v>
      </c>
      <c r="O624" s="45" t="s">
        <v>383</v>
      </c>
      <c r="P624" s="44" t="s">
        <v>309</v>
      </c>
      <c r="Q624" s="59" t="str">
        <f>MID(Tabla1[[#This Row],[Aplicación]],14,1)</f>
        <v>2</v>
      </c>
      <c r="R624" s="35" t="s">
        <v>298</v>
      </c>
      <c r="S624" s="59" t="str">
        <f>MID(Tabla1[[#This Row],[Aplicación]],6,2)</f>
        <v>03</v>
      </c>
      <c r="T624" s="35" t="str">
        <f>VLOOKUP(Tabla1[[#This Row],[AREA]],Hoja1!A:B,2,FALSE)</f>
        <v>03. Participación ciudadana y deportes</v>
      </c>
      <c r="U624" s="35" t="str">
        <f>MID(Tabla1[[#This Row],[Aplicación]],9,4)</f>
        <v>9241</v>
      </c>
      <c r="V624" s="35" t="str">
        <f>VLOOKUP(Tabla1[[#This Row],[PROGRAMA]],Hoja1!A:B,2,FALSE)</f>
        <v>9241. Participación ciudadana</v>
      </c>
      <c r="W624" s="56" t="str">
        <f>MID(Tabla1[[#This Row],[Aplicación]],14,2)</f>
        <v>21</v>
      </c>
      <c r="X624" s="56" t="str">
        <f>MID(Tabla1[[#This Row],[Aplicación]],14,6)</f>
        <v>213</v>
      </c>
    </row>
    <row r="625" spans="1:24" x14ac:dyDescent="0.25">
      <c r="A625" s="46">
        <v>220230002016</v>
      </c>
      <c r="B625" s="47" t="s">
        <v>507</v>
      </c>
      <c r="C625" s="52">
        <v>44960</v>
      </c>
      <c r="D625" s="46">
        <v>22023001507</v>
      </c>
      <c r="E625" s="47" t="s">
        <v>1150</v>
      </c>
      <c r="F625" s="53">
        <v>4022.11</v>
      </c>
      <c r="G625" s="47" t="s">
        <v>39</v>
      </c>
      <c r="H625" s="47" t="s">
        <v>1680</v>
      </c>
      <c r="I625" s="46" t="s">
        <v>511</v>
      </c>
      <c r="J625" s="47" t="s">
        <v>1152</v>
      </c>
      <c r="K625" s="47" t="s">
        <v>771</v>
      </c>
      <c r="L625" s="47" t="s">
        <v>552</v>
      </c>
      <c r="M625" s="47" t="s">
        <v>976</v>
      </c>
      <c r="N625" s="47" t="s">
        <v>839</v>
      </c>
      <c r="O625" s="45" t="s">
        <v>383</v>
      </c>
      <c r="P625" s="44" t="s">
        <v>309</v>
      </c>
      <c r="Q625" s="59" t="str">
        <f>MID(Tabla1[[#This Row],[Aplicación]],14,1)</f>
        <v>2</v>
      </c>
      <c r="R625" s="35" t="s">
        <v>298</v>
      </c>
      <c r="S625" s="59" t="str">
        <f>MID(Tabla1[[#This Row],[Aplicación]],6,2)</f>
        <v>03</v>
      </c>
      <c r="T625" s="35" t="str">
        <f>VLOOKUP(Tabla1[[#This Row],[AREA]],Hoja1!A:B,2,FALSE)</f>
        <v>03. Participación ciudadana y deportes</v>
      </c>
      <c r="U625" s="35" t="str">
        <f>MID(Tabla1[[#This Row],[Aplicación]],9,4)</f>
        <v>9241</v>
      </c>
      <c r="V625" s="35" t="str">
        <f>VLOOKUP(Tabla1[[#This Row],[PROGRAMA]],Hoja1!A:B,2,FALSE)</f>
        <v>9241. Participación ciudadana</v>
      </c>
      <c r="W625" s="56" t="str">
        <f>MID(Tabla1[[#This Row],[Aplicación]],14,2)</f>
        <v>21</v>
      </c>
      <c r="X625" s="56" t="str">
        <f>MID(Tabla1[[#This Row],[Aplicación]],14,6)</f>
        <v>213</v>
      </c>
    </row>
    <row r="626" spans="1:24" x14ac:dyDescent="0.25">
      <c r="A626" s="46">
        <v>220230002017</v>
      </c>
      <c r="B626" s="47" t="s">
        <v>507</v>
      </c>
      <c r="C626" s="52">
        <v>44960</v>
      </c>
      <c r="D626" s="46">
        <v>22023001508</v>
      </c>
      <c r="E626" s="47" t="s">
        <v>1150</v>
      </c>
      <c r="F626" s="53">
        <v>279.01</v>
      </c>
      <c r="G626" s="47" t="s">
        <v>39</v>
      </c>
      <c r="H626" s="47" t="s">
        <v>1681</v>
      </c>
      <c r="I626" s="46" t="s">
        <v>511</v>
      </c>
      <c r="J626" s="47" t="s">
        <v>1152</v>
      </c>
      <c r="K626" s="47" t="s">
        <v>771</v>
      </c>
      <c r="L626" s="47" t="s">
        <v>552</v>
      </c>
      <c r="M626" s="47" t="s">
        <v>976</v>
      </c>
      <c r="N626" s="47" t="s">
        <v>839</v>
      </c>
      <c r="O626" s="45" t="s">
        <v>383</v>
      </c>
      <c r="P626" s="44" t="s">
        <v>309</v>
      </c>
      <c r="Q626" s="59" t="str">
        <f>MID(Tabla1[[#This Row],[Aplicación]],14,1)</f>
        <v>2</v>
      </c>
      <c r="R626" s="35" t="s">
        <v>298</v>
      </c>
      <c r="S626" s="59" t="str">
        <f>MID(Tabla1[[#This Row],[Aplicación]],6,2)</f>
        <v>03</v>
      </c>
      <c r="T626" s="35" t="str">
        <f>VLOOKUP(Tabla1[[#This Row],[AREA]],Hoja1!A:B,2,FALSE)</f>
        <v>03. Participación ciudadana y deportes</v>
      </c>
      <c r="U626" s="35" t="str">
        <f>MID(Tabla1[[#This Row],[Aplicación]],9,4)</f>
        <v>9241</v>
      </c>
      <c r="V626" s="35" t="str">
        <f>VLOOKUP(Tabla1[[#This Row],[PROGRAMA]],Hoja1!A:B,2,FALSE)</f>
        <v>9241. Participación ciudadana</v>
      </c>
      <c r="W626" s="56" t="str">
        <f>MID(Tabla1[[#This Row],[Aplicación]],14,2)</f>
        <v>21</v>
      </c>
      <c r="X626" s="56" t="str">
        <f>MID(Tabla1[[#This Row],[Aplicación]],14,6)</f>
        <v>213</v>
      </c>
    </row>
    <row r="627" spans="1:24" x14ac:dyDescent="0.25">
      <c r="A627" s="46">
        <v>220230001825</v>
      </c>
      <c r="B627" s="47" t="s">
        <v>1249</v>
      </c>
      <c r="C627" s="52">
        <v>44960</v>
      </c>
      <c r="D627" s="46">
        <v>22023002018</v>
      </c>
      <c r="E627" s="47" t="s">
        <v>835</v>
      </c>
      <c r="F627" s="53">
        <v>3619.99</v>
      </c>
      <c r="G627" s="47" t="s">
        <v>65</v>
      </c>
      <c r="H627" s="47" t="s">
        <v>1682</v>
      </c>
      <c r="I627" s="46" t="s">
        <v>1251</v>
      </c>
      <c r="J627" s="47" t="s">
        <v>519</v>
      </c>
      <c r="K627" s="47" t="s">
        <v>519</v>
      </c>
      <c r="L627" s="47" t="s">
        <v>520</v>
      </c>
      <c r="M627" s="47" t="s">
        <v>514</v>
      </c>
      <c r="N627" s="47" t="s">
        <v>515</v>
      </c>
      <c r="O627" s="45" t="s">
        <v>371</v>
      </c>
      <c r="P627" s="44" t="s">
        <v>309</v>
      </c>
      <c r="Q627" s="59" t="str">
        <f>MID(Tabla1[[#This Row],[Aplicación]],14,1)</f>
        <v>2</v>
      </c>
      <c r="R627" s="35" t="s">
        <v>298</v>
      </c>
      <c r="S627" s="59" t="str">
        <f>MID(Tabla1[[#This Row],[Aplicación]],6,2)</f>
        <v>05</v>
      </c>
      <c r="T627" s="35" t="str">
        <f>VLOOKUP(Tabla1[[#This Row],[AREA]],Hoja1!A:B,2,FALSE)</f>
        <v>05. Innovación, desarrollo económico, empleo y comercio</v>
      </c>
      <c r="U627" s="35" t="str">
        <f>MID(Tabla1[[#This Row],[Aplicación]],9,4)</f>
        <v>4331</v>
      </c>
      <c r="V627" s="35" t="str">
        <f>VLOOKUP(Tabla1[[#This Row],[PROGRAMA]],Hoja1!A:B,2,FALSE)</f>
        <v>4331. Desarrollo empresarial</v>
      </c>
      <c r="W627" s="56" t="str">
        <f>MID(Tabla1[[#This Row],[Aplicación]],14,2)</f>
        <v>22</v>
      </c>
      <c r="X627" s="56" t="str">
        <f>MID(Tabla1[[#This Row],[Aplicación]],14,6)</f>
        <v>22799</v>
      </c>
    </row>
    <row r="628" spans="1:24" x14ac:dyDescent="0.25">
      <c r="A628" s="46">
        <v>220230001984</v>
      </c>
      <c r="B628" s="47" t="s">
        <v>507</v>
      </c>
      <c r="C628" s="52">
        <v>44960</v>
      </c>
      <c r="D628" s="46">
        <v>22023001564</v>
      </c>
      <c r="E628" s="47" t="s">
        <v>1683</v>
      </c>
      <c r="F628" s="53">
        <v>4000</v>
      </c>
      <c r="G628" s="47" t="s">
        <v>119</v>
      </c>
      <c r="H628" s="47" t="s">
        <v>1684</v>
      </c>
      <c r="I628" s="46" t="s">
        <v>511</v>
      </c>
      <c r="J628" s="47" t="s">
        <v>519</v>
      </c>
      <c r="K628" s="47" t="s">
        <v>519</v>
      </c>
      <c r="L628" s="47" t="s">
        <v>520</v>
      </c>
      <c r="M628" s="47" t="s">
        <v>976</v>
      </c>
      <c r="N628" s="47" t="s">
        <v>839</v>
      </c>
      <c r="O628" s="45" t="s">
        <v>383</v>
      </c>
      <c r="P628" s="44" t="s">
        <v>309</v>
      </c>
      <c r="Q628" s="59" t="str">
        <f>MID(Tabla1[[#This Row],[Aplicación]],14,1)</f>
        <v>2</v>
      </c>
      <c r="R628" s="35" t="s">
        <v>298</v>
      </c>
      <c r="S628" s="59" t="str">
        <f>MID(Tabla1[[#This Row],[Aplicación]],6,2)</f>
        <v>11</v>
      </c>
      <c r="T628" s="35" t="str">
        <f>VLOOKUP(Tabla1[[#This Row],[AREA]],Hoja1!A:B,2,FALSE)</f>
        <v>11. Salud pública y seguridad ciudadana</v>
      </c>
      <c r="U628" s="35" t="str">
        <f>MID(Tabla1[[#This Row],[Aplicación]],9,4)</f>
        <v>1631</v>
      </c>
      <c r="V628" s="35" t="str">
        <f>VLOOKUP(Tabla1[[#This Row],[PROGRAMA]],Hoja1!A:B,2,FALSE)</f>
        <v>1631. Limpieza viaria</v>
      </c>
      <c r="W628" s="56" t="str">
        <f>MID(Tabla1[[#This Row],[Aplicación]],14,2)</f>
        <v>21</v>
      </c>
      <c r="X628" s="56" t="str">
        <f>MID(Tabla1[[#This Row],[Aplicación]],14,6)</f>
        <v>214</v>
      </c>
    </row>
    <row r="629" spans="1:24" x14ac:dyDescent="0.25">
      <c r="A629" s="46">
        <v>220230001789</v>
      </c>
      <c r="B629" s="47" t="s">
        <v>507</v>
      </c>
      <c r="C629" s="52">
        <v>44960</v>
      </c>
      <c r="D629" s="46">
        <v>22023000078</v>
      </c>
      <c r="E629" s="47" t="s">
        <v>1685</v>
      </c>
      <c r="F629" s="53">
        <v>1385.45</v>
      </c>
      <c r="G629" s="47" t="s">
        <v>1686</v>
      </c>
      <c r="H629" s="47" t="s">
        <v>1687</v>
      </c>
      <c r="I629" s="46" t="s">
        <v>511</v>
      </c>
      <c r="J629" s="47" t="s">
        <v>519</v>
      </c>
      <c r="K629" s="47" t="s">
        <v>519</v>
      </c>
      <c r="L629" s="47" t="s">
        <v>520</v>
      </c>
      <c r="M629" s="47" t="s">
        <v>976</v>
      </c>
      <c r="N629" s="47" t="s">
        <v>839</v>
      </c>
      <c r="O629" s="45" t="s">
        <v>383</v>
      </c>
      <c r="P629" s="44" t="s">
        <v>309</v>
      </c>
      <c r="Q629" s="59" t="str">
        <f>MID(Tabla1[[#This Row],[Aplicación]],14,1)</f>
        <v>2</v>
      </c>
      <c r="R629" s="35" t="s">
        <v>298</v>
      </c>
      <c r="S629" s="59" t="str">
        <f>MID(Tabla1[[#This Row],[Aplicación]],6,2)</f>
        <v>09</v>
      </c>
      <c r="T629" s="35" t="str">
        <f>VLOOKUP(Tabla1[[#This Row],[AREA]],Hoja1!A:B,2,FALSE)</f>
        <v>09. Cultura y turismo</v>
      </c>
      <c r="U629" s="35" t="str">
        <f>MID(Tabla1[[#This Row],[Aplicación]],9,4)</f>
        <v>3301</v>
      </c>
      <c r="V629" s="35" t="str">
        <f>VLOOKUP(Tabla1[[#This Row],[PROGRAMA]],Hoja1!A:B,2,FALSE)</f>
        <v>3301. Dirección del área de cultura</v>
      </c>
      <c r="W629" s="56" t="str">
        <f>MID(Tabla1[[#This Row],[Aplicación]],14,2)</f>
        <v>22</v>
      </c>
      <c r="X629" s="56" t="str">
        <f>MID(Tabla1[[#This Row],[Aplicación]],14,6)</f>
        <v>22699</v>
      </c>
    </row>
    <row r="630" spans="1:24" x14ac:dyDescent="0.25">
      <c r="A630" s="46">
        <v>220230001946</v>
      </c>
      <c r="B630" s="47" t="s">
        <v>507</v>
      </c>
      <c r="C630" s="52">
        <v>44960</v>
      </c>
      <c r="D630" s="46">
        <v>22023001409</v>
      </c>
      <c r="E630" s="47" t="s">
        <v>1688</v>
      </c>
      <c r="F630" s="53">
        <v>2925</v>
      </c>
      <c r="G630" s="47" t="s">
        <v>1689</v>
      </c>
      <c r="H630" s="47" t="s">
        <v>1690</v>
      </c>
      <c r="I630" s="46" t="s">
        <v>511</v>
      </c>
      <c r="J630" s="47" t="s">
        <v>1691</v>
      </c>
      <c r="K630" s="47" t="s">
        <v>519</v>
      </c>
      <c r="L630" s="47" t="s">
        <v>652</v>
      </c>
      <c r="M630" s="47" t="s">
        <v>976</v>
      </c>
      <c r="N630" s="47" t="s">
        <v>839</v>
      </c>
      <c r="O630" s="45" t="s">
        <v>383</v>
      </c>
      <c r="P630" s="44" t="s">
        <v>309</v>
      </c>
      <c r="Q630" s="59" t="str">
        <f>MID(Tabla1[[#This Row],[Aplicación]],14,1)</f>
        <v>2</v>
      </c>
      <c r="R630" s="35" t="s">
        <v>298</v>
      </c>
      <c r="S630" s="59" t="str">
        <f>MID(Tabla1[[#This Row],[Aplicación]],6,2)</f>
        <v>06</v>
      </c>
      <c r="T630" s="35" t="str">
        <f>VLOOKUP(Tabla1[[#This Row],[AREA]],Hoja1!A:B,2,FALSE)</f>
        <v>06. Educación, infancia, juventud e igualdad</v>
      </c>
      <c r="U630" s="35" t="str">
        <f>MID(Tabla1[[#This Row],[Aplicación]],9,4)</f>
        <v>3261</v>
      </c>
      <c r="V630" s="35" t="str">
        <f>VLOOKUP(Tabla1[[#This Row],[PROGRAMA]],Hoja1!A:B,2,FALSE)</f>
        <v>3261. Servicios complementarios de educación</v>
      </c>
      <c r="W630" s="56" t="str">
        <f>MID(Tabla1[[#This Row],[Aplicación]],14,2)</f>
        <v>22</v>
      </c>
      <c r="X630" s="56" t="str">
        <f>MID(Tabla1[[#This Row],[Aplicación]],14,6)</f>
        <v>22699</v>
      </c>
    </row>
    <row r="631" spans="1:24" x14ac:dyDescent="0.25">
      <c r="A631" s="46">
        <v>220230002007</v>
      </c>
      <c r="B631" s="47" t="s">
        <v>507</v>
      </c>
      <c r="C631" s="52">
        <v>44960</v>
      </c>
      <c r="D631" s="46">
        <v>22023001497</v>
      </c>
      <c r="E631" s="47" t="s">
        <v>1627</v>
      </c>
      <c r="F631" s="53">
        <v>129.56</v>
      </c>
      <c r="G631" s="47" t="s">
        <v>113</v>
      </c>
      <c r="H631" s="47" t="s">
        <v>1692</v>
      </c>
      <c r="I631" s="46" t="s">
        <v>511</v>
      </c>
      <c r="J631" s="47" t="s">
        <v>519</v>
      </c>
      <c r="K631" s="47" t="s">
        <v>519</v>
      </c>
      <c r="L631" s="47" t="s">
        <v>552</v>
      </c>
      <c r="M631" s="47" t="s">
        <v>976</v>
      </c>
      <c r="N631" s="47" t="s">
        <v>839</v>
      </c>
      <c r="O631" s="45" t="s">
        <v>383</v>
      </c>
      <c r="P631" s="44" t="s">
        <v>309</v>
      </c>
      <c r="Q631" s="59" t="str">
        <f>MID(Tabla1[[#This Row],[Aplicación]],14,1)</f>
        <v>2</v>
      </c>
      <c r="R631" s="35" t="s">
        <v>298</v>
      </c>
      <c r="S631" s="59" t="str">
        <f>MID(Tabla1[[#This Row],[Aplicación]],6,2)</f>
        <v>03</v>
      </c>
      <c r="T631" s="35" t="str">
        <f>VLOOKUP(Tabla1[[#This Row],[AREA]],Hoja1!A:B,2,FALSE)</f>
        <v>03. Participación ciudadana y deportes</v>
      </c>
      <c r="U631" s="35" t="str">
        <f>MID(Tabla1[[#This Row],[Aplicación]],9,4)</f>
        <v>9241</v>
      </c>
      <c r="V631" s="35" t="str">
        <f>VLOOKUP(Tabla1[[#This Row],[PROGRAMA]],Hoja1!A:B,2,FALSE)</f>
        <v>9241. Participación ciudadana</v>
      </c>
      <c r="W631" s="56" t="str">
        <f>MID(Tabla1[[#This Row],[Aplicación]],14,2)</f>
        <v>22</v>
      </c>
      <c r="X631" s="56" t="str">
        <f>MID(Tabla1[[#This Row],[Aplicación]],14,6)</f>
        <v>22199</v>
      </c>
    </row>
    <row r="632" spans="1:24" x14ac:dyDescent="0.25">
      <c r="A632" s="46">
        <v>220230001973</v>
      </c>
      <c r="B632" s="47" t="s">
        <v>507</v>
      </c>
      <c r="C632" s="52">
        <v>44960</v>
      </c>
      <c r="D632" s="46">
        <v>22023001494</v>
      </c>
      <c r="E632" s="47" t="s">
        <v>659</v>
      </c>
      <c r="F632" s="53">
        <v>5445</v>
      </c>
      <c r="G632" s="47" t="s">
        <v>120</v>
      </c>
      <c r="H632" s="47" t="s">
        <v>1693</v>
      </c>
      <c r="I632" s="46" t="s">
        <v>511</v>
      </c>
      <c r="J632" s="47" t="s">
        <v>519</v>
      </c>
      <c r="K632" s="47" t="s">
        <v>519</v>
      </c>
      <c r="L632" s="47" t="s">
        <v>520</v>
      </c>
      <c r="M632" s="47" t="s">
        <v>976</v>
      </c>
      <c r="N632" s="47" t="s">
        <v>839</v>
      </c>
      <c r="O632" s="45" t="s">
        <v>383</v>
      </c>
      <c r="P632" s="44" t="s">
        <v>309</v>
      </c>
      <c r="Q632" s="59" t="str">
        <f>MID(Tabla1[[#This Row],[Aplicación]],14,1)</f>
        <v>2</v>
      </c>
      <c r="R632" s="35" t="s">
        <v>298</v>
      </c>
      <c r="S632" s="59" t="str">
        <f>MID(Tabla1[[#This Row],[Aplicación]],6,2)</f>
        <v>11</v>
      </c>
      <c r="T632" s="35" t="str">
        <f>VLOOKUP(Tabla1[[#This Row],[AREA]],Hoja1!A:B,2,FALSE)</f>
        <v>11. Salud pública y seguridad ciudadana</v>
      </c>
      <c r="U632" s="35" t="str">
        <f>MID(Tabla1[[#This Row],[Aplicación]],9,4)</f>
        <v>1321</v>
      </c>
      <c r="V632" s="35" t="str">
        <f>VLOOKUP(Tabla1[[#This Row],[PROGRAMA]],Hoja1!A:B,2,FALSE)</f>
        <v>1321. Policía municipal</v>
      </c>
      <c r="W632" s="56" t="str">
        <f>MID(Tabla1[[#This Row],[Aplicación]],14,2)</f>
        <v>21</v>
      </c>
      <c r="X632" s="56" t="str">
        <f>MID(Tabla1[[#This Row],[Aplicación]],14,6)</f>
        <v>213</v>
      </c>
    </row>
    <row r="633" spans="1:24" x14ac:dyDescent="0.25">
      <c r="A633" s="46">
        <v>220230001975</v>
      </c>
      <c r="B633" s="47" t="s">
        <v>507</v>
      </c>
      <c r="C633" s="52">
        <v>44960</v>
      </c>
      <c r="D633" s="46">
        <v>22023001535</v>
      </c>
      <c r="E633" s="47" t="s">
        <v>1694</v>
      </c>
      <c r="F633" s="53">
        <v>1000</v>
      </c>
      <c r="G633" s="47" t="s">
        <v>1695</v>
      </c>
      <c r="H633" s="47" t="s">
        <v>1696</v>
      </c>
      <c r="I633" s="46" t="s">
        <v>511</v>
      </c>
      <c r="J633" s="47" t="s">
        <v>519</v>
      </c>
      <c r="K633" s="47" t="s">
        <v>519</v>
      </c>
      <c r="L633" s="47" t="s">
        <v>520</v>
      </c>
      <c r="M633" s="47" t="s">
        <v>976</v>
      </c>
      <c r="N633" s="47" t="s">
        <v>839</v>
      </c>
      <c r="O633" s="45" t="s">
        <v>383</v>
      </c>
      <c r="P633" s="44" t="s">
        <v>309</v>
      </c>
      <c r="Q633" s="59" t="str">
        <f>MID(Tabla1[[#This Row],[Aplicación]],14,1)</f>
        <v>2</v>
      </c>
      <c r="R633" s="35" t="s">
        <v>298</v>
      </c>
      <c r="S633" s="59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35" t="str">
        <f>MID(Tabla1[[#This Row],[Aplicación]],9,4)</f>
        <v>1321</v>
      </c>
      <c r="V633" s="35" t="str">
        <f>VLOOKUP(Tabla1[[#This Row],[PROGRAMA]],Hoja1!A:B,2,FALSE)</f>
        <v>1321. Policía municipal</v>
      </c>
      <c r="W633" s="56" t="str">
        <f>MID(Tabla1[[#This Row],[Aplicación]],14,2)</f>
        <v>21</v>
      </c>
      <c r="X633" s="56" t="str">
        <f>MID(Tabla1[[#This Row],[Aplicación]],14,6)</f>
        <v>214</v>
      </c>
    </row>
    <row r="634" spans="1:24" x14ac:dyDescent="0.25">
      <c r="A634" s="46">
        <v>220230001971</v>
      </c>
      <c r="B634" s="47" t="s">
        <v>507</v>
      </c>
      <c r="C634" s="52">
        <v>44960</v>
      </c>
      <c r="D634" s="46">
        <v>22023001488</v>
      </c>
      <c r="E634" s="47" t="s">
        <v>1694</v>
      </c>
      <c r="F634" s="53">
        <v>2120</v>
      </c>
      <c r="G634" s="47" t="s">
        <v>1695</v>
      </c>
      <c r="H634" s="47" t="s">
        <v>1697</v>
      </c>
      <c r="I634" s="46" t="s">
        <v>511</v>
      </c>
      <c r="J634" s="47" t="s">
        <v>519</v>
      </c>
      <c r="K634" s="47" t="s">
        <v>519</v>
      </c>
      <c r="L634" s="47" t="s">
        <v>520</v>
      </c>
      <c r="M634" s="47" t="s">
        <v>976</v>
      </c>
      <c r="N634" s="47" t="s">
        <v>839</v>
      </c>
      <c r="O634" s="45" t="s">
        <v>383</v>
      </c>
      <c r="P634" s="44" t="s">
        <v>309</v>
      </c>
      <c r="Q634" s="59" t="str">
        <f>MID(Tabla1[[#This Row],[Aplicación]],14,1)</f>
        <v>2</v>
      </c>
      <c r="R634" s="35" t="s">
        <v>298</v>
      </c>
      <c r="S634" s="59" t="str">
        <f>MID(Tabla1[[#This Row],[Aplicación]],6,2)</f>
        <v>11</v>
      </c>
      <c r="T634" s="35" t="str">
        <f>VLOOKUP(Tabla1[[#This Row],[AREA]],Hoja1!A:B,2,FALSE)</f>
        <v>11. Salud pública y seguridad ciudadana</v>
      </c>
      <c r="U634" s="35" t="str">
        <f>MID(Tabla1[[#This Row],[Aplicación]],9,4)</f>
        <v>1321</v>
      </c>
      <c r="V634" s="35" t="str">
        <f>VLOOKUP(Tabla1[[#This Row],[PROGRAMA]],Hoja1!A:B,2,FALSE)</f>
        <v>1321. Policía municipal</v>
      </c>
      <c r="W634" s="56" t="str">
        <f>MID(Tabla1[[#This Row],[Aplicación]],14,2)</f>
        <v>21</v>
      </c>
      <c r="X634" s="56" t="str">
        <f>MID(Tabla1[[#This Row],[Aplicación]],14,6)</f>
        <v>214</v>
      </c>
    </row>
    <row r="635" spans="1:24" x14ac:dyDescent="0.25">
      <c r="A635" s="46">
        <v>220230001777</v>
      </c>
      <c r="B635" s="47" t="s">
        <v>507</v>
      </c>
      <c r="C635" s="52">
        <v>44960</v>
      </c>
      <c r="D635" s="46">
        <v>22023000018</v>
      </c>
      <c r="E635" s="47" t="s">
        <v>613</v>
      </c>
      <c r="F635" s="53">
        <v>3902.25</v>
      </c>
      <c r="G635" s="47" t="s">
        <v>389</v>
      </c>
      <c r="H635" s="47" t="s">
        <v>1698</v>
      </c>
      <c r="I635" s="46" t="s">
        <v>511</v>
      </c>
      <c r="J635" s="47" t="s">
        <v>1699</v>
      </c>
      <c r="K635" s="47" t="s">
        <v>519</v>
      </c>
      <c r="L635" s="47" t="s">
        <v>520</v>
      </c>
      <c r="M635" s="47" t="s">
        <v>976</v>
      </c>
      <c r="N635" s="47" t="s">
        <v>839</v>
      </c>
      <c r="O635" s="45" t="s">
        <v>383</v>
      </c>
      <c r="P635" s="44" t="s">
        <v>309</v>
      </c>
      <c r="Q635" s="59" t="str">
        <f>MID(Tabla1[[#This Row],[Aplicación]],14,1)</f>
        <v>2</v>
      </c>
      <c r="R635" s="35" t="s">
        <v>298</v>
      </c>
      <c r="S635" s="59" t="str">
        <f>MID(Tabla1[[#This Row],[Aplicación]],6,2)</f>
        <v>10</v>
      </c>
      <c r="T635" s="35" t="str">
        <f>VLOOKUP(Tabla1[[#This Row],[AREA]],Hoja1!A:B,2,FALSE)</f>
        <v>10. Servicios sociales y mediación comunitaria</v>
      </c>
      <c r="U635" s="35" t="str">
        <f>MID(Tabla1[[#This Row],[Aplicación]],9,4)</f>
        <v>2312</v>
      </c>
      <c r="V635" s="35" t="str">
        <f>VLOOKUP(Tabla1[[#This Row],[PROGRAMA]],Hoja1!A:B,2,FALSE)</f>
        <v>2312. Iniciativas sociales</v>
      </c>
      <c r="W635" s="56" t="str">
        <f>MID(Tabla1[[#This Row],[Aplicación]],14,2)</f>
        <v>21</v>
      </c>
      <c r="X635" s="56" t="str">
        <f>MID(Tabla1[[#This Row],[Aplicación]],14,6)</f>
        <v>213</v>
      </c>
    </row>
    <row r="636" spans="1:24" x14ac:dyDescent="0.25">
      <c r="A636" s="46">
        <v>220230001778</v>
      </c>
      <c r="B636" s="47" t="s">
        <v>507</v>
      </c>
      <c r="C636" s="52">
        <v>44960</v>
      </c>
      <c r="D636" s="46">
        <v>22023000019</v>
      </c>
      <c r="E636" s="47" t="s">
        <v>613</v>
      </c>
      <c r="F636" s="53">
        <v>1542.75</v>
      </c>
      <c r="G636" s="47" t="s">
        <v>389</v>
      </c>
      <c r="H636" s="47" t="s">
        <v>1700</v>
      </c>
      <c r="I636" s="46" t="s">
        <v>511</v>
      </c>
      <c r="J636" s="47" t="s">
        <v>1699</v>
      </c>
      <c r="K636" s="47" t="s">
        <v>519</v>
      </c>
      <c r="L636" s="47" t="s">
        <v>520</v>
      </c>
      <c r="M636" s="47" t="s">
        <v>976</v>
      </c>
      <c r="N636" s="47" t="s">
        <v>839</v>
      </c>
      <c r="O636" s="45" t="s">
        <v>383</v>
      </c>
      <c r="P636" s="44" t="s">
        <v>309</v>
      </c>
      <c r="Q636" s="59" t="str">
        <f>MID(Tabla1[[#This Row],[Aplicación]],14,1)</f>
        <v>2</v>
      </c>
      <c r="R636" s="35" t="s">
        <v>298</v>
      </c>
      <c r="S636" s="59" t="str">
        <f>MID(Tabla1[[#This Row],[Aplicación]],6,2)</f>
        <v>10</v>
      </c>
      <c r="T636" s="35" t="str">
        <f>VLOOKUP(Tabla1[[#This Row],[AREA]],Hoja1!A:B,2,FALSE)</f>
        <v>10. Servicios sociales y mediación comunitaria</v>
      </c>
      <c r="U636" s="35" t="str">
        <f>MID(Tabla1[[#This Row],[Aplicación]],9,4)</f>
        <v>2312</v>
      </c>
      <c r="V636" s="35" t="str">
        <f>VLOOKUP(Tabla1[[#This Row],[PROGRAMA]],Hoja1!A:B,2,FALSE)</f>
        <v>2312. Iniciativas sociales</v>
      </c>
      <c r="W636" s="56" t="str">
        <f>MID(Tabla1[[#This Row],[Aplicación]],14,2)</f>
        <v>21</v>
      </c>
      <c r="X636" s="56" t="str">
        <f>MID(Tabla1[[#This Row],[Aplicación]],14,6)</f>
        <v>213</v>
      </c>
    </row>
    <row r="637" spans="1:24" x14ac:dyDescent="0.25">
      <c r="A637" s="46">
        <v>220230002024</v>
      </c>
      <c r="B637" s="47" t="s">
        <v>507</v>
      </c>
      <c r="C637" s="52">
        <v>44960</v>
      </c>
      <c r="D637" s="46">
        <v>22023001645</v>
      </c>
      <c r="E637" s="47" t="s">
        <v>736</v>
      </c>
      <c r="F637" s="53">
        <v>3000</v>
      </c>
      <c r="G637" s="47" t="s">
        <v>1701</v>
      </c>
      <c r="H637" s="47" t="s">
        <v>1702</v>
      </c>
      <c r="I637" s="46" t="s">
        <v>511</v>
      </c>
      <c r="J637" s="47" t="s">
        <v>519</v>
      </c>
      <c r="K637" s="47" t="s">
        <v>519</v>
      </c>
      <c r="L637" s="47" t="s">
        <v>520</v>
      </c>
      <c r="M637" s="47" t="s">
        <v>976</v>
      </c>
      <c r="N637" s="47" t="s">
        <v>839</v>
      </c>
      <c r="O637" s="45" t="s">
        <v>383</v>
      </c>
      <c r="P637" s="44" t="s">
        <v>309</v>
      </c>
      <c r="Q637" s="59" t="str">
        <f>MID(Tabla1[[#This Row],[Aplicación]],14,1)</f>
        <v>2</v>
      </c>
      <c r="R637" s="35" t="s">
        <v>298</v>
      </c>
      <c r="S637" s="59" t="str">
        <f>MID(Tabla1[[#This Row],[Aplicación]],6,2)</f>
        <v>06</v>
      </c>
      <c r="T637" s="35" t="str">
        <f>VLOOKUP(Tabla1[[#This Row],[AREA]],Hoja1!A:B,2,FALSE)</f>
        <v>06. Educación, infancia, juventud e igualdad</v>
      </c>
      <c r="U637" s="35" t="str">
        <f>MID(Tabla1[[#This Row],[Aplicación]],9,4)</f>
        <v>3261</v>
      </c>
      <c r="V637" s="35" t="str">
        <f>VLOOKUP(Tabla1[[#This Row],[PROGRAMA]],Hoja1!A:B,2,FALSE)</f>
        <v>3261. Servicios complementarios de educación</v>
      </c>
      <c r="W637" s="56" t="str">
        <f>MID(Tabla1[[#This Row],[Aplicación]],14,2)</f>
        <v>22</v>
      </c>
      <c r="X637" s="56" t="str">
        <f>MID(Tabla1[[#This Row],[Aplicación]],14,6)</f>
        <v>22799</v>
      </c>
    </row>
    <row r="638" spans="1:24" x14ac:dyDescent="0.25">
      <c r="A638" s="46">
        <v>220230001805</v>
      </c>
      <c r="B638" s="47" t="s">
        <v>507</v>
      </c>
      <c r="C638" s="52">
        <v>44960</v>
      </c>
      <c r="D638" s="46">
        <v>22023000647</v>
      </c>
      <c r="E638" s="47" t="s">
        <v>665</v>
      </c>
      <c r="F638" s="53">
        <v>1372.14</v>
      </c>
      <c r="G638" s="47" t="s">
        <v>421</v>
      </c>
      <c r="H638" s="47" t="s">
        <v>1703</v>
      </c>
      <c r="I638" s="46" t="s">
        <v>511</v>
      </c>
      <c r="J638" s="47" t="s">
        <v>519</v>
      </c>
      <c r="K638" s="47" t="s">
        <v>519</v>
      </c>
      <c r="L638" s="47" t="s">
        <v>552</v>
      </c>
      <c r="M638" s="47" t="s">
        <v>976</v>
      </c>
      <c r="N638" s="47" t="s">
        <v>839</v>
      </c>
      <c r="O638" s="45" t="s">
        <v>383</v>
      </c>
      <c r="P638" s="44" t="s">
        <v>309</v>
      </c>
      <c r="Q638" s="59" t="str">
        <f>MID(Tabla1[[#This Row],[Aplicación]],14,1)</f>
        <v>2</v>
      </c>
      <c r="R638" s="35" t="s">
        <v>298</v>
      </c>
      <c r="S638" s="59" t="str">
        <f>MID(Tabla1[[#This Row],[Aplicación]],6,2)</f>
        <v>08</v>
      </c>
      <c r="T638" s="35" t="str">
        <f>VLOOKUP(Tabla1[[#This Row],[AREA]],Hoja1!A:B,2,FALSE)</f>
        <v>08. Movilidad y espacio urbano</v>
      </c>
      <c r="U638" s="35" t="str">
        <f>MID(Tabla1[[#This Row],[Aplicación]],9,4)</f>
        <v>1532</v>
      </c>
      <c r="V638" s="35" t="str">
        <f>VLOOKUP(Tabla1[[#This Row],[PROGRAMA]],Hoja1!A:B,2,FALSE)</f>
        <v>1532. Pavimentación vias públicas y otros servicios urbanísticos</v>
      </c>
      <c r="W638" s="56" t="str">
        <f>MID(Tabla1[[#This Row],[Aplicación]],14,2)</f>
        <v>21</v>
      </c>
      <c r="X638" s="56" t="str">
        <f>MID(Tabla1[[#This Row],[Aplicación]],14,6)</f>
        <v>213</v>
      </c>
    </row>
    <row r="639" spans="1:24" x14ac:dyDescent="0.25">
      <c r="A639" s="46">
        <v>220230001997</v>
      </c>
      <c r="B639" s="47" t="s">
        <v>507</v>
      </c>
      <c r="C639" s="52">
        <v>44960</v>
      </c>
      <c r="D639" s="46">
        <v>22023001686</v>
      </c>
      <c r="E639" s="47" t="s">
        <v>665</v>
      </c>
      <c r="F639" s="53">
        <v>2904</v>
      </c>
      <c r="G639" s="47" t="s">
        <v>421</v>
      </c>
      <c r="H639" s="47" t="s">
        <v>1704</v>
      </c>
      <c r="I639" s="46" t="s">
        <v>511</v>
      </c>
      <c r="J639" s="47" t="s">
        <v>519</v>
      </c>
      <c r="K639" s="47" t="s">
        <v>519</v>
      </c>
      <c r="L639" s="47" t="s">
        <v>520</v>
      </c>
      <c r="M639" s="47" t="s">
        <v>976</v>
      </c>
      <c r="N639" s="47" t="s">
        <v>839</v>
      </c>
      <c r="O639" s="45" t="s">
        <v>383</v>
      </c>
      <c r="P639" s="44" t="s">
        <v>309</v>
      </c>
      <c r="Q639" s="59" t="str">
        <f>MID(Tabla1[[#This Row],[Aplicación]],14,1)</f>
        <v>2</v>
      </c>
      <c r="R639" s="35" t="s">
        <v>298</v>
      </c>
      <c r="S639" s="59" t="str">
        <f>MID(Tabla1[[#This Row],[Aplicación]],6,2)</f>
        <v>08</v>
      </c>
      <c r="T639" s="35" t="str">
        <f>VLOOKUP(Tabla1[[#This Row],[AREA]],Hoja1!A:B,2,FALSE)</f>
        <v>08. Movilidad y espacio urbano</v>
      </c>
      <c r="U639" s="35" t="str">
        <f>MID(Tabla1[[#This Row],[Aplicación]],9,4)</f>
        <v>1532</v>
      </c>
      <c r="V639" s="35" t="str">
        <f>VLOOKUP(Tabla1[[#This Row],[PROGRAMA]],Hoja1!A:B,2,FALSE)</f>
        <v>1532. Pavimentación vias públicas y otros servicios urbanísticos</v>
      </c>
      <c r="W639" s="56" t="str">
        <f>MID(Tabla1[[#This Row],[Aplicación]],14,2)</f>
        <v>21</v>
      </c>
      <c r="X639" s="56" t="str">
        <f>MID(Tabla1[[#This Row],[Aplicación]],14,6)</f>
        <v>213</v>
      </c>
    </row>
    <row r="640" spans="1:24" x14ac:dyDescent="0.25">
      <c r="A640" s="46">
        <v>220230002003</v>
      </c>
      <c r="B640" s="47" t="s">
        <v>507</v>
      </c>
      <c r="C640" s="52">
        <v>44960</v>
      </c>
      <c r="D640" s="46">
        <v>22023001427</v>
      </c>
      <c r="E640" s="47" t="s">
        <v>1479</v>
      </c>
      <c r="F640" s="53">
        <v>400</v>
      </c>
      <c r="G640" s="47" t="s">
        <v>475</v>
      </c>
      <c r="H640" s="47" t="s">
        <v>1705</v>
      </c>
      <c r="I640" s="46" t="s">
        <v>511</v>
      </c>
      <c r="J640" s="47" t="s">
        <v>519</v>
      </c>
      <c r="K640" s="47" t="s">
        <v>519</v>
      </c>
      <c r="L640" s="47" t="s">
        <v>520</v>
      </c>
      <c r="M640" s="47" t="s">
        <v>976</v>
      </c>
      <c r="N640" s="47" t="s">
        <v>839</v>
      </c>
      <c r="O640" s="45" t="s">
        <v>383</v>
      </c>
      <c r="P640" s="44" t="s">
        <v>309</v>
      </c>
      <c r="Q640" s="59" t="str">
        <f>MID(Tabla1[[#This Row],[Aplicación]],14,1)</f>
        <v>2</v>
      </c>
      <c r="R640" s="35" t="s">
        <v>298</v>
      </c>
      <c r="S640" s="59" t="str">
        <f>MID(Tabla1[[#This Row],[Aplicación]],6,2)</f>
        <v>03</v>
      </c>
      <c r="T640" s="35" t="str">
        <f>VLOOKUP(Tabla1[[#This Row],[AREA]],Hoja1!A:B,2,FALSE)</f>
        <v>03. Participación ciudadana y deportes</v>
      </c>
      <c r="U640" s="35" t="str">
        <f>MID(Tabla1[[#This Row],[Aplicación]],9,4)</f>
        <v>9241</v>
      </c>
      <c r="V640" s="35" t="str">
        <f>VLOOKUP(Tabla1[[#This Row],[PROGRAMA]],Hoja1!A:B,2,FALSE)</f>
        <v>9241. Participación ciudadana</v>
      </c>
      <c r="W640" s="56" t="str">
        <f>MID(Tabla1[[#This Row],[Aplicación]],14,2)</f>
        <v>22</v>
      </c>
      <c r="X640" s="56" t="str">
        <f>MID(Tabla1[[#This Row],[Aplicación]],14,6)</f>
        <v>22609</v>
      </c>
    </row>
    <row r="641" spans="1:24" x14ac:dyDescent="0.25">
      <c r="A641" s="46">
        <v>220230001784</v>
      </c>
      <c r="B641" s="47" t="s">
        <v>507</v>
      </c>
      <c r="C641" s="52">
        <v>44960</v>
      </c>
      <c r="D641" s="46">
        <v>22023000040</v>
      </c>
      <c r="E641" s="47" t="s">
        <v>1532</v>
      </c>
      <c r="F641" s="53">
        <v>1369.68</v>
      </c>
      <c r="G641" s="47" t="s">
        <v>1706</v>
      </c>
      <c r="H641" s="47" t="s">
        <v>1707</v>
      </c>
      <c r="I641" s="46" t="s">
        <v>511</v>
      </c>
      <c r="J641" s="47" t="s">
        <v>519</v>
      </c>
      <c r="K641" s="47" t="s">
        <v>519</v>
      </c>
      <c r="L641" s="47" t="s">
        <v>652</v>
      </c>
      <c r="M641" s="47" t="s">
        <v>976</v>
      </c>
      <c r="N641" s="47" t="s">
        <v>839</v>
      </c>
      <c r="O641" s="45" t="s">
        <v>383</v>
      </c>
      <c r="P641" s="44" t="s">
        <v>309</v>
      </c>
      <c r="Q641" s="59" t="str">
        <f>MID(Tabla1[[#This Row],[Aplicación]],14,1)</f>
        <v>2</v>
      </c>
      <c r="R641" s="35" t="s">
        <v>298</v>
      </c>
      <c r="S641" s="59" t="str">
        <f>MID(Tabla1[[#This Row],[Aplicación]],6,2)</f>
        <v>09</v>
      </c>
      <c r="T641" s="35" t="str">
        <f>VLOOKUP(Tabla1[[#This Row],[AREA]],Hoja1!A:B,2,FALSE)</f>
        <v>09. Cultura y turismo</v>
      </c>
      <c r="U641" s="35" t="str">
        <f>MID(Tabla1[[#This Row],[Aplicación]],9,4)</f>
        <v>3341</v>
      </c>
      <c r="V641" s="35" t="str">
        <f>VLOOKUP(Tabla1[[#This Row],[PROGRAMA]],Hoja1!A:B,2,FALSE)</f>
        <v>3341. Coordinación de políticas culturales</v>
      </c>
      <c r="W641" s="56" t="str">
        <f>MID(Tabla1[[#This Row],[Aplicación]],14,2)</f>
        <v>22</v>
      </c>
      <c r="X641" s="56" t="str">
        <f>MID(Tabla1[[#This Row],[Aplicación]],14,6)</f>
        <v>22699</v>
      </c>
    </row>
    <row r="642" spans="1:24" x14ac:dyDescent="0.25">
      <c r="A642" s="46">
        <v>220230001925</v>
      </c>
      <c r="B642" s="47" t="s">
        <v>507</v>
      </c>
      <c r="C642" s="52">
        <v>44960</v>
      </c>
      <c r="D642" s="46">
        <v>22023000562</v>
      </c>
      <c r="E642" s="47" t="s">
        <v>1667</v>
      </c>
      <c r="F642" s="53">
        <v>3146</v>
      </c>
      <c r="G642" s="47" t="s">
        <v>78</v>
      </c>
      <c r="H642" s="47" t="s">
        <v>1708</v>
      </c>
      <c r="I642" s="46" t="s">
        <v>511</v>
      </c>
      <c r="J642" s="47" t="s">
        <v>519</v>
      </c>
      <c r="K642" s="47" t="s">
        <v>519</v>
      </c>
      <c r="L642" s="47" t="s">
        <v>552</v>
      </c>
      <c r="M642" s="47" t="s">
        <v>976</v>
      </c>
      <c r="N642" s="47" t="s">
        <v>839</v>
      </c>
      <c r="O642" s="45" t="s">
        <v>383</v>
      </c>
      <c r="P642" s="44" t="s">
        <v>309</v>
      </c>
      <c r="Q642" s="59" t="str">
        <f>MID(Tabla1[[#This Row],[Aplicación]],14,1)</f>
        <v>2</v>
      </c>
      <c r="R642" s="35" t="s">
        <v>298</v>
      </c>
      <c r="S642" s="59" t="str">
        <f>MID(Tabla1[[#This Row],[Aplicación]],6,2)</f>
        <v>01</v>
      </c>
      <c r="T642" s="35" t="str">
        <f>VLOOKUP(Tabla1[[#This Row],[AREA]],Hoja1!A:B,2,FALSE)</f>
        <v>01. Alcaldía</v>
      </c>
      <c r="U642" s="35" t="str">
        <f>MID(Tabla1[[#This Row],[Aplicación]],9,4)</f>
        <v>9205</v>
      </c>
      <c r="V642" s="35" t="str">
        <f>VLOOKUP(Tabla1[[#This Row],[PROGRAMA]],Hoja1!A:B,2,FALSE)</f>
        <v>9205. Imprenta municipal</v>
      </c>
      <c r="W642" s="56" t="str">
        <f>MID(Tabla1[[#This Row],[Aplicación]],14,2)</f>
        <v>22</v>
      </c>
      <c r="X642" s="56" t="str">
        <f>MID(Tabla1[[#This Row],[Aplicación]],14,6)</f>
        <v>22199</v>
      </c>
    </row>
    <row r="643" spans="1:24" x14ac:dyDescent="0.25">
      <c r="A643" s="46">
        <v>220230001983</v>
      </c>
      <c r="B643" s="47" t="s">
        <v>507</v>
      </c>
      <c r="C643" s="52">
        <v>44960</v>
      </c>
      <c r="D643" s="46">
        <v>22023001519</v>
      </c>
      <c r="E643" s="47" t="s">
        <v>1709</v>
      </c>
      <c r="F643" s="53">
        <v>2127.1999999999998</v>
      </c>
      <c r="G643" s="47" t="s">
        <v>37</v>
      </c>
      <c r="H643" s="47" t="s">
        <v>1710</v>
      </c>
      <c r="I643" s="46" t="s">
        <v>511</v>
      </c>
      <c r="J643" s="47" t="s">
        <v>519</v>
      </c>
      <c r="K643" s="47" t="s">
        <v>519</v>
      </c>
      <c r="L643" s="47" t="s">
        <v>520</v>
      </c>
      <c r="M643" s="47" t="s">
        <v>976</v>
      </c>
      <c r="N643" s="47" t="s">
        <v>839</v>
      </c>
      <c r="O643" s="45" t="s">
        <v>383</v>
      </c>
      <c r="P643" s="44" t="s">
        <v>309</v>
      </c>
      <c r="Q643" s="59" t="str">
        <f>MID(Tabla1[[#This Row],[Aplicación]],14,1)</f>
        <v>2</v>
      </c>
      <c r="R643" s="35" t="s">
        <v>298</v>
      </c>
      <c r="S643" s="59" t="str">
        <f>MID(Tabla1[[#This Row],[Aplicación]],6,2)</f>
        <v>11</v>
      </c>
      <c r="T643" s="35" t="str">
        <f>VLOOKUP(Tabla1[[#This Row],[AREA]],Hoja1!A:B,2,FALSE)</f>
        <v>11. Salud pública y seguridad ciudadana</v>
      </c>
      <c r="U643" s="35" t="str">
        <f>MID(Tabla1[[#This Row],[Aplicación]],9,4)</f>
        <v>1631</v>
      </c>
      <c r="V643" s="35" t="str">
        <f>VLOOKUP(Tabla1[[#This Row],[PROGRAMA]],Hoja1!A:B,2,FALSE)</f>
        <v>1631. Limpieza viaria</v>
      </c>
      <c r="W643" s="56" t="str">
        <f>MID(Tabla1[[#This Row],[Aplicación]],14,2)</f>
        <v>21</v>
      </c>
      <c r="X643" s="56" t="str">
        <f>MID(Tabla1[[#This Row],[Aplicación]],14,6)</f>
        <v>213</v>
      </c>
    </row>
    <row r="644" spans="1:24" x14ac:dyDescent="0.25">
      <c r="A644" s="46">
        <v>220230001987</v>
      </c>
      <c r="B644" s="47" t="s">
        <v>507</v>
      </c>
      <c r="C644" s="52">
        <v>44960</v>
      </c>
      <c r="D644" s="46">
        <v>22023001569</v>
      </c>
      <c r="E644" s="47" t="s">
        <v>1711</v>
      </c>
      <c r="F644" s="53">
        <v>3291.2</v>
      </c>
      <c r="G644" s="47" t="s">
        <v>1712</v>
      </c>
      <c r="H644" s="47" t="s">
        <v>1713</v>
      </c>
      <c r="I644" s="46" t="s">
        <v>511</v>
      </c>
      <c r="J644" s="47" t="s">
        <v>519</v>
      </c>
      <c r="K644" s="47" t="s">
        <v>519</v>
      </c>
      <c r="L644" s="47" t="s">
        <v>652</v>
      </c>
      <c r="M644" s="47" t="s">
        <v>976</v>
      </c>
      <c r="N644" s="47" t="s">
        <v>839</v>
      </c>
      <c r="O644" s="45" t="s">
        <v>383</v>
      </c>
      <c r="P644" s="44" t="s">
        <v>309</v>
      </c>
      <c r="Q644" s="59" t="str">
        <f>MID(Tabla1[[#This Row],[Aplicación]],14,1)</f>
        <v>2</v>
      </c>
      <c r="R644" s="35" t="s">
        <v>298</v>
      </c>
      <c r="S644" s="59" t="str">
        <f>MID(Tabla1[[#This Row],[Aplicación]],6,2)</f>
        <v>09</v>
      </c>
      <c r="T644" s="35" t="str">
        <f>VLOOKUP(Tabla1[[#This Row],[AREA]],Hoja1!A:B,2,FALSE)</f>
        <v>09. Cultura y turismo</v>
      </c>
      <c r="U644" s="35" t="str">
        <f>MID(Tabla1[[#This Row],[Aplicación]],9,4)</f>
        <v>3341</v>
      </c>
      <c r="V644" s="35" t="str">
        <f>VLOOKUP(Tabla1[[#This Row],[PROGRAMA]],Hoja1!A:B,2,FALSE)</f>
        <v>3341. Coordinación de políticas culturales</v>
      </c>
      <c r="W644" s="56" t="str">
        <f>MID(Tabla1[[#This Row],[Aplicación]],14,2)</f>
        <v>22</v>
      </c>
      <c r="X644" s="56" t="str">
        <f>MID(Tabla1[[#This Row],[Aplicación]],14,6)</f>
        <v>223</v>
      </c>
    </row>
    <row r="645" spans="1:24" x14ac:dyDescent="0.25">
      <c r="A645" s="46">
        <v>220230001803</v>
      </c>
      <c r="B645" s="47" t="s">
        <v>507</v>
      </c>
      <c r="C645" s="52">
        <v>44960</v>
      </c>
      <c r="D645" s="46">
        <v>22023000512</v>
      </c>
      <c r="E645" s="47" t="s">
        <v>1714</v>
      </c>
      <c r="F645" s="53">
        <v>6776</v>
      </c>
      <c r="G645" s="47" t="s">
        <v>1715</v>
      </c>
      <c r="H645" s="47" t="s">
        <v>1716</v>
      </c>
      <c r="I645" s="46" t="s">
        <v>511</v>
      </c>
      <c r="J645" s="47" t="s">
        <v>1717</v>
      </c>
      <c r="K645" s="47" t="s">
        <v>1718</v>
      </c>
      <c r="L645" s="47" t="s">
        <v>520</v>
      </c>
      <c r="M645" s="47" t="s">
        <v>976</v>
      </c>
      <c r="N645" s="47" t="s">
        <v>839</v>
      </c>
      <c r="O645" s="45" t="s">
        <v>383</v>
      </c>
      <c r="P645" s="44" t="s">
        <v>309</v>
      </c>
      <c r="Q645" s="59" t="str">
        <f>MID(Tabla1[[#This Row],[Aplicación]],14,1)</f>
        <v>2</v>
      </c>
      <c r="R645" s="35" t="s">
        <v>298</v>
      </c>
      <c r="S645" s="59" t="str">
        <f>MID(Tabla1[[#This Row],[Aplicación]],6,2)</f>
        <v>02</v>
      </c>
      <c r="T645" s="35" t="str">
        <f>VLOOKUP(Tabla1[[#This Row],[AREA]],Hoja1!A:B,2,FALSE)</f>
        <v>02. Planeamiento urbanístico y vivienda</v>
      </c>
      <c r="U645" s="35" t="str">
        <f>MID(Tabla1[[#This Row],[Aplicación]],9,4)</f>
        <v>1511</v>
      </c>
      <c r="V645" s="35" t="str">
        <f>VLOOKUP(Tabla1[[#This Row],[PROGRAMA]],Hoja1!A:B,2,FALSE)</f>
        <v>1511. Planficación y gestión del urbanismo</v>
      </c>
      <c r="W645" s="56" t="str">
        <f>MID(Tabla1[[#This Row],[Aplicación]],14,2)</f>
        <v>20</v>
      </c>
      <c r="X645" s="56" t="str">
        <f>MID(Tabla1[[#This Row],[Aplicación]],14,6)</f>
        <v>206</v>
      </c>
    </row>
    <row r="646" spans="1:24" x14ac:dyDescent="0.25">
      <c r="A646" s="46">
        <v>220230001952</v>
      </c>
      <c r="B646" s="47" t="s">
        <v>507</v>
      </c>
      <c r="C646" s="52">
        <v>44960</v>
      </c>
      <c r="D646" s="46">
        <v>22023001373</v>
      </c>
      <c r="E646" s="47" t="s">
        <v>1719</v>
      </c>
      <c r="F646" s="53">
        <v>752</v>
      </c>
      <c r="G646" s="47" t="s">
        <v>391</v>
      </c>
      <c r="H646" s="47" t="s">
        <v>1720</v>
      </c>
      <c r="I646" s="46" t="s">
        <v>511</v>
      </c>
      <c r="J646" s="47" t="s">
        <v>512</v>
      </c>
      <c r="K646" s="47" t="s">
        <v>512</v>
      </c>
      <c r="L646" s="47" t="s">
        <v>552</v>
      </c>
      <c r="M646" s="47" t="s">
        <v>976</v>
      </c>
      <c r="N646" s="47" t="s">
        <v>839</v>
      </c>
      <c r="O646" s="45" t="s">
        <v>383</v>
      </c>
      <c r="P646" s="44" t="s">
        <v>309</v>
      </c>
      <c r="Q646" s="59" t="str">
        <f>MID(Tabla1[[#This Row],[Aplicación]],14,1)</f>
        <v>2</v>
      </c>
      <c r="R646" s="35" t="s">
        <v>298</v>
      </c>
      <c r="S646" s="59" t="str">
        <f>MID(Tabla1[[#This Row],[Aplicación]],6,2)</f>
        <v>01</v>
      </c>
      <c r="T646" s="35" t="str">
        <f>VLOOKUP(Tabla1[[#This Row],[AREA]],Hoja1!A:B,2,FALSE)</f>
        <v>01. Alcaldía</v>
      </c>
      <c r="U646" s="35" t="str">
        <f>MID(Tabla1[[#This Row],[Aplicación]],9,4)</f>
        <v>9206</v>
      </c>
      <c r="V646" s="35" t="str">
        <f>VLOOKUP(Tabla1[[#This Row],[PROGRAMA]],Hoja1!A:B,2,FALSE)</f>
        <v>9206. Archivo municipal</v>
      </c>
      <c r="W646" s="56" t="str">
        <f>MID(Tabla1[[#This Row],[Aplicación]],14,2)</f>
        <v>22</v>
      </c>
      <c r="X646" s="56" t="str">
        <f>MID(Tabla1[[#This Row],[Aplicación]],14,6)</f>
        <v>22001</v>
      </c>
    </row>
    <row r="647" spans="1:24" x14ac:dyDescent="0.25">
      <c r="A647" s="46">
        <v>220230001951</v>
      </c>
      <c r="B647" s="47" t="s">
        <v>507</v>
      </c>
      <c r="C647" s="52">
        <v>44960</v>
      </c>
      <c r="D647" s="46">
        <v>22023001371</v>
      </c>
      <c r="E647" s="47" t="s">
        <v>1719</v>
      </c>
      <c r="F647" s="53">
        <v>533.61</v>
      </c>
      <c r="G647" s="47" t="s">
        <v>413</v>
      </c>
      <c r="H647" s="47" t="s">
        <v>1721</v>
      </c>
      <c r="I647" s="46" t="s">
        <v>511</v>
      </c>
      <c r="J647" s="47" t="s">
        <v>512</v>
      </c>
      <c r="K647" s="47" t="s">
        <v>512</v>
      </c>
      <c r="L647" s="47" t="s">
        <v>552</v>
      </c>
      <c r="M647" s="47" t="s">
        <v>976</v>
      </c>
      <c r="N647" s="47" t="s">
        <v>839</v>
      </c>
      <c r="O647" s="45" t="s">
        <v>383</v>
      </c>
      <c r="P647" s="44" t="s">
        <v>309</v>
      </c>
      <c r="Q647" s="59" t="str">
        <f>MID(Tabla1[[#This Row],[Aplicación]],14,1)</f>
        <v>2</v>
      </c>
      <c r="R647" s="35" t="s">
        <v>298</v>
      </c>
      <c r="S647" s="59" t="str">
        <f>MID(Tabla1[[#This Row],[Aplicación]],6,2)</f>
        <v>01</v>
      </c>
      <c r="T647" s="35" t="str">
        <f>VLOOKUP(Tabla1[[#This Row],[AREA]],Hoja1!A:B,2,FALSE)</f>
        <v>01. Alcaldía</v>
      </c>
      <c r="U647" s="35" t="str">
        <f>MID(Tabla1[[#This Row],[Aplicación]],9,4)</f>
        <v>9206</v>
      </c>
      <c r="V647" s="35" t="str">
        <f>VLOOKUP(Tabla1[[#This Row],[PROGRAMA]],Hoja1!A:B,2,FALSE)</f>
        <v>9206. Archivo municipal</v>
      </c>
      <c r="W647" s="56" t="str">
        <f>MID(Tabla1[[#This Row],[Aplicación]],14,2)</f>
        <v>22</v>
      </c>
      <c r="X647" s="56" t="str">
        <f>MID(Tabla1[[#This Row],[Aplicación]],14,6)</f>
        <v>22001</v>
      </c>
    </row>
    <row r="648" spans="1:24" x14ac:dyDescent="0.25">
      <c r="A648" s="46">
        <v>220230001970</v>
      </c>
      <c r="B648" s="47" t="s">
        <v>507</v>
      </c>
      <c r="C648" s="52">
        <v>44960</v>
      </c>
      <c r="D648" s="46">
        <v>22023001482</v>
      </c>
      <c r="E648" s="47" t="s">
        <v>596</v>
      </c>
      <c r="F648" s="53">
        <v>4081.3</v>
      </c>
      <c r="G648" s="47" t="s">
        <v>21</v>
      </c>
      <c r="H648" s="47" t="s">
        <v>1722</v>
      </c>
      <c r="I648" s="46" t="s">
        <v>511</v>
      </c>
      <c r="J648" s="47" t="s">
        <v>519</v>
      </c>
      <c r="K648" s="47" t="s">
        <v>519</v>
      </c>
      <c r="L648" s="47" t="s">
        <v>520</v>
      </c>
      <c r="M648" s="47" t="s">
        <v>976</v>
      </c>
      <c r="N648" s="47" t="s">
        <v>839</v>
      </c>
      <c r="O648" s="45" t="s">
        <v>383</v>
      </c>
      <c r="P648" s="44" t="s">
        <v>309</v>
      </c>
      <c r="Q648" s="59" t="str">
        <f>MID(Tabla1[[#This Row],[Aplicación]],14,1)</f>
        <v>2</v>
      </c>
      <c r="R648" s="35" t="s">
        <v>298</v>
      </c>
      <c r="S648" s="59" t="str">
        <f>MID(Tabla1[[#This Row],[Aplicación]],6,2)</f>
        <v>01</v>
      </c>
      <c r="T648" s="35" t="str">
        <f>VLOOKUP(Tabla1[[#This Row],[AREA]],Hoja1!A:B,2,FALSE)</f>
        <v>01. Alcaldía</v>
      </c>
      <c r="U648" s="35" t="str">
        <f>MID(Tabla1[[#This Row],[Aplicación]],9,4)</f>
        <v>9205</v>
      </c>
      <c r="V648" s="35" t="str">
        <f>VLOOKUP(Tabla1[[#This Row],[PROGRAMA]],Hoja1!A:B,2,FALSE)</f>
        <v>9205. Imprenta municipal</v>
      </c>
      <c r="W648" s="56" t="str">
        <f>MID(Tabla1[[#This Row],[Aplicación]],14,2)</f>
        <v>20</v>
      </c>
      <c r="X648" s="56" t="str">
        <f>MID(Tabla1[[#This Row],[Aplicación]],14,6)</f>
        <v>203</v>
      </c>
    </row>
    <row r="649" spans="1:24" x14ac:dyDescent="0.25">
      <c r="A649" s="46">
        <v>220230001913</v>
      </c>
      <c r="B649" s="47" t="s">
        <v>1249</v>
      </c>
      <c r="C649" s="52">
        <v>44960</v>
      </c>
      <c r="D649" s="46">
        <v>22023002054</v>
      </c>
      <c r="E649" s="47" t="s">
        <v>762</v>
      </c>
      <c r="F649" s="53">
        <v>1722.72</v>
      </c>
      <c r="G649" s="47" t="s">
        <v>763</v>
      </c>
      <c r="H649" s="47" t="s">
        <v>1723</v>
      </c>
      <c r="I649" s="46" t="s">
        <v>1251</v>
      </c>
      <c r="J649" s="47" t="s">
        <v>765</v>
      </c>
      <c r="K649" s="47" t="s">
        <v>512</v>
      </c>
      <c r="L649" s="47" t="s">
        <v>552</v>
      </c>
      <c r="M649" s="47" t="s">
        <v>976</v>
      </c>
      <c r="N649" s="47" t="s">
        <v>839</v>
      </c>
      <c r="O649" s="45" t="s">
        <v>383</v>
      </c>
      <c r="P649" s="44" t="s">
        <v>309</v>
      </c>
      <c r="Q649" s="59" t="str">
        <f>MID(Tabla1[[#This Row],[Aplicación]],14,1)</f>
        <v>2</v>
      </c>
      <c r="R649" s="35" t="s">
        <v>298</v>
      </c>
      <c r="S649" s="59" t="str">
        <f>MID(Tabla1[[#This Row],[Aplicación]],6,2)</f>
        <v>11</v>
      </c>
      <c r="T649" s="35" t="str">
        <f>VLOOKUP(Tabla1[[#This Row],[AREA]],Hoja1!A:B,2,FALSE)</f>
        <v>11. Salud pública y seguridad ciudadana</v>
      </c>
      <c r="U649" s="35" t="str">
        <f>MID(Tabla1[[#This Row],[Aplicación]],9,4)</f>
        <v>1321</v>
      </c>
      <c r="V649" s="35" t="str">
        <f>VLOOKUP(Tabla1[[#This Row],[PROGRAMA]],Hoja1!A:B,2,FALSE)</f>
        <v>1321. Policía municipal</v>
      </c>
      <c r="W649" s="56" t="str">
        <f>MID(Tabla1[[#This Row],[Aplicación]],14,2)</f>
        <v>20</v>
      </c>
      <c r="X649" s="56" t="str">
        <f>MID(Tabla1[[#This Row],[Aplicación]],14,6)</f>
        <v>204</v>
      </c>
    </row>
    <row r="650" spans="1:24" x14ac:dyDescent="0.25">
      <c r="A650" s="46">
        <v>220230001941</v>
      </c>
      <c r="B650" s="47" t="s">
        <v>507</v>
      </c>
      <c r="C650" s="52">
        <v>44960</v>
      </c>
      <c r="D650" s="46">
        <v>22023001394</v>
      </c>
      <c r="E650" s="47" t="s">
        <v>1724</v>
      </c>
      <c r="F650" s="53">
        <v>2090</v>
      </c>
      <c r="G650" s="47" t="s">
        <v>115</v>
      </c>
      <c r="H650" s="47" t="s">
        <v>1725</v>
      </c>
      <c r="I650" s="46" t="s">
        <v>511</v>
      </c>
      <c r="J650" s="47" t="s">
        <v>1726</v>
      </c>
      <c r="K650" s="47" t="s">
        <v>519</v>
      </c>
      <c r="L650" s="47" t="s">
        <v>520</v>
      </c>
      <c r="M650" s="47" t="s">
        <v>976</v>
      </c>
      <c r="N650" s="47" t="s">
        <v>839</v>
      </c>
      <c r="O650" s="45" t="s">
        <v>383</v>
      </c>
      <c r="P650" s="44" t="s">
        <v>309</v>
      </c>
      <c r="Q650" s="59" t="str">
        <f>MID(Tabla1[[#This Row],[Aplicación]],14,1)</f>
        <v>2</v>
      </c>
      <c r="R650" s="35" t="s">
        <v>298</v>
      </c>
      <c r="S650" s="59" t="str">
        <f>MID(Tabla1[[#This Row],[Aplicación]],6,2)</f>
        <v>02</v>
      </c>
      <c r="T650" s="35" t="str">
        <f>VLOOKUP(Tabla1[[#This Row],[AREA]],Hoja1!A:B,2,FALSE)</f>
        <v>02. Planeamiento urbanístico y vivienda</v>
      </c>
      <c r="U650" s="35" t="str">
        <f>MID(Tabla1[[#This Row],[Aplicación]],9,4)</f>
        <v>9332</v>
      </c>
      <c r="V650" s="35" t="str">
        <f>VLOOKUP(Tabla1[[#This Row],[PROGRAMA]],Hoja1!A:B,2,FALSE)</f>
        <v>9332. Mantenimiento de edificios e instalaciones municipales</v>
      </c>
      <c r="W650" s="56" t="str">
        <f>MID(Tabla1[[#This Row],[Aplicación]],14,2)</f>
        <v>20</v>
      </c>
      <c r="X650" s="56" t="str">
        <f>MID(Tabla1[[#This Row],[Aplicación]],14,6)</f>
        <v>203</v>
      </c>
    </row>
    <row r="651" spans="1:24" x14ac:dyDescent="0.25">
      <c r="A651" s="46">
        <v>220230002848</v>
      </c>
      <c r="B651" s="47" t="s">
        <v>1249</v>
      </c>
      <c r="C651" s="52">
        <v>44966</v>
      </c>
      <c r="D651" s="46">
        <v>22023002125</v>
      </c>
      <c r="E651" s="47" t="s">
        <v>673</v>
      </c>
      <c r="F651" s="53">
        <v>2.54</v>
      </c>
      <c r="G651" s="47" t="s">
        <v>18</v>
      </c>
      <c r="H651" s="47" t="s">
        <v>1727</v>
      </c>
      <c r="I651" s="46" t="s">
        <v>1251</v>
      </c>
      <c r="J651" s="47" t="s">
        <v>519</v>
      </c>
      <c r="K651" s="47" t="s">
        <v>519</v>
      </c>
      <c r="L651" s="47" t="s">
        <v>520</v>
      </c>
      <c r="M651" s="47" t="s">
        <v>514</v>
      </c>
      <c r="N651" s="47" t="s">
        <v>604</v>
      </c>
      <c r="O651" s="45" t="s">
        <v>371</v>
      </c>
      <c r="P651" s="44" t="s">
        <v>309</v>
      </c>
      <c r="Q651" s="59" t="str">
        <f>MID(Tabla1[[#This Row],[Aplicación]],14,1)</f>
        <v>2</v>
      </c>
      <c r="R651" s="35" t="s">
        <v>298</v>
      </c>
      <c r="S651" s="59" t="str">
        <f>MID(Tabla1[[#This Row],[Aplicación]],6,2)</f>
        <v>06</v>
      </c>
      <c r="T651" s="35" t="str">
        <f>VLOOKUP(Tabla1[[#This Row],[AREA]],Hoja1!A:B,2,FALSE)</f>
        <v>06. Educación, infancia, juventud e igualdad</v>
      </c>
      <c r="U651" s="35" t="str">
        <f>MID(Tabla1[[#This Row],[Aplicación]],9,4)</f>
        <v>2315</v>
      </c>
      <c r="V651" s="35" t="str">
        <f>VLOOKUP(Tabla1[[#This Row],[PROGRAMA]],Hoja1!A:B,2,FALSE)</f>
        <v>2315. Políticas de Igualdad e infancia</v>
      </c>
      <c r="W651" s="56" t="str">
        <f>MID(Tabla1[[#This Row],[Aplicación]],14,2)</f>
        <v>21</v>
      </c>
      <c r="X651" s="56" t="str">
        <f>MID(Tabla1[[#This Row],[Aplicación]],14,6)</f>
        <v>213</v>
      </c>
    </row>
    <row r="652" spans="1:24" x14ac:dyDescent="0.25">
      <c r="A652" s="46">
        <v>220230001961</v>
      </c>
      <c r="B652" s="47" t="s">
        <v>507</v>
      </c>
      <c r="C652" s="52">
        <v>44960</v>
      </c>
      <c r="D652" s="46">
        <v>22023001512</v>
      </c>
      <c r="E652" s="47" t="s">
        <v>1728</v>
      </c>
      <c r="F652" s="53">
        <v>964.41</v>
      </c>
      <c r="G652" s="47" t="s">
        <v>435</v>
      </c>
      <c r="H652" s="47" t="s">
        <v>1729</v>
      </c>
      <c r="I652" s="46" t="s">
        <v>511</v>
      </c>
      <c r="J652" s="47" t="s">
        <v>519</v>
      </c>
      <c r="K652" s="47" t="s">
        <v>519</v>
      </c>
      <c r="L652" s="47" t="s">
        <v>552</v>
      </c>
      <c r="M652" s="47" t="s">
        <v>976</v>
      </c>
      <c r="N652" s="47" t="s">
        <v>839</v>
      </c>
      <c r="O652" s="45" t="s">
        <v>383</v>
      </c>
      <c r="P652" s="44" t="s">
        <v>309</v>
      </c>
      <c r="Q652" s="59" t="str">
        <f>MID(Tabla1[[#This Row],[Aplicación]],14,1)</f>
        <v>2</v>
      </c>
      <c r="R652" s="35" t="s">
        <v>298</v>
      </c>
      <c r="S652" s="59" t="str">
        <f>MID(Tabla1[[#This Row],[Aplicación]],6,2)</f>
        <v>08</v>
      </c>
      <c r="T652" s="35" t="str">
        <f>VLOOKUP(Tabla1[[#This Row],[AREA]],Hoja1!A:B,2,FALSE)</f>
        <v>08. Movilidad y espacio urbano</v>
      </c>
      <c r="U652" s="35" t="str">
        <f>MID(Tabla1[[#This Row],[Aplicación]],9,4)</f>
        <v>1532</v>
      </c>
      <c r="V652" s="35" t="str">
        <f>VLOOKUP(Tabla1[[#This Row],[PROGRAMA]],Hoja1!A:B,2,FALSE)</f>
        <v>1532. Pavimentación vias públicas y otros servicios urbanísticos</v>
      </c>
      <c r="W652" s="56" t="str">
        <f>MID(Tabla1[[#This Row],[Aplicación]],14,2)</f>
        <v>21</v>
      </c>
      <c r="X652" s="56" t="str">
        <f>MID(Tabla1[[#This Row],[Aplicación]],14,6)</f>
        <v>214</v>
      </c>
    </row>
    <row r="653" spans="1:24" x14ac:dyDescent="0.25">
      <c r="A653" s="46">
        <v>220230001920</v>
      </c>
      <c r="B653" s="47" t="s">
        <v>507</v>
      </c>
      <c r="C653" s="52">
        <v>44960</v>
      </c>
      <c r="D653" s="46">
        <v>22023000216</v>
      </c>
      <c r="E653" s="47" t="s">
        <v>1512</v>
      </c>
      <c r="F653" s="53">
        <v>1391.5</v>
      </c>
      <c r="G653" s="47" t="s">
        <v>1730</v>
      </c>
      <c r="H653" s="47" t="s">
        <v>1731</v>
      </c>
      <c r="I653" s="46" t="s">
        <v>511</v>
      </c>
      <c r="J653" s="47" t="s">
        <v>1455</v>
      </c>
      <c r="K653" s="47" t="s">
        <v>519</v>
      </c>
      <c r="L653" s="47" t="s">
        <v>527</v>
      </c>
      <c r="M653" s="47" t="s">
        <v>976</v>
      </c>
      <c r="N653" s="47" t="s">
        <v>839</v>
      </c>
      <c r="O653" s="45" t="s">
        <v>383</v>
      </c>
      <c r="P653" s="44" t="s">
        <v>309</v>
      </c>
      <c r="Q653" s="59" t="str">
        <f>MID(Tabla1[[#This Row],[Aplicación]],14,1)</f>
        <v>2</v>
      </c>
      <c r="R653" s="35" t="s">
        <v>298</v>
      </c>
      <c r="S653" s="59" t="str">
        <f>MID(Tabla1[[#This Row],[Aplicación]],6,2)</f>
        <v>10</v>
      </c>
      <c r="T653" s="35" t="str">
        <f>VLOOKUP(Tabla1[[#This Row],[AREA]],Hoja1!A:B,2,FALSE)</f>
        <v>10. Servicios sociales y mediación comunitaria</v>
      </c>
      <c r="U653" s="35" t="str">
        <f>MID(Tabla1[[#This Row],[Aplicación]],9,4)</f>
        <v>2312</v>
      </c>
      <c r="V653" s="35" t="str">
        <f>VLOOKUP(Tabla1[[#This Row],[PROGRAMA]],Hoja1!A:B,2,FALSE)</f>
        <v>2312. Iniciativas sociales</v>
      </c>
      <c r="W653" s="56" t="str">
        <f>MID(Tabla1[[#This Row],[Aplicación]],14,2)</f>
        <v>21</v>
      </c>
      <c r="X653" s="56" t="str">
        <f>MID(Tabla1[[#This Row],[Aplicación]],14,6)</f>
        <v>212</v>
      </c>
    </row>
    <row r="654" spans="1:24" x14ac:dyDescent="0.25">
      <c r="A654" s="46">
        <v>220230001976</v>
      </c>
      <c r="B654" s="47" t="s">
        <v>507</v>
      </c>
      <c r="C654" s="52">
        <v>44960</v>
      </c>
      <c r="D654" s="46">
        <v>22023001538</v>
      </c>
      <c r="E654" s="47" t="s">
        <v>659</v>
      </c>
      <c r="F654" s="53">
        <v>1400</v>
      </c>
      <c r="G654" s="47" t="s">
        <v>436</v>
      </c>
      <c r="H654" s="47" t="s">
        <v>1732</v>
      </c>
      <c r="I654" s="46" t="s">
        <v>511</v>
      </c>
      <c r="J654" s="47" t="s">
        <v>519</v>
      </c>
      <c r="K654" s="47" t="s">
        <v>519</v>
      </c>
      <c r="L654" s="47" t="s">
        <v>552</v>
      </c>
      <c r="M654" s="47" t="s">
        <v>976</v>
      </c>
      <c r="N654" s="47" t="s">
        <v>839</v>
      </c>
      <c r="O654" s="45" t="s">
        <v>383</v>
      </c>
      <c r="P654" s="44" t="s">
        <v>309</v>
      </c>
      <c r="Q654" s="59" t="str">
        <f>MID(Tabla1[[#This Row],[Aplicación]],14,1)</f>
        <v>2</v>
      </c>
      <c r="R654" s="35" t="s">
        <v>298</v>
      </c>
      <c r="S654" s="59" t="str">
        <f>MID(Tabla1[[#This Row],[Aplicación]],6,2)</f>
        <v>11</v>
      </c>
      <c r="T654" s="35" t="str">
        <f>VLOOKUP(Tabla1[[#This Row],[AREA]],Hoja1!A:B,2,FALSE)</f>
        <v>11. Salud pública y seguridad ciudadana</v>
      </c>
      <c r="U654" s="35" t="str">
        <f>MID(Tabla1[[#This Row],[Aplicación]],9,4)</f>
        <v>1321</v>
      </c>
      <c r="V654" s="35" t="str">
        <f>VLOOKUP(Tabla1[[#This Row],[PROGRAMA]],Hoja1!A:B,2,FALSE)</f>
        <v>1321. Policía municipal</v>
      </c>
      <c r="W654" s="56" t="str">
        <f>MID(Tabla1[[#This Row],[Aplicación]],14,2)</f>
        <v>21</v>
      </c>
      <c r="X654" s="56" t="str">
        <f>MID(Tabla1[[#This Row],[Aplicación]],14,6)</f>
        <v>213</v>
      </c>
    </row>
    <row r="655" spans="1:24" x14ac:dyDescent="0.25">
      <c r="A655" s="46">
        <v>220230002019</v>
      </c>
      <c r="B655" s="47" t="s">
        <v>507</v>
      </c>
      <c r="C655" s="52">
        <v>44960</v>
      </c>
      <c r="D655" s="46">
        <v>22023001428</v>
      </c>
      <c r="E655" s="47" t="s">
        <v>1260</v>
      </c>
      <c r="F655" s="53">
        <v>700.38</v>
      </c>
      <c r="G655" s="47" t="s">
        <v>394</v>
      </c>
      <c r="H655" s="47" t="s">
        <v>1733</v>
      </c>
      <c r="I655" s="46" t="s">
        <v>511</v>
      </c>
      <c r="J655" s="47" t="s">
        <v>519</v>
      </c>
      <c r="K655" s="47" t="s">
        <v>519</v>
      </c>
      <c r="L655" s="47" t="s">
        <v>552</v>
      </c>
      <c r="M655" s="47" t="s">
        <v>976</v>
      </c>
      <c r="N655" s="47" t="s">
        <v>839</v>
      </c>
      <c r="O655" s="45" t="s">
        <v>383</v>
      </c>
      <c r="P655" s="44" t="s">
        <v>309</v>
      </c>
      <c r="Q655" s="59" t="str">
        <f>MID(Tabla1[[#This Row],[Aplicación]],14,1)</f>
        <v>2</v>
      </c>
      <c r="R655" s="35" t="s">
        <v>298</v>
      </c>
      <c r="S655" s="59" t="str">
        <f>MID(Tabla1[[#This Row],[Aplicación]],6,2)</f>
        <v>03</v>
      </c>
      <c r="T655" s="35" t="str">
        <f>VLOOKUP(Tabla1[[#This Row],[AREA]],Hoja1!A:B,2,FALSE)</f>
        <v>03. Participación ciudadana y deportes</v>
      </c>
      <c r="U655" s="35" t="str">
        <f>MID(Tabla1[[#This Row],[Aplicación]],9,4)</f>
        <v>9241</v>
      </c>
      <c r="V655" s="35" t="str">
        <f>VLOOKUP(Tabla1[[#This Row],[PROGRAMA]],Hoja1!A:B,2,FALSE)</f>
        <v>9241. Participación ciudadana</v>
      </c>
      <c r="W655" s="56" t="str">
        <f>MID(Tabla1[[#This Row],[Aplicación]],14,2)</f>
        <v>22</v>
      </c>
      <c r="X655" s="56" t="str">
        <f>MID(Tabla1[[#This Row],[Aplicación]],14,6)</f>
        <v>22602</v>
      </c>
    </row>
    <row r="656" spans="1:24" x14ac:dyDescent="0.25">
      <c r="A656" s="46">
        <v>220230001962</v>
      </c>
      <c r="B656" s="47" t="s">
        <v>507</v>
      </c>
      <c r="C656" s="52">
        <v>44960</v>
      </c>
      <c r="D656" s="46">
        <v>22023000560</v>
      </c>
      <c r="E656" s="47" t="s">
        <v>1667</v>
      </c>
      <c r="F656" s="53">
        <v>7120.85</v>
      </c>
      <c r="G656" s="47" t="s">
        <v>394</v>
      </c>
      <c r="H656" s="47" t="s">
        <v>1734</v>
      </c>
      <c r="I656" s="46" t="s">
        <v>511</v>
      </c>
      <c r="J656" s="47" t="s">
        <v>519</v>
      </c>
      <c r="K656" s="47" t="s">
        <v>519</v>
      </c>
      <c r="L656" s="47" t="s">
        <v>552</v>
      </c>
      <c r="M656" s="47" t="s">
        <v>976</v>
      </c>
      <c r="N656" s="47" t="s">
        <v>839</v>
      </c>
      <c r="O656" s="45" t="s">
        <v>383</v>
      </c>
      <c r="P656" s="44" t="s">
        <v>309</v>
      </c>
      <c r="Q656" s="59" t="str">
        <f>MID(Tabla1[[#This Row],[Aplicación]],14,1)</f>
        <v>2</v>
      </c>
      <c r="R656" s="35" t="s">
        <v>298</v>
      </c>
      <c r="S656" s="59" t="str">
        <f>MID(Tabla1[[#This Row],[Aplicación]],6,2)</f>
        <v>01</v>
      </c>
      <c r="T656" s="35" t="str">
        <f>VLOOKUP(Tabla1[[#This Row],[AREA]],Hoja1!A:B,2,FALSE)</f>
        <v>01. Alcaldía</v>
      </c>
      <c r="U656" s="35" t="str">
        <f>MID(Tabla1[[#This Row],[Aplicación]],9,4)</f>
        <v>9205</v>
      </c>
      <c r="V656" s="35" t="str">
        <f>VLOOKUP(Tabla1[[#This Row],[PROGRAMA]],Hoja1!A:B,2,FALSE)</f>
        <v>9205. Imprenta municipal</v>
      </c>
      <c r="W656" s="56" t="str">
        <f>MID(Tabla1[[#This Row],[Aplicación]],14,2)</f>
        <v>22</v>
      </c>
      <c r="X656" s="56" t="str">
        <f>MID(Tabla1[[#This Row],[Aplicación]],14,6)</f>
        <v>22199</v>
      </c>
    </row>
    <row r="657" spans="1:24" x14ac:dyDescent="0.25">
      <c r="A657" s="55">
        <v>220230010329</v>
      </c>
      <c r="B657" s="47" t="s">
        <v>507</v>
      </c>
      <c r="C657" s="52">
        <v>45008</v>
      </c>
      <c r="D657" s="46">
        <v>22023003146</v>
      </c>
      <c r="E657" s="47" t="s">
        <v>1735</v>
      </c>
      <c r="F657" s="53">
        <v>4500</v>
      </c>
      <c r="G657" s="47" t="s">
        <v>319</v>
      </c>
      <c r="H657" s="47" t="s">
        <v>1736</v>
      </c>
      <c r="I657" s="46" t="s">
        <v>511</v>
      </c>
      <c r="J657" s="47" t="s">
        <v>1737</v>
      </c>
      <c r="K657" s="47" t="s">
        <v>512</v>
      </c>
      <c r="L657" s="47" t="s">
        <v>552</v>
      </c>
      <c r="M657" s="47" t="s">
        <v>976</v>
      </c>
      <c r="N657" s="47" t="s">
        <v>839</v>
      </c>
      <c r="O657" s="54" t="s">
        <v>383</v>
      </c>
      <c r="P657" s="44" t="s">
        <v>309</v>
      </c>
      <c r="Q657" s="59" t="str">
        <f>MID(Tabla1[[#This Row],[Aplicación]],14,1)</f>
        <v>2</v>
      </c>
      <c r="R657" s="35" t="s">
        <v>298</v>
      </c>
      <c r="S657" s="59" t="str">
        <f>MID(Tabla1[[#This Row],[Aplicación]],6,2)</f>
        <v>04</v>
      </c>
      <c r="T657" s="35" t="str">
        <f>VLOOKUP(Tabla1[[#This Row],[AREA]],Hoja1!A:B,2,FALSE)</f>
        <v>04. Planificación y recursos</v>
      </c>
      <c r="U657" s="35" t="str">
        <f>MID(Tabla1[[#This Row],[Aplicación]],9,4)</f>
        <v>3121</v>
      </c>
      <c r="V657" s="35" t="str">
        <f>VLOOKUP(Tabla1[[#This Row],[PROGRAMA]],Hoja1!A:B,2,FALSE)</f>
        <v>3121. Prevención y salud laboral</v>
      </c>
      <c r="W657" s="56" t="str">
        <f>MID(Tabla1[[#This Row],[Aplicación]],14,2)</f>
        <v>22</v>
      </c>
      <c r="X657" s="56" t="str">
        <f>MID(Tabla1[[#This Row],[Aplicación]],14,6)</f>
        <v>22106</v>
      </c>
    </row>
    <row r="658" spans="1:24" x14ac:dyDescent="0.25">
      <c r="A658" s="46">
        <v>220230008182</v>
      </c>
      <c r="B658" s="47" t="s">
        <v>507</v>
      </c>
      <c r="C658" s="52">
        <v>44998</v>
      </c>
      <c r="D658" s="46">
        <v>22023002877</v>
      </c>
      <c r="E658" s="47" t="s">
        <v>693</v>
      </c>
      <c r="F658" s="53">
        <v>1020.03</v>
      </c>
      <c r="G658" s="47" t="s">
        <v>106</v>
      </c>
      <c r="H658" s="47" t="s">
        <v>1738</v>
      </c>
      <c r="I658" s="46" t="s">
        <v>511</v>
      </c>
      <c r="J658" s="47" t="s">
        <v>512</v>
      </c>
      <c r="K658" s="47" t="s">
        <v>512</v>
      </c>
      <c r="L658" s="47" t="s">
        <v>552</v>
      </c>
      <c r="M658" s="47" t="s">
        <v>976</v>
      </c>
      <c r="N658" s="47" t="s">
        <v>839</v>
      </c>
      <c r="O658" s="54" t="s">
        <v>383</v>
      </c>
      <c r="P658" s="44" t="s">
        <v>309</v>
      </c>
      <c r="Q658" s="59" t="str">
        <f>MID(Tabla1[[#This Row],[Aplicación]],14,1)</f>
        <v>2</v>
      </c>
      <c r="R658" s="35" t="s">
        <v>298</v>
      </c>
      <c r="S658" s="59" t="str">
        <f>MID(Tabla1[[#This Row],[Aplicación]],6,2)</f>
        <v>11</v>
      </c>
      <c r="T658" s="35" t="str">
        <f>VLOOKUP(Tabla1[[#This Row],[AREA]],Hoja1!A:B,2,FALSE)</f>
        <v>11. Salud pública y seguridad ciudadana</v>
      </c>
      <c r="U658" s="35" t="str">
        <f>MID(Tabla1[[#This Row],[Aplicación]],9,4)</f>
        <v>1361</v>
      </c>
      <c r="V658" s="35" t="str">
        <f>VLOOKUP(Tabla1[[#This Row],[PROGRAMA]],Hoja1!A:B,2,FALSE)</f>
        <v>1361. Prevención y extinción de incencios</v>
      </c>
      <c r="W658" s="56" t="str">
        <f>MID(Tabla1[[#This Row],[Aplicación]],14,2)</f>
        <v>21</v>
      </c>
      <c r="X658" s="56" t="str">
        <f>MID(Tabla1[[#This Row],[Aplicación]],14,6)</f>
        <v>213</v>
      </c>
    </row>
    <row r="659" spans="1:24" x14ac:dyDescent="0.25">
      <c r="A659" s="46">
        <v>220229000333</v>
      </c>
      <c r="B659" s="47" t="s">
        <v>507</v>
      </c>
      <c r="C659" s="52">
        <v>44927</v>
      </c>
      <c r="D659" s="46">
        <v>22023001154</v>
      </c>
      <c r="E659" s="47" t="s">
        <v>772</v>
      </c>
      <c r="F659" s="53">
        <v>16311.14</v>
      </c>
      <c r="G659" s="47" t="s">
        <v>1739</v>
      </c>
      <c r="H659" s="47" t="s">
        <v>1740</v>
      </c>
      <c r="I659" s="46" t="s">
        <v>511</v>
      </c>
      <c r="J659" s="47" t="s">
        <v>519</v>
      </c>
      <c r="K659" s="47" t="s">
        <v>519</v>
      </c>
      <c r="L659" s="47" t="s">
        <v>520</v>
      </c>
      <c r="M659" s="47" t="s">
        <v>514</v>
      </c>
      <c r="N659" s="47" t="s">
        <v>515</v>
      </c>
      <c r="O659" s="45" t="s">
        <v>382</v>
      </c>
      <c r="P659" s="44" t="s">
        <v>309</v>
      </c>
      <c r="Q659" s="59" t="str">
        <f>MID(Tabla1[[#This Row],[Aplicación]],14,1)</f>
        <v>2</v>
      </c>
      <c r="R659" s="35" t="s">
        <v>298</v>
      </c>
      <c r="S659" s="59" t="str">
        <f>MID(Tabla1[[#This Row],[Aplicación]],6,2)</f>
        <v>06</v>
      </c>
      <c r="T659" s="35" t="str">
        <f>VLOOKUP(Tabla1[[#This Row],[AREA]],Hoja1!A:B,2,FALSE)</f>
        <v>06. Educación, infancia, juventud e igualdad</v>
      </c>
      <c r="U659" s="35" t="str">
        <f>MID(Tabla1[[#This Row],[Aplicación]],9,4)</f>
        <v>2314</v>
      </c>
      <c r="V659" s="35" t="str">
        <f>VLOOKUP(Tabla1[[#This Row],[PROGRAMA]],Hoja1!A:B,2,FALSE)</f>
        <v>2314. Centro de programas juveniles</v>
      </c>
      <c r="W659" s="56" t="str">
        <f>MID(Tabla1[[#This Row],[Aplicación]],14,2)</f>
        <v>22</v>
      </c>
      <c r="X659" s="56" t="str">
        <f>MID(Tabla1[[#This Row],[Aplicación]],14,6)</f>
        <v>22799</v>
      </c>
    </row>
    <row r="660" spans="1:24" x14ac:dyDescent="0.25">
      <c r="A660" s="46">
        <v>220229000334</v>
      </c>
      <c r="B660" s="47" t="s">
        <v>507</v>
      </c>
      <c r="C660" s="52">
        <v>44927</v>
      </c>
      <c r="D660" s="46">
        <v>22023001155</v>
      </c>
      <c r="E660" s="47" t="s">
        <v>772</v>
      </c>
      <c r="F660" s="53">
        <v>8155.58</v>
      </c>
      <c r="G660" s="47" t="s">
        <v>1739</v>
      </c>
      <c r="H660" s="47" t="s">
        <v>1741</v>
      </c>
      <c r="I660" s="46" t="s">
        <v>511</v>
      </c>
      <c r="J660" s="47" t="s">
        <v>519</v>
      </c>
      <c r="K660" s="47" t="s">
        <v>519</v>
      </c>
      <c r="L660" s="47" t="s">
        <v>520</v>
      </c>
      <c r="M660" s="47" t="s">
        <v>514</v>
      </c>
      <c r="N660" s="47" t="s">
        <v>515</v>
      </c>
      <c r="O660" s="45" t="s">
        <v>382</v>
      </c>
      <c r="P660" s="44" t="s">
        <v>309</v>
      </c>
      <c r="Q660" s="59" t="str">
        <f>MID(Tabla1[[#This Row],[Aplicación]],14,1)</f>
        <v>2</v>
      </c>
      <c r="R660" s="35" t="s">
        <v>298</v>
      </c>
      <c r="S660" s="59" t="str">
        <f>MID(Tabla1[[#This Row],[Aplicación]],6,2)</f>
        <v>06</v>
      </c>
      <c r="T660" s="35" t="str">
        <f>VLOOKUP(Tabla1[[#This Row],[AREA]],Hoja1!A:B,2,FALSE)</f>
        <v>06. Educación, infancia, juventud e igualdad</v>
      </c>
      <c r="U660" s="35" t="str">
        <f>MID(Tabla1[[#This Row],[Aplicación]],9,4)</f>
        <v>2314</v>
      </c>
      <c r="V660" s="35" t="str">
        <f>VLOOKUP(Tabla1[[#This Row],[PROGRAMA]],Hoja1!A:B,2,FALSE)</f>
        <v>2314. Centro de programas juveniles</v>
      </c>
      <c r="W660" s="56" t="str">
        <f>MID(Tabla1[[#This Row],[Aplicación]],14,2)</f>
        <v>22</v>
      </c>
      <c r="X660" s="56" t="str">
        <f>MID(Tabla1[[#This Row],[Aplicación]],14,6)</f>
        <v>22799</v>
      </c>
    </row>
    <row r="661" spans="1:24" x14ac:dyDescent="0.25">
      <c r="A661" s="46">
        <v>220230008598</v>
      </c>
      <c r="B661" s="47" t="s">
        <v>507</v>
      </c>
      <c r="C661" s="52">
        <v>45000</v>
      </c>
      <c r="D661" s="46">
        <v>22023003044</v>
      </c>
      <c r="E661" s="47" t="s">
        <v>1191</v>
      </c>
      <c r="F661" s="53">
        <v>84.4</v>
      </c>
      <c r="G661" s="47" t="s">
        <v>446</v>
      </c>
      <c r="H661" s="47" t="s">
        <v>1742</v>
      </c>
      <c r="I661" s="46" t="s">
        <v>511</v>
      </c>
      <c r="J661" s="47" t="s">
        <v>519</v>
      </c>
      <c r="K661" s="47" t="s">
        <v>519</v>
      </c>
      <c r="L661" s="47" t="s">
        <v>520</v>
      </c>
      <c r="M661" s="47" t="s">
        <v>976</v>
      </c>
      <c r="N661" s="47" t="s">
        <v>839</v>
      </c>
      <c r="O661" s="54" t="s">
        <v>383</v>
      </c>
      <c r="P661" s="44" t="s">
        <v>309</v>
      </c>
      <c r="Q661" s="59" t="str">
        <f>MID(Tabla1[[#This Row],[Aplicación]],14,1)</f>
        <v>2</v>
      </c>
      <c r="R661" s="35" t="s">
        <v>298</v>
      </c>
      <c r="S661" s="59" t="str">
        <f>MID(Tabla1[[#This Row],[Aplicación]],6,2)</f>
        <v>06</v>
      </c>
      <c r="T661" s="35" t="str">
        <f>VLOOKUP(Tabla1[[#This Row],[AREA]],Hoja1!A:B,2,FALSE)</f>
        <v>06. Educación, infancia, juventud e igualdad</v>
      </c>
      <c r="U661" s="35" t="str">
        <f>MID(Tabla1[[#This Row],[Aplicación]],9,4)</f>
        <v>2315</v>
      </c>
      <c r="V661" s="35" t="str">
        <f>VLOOKUP(Tabla1[[#This Row],[PROGRAMA]],Hoja1!A:B,2,FALSE)</f>
        <v>2315. Políticas de Igualdad e infancia</v>
      </c>
      <c r="W661" s="56" t="str">
        <f>MID(Tabla1[[#This Row],[Aplicación]],14,2)</f>
        <v>22</v>
      </c>
      <c r="X661" s="56" t="str">
        <f>MID(Tabla1[[#This Row],[Aplicación]],14,6)</f>
        <v>22611</v>
      </c>
    </row>
    <row r="662" spans="1:24" x14ac:dyDescent="0.25">
      <c r="A662" s="55">
        <v>220230010310</v>
      </c>
      <c r="B662" s="47" t="s">
        <v>507</v>
      </c>
      <c r="C662" s="52">
        <v>45008</v>
      </c>
      <c r="D662" s="46">
        <v>22023003478</v>
      </c>
      <c r="E662" s="47" t="s">
        <v>1191</v>
      </c>
      <c r="F662" s="53">
        <v>847</v>
      </c>
      <c r="G662" s="47" t="s">
        <v>1743</v>
      </c>
      <c r="H662" s="47" t="s">
        <v>1744</v>
      </c>
      <c r="I662" s="46" t="s">
        <v>511</v>
      </c>
      <c r="J662" s="47" t="s">
        <v>1359</v>
      </c>
      <c r="K662" s="47" t="s">
        <v>1359</v>
      </c>
      <c r="L662" s="47" t="s">
        <v>520</v>
      </c>
      <c r="M662" s="47" t="s">
        <v>976</v>
      </c>
      <c r="N662" s="47" t="s">
        <v>839</v>
      </c>
      <c r="O662" s="54" t="s">
        <v>383</v>
      </c>
      <c r="P662" s="44" t="s">
        <v>309</v>
      </c>
      <c r="Q662" s="59" t="str">
        <f>MID(Tabla1[[#This Row],[Aplicación]],14,1)</f>
        <v>2</v>
      </c>
      <c r="R662" s="35" t="s">
        <v>298</v>
      </c>
      <c r="S662" s="59" t="str">
        <f>MID(Tabla1[[#This Row],[Aplicación]],6,2)</f>
        <v>06</v>
      </c>
      <c r="T662" s="35" t="str">
        <f>VLOOKUP(Tabla1[[#This Row],[AREA]],Hoja1!A:B,2,FALSE)</f>
        <v>06. Educación, infancia, juventud e igualdad</v>
      </c>
      <c r="U662" s="35" t="str">
        <f>MID(Tabla1[[#This Row],[Aplicación]],9,4)</f>
        <v>2315</v>
      </c>
      <c r="V662" s="35" t="str">
        <f>VLOOKUP(Tabla1[[#This Row],[PROGRAMA]],Hoja1!A:B,2,FALSE)</f>
        <v>2315. Políticas de Igualdad e infancia</v>
      </c>
      <c r="W662" s="56" t="str">
        <f>MID(Tabla1[[#This Row],[Aplicación]],14,2)</f>
        <v>22</v>
      </c>
      <c r="X662" s="56" t="str">
        <f>MID(Tabla1[[#This Row],[Aplicación]],14,6)</f>
        <v>22611</v>
      </c>
    </row>
    <row r="663" spans="1:24" x14ac:dyDescent="0.25">
      <c r="A663" s="46">
        <v>220230001824</v>
      </c>
      <c r="B663" s="47" t="s">
        <v>1249</v>
      </c>
      <c r="C663" s="52">
        <v>44960</v>
      </c>
      <c r="D663" s="46">
        <v>22023002017</v>
      </c>
      <c r="E663" s="47" t="s">
        <v>970</v>
      </c>
      <c r="F663" s="53">
        <v>824.17</v>
      </c>
      <c r="G663" s="47" t="s">
        <v>850</v>
      </c>
      <c r="H663" s="47" t="s">
        <v>1745</v>
      </c>
      <c r="I663" s="46" t="s">
        <v>1251</v>
      </c>
      <c r="J663" s="47" t="s">
        <v>852</v>
      </c>
      <c r="K663" s="47" t="s">
        <v>853</v>
      </c>
      <c r="L663" s="47" t="s">
        <v>520</v>
      </c>
      <c r="M663" s="47" t="s">
        <v>514</v>
      </c>
      <c r="N663" s="47" t="s">
        <v>515</v>
      </c>
      <c r="O663" s="45" t="s">
        <v>371</v>
      </c>
      <c r="P663" s="44" t="s">
        <v>309</v>
      </c>
      <c r="Q663" s="59" t="str">
        <f>MID(Tabla1[[#This Row],[Aplicación]],14,1)</f>
        <v>2</v>
      </c>
      <c r="R663" s="35" t="s">
        <v>298</v>
      </c>
      <c r="S663" s="59" t="str">
        <f>MID(Tabla1[[#This Row],[Aplicación]],6,2)</f>
        <v>05</v>
      </c>
      <c r="T663" s="35" t="str">
        <f>VLOOKUP(Tabla1[[#This Row],[AREA]],Hoja1!A:B,2,FALSE)</f>
        <v>05. Innovación, desarrollo económico, empleo y comercio</v>
      </c>
      <c r="U663" s="35" t="str">
        <f>MID(Tabla1[[#This Row],[Aplicación]],9,4)</f>
        <v>4331</v>
      </c>
      <c r="V663" s="35" t="str">
        <f>VLOOKUP(Tabla1[[#This Row],[PROGRAMA]],Hoja1!A:B,2,FALSE)</f>
        <v>4331. Desarrollo empresarial</v>
      </c>
      <c r="W663" s="56" t="str">
        <f>MID(Tabla1[[#This Row],[Aplicación]],14,2)</f>
        <v>22</v>
      </c>
      <c r="X663" s="56" t="str">
        <f>MID(Tabla1[[#This Row],[Aplicación]],14,6)</f>
        <v>22700</v>
      </c>
    </row>
    <row r="664" spans="1:24" x14ac:dyDescent="0.25">
      <c r="A664" s="46">
        <v>220230002002</v>
      </c>
      <c r="B664" s="47" t="s">
        <v>507</v>
      </c>
      <c r="C664" s="52">
        <v>44960</v>
      </c>
      <c r="D664" s="46">
        <v>22023001425</v>
      </c>
      <c r="E664" s="47" t="s">
        <v>1260</v>
      </c>
      <c r="F664" s="53">
        <v>42.36</v>
      </c>
      <c r="G664" s="47" t="s">
        <v>480</v>
      </c>
      <c r="H664" s="47" t="s">
        <v>1746</v>
      </c>
      <c r="I664" s="46" t="s">
        <v>511</v>
      </c>
      <c r="J664" s="47" t="s">
        <v>519</v>
      </c>
      <c r="K664" s="47" t="s">
        <v>519</v>
      </c>
      <c r="L664" s="47" t="s">
        <v>520</v>
      </c>
      <c r="M664" s="47" t="s">
        <v>976</v>
      </c>
      <c r="N664" s="47" t="s">
        <v>839</v>
      </c>
      <c r="O664" s="45" t="s">
        <v>383</v>
      </c>
      <c r="P664" s="44" t="s">
        <v>309</v>
      </c>
      <c r="Q664" s="59" t="str">
        <f>MID(Tabla1[[#This Row],[Aplicación]],14,1)</f>
        <v>2</v>
      </c>
      <c r="R664" s="35" t="s">
        <v>298</v>
      </c>
      <c r="S664" s="59" t="str">
        <f>MID(Tabla1[[#This Row],[Aplicación]],6,2)</f>
        <v>03</v>
      </c>
      <c r="T664" s="35" t="str">
        <f>VLOOKUP(Tabla1[[#This Row],[AREA]],Hoja1!A:B,2,FALSE)</f>
        <v>03. Participación ciudadana y deportes</v>
      </c>
      <c r="U664" s="35" t="str">
        <f>MID(Tabla1[[#This Row],[Aplicación]],9,4)</f>
        <v>9241</v>
      </c>
      <c r="V664" s="35" t="str">
        <f>VLOOKUP(Tabla1[[#This Row],[PROGRAMA]],Hoja1!A:B,2,FALSE)</f>
        <v>9241. Participación ciudadana</v>
      </c>
      <c r="W664" s="56" t="str">
        <f>MID(Tabla1[[#This Row],[Aplicación]],14,2)</f>
        <v>22</v>
      </c>
      <c r="X664" s="56" t="str">
        <f>MID(Tabla1[[#This Row],[Aplicación]],14,6)</f>
        <v>22602</v>
      </c>
    </row>
    <row r="665" spans="1:24" x14ac:dyDescent="0.25">
      <c r="A665" s="46">
        <v>220230003225</v>
      </c>
      <c r="B665" s="47" t="s">
        <v>507</v>
      </c>
      <c r="C665" s="52">
        <v>44971</v>
      </c>
      <c r="D665" s="46">
        <v>22023001680</v>
      </c>
      <c r="E665" s="47" t="s">
        <v>1344</v>
      </c>
      <c r="F665" s="53">
        <v>1060</v>
      </c>
      <c r="G665" s="47" t="s">
        <v>1747</v>
      </c>
      <c r="H665" s="47" t="s">
        <v>1748</v>
      </c>
      <c r="I665" s="46" t="s">
        <v>511</v>
      </c>
      <c r="J665" s="47" t="s">
        <v>1405</v>
      </c>
      <c r="K665" s="47" t="s">
        <v>519</v>
      </c>
      <c r="L665" s="47" t="s">
        <v>520</v>
      </c>
      <c r="M665" s="47" t="s">
        <v>976</v>
      </c>
      <c r="N665" s="47" t="s">
        <v>839</v>
      </c>
      <c r="O665" s="45" t="s">
        <v>383</v>
      </c>
      <c r="P665" s="44" t="s">
        <v>309</v>
      </c>
      <c r="Q665" s="59" t="str">
        <f>MID(Tabla1[[#This Row],[Aplicación]],14,1)</f>
        <v>2</v>
      </c>
      <c r="R665" s="35" t="s">
        <v>298</v>
      </c>
      <c r="S665" s="59" t="str">
        <f>MID(Tabla1[[#This Row],[Aplicación]],6,2)</f>
        <v>10</v>
      </c>
      <c r="T665" s="35" t="str">
        <f>VLOOKUP(Tabla1[[#This Row],[AREA]],Hoja1!A:B,2,FALSE)</f>
        <v>10. Servicios sociales y mediación comunitaria</v>
      </c>
      <c r="U665" s="35" t="str">
        <f>MID(Tabla1[[#This Row],[Aplicación]],9,4)</f>
        <v>2312</v>
      </c>
      <c r="V665" s="35" t="str">
        <f>VLOOKUP(Tabla1[[#This Row],[PROGRAMA]],Hoja1!A:B,2,FALSE)</f>
        <v>2312. Iniciativas sociales</v>
      </c>
      <c r="W665" s="56" t="str">
        <f>MID(Tabla1[[#This Row],[Aplicación]],14,2)</f>
        <v>22</v>
      </c>
      <c r="X665" s="56" t="str">
        <f>MID(Tabla1[[#This Row],[Aplicación]],14,6)</f>
        <v>22606</v>
      </c>
    </row>
    <row r="666" spans="1:24" x14ac:dyDescent="0.25">
      <c r="A666" s="46">
        <v>220230006764</v>
      </c>
      <c r="B666" s="47" t="s">
        <v>507</v>
      </c>
      <c r="C666" s="52">
        <v>44986</v>
      </c>
      <c r="D666" s="46">
        <v>22023001680</v>
      </c>
      <c r="E666" s="47" t="s">
        <v>1344</v>
      </c>
      <c r="F666" s="53">
        <v>290</v>
      </c>
      <c r="G666" s="47" t="s">
        <v>1747</v>
      </c>
      <c r="H666" s="47" t="s">
        <v>1749</v>
      </c>
      <c r="I666" s="46" t="s">
        <v>511</v>
      </c>
      <c r="J666" s="47" t="s">
        <v>1405</v>
      </c>
      <c r="K666" s="47" t="s">
        <v>519</v>
      </c>
      <c r="L666" s="47" t="s">
        <v>520</v>
      </c>
      <c r="M666" s="47" t="s">
        <v>976</v>
      </c>
      <c r="N666" s="47" t="s">
        <v>839</v>
      </c>
      <c r="O666" s="45" t="s">
        <v>383</v>
      </c>
      <c r="P666" s="44" t="s">
        <v>309</v>
      </c>
      <c r="Q666" s="59" t="str">
        <f>MID(Tabla1[[#This Row],[Aplicación]],14,1)</f>
        <v>2</v>
      </c>
      <c r="R666" s="35" t="s">
        <v>298</v>
      </c>
      <c r="S666" s="59" t="str">
        <f>MID(Tabla1[[#This Row],[Aplicación]],6,2)</f>
        <v>10</v>
      </c>
      <c r="T666" s="35" t="str">
        <f>VLOOKUP(Tabla1[[#This Row],[AREA]],Hoja1!A:B,2,FALSE)</f>
        <v>10. Servicios sociales y mediación comunitaria</v>
      </c>
      <c r="U666" s="35" t="str">
        <f>MID(Tabla1[[#This Row],[Aplicación]],9,4)</f>
        <v>2312</v>
      </c>
      <c r="V666" s="35" t="str">
        <f>VLOOKUP(Tabla1[[#This Row],[PROGRAMA]],Hoja1!A:B,2,FALSE)</f>
        <v>2312. Iniciativas sociales</v>
      </c>
      <c r="W666" s="56" t="str">
        <f>MID(Tabla1[[#This Row],[Aplicación]],14,2)</f>
        <v>22</v>
      </c>
      <c r="X666" s="56" t="str">
        <f>MID(Tabla1[[#This Row],[Aplicación]],14,6)</f>
        <v>22606</v>
      </c>
    </row>
    <row r="667" spans="1:24" x14ac:dyDescent="0.25">
      <c r="A667" s="46">
        <v>220230002066</v>
      </c>
      <c r="B667" s="47" t="s">
        <v>507</v>
      </c>
      <c r="C667" s="52">
        <v>44963</v>
      </c>
      <c r="D667" s="46">
        <v>22023001837</v>
      </c>
      <c r="E667" s="47" t="s">
        <v>1382</v>
      </c>
      <c r="F667" s="53">
        <v>114.95</v>
      </c>
      <c r="G667" s="47" t="s">
        <v>1750</v>
      </c>
      <c r="H667" s="47" t="s">
        <v>1751</v>
      </c>
      <c r="I667" s="46" t="s">
        <v>511</v>
      </c>
      <c r="J667" s="47" t="s">
        <v>519</v>
      </c>
      <c r="K667" s="47" t="s">
        <v>519</v>
      </c>
      <c r="L667" s="47" t="s">
        <v>552</v>
      </c>
      <c r="M667" s="47" t="s">
        <v>976</v>
      </c>
      <c r="N667" s="47" t="s">
        <v>839</v>
      </c>
      <c r="O667" s="45" t="s">
        <v>383</v>
      </c>
      <c r="P667" s="44" t="s">
        <v>309</v>
      </c>
      <c r="Q667" s="59" t="str">
        <f>MID(Tabla1[[#This Row],[Aplicación]],14,1)</f>
        <v>2</v>
      </c>
      <c r="R667" s="35" t="s">
        <v>298</v>
      </c>
      <c r="S667" s="59" t="str">
        <f>MID(Tabla1[[#This Row],[Aplicación]],6,2)</f>
        <v>03</v>
      </c>
      <c r="T667" s="35" t="str">
        <f>VLOOKUP(Tabla1[[#This Row],[AREA]],Hoja1!A:B,2,FALSE)</f>
        <v>03. Participación ciudadana y deportes</v>
      </c>
      <c r="U667" s="35" t="str">
        <f>MID(Tabla1[[#This Row],[Aplicación]],9,4)</f>
        <v>9241</v>
      </c>
      <c r="V667" s="35" t="str">
        <f>VLOOKUP(Tabla1[[#This Row],[PROGRAMA]],Hoja1!A:B,2,FALSE)</f>
        <v>9241. Participación ciudadana</v>
      </c>
      <c r="W667" s="56" t="str">
        <f>MID(Tabla1[[#This Row],[Aplicación]],14,2)</f>
        <v>22</v>
      </c>
      <c r="X667" s="56" t="str">
        <f>MID(Tabla1[[#This Row],[Aplicación]],14,6)</f>
        <v>22699</v>
      </c>
    </row>
    <row r="668" spans="1:24" x14ac:dyDescent="0.25">
      <c r="A668" s="46">
        <v>220230006737</v>
      </c>
      <c r="B668" s="47" t="s">
        <v>507</v>
      </c>
      <c r="C668" s="52">
        <v>44986</v>
      </c>
      <c r="D668" s="46">
        <v>22023002670</v>
      </c>
      <c r="E668" s="47" t="s">
        <v>1752</v>
      </c>
      <c r="F668" s="53">
        <v>64.25</v>
      </c>
      <c r="G668" s="47" t="s">
        <v>1750</v>
      </c>
      <c r="H668" s="47" t="s">
        <v>1753</v>
      </c>
      <c r="I668" s="46" t="s">
        <v>511</v>
      </c>
      <c r="J668" s="47" t="s">
        <v>519</v>
      </c>
      <c r="K668" s="47" t="s">
        <v>519</v>
      </c>
      <c r="L668" s="47" t="s">
        <v>552</v>
      </c>
      <c r="M668" s="47" t="s">
        <v>976</v>
      </c>
      <c r="N668" s="47" t="s">
        <v>839</v>
      </c>
      <c r="O668" s="45" t="s">
        <v>383</v>
      </c>
      <c r="P668" s="44" t="s">
        <v>309</v>
      </c>
      <c r="Q668" s="59" t="str">
        <f>MID(Tabla1[[#This Row],[Aplicación]],14,1)</f>
        <v>2</v>
      </c>
      <c r="R668" s="35" t="s">
        <v>298</v>
      </c>
      <c r="S668" s="59" t="str">
        <f>MID(Tabla1[[#This Row],[Aplicación]],6,2)</f>
        <v>10</v>
      </c>
      <c r="T668" s="35" t="str">
        <f>VLOOKUP(Tabla1[[#This Row],[AREA]],Hoja1!A:B,2,FALSE)</f>
        <v>10. Servicios sociales y mediación comunitaria</v>
      </c>
      <c r="U668" s="35" t="str">
        <f>MID(Tabla1[[#This Row],[Aplicación]],9,4)</f>
        <v>2312</v>
      </c>
      <c r="V668" s="35" t="str">
        <f>VLOOKUP(Tabla1[[#This Row],[PROGRAMA]],Hoja1!A:B,2,FALSE)</f>
        <v>2312. Iniciativas sociales</v>
      </c>
      <c r="W668" s="56" t="str">
        <f>MID(Tabla1[[#This Row],[Aplicación]],14,2)</f>
        <v>22</v>
      </c>
      <c r="X668" s="56" t="str">
        <f>MID(Tabla1[[#This Row],[Aplicación]],14,6)</f>
        <v>22199</v>
      </c>
    </row>
    <row r="669" spans="1:24" x14ac:dyDescent="0.25">
      <c r="A669" s="46">
        <v>220230001914</v>
      </c>
      <c r="B669" s="47" t="s">
        <v>1249</v>
      </c>
      <c r="C669" s="52">
        <v>44960</v>
      </c>
      <c r="D669" s="46">
        <v>22023002055</v>
      </c>
      <c r="E669" s="47" t="s">
        <v>762</v>
      </c>
      <c r="F669" s="53">
        <v>574.24</v>
      </c>
      <c r="G669" s="47" t="s">
        <v>763</v>
      </c>
      <c r="H669" s="47" t="s">
        <v>1754</v>
      </c>
      <c r="I669" s="46" t="s">
        <v>1251</v>
      </c>
      <c r="J669" s="47" t="s">
        <v>765</v>
      </c>
      <c r="K669" s="47" t="s">
        <v>512</v>
      </c>
      <c r="L669" s="47" t="s">
        <v>552</v>
      </c>
      <c r="M669" s="47" t="s">
        <v>514</v>
      </c>
      <c r="N669" s="47" t="s">
        <v>515</v>
      </c>
      <c r="O669" s="45" t="s">
        <v>371</v>
      </c>
      <c r="P669" s="44" t="s">
        <v>309</v>
      </c>
      <c r="Q669" s="59" t="str">
        <f>MID(Tabla1[[#This Row],[Aplicación]],14,1)</f>
        <v>2</v>
      </c>
      <c r="R669" s="35" t="s">
        <v>298</v>
      </c>
      <c r="S669" s="59" t="str">
        <f>MID(Tabla1[[#This Row],[Aplicación]],6,2)</f>
        <v>11</v>
      </c>
      <c r="T669" s="35" t="str">
        <f>VLOOKUP(Tabla1[[#This Row],[AREA]],Hoja1!A:B,2,FALSE)</f>
        <v>11. Salud pública y seguridad ciudadana</v>
      </c>
      <c r="U669" s="35" t="str">
        <f>MID(Tabla1[[#This Row],[Aplicación]],9,4)</f>
        <v>1321</v>
      </c>
      <c r="V669" s="35" t="str">
        <f>VLOOKUP(Tabla1[[#This Row],[PROGRAMA]],Hoja1!A:B,2,FALSE)</f>
        <v>1321. Policía municipal</v>
      </c>
      <c r="W669" s="56" t="str">
        <f>MID(Tabla1[[#This Row],[Aplicación]],14,2)</f>
        <v>20</v>
      </c>
      <c r="X669" s="56" t="str">
        <f>MID(Tabla1[[#This Row],[Aplicación]],14,6)</f>
        <v>204</v>
      </c>
    </row>
    <row r="670" spans="1:24" x14ac:dyDescent="0.25">
      <c r="A670" s="46">
        <v>220230001793</v>
      </c>
      <c r="B670" s="47" t="s">
        <v>507</v>
      </c>
      <c r="C670" s="52">
        <v>44960</v>
      </c>
      <c r="D670" s="46">
        <v>22023000126</v>
      </c>
      <c r="E670" s="47" t="s">
        <v>1084</v>
      </c>
      <c r="F670" s="53">
        <v>998.25</v>
      </c>
      <c r="G670" s="47" t="s">
        <v>70</v>
      </c>
      <c r="H670" s="47" t="s">
        <v>1755</v>
      </c>
      <c r="I670" s="46" t="s">
        <v>511</v>
      </c>
      <c r="J670" s="47" t="s">
        <v>519</v>
      </c>
      <c r="K670" s="47" t="s">
        <v>519</v>
      </c>
      <c r="L670" s="47" t="s">
        <v>552</v>
      </c>
      <c r="M670" s="47" t="s">
        <v>976</v>
      </c>
      <c r="N670" s="47" t="s">
        <v>839</v>
      </c>
      <c r="O670" s="45" t="s">
        <v>383</v>
      </c>
      <c r="P670" s="44" t="s">
        <v>309</v>
      </c>
      <c r="Q670" s="59" t="str">
        <f>MID(Tabla1[[#This Row],[Aplicación]],14,1)</f>
        <v>2</v>
      </c>
      <c r="R670" s="35" t="s">
        <v>298</v>
      </c>
      <c r="S670" s="59" t="str">
        <f>MID(Tabla1[[#This Row],[Aplicación]],6,2)</f>
        <v>11</v>
      </c>
      <c r="T670" s="35" t="str">
        <f>VLOOKUP(Tabla1[[#This Row],[AREA]],Hoja1!A:B,2,FALSE)</f>
        <v>11. Salud pública y seguridad ciudadana</v>
      </c>
      <c r="U670" s="35" t="str">
        <f>MID(Tabla1[[#This Row],[Aplicación]],9,4)</f>
        <v>1621</v>
      </c>
      <c r="V670" s="35" t="str">
        <f>VLOOKUP(Tabla1[[#This Row],[PROGRAMA]],Hoja1!A:B,2,FALSE)</f>
        <v>1621. Servicio de limpieza</v>
      </c>
      <c r="W670" s="56" t="str">
        <f>MID(Tabla1[[#This Row],[Aplicación]],14,2)</f>
        <v>22</v>
      </c>
      <c r="X670" s="56" t="str">
        <f>MID(Tabla1[[#This Row],[Aplicación]],14,6)</f>
        <v>22104</v>
      </c>
    </row>
    <row r="671" spans="1:24" x14ac:dyDescent="0.25">
      <c r="A671" s="46">
        <v>220230001919</v>
      </c>
      <c r="B671" s="47" t="s">
        <v>507</v>
      </c>
      <c r="C671" s="52">
        <v>44960</v>
      </c>
      <c r="D671" s="46">
        <v>22023000199</v>
      </c>
      <c r="E671" s="47" t="s">
        <v>1504</v>
      </c>
      <c r="F671" s="53">
        <v>1829.52</v>
      </c>
      <c r="G671" s="47" t="s">
        <v>70</v>
      </c>
      <c r="H671" s="47" t="s">
        <v>1756</v>
      </c>
      <c r="I671" s="46" t="s">
        <v>511</v>
      </c>
      <c r="J671" s="47" t="s">
        <v>519</v>
      </c>
      <c r="K671" s="47" t="s">
        <v>519</v>
      </c>
      <c r="L671" s="47" t="s">
        <v>652</v>
      </c>
      <c r="M671" s="47" t="s">
        <v>976</v>
      </c>
      <c r="N671" s="47" t="s">
        <v>839</v>
      </c>
      <c r="O671" s="45" t="s">
        <v>383</v>
      </c>
      <c r="P671" s="44" t="s">
        <v>309</v>
      </c>
      <c r="Q671" s="59" t="str">
        <f>MID(Tabla1[[#This Row],[Aplicación]],14,1)</f>
        <v>2</v>
      </c>
      <c r="R671" s="35" t="s">
        <v>298</v>
      </c>
      <c r="S671" s="59" t="str">
        <f>MID(Tabla1[[#This Row],[Aplicación]],6,2)</f>
        <v>04</v>
      </c>
      <c r="T671" s="35" t="str">
        <f>VLOOKUP(Tabla1[[#This Row],[AREA]],Hoja1!A:B,2,FALSE)</f>
        <v>04. Planificación y recursos</v>
      </c>
      <c r="U671" s="35" t="str">
        <f>MID(Tabla1[[#This Row],[Aplicación]],9,4)</f>
        <v>9321</v>
      </c>
      <c r="V671" s="35" t="str">
        <f>VLOOKUP(Tabla1[[#This Row],[PROGRAMA]],Hoja1!A:B,2,FALSE)</f>
        <v>9321. Gestión de ingresos e inspección</v>
      </c>
      <c r="W671" s="56" t="str">
        <f>MID(Tabla1[[#This Row],[Aplicación]],14,2)</f>
        <v>22</v>
      </c>
      <c r="X671" s="56" t="str">
        <f>MID(Tabla1[[#This Row],[Aplicación]],14,6)</f>
        <v>22799</v>
      </c>
    </row>
    <row r="672" spans="1:24" x14ac:dyDescent="0.25">
      <c r="A672" s="46">
        <v>220230002085</v>
      </c>
      <c r="B672" s="47" t="s">
        <v>507</v>
      </c>
      <c r="C672" s="52">
        <v>44963</v>
      </c>
      <c r="D672" s="46">
        <v>22023002019</v>
      </c>
      <c r="E672" s="47" t="s">
        <v>665</v>
      </c>
      <c r="F672" s="53">
        <v>300.08</v>
      </c>
      <c r="G672" s="47" t="s">
        <v>1757</v>
      </c>
      <c r="H672" s="47" t="s">
        <v>1758</v>
      </c>
      <c r="I672" s="46" t="s">
        <v>511</v>
      </c>
      <c r="J672" s="47" t="s">
        <v>1759</v>
      </c>
      <c r="K672" s="47" t="s">
        <v>519</v>
      </c>
      <c r="L672" s="47" t="s">
        <v>520</v>
      </c>
      <c r="M672" s="47" t="s">
        <v>976</v>
      </c>
      <c r="N672" s="47" t="s">
        <v>839</v>
      </c>
      <c r="O672" s="45" t="s">
        <v>383</v>
      </c>
      <c r="P672" s="44" t="s">
        <v>309</v>
      </c>
      <c r="Q672" s="59" t="str">
        <f>MID(Tabla1[[#This Row],[Aplicación]],14,1)</f>
        <v>2</v>
      </c>
      <c r="R672" s="35" t="s">
        <v>298</v>
      </c>
      <c r="S672" s="59" t="str">
        <f>MID(Tabla1[[#This Row],[Aplicación]],6,2)</f>
        <v>08</v>
      </c>
      <c r="T672" s="35" t="str">
        <f>VLOOKUP(Tabla1[[#This Row],[AREA]],Hoja1!A:B,2,FALSE)</f>
        <v>08. Movilidad y espacio urbano</v>
      </c>
      <c r="U672" s="35" t="str">
        <f>MID(Tabla1[[#This Row],[Aplicación]],9,4)</f>
        <v>1532</v>
      </c>
      <c r="V672" s="35" t="str">
        <f>VLOOKUP(Tabla1[[#This Row],[PROGRAMA]],Hoja1!A:B,2,FALSE)</f>
        <v>1532. Pavimentación vias públicas y otros servicios urbanísticos</v>
      </c>
      <c r="W672" s="56" t="str">
        <f>MID(Tabla1[[#This Row],[Aplicación]],14,2)</f>
        <v>21</v>
      </c>
      <c r="X672" s="56" t="str">
        <f>MID(Tabla1[[#This Row],[Aplicación]],14,6)</f>
        <v>213</v>
      </c>
    </row>
    <row r="673" spans="1:24" x14ac:dyDescent="0.25">
      <c r="A673" s="46">
        <v>220230003640</v>
      </c>
      <c r="B673" s="47" t="s">
        <v>507</v>
      </c>
      <c r="C673" s="52">
        <v>44973</v>
      </c>
      <c r="D673" s="46">
        <v>22023002429</v>
      </c>
      <c r="E673" s="47" t="s">
        <v>1479</v>
      </c>
      <c r="F673" s="53">
        <v>600</v>
      </c>
      <c r="G673" s="47" t="s">
        <v>450</v>
      </c>
      <c r="H673" s="47" t="s">
        <v>1760</v>
      </c>
      <c r="I673" s="46" t="s">
        <v>511</v>
      </c>
      <c r="J673" s="47" t="s">
        <v>519</v>
      </c>
      <c r="K673" s="47" t="s">
        <v>519</v>
      </c>
      <c r="L673" s="47" t="s">
        <v>520</v>
      </c>
      <c r="M673" s="47" t="s">
        <v>976</v>
      </c>
      <c r="N673" s="47" t="s">
        <v>839</v>
      </c>
      <c r="O673" s="45" t="s">
        <v>383</v>
      </c>
      <c r="P673" s="44" t="s">
        <v>309</v>
      </c>
      <c r="Q673" s="59" t="str">
        <f>MID(Tabla1[[#This Row],[Aplicación]],14,1)</f>
        <v>2</v>
      </c>
      <c r="R673" s="35" t="s">
        <v>298</v>
      </c>
      <c r="S673" s="59" t="str">
        <f>MID(Tabla1[[#This Row],[Aplicación]],6,2)</f>
        <v>03</v>
      </c>
      <c r="T673" s="35" t="str">
        <f>VLOOKUP(Tabla1[[#This Row],[AREA]],Hoja1!A:B,2,FALSE)</f>
        <v>03. Participación ciudadana y deportes</v>
      </c>
      <c r="U673" s="35" t="str">
        <f>MID(Tabla1[[#This Row],[Aplicación]],9,4)</f>
        <v>9241</v>
      </c>
      <c r="V673" s="35" t="str">
        <f>VLOOKUP(Tabla1[[#This Row],[PROGRAMA]],Hoja1!A:B,2,FALSE)</f>
        <v>9241. Participación ciudadana</v>
      </c>
      <c r="W673" s="56" t="str">
        <f>MID(Tabla1[[#This Row],[Aplicación]],14,2)</f>
        <v>22</v>
      </c>
      <c r="X673" s="56" t="str">
        <f>MID(Tabla1[[#This Row],[Aplicación]],14,6)</f>
        <v>22609</v>
      </c>
    </row>
    <row r="674" spans="1:24" x14ac:dyDescent="0.25">
      <c r="A674" s="46">
        <v>220230007150</v>
      </c>
      <c r="B674" s="47" t="s">
        <v>507</v>
      </c>
      <c r="C674" s="52">
        <v>44987</v>
      </c>
      <c r="D674" s="46">
        <v>22023002741</v>
      </c>
      <c r="E674" s="47" t="s">
        <v>1479</v>
      </c>
      <c r="F674" s="53">
        <v>50</v>
      </c>
      <c r="G674" s="47" t="s">
        <v>450</v>
      </c>
      <c r="H674" s="47" t="s">
        <v>1761</v>
      </c>
      <c r="I674" s="46" t="s">
        <v>511</v>
      </c>
      <c r="J674" s="47" t="s">
        <v>519</v>
      </c>
      <c r="K674" s="47" t="s">
        <v>519</v>
      </c>
      <c r="L674" s="47" t="s">
        <v>520</v>
      </c>
      <c r="M674" s="47" t="s">
        <v>976</v>
      </c>
      <c r="N674" s="47" t="s">
        <v>839</v>
      </c>
      <c r="O674" s="45" t="s">
        <v>383</v>
      </c>
      <c r="P674" s="44" t="s">
        <v>309</v>
      </c>
      <c r="Q674" s="59" t="str">
        <f>MID(Tabla1[[#This Row],[Aplicación]],14,1)</f>
        <v>2</v>
      </c>
      <c r="R674" s="35" t="s">
        <v>298</v>
      </c>
      <c r="S674" s="59" t="str">
        <f>MID(Tabla1[[#This Row],[Aplicación]],6,2)</f>
        <v>03</v>
      </c>
      <c r="T674" s="35" t="str">
        <f>VLOOKUP(Tabla1[[#This Row],[AREA]],Hoja1!A:B,2,FALSE)</f>
        <v>03. Participación ciudadana y deportes</v>
      </c>
      <c r="U674" s="35" t="str">
        <f>MID(Tabla1[[#This Row],[Aplicación]],9,4)</f>
        <v>9241</v>
      </c>
      <c r="V674" s="35" t="str">
        <f>VLOOKUP(Tabla1[[#This Row],[PROGRAMA]],Hoja1!A:B,2,FALSE)</f>
        <v>9241. Participación ciudadana</v>
      </c>
      <c r="W674" s="56" t="str">
        <f>MID(Tabla1[[#This Row],[Aplicación]],14,2)</f>
        <v>22</v>
      </c>
      <c r="X674" s="56" t="str">
        <f>MID(Tabla1[[#This Row],[Aplicación]],14,6)</f>
        <v>22609</v>
      </c>
    </row>
    <row r="675" spans="1:24" x14ac:dyDescent="0.25">
      <c r="A675" s="46">
        <v>220230008573</v>
      </c>
      <c r="B675" s="47" t="s">
        <v>507</v>
      </c>
      <c r="C675" s="52">
        <v>45000</v>
      </c>
      <c r="D675" s="46">
        <v>22023002938</v>
      </c>
      <c r="E675" s="47" t="s">
        <v>1479</v>
      </c>
      <c r="F675" s="53">
        <v>500</v>
      </c>
      <c r="G675" s="47" t="s">
        <v>450</v>
      </c>
      <c r="H675" s="47" t="s">
        <v>1762</v>
      </c>
      <c r="I675" s="46" t="s">
        <v>511</v>
      </c>
      <c r="J675" s="47" t="s">
        <v>519</v>
      </c>
      <c r="K675" s="47" t="s">
        <v>519</v>
      </c>
      <c r="L675" s="47" t="s">
        <v>520</v>
      </c>
      <c r="M675" s="47" t="s">
        <v>976</v>
      </c>
      <c r="N675" s="47" t="s">
        <v>839</v>
      </c>
      <c r="O675" s="54" t="s">
        <v>383</v>
      </c>
      <c r="P675" s="44" t="s">
        <v>309</v>
      </c>
      <c r="Q675" s="59" t="str">
        <f>MID(Tabla1[[#This Row],[Aplicación]],14,1)</f>
        <v>2</v>
      </c>
      <c r="R675" s="35" t="s">
        <v>298</v>
      </c>
      <c r="S675" s="59" t="str">
        <f>MID(Tabla1[[#This Row],[Aplicación]],6,2)</f>
        <v>03</v>
      </c>
      <c r="T675" s="35" t="str">
        <f>VLOOKUP(Tabla1[[#This Row],[AREA]],Hoja1!A:B,2,FALSE)</f>
        <v>03. Participación ciudadana y deportes</v>
      </c>
      <c r="U675" s="35" t="str">
        <f>MID(Tabla1[[#This Row],[Aplicación]],9,4)</f>
        <v>9241</v>
      </c>
      <c r="V675" s="35" t="str">
        <f>VLOOKUP(Tabla1[[#This Row],[PROGRAMA]],Hoja1!A:B,2,FALSE)</f>
        <v>9241. Participación ciudadana</v>
      </c>
      <c r="W675" s="56" t="str">
        <f>MID(Tabla1[[#This Row],[Aplicación]],14,2)</f>
        <v>22</v>
      </c>
      <c r="X675" s="56" t="str">
        <f>MID(Tabla1[[#This Row],[Aplicación]],14,6)</f>
        <v>22609</v>
      </c>
    </row>
    <row r="676" spans="1:24" x14ac:dyDescent="0.25">
      <c r="A676" s="46">
        <v>220230001927</v>
      </c>
      <c r="B676" s="47" t="s">
        <v>507</v>
      </c>
      <c r="C676" s="52">
        <v>44960</v>
      </c>
      <c r="D676" s="46">
        <v>22023000615</v>
      </c>
      <c r="E676" s="47" t="s">
        <v>598</v>
      </c>
      <c r="F676" s="53">
        <v>13.85</v>
      </c>
      <c r="G676" s="47" t="s">
        <v>1481</v>
      </c>
      <c r="H676" s="47" t="s">
        <v>1763</v>
      </c>
      <c r="I676" s="46" t="s">
        <v>511</v>
      </c>
      <c r="J676" s="47" t="s">
        <v>837</v>
      </c>
      <c r="K676" s="47" t="s">
        <v>837</v>
      </c>
      <c r="L676" s="47" t="s">
        <v>552</v>
      </c>
      <c r="M676" s="47" t="s">
        <v>514</v>
      </c>
      <c r="N676" s="47" t="s">
        <v>515</v>
      </c>
      <c r="O676" s="45" t="s">
        <v>382</v>
      </c>
      <c r="P676" s="44" t="s">
        <v>309</v>
      </c>
      <c r="Q676" s="59" t="str">
        <f>MID(Tabla1[[#This Row],[Aplicación]],14,1)</f>
        <v>2</v>
      </c>
      <c r="R676" s="35" t="s">
        <v>298</v>
      </c>
      <c r="S676" s="59" t="str">
        <f>MID(Tabla1[[#This Row],[Aplicación]],6,2)</f>
        <v>01</v>
      </c>
      <c r="T676" s="35" t="str">
        <f>VLOOKUP(Tabla1[[#This Row],[AREA]],Hoja1!A:B,2,FALSE)</f>
        <v>01. Alcaldía</v>
      </c>
      <c r="U676" s="35" t="str">
        <f>MID(Tabla1[[#This Row],[Aplicación]],9,4)</f>
        <v>9205</v>
      </c>
      <c r="V676" s="35" t="str">
        <f>VLOOKUP(Tabla1[[#This Row],[PROGRAMA]],Hoja1!A:B,2,FALSE)</f>
        <v>9205. Imprenta municipal</v>
      </c>
      <c r="W676" s="56" t="str">
        <f>MID(Tabla1[[#This Row],[Aplicación]],14,2)</f>
        <v>21</v>
      </c>
      <c r="X676" s="56" t="str">
        <f>MID(Tabla1[[#This Row],[Aplicación]],14,6)</f>
        <v>213</v>
      </c>
    </row>
    <row r="677" spans="1:24" x14ac:dyDescent="0.25">
      <c r="A677" s="46">
        <v>220230001947</v>
      </c>
      <c r="B677" s="47" t="s">
        <v>507</v>
      </c>
      <c r="C677" s="52">
        <v>44960</v>
      </c>
      <c r="D677" s="46">
        <v>22023001133</v>
      </c>
      <c r="E677" s="47" t="s">
        <v>1670</v>
      </c>
      <c r="F677" s="53">
        <v>3249.94</v>
      </c>
      <c r="G677" s="47" t="s">
        <v>1764</v>
      </c>
      <c r="H677" s="47" t="s">
        <v>1765</v>
      </c>
      <c r="I677" s="46" t="s">
        <v>511</v>
      </c>
      <c r="J677" s="47" t="s">
        <v>519</v>
      </c>
      <c r="K677" s="47" t="s">
        <v>519</v>
      </c>
      <c r="L677" s="47" t="s">
        <v>520</v>
      </c>
      <c r="M677" s="47" t="s">
        <v>514</v>
      </c>
      <c r="N677" s="47" t="s">
        <v>515</v>
      </c>
      <c r="O677" s="45" t="s">
        <v>382</v>
      </c>
      <c r="P677" s="44" t="s">
        <v>309</v>
      </c>
      <c r="Q677" s="59" t="str">
        <f>MID(Tabla1[[#This Row],[Aplicación]],14,1)</f>
        <v>2</v>
      </c>
      <c r="R677" s="35" t="s">
        <v>298</v>
      </c>
      <c r="S677" s="59" t="str">
        <f>MID(Tabla1[[#This Row],[Aplicación]],6,2)</f>
        <v>07</v>
      </c>
      <c r="T677" s="35" t="str">
        <f>VLOOKUP(Tabla1[[#This Row],[AREA]],Hoja1!A:B,2,FALSE)</f>
        <v>07. Medio ambiente y desarrollo sostenible</v>
      </c>
      <c r="U677" s="35" t="str">
        <f>MID(Tabla1[[#This Row],[Aplicación]],9,4)</f>
        <v>1721</v>
      </c>
      <c r="V677" s="35" t="str">
        <f>VLOOKUP(Tabla1[[#This Row],[PROGRAMA]],Hoja1!A:B,2,FALSE)</f>
        <v>1721. Protección del medio ambiente</v>
      </c>
      <c r="W677" s="56" t="str">
        <f>MID(Tabla1[[#This Row],[Aplicación]],14,2)</f>
        <v>22</v>
      </c>
      <c r="X677" s="56" t="str">
        <f>MID(Tabla1[[#This Row],[Aplicación]],14,6)</f>
        <v>22602</v>
      </c>
    </row>
    <row r="678" spans="1:24" x14ac:dyDescent="0.25">
      <c r="A678" s="46">
        <v>220230002034</v>
      </c>
      <c r="B678" s="47" t="s">
        <v>507</v>
      </c>
      <c r="C678" s="52">
        <v>44960</v>
      </c>
      <c r="D678" s="46">
        <v>22023001807</v>
      </c>
      <c r="E678" s="47" t="s">
        <v>1670</v>
      </c>
      <c r="F678" s="53">
        <v>4999.72</v>
      </c>
      <c r="G678" s="47" t="s">
        <v>29</v>
      </c>
      <c r="H678" s="47" t="s">
        <v>1766</v>
      </c>
      <c r="I678" s="46" t="s">
        <v>511</v>
      </c>
      <c r="J678" s="47" t="s">
        <v>519</v>
      </c>
      <c r="K678" s="47" t="s">
        <v>519</v>
      </c>
      <c r="L678" s="47" t="s">
        <v>520</v>
      </c>
      <c r="M678" s="47" t="s">
        <v>514</v>
      </c>
      <c r="N678" s="47" t="s">
        <v>515</v>
      </c>
      <c r="O678" s="45" t="s">
        <v>382</v>
      </c>
      <c r="P678" s="44" t="s">
        <v>309</v>
      </c>
      <c r="Q678" s="59" t="str">
        <f>MID(Tabla1[[#This Row],[Aplicación]],14,1)</f>
        <v>2</v>
      </c>
      <c r="R678" s="35" t="s">
        <v>298</v>
      </c>
      <c r="S678" s="59" t="str">
        <f>MID(Tabla1[[#This Row],[Aplicación]],6,2)</f>
        <v>07</v>
      </c>
      <c r="T678" s="35" t="str">
        <f>VLOOKUP(Tabla1[[#This Row],[AREA]],Hoja1!A:B,2,FALSE)</f>
        <v>07. Medio ambiente y desarrollo sostenible</v>
      </c>
      <c r="U678" s="35" t="str">
        <f>MID(Tabla1[[#This Row],[Aplicación]],9,4)</f>
        <v>1721</v>
      </c>
      <c r="V678" s="35" t="str">
        <f>VLOOKUP(Tabla1[[#This Row],[PROGRAMA]],Hoja1!A:B,2,FALSE)</f>
        <v>1721. Protección del medio ambiente</v>
      </c>
      <c r="W678" s="56" t="str">
        <f>MID(Tabla1[[#This Row],[Aplicación]],14,2)</f>
        <v>22</v>
      </c>
      <c r="X678" s="56" t="str">
        <f>MID(Tabla1[[#This Row],[Aplicación]],14,6)</f>
        <v>22602</v>
      </c>
    </row>
    <row r="679" spans="1:24" x14ac:dyDescent="0.25">
      <c r="A679" s="46">
        <v>220230006762</v>
      </c>
      <c r="B679" s="47" t="s">
        <v>507</v>
      </c>
      <c r="C679" s="52">
        <v>44986</v>
      </c>
      <c r="D679" s="46">
        <v>22023002774</v>
      </c>
      <c r="E679" s="47" t="s">
        <v>1551</v>
      </c>
      <c r="F679" s="53">
        <v>1010.08</v>
      </c>
      <c r="G679" s="47" t="s">
        <v>1481</v>
      </c>
      <c r="H679" s="47" t="s">
        <v>1767</v>
      </c>
      <c r="I679" s="46" t="s">
        <v>511</v>
      </c>
      <c r="J679" s="47" t="s">
        <v>837</v>
      </c>
      <c r="K679" s="47" t="s">
        <v>837</v>
      </c>
      <c r="L679" s="47" t="s">
        <v>552</v>
      </c>
      <c r="M679" s="47" t="s">
        <v>514</v>
      </c>
      <c r="N679" s="47" t="s">
        <v>515</v>
      </c>
      <c r="O679" s="45" t="s">
        <v>382</v>
      </c>
      <c r="P679" s="44" t="s">
        <v>309</v>
      </c>
      <c r="Q679" s="59" t="str">
        <f>MID(Tabla1[[#This Row],[Aplicación]],14,1)</f>
        <v>2</v>
      </c>
      <c r="R679" s="35" t="s">
        <v>298</v>
      </c>
      <c r="S679" s="59" t="str">
        <f>MID(Tabla1[[#This Row],[Aplicación]],6,2)</f>
        <v>02</v>
      </c>
      <c r="T679" s="35" t="str">
        <f>VLOOKUP(Tabla1[[#This Row],[AREA]],Hoja1!A:B,2,FALSE)</f>
        <v>02. Planeamiento urbanístico y vivienda</v>
      </c>
      <c r="U679" s="35" t="str">
        <f>MID(Tabla1[[#This Row],[Aplicación]],9,4)</f>
        <v>9332</v>
      </c>
      <c r="V679" s="35" t="str">
        <f>VLOOKUP(Tabla1[[#This Row],[PROGRAMA]],Hoja1!A:B,2,FALSE)</f>
        <v>9332. Mantenimiento de edificios e instalaciones municipales</v>
      </c>
      <c r="W679" s="56" t="str">
        <f>MID(Tabla1[[#This Row],[Aplicación]],14,2)</f>
        <v>21</v>
      </c>
      <c r="X679" s="56" t="str">
        <f>MID(Tabla1[[#This Row],[Aplicación]],14,6)</f>
        <v>212</v>
      </c>
    </row>
    <row r="680" spans="1:24" x14ac:dyDescent="0.25">
      <c r="A680" s="46">
        <v>220230003008</v>
      </c>
      <c r="B680" s="47" t="s">
        <v>507</v>
      </c>
      <c r="C680" s="52">
        <v>44970</v>
      </c>
      <c r="D680" s="46">
        <v>22023002351</v>
      </c>
      <c r="E680" s="47" t="s">
        <v>1768</v>
      </c>
      <c r="F680" s="53">
        <v>3500</v>
      </c>
      <c r="G680" s="47" t="s">
        <v>1769</v>
      </c>
      <c r="H680" s="47" t="s">
        <v>1770</v>
      </c>
      <c r="I680" s="46" t="s">
        <v>511</v>
      </c>
      <c r="J680" s="47" t="s">
        <v>1771</v>
      </c>
      <c r="K680" s="47" t="s">
        <v>519</v>
      </c>
      <c r="L680" s="47" t="s">
        <v>520</v>
      </c>
      <c r="M680" s="47" t="s">
        <v>976</v>
      </c>
      <c r="N680" s="47" t="s">
        <v>839</v>
      </c>
      <c r="O680" s="45" t="s">
        <v>383</v>
      </c>
      <c r="P680" s="44" t="s">
        <v>309</v>
      </c>
      <c r="Q680" s="59" t="str">
        <f>MID(Tabla1[[#This Row],[Aplicación]],14,1)</f>
        <v>2</v>
      </c>
      <c r="R680" s="35" t="s">
        <v>298</v>
      </c>
      <c r="S680" s="59" t="str">
        <f>MID(Tabla1[[#This Row],[Aplicación]],6,2)</f>
        <v>04</v>
      </c>
      <c r="T680" s="35" t="str">
        <f>VLOOKUP(Tabla1[[#This Row],[AREA]],Hoja1!A:B,2,FALSE)</f>
        <v>04. Planificación y recursos</v>
      </c>
      <c r="U680" s="35" t="str">
        <f>MID(Tabla1[[#This Row],[Aplicación]],9,4)</f>
        <v>3121</v>
      </c>
      <c r="V680" s="35" t="str">
        <f>VLOOKUP(Tabla1[[#This Row],[PROGRAMA]],Hoja1!A:B,2,FALSE)</f>
        <v>3121. Prevención y salud laboral</v>
      </c>
      <c r="W680" s="56" t="str">
        <f>MID(Tabla1[[#This Row],[Aplicación]],14,2)</f>
        <v>22</v>
      </c>
      <c r="X680" s="56" t="str">
        <f>MID(Tabla1[[#This Row],[Aplicación]],14,6)</f>
        <v>22799</v>
      </c>
    </row>
    <row r="681" spans="1:24" x14ac:dyDescent="0.25">
      <c r="A681" s="46">
        <v>220229000155</v>
      </c>
      <c r="B681" s="47" t="s">
        <v>507</v>
      </c>
      <c r="C681" s="52">
        <v>44927</v>
      </c>
      <c r="D681" s="46">
        <v>22023000908</v>
      </c>
      <c r="E681" s="47" t="s">
        <v>578</v>
      </c>
      <c r="F681" s="53">
        <v>16487.599999999999</v>
      </c>
      <c r="G681" s="47" t="s">
        <v>53</v>
      </c>
      <c r="H681" s="47" t="s">
        <v>1772</v>
      </c>
      <c r="I681" s="46" t="s">
        <v>511</v>
      </c>
      <c r="J681" s="47" t="s">
        <v>519</v>
      </c>
      <c r="K681" s="47" t="s">
        <v>519</v>
      </c>
      <c r="L681" s="47" t="s">
        <v>520</v>
      </c>
      <c r="M681" s="47" t="s">
        <v>514</v>
      </c>
      <c r="N681" s="47" t="s">
        <v>604</v>
      </c>
      <c r="O681" s="45" t="s">
        <v>371</v>
      </c>
      <c r="P681" s="44" t="s">
        <v>309</v>
      </c>
      <c r="Q681" s="59" t="str">
        <f>MID(Tabla1[[#This Row],[Aplicación]],14,1)</f>
        <v>2</v>
      </c>
      <c r="R681" s="35" t="s">
        <v>298</v>
      </c>
      <c r="S681" s="59" t="str">
        <f>MID(Tabla1[[#This Row],[Aplicación]],6,2)</f>
        <v>06</v>
      </c>
      <c r="T681" s="35" t="str">
        <f>VLOOKUP(Tabla1[[#This Row],[AREA]],Hoja1!A:B,2,FALSE)</f>
        <v>06. Educación, infancia, juventud e igualdad</v>
      </c>
      <c r="U681" s="35" t="str">
        <f>MID(Tabla1[[#This Row],[Aplicación]],9,4)</f>
        <v>3231</v>
      </c>
      <c r="V681" s="35" t="str">
        <f>VLOOKUP(Tabla1[[#This Row],[PROGRAMA]],Hoja1!A:B,2,FALSE)</f>
        <v>3231. Escuelas infantiles</v>
      </c>
      <c r="W681" s="56" t="str">
        <f>MID(Tabla1[[#This Row],[Aplicación]],14,2)</f>
        <v>22</v>
      </c>
      <c r="X681" s="56" t="str">
        <f>MID(Tabla1[[#This Row],[Aplicación]],14,6)</f>
        <v>22799</v>
      </c>
    </row>
    <row r="682" spans="1:24" x14ac:dyDescent="0.25">
      <c r="A682" s="46">
        <v>220229000206</v>
      </c>
      <c r="B682" s="47" t="s">
        <v>507</v>
      </c>
      <c r="C682" s="52">
        <v>44927</v>
      </c>
      <c r="D682" s="46">
        <v>22023001920</v>
      </c>
      <c r="E682" s="47" t="s">
        <v>1252</v>
      </c>
      <c r="F682" s="53">
        <v>12705</v>
      </c>
      <c r="G682" s="47" t="s">
        <v>53</v>
      </c>
      <c r="H682" s="47" t="s">
        <v>1773</v>
      </c>
      <c r="I682" s="46" t="s">
        <v>511</v>
      </c>
      <c r="J682" s="47" t="s">
        <v>519</v>
      </c>
      <c r="K682" s="47" t="s">
        <v>519</v>
      </c>
      <c r="L682" s="47" t="s">
        <v>520</v>
      </c>
      <c r="M682" s="47" t="s">
        <v>514</v>
      </c>
      <c r="N682" s="47" t="s">
        <v>515</v>
      </c>
      <c r="O682" s="45" t="s">
        <v>371</v>
      </c>
      <c r="P682" s="44" t="s">
        <v>309</v>
      </c>
      <c r="Q682" s="59" t="str">
        <f>MID(Tabla1[[#This Row],[Aplicación]],14,1)</f>
        <v>2</v>
      </c>
      <c r="R682" s="35" t="s">
        <v>298</v>
      </c>
      <c r="S682" s="59" t="str">
        <f>MID(Tabla1[[#This Row],[Aplicación]],6,2)</f>
        <v>06</v>
      </c>
      <c r="T682" s="35" t="str">
        <f>VLOOKUP(Tabla1[[#This Row],[AREA]],Hoja1!A:B,2,FALSE)</f>
        <v>06. Educación, infancia, juventud e igualdad</v>
      </c>
      <c r="U682" s="35" t="str">
        <f>MID(Tabla1[[#This Row],[Aplicación]],9,4)</f>
        <v>2315</v>
      </c>
      <c r="V682" s="35" t="str">
        <f>VLOOKUP(Tabla1[[#This Row],[PROGRAMA]],Hoja1!A:B,2,FALSE)</f>
        <v>2315. Políticas de Igualdad e infancia</v>
      </c>
      <c r="W682" s="56" t="str">
        <f>MID(Tabla1[[#This Row],[Aplicación]],14,2)</f>
        <v>22</v>
      </c>
      <c r="X682" s="56" t="str">
        <f>MID(Tabla1[[#This Row],[Aplicación]],14,6)</f>
        <v>22799</v>
      </c>
    </row>
    <row r="683" spans="1:24" x14ac:dyDescent="0.25">
      <c r="A683" s="46">
        <v>220229000765</v>
      </c>
      <c r="B683" s="47" t="s">
        <v>507</v>
      </c>
      <c r="C683" s="52">
        <v>44927</v>
      </c>
      <c r="D683" s="46">
        <v>22023000749</v>
      </c>
      <c r="E683" s="47" t="s">
        <v>1774</v>
      </c>
      <c r="F683" s="53">
        <v>6161.09</v>
      </c>
      <c r="G683" s="47" t="s">
        <v>53</v>
      </c>
      <c r="H683" s="47" t="s">
        <v>1775</v>
      </c>
      <c r="I683" s="46" t="s">
        <v>511</v>
      </c>
      <c r="J683" s="47" t="s">
        <v>519</v>
      </c>
      <c r="K683" s="47" t="s">
        <v>519</v>
      </c>
      <c r="L683" s="47" t="s">
        <v>520</v>
      </c>
      <c r="M683" s="47" t="s">
        <v>514</v>
      </c>
      <c r="N683" s="47" t="s">
        <v>515</v>
      </c>
      <c r="O683" s="45" t="s">
        <v>371</v>
      </c>
      <c r="P683" s="44" t="s">
        <v>309</v>
      </c>
      <c r="Q683" s="59" t="str">
        <f>MID(Tabla1[[#This Row],[Aplicación]],14,1)</f>
        <v>2</v>
      </c>
      <c r="R683" s="35" t="s">
        <v>298</v>
      </c>
      <c r="S683" s="59" t="str">
        <f>MID(Tabla1[[#This Row],[Aplicación]],6,2)</f>
        <v>08</v>
      </c>
      <c r="T683" s="35" t="str">
        <f>VLOOKUP(Tabla1[[#This Row],[AREA]],Hoja1!A:B,2,FALSE)</f>
        <v>08. Movilidad y espacio urbano</v>
      </c>
      <c r="U683" s="35" t="str">
        <f>MID(Tabla1[[#This Row],[Aplicación]],9,4)</f>
        <v>1532</v>
      </c>
      <c r="V683" s="35" t="str">
        <f>VLOOKUP(Tabla1[[#This Row],[PROGRAMA]],Hoja1!A:B,2,FALSE)</f>
        <v>1532. Pavimentación vias públicas y otros servicios urbanísticos</v>
      </c>
      <c r="W683" s="56" t="str">
        <f>MID(Tabla1[[#This Row],[Aplicación]],14,2)</f>
        <v>22</v>
      </c>
      <c r="X683" s="56" t="str">
        <f>MID(Tabla1[[#This Row],[Aplicación]],14,6)</f>
        <v>22700</v>
      </c>
    </row>
    <row r="684" spans="1:24" x14ac:dyDescent="0.25">
      <c r="A684" s="46">
        <v>220229000156</v>
      </c>
      <c r="B684" s="47" t="s">
        <v>507</v>
      </c>
      <c r="C684" s="52">
        <v>44927</v>
      </c>
      <c r="D684" s="46">
        <v>22023000909</v>
      </c>
      <c r="E684" s="47" t="s">
        <v>1252</v>
      </c>
      <c r="F684" s="53">
        <v>5610.76</v>
      </c>
      <c r="G684" s="47" t="s">
        <v>53</v>
      </c>
      <c r="H684" s="47" t="s">
        <v>1776</v>
      </c>
      <c r="I684" s="46" t="s">
        <v>511</v>
      </c>
      <c r="J684" s="47" t="s">
        <v>519</v>
      </c>
      <c r="K684" s="47" t="s">
        <v>519</v>
      </c>
      <c r="L684" s="47" t="s">
        <v>520</v>
      </c>
      <c r="M684" s="47" t="s">
        <v>514</v>
      </c>
      <c r="N684" s="47" t="s">
        <v>604</v>
      </c>
      <c r="O684" s="45" t="s">
        <v>371</v>
      </c>
      <c r="P684" s="44" t="s">
        <v>309</v>
      </c>
      <c r="Q684" s="59" t="str">
        <f>MID(Tabla1[[#This Row],[Aplicación]],14,1)</f>
        <v>2</v>
      </c>
      <c r="R684" s="35" t="s">
        <v>298</v>
      </c>
      <c r="S684" s="59" t="str">
        <f>MID(Tabla1[[#This Row],[Aplicación]],6,2)</f>
        <v>06</v>
      </c>
      <c r="T684" s="35" t="str">
        <f>VLOOKUP(Tabla1[[#This Row],[AREA]],Hoja1!A:B,2,FALSE)</f>
        <v>06. Educación, infancia, juventud e igualdad</v>
      </c>
      <c r="U684" s="35" t="str">
        <f>MID(Tabla1[[#This Row],[Aplicación]],9,4)</f>
        <v>2315</v>
      </c>
      <c r="V684" s="35" t="str">
        <f>VLOOKUP(Tabla1[[#This Row],[PROGRAMA]],Hoja1!A:B,2,FALSE)</f>
        <v>2315. Políticas de Igualdad e infancia</v>
      </c>
      <c r="W684" s="56" t="str">
        <f>MID(Tabla1[[#This Row],[Aplicación]],14,2)</f>
        <v>22</v>
      </c>
      <c r="X684" s="56" t="str">
        <f>MID(Tabla1[[#This Row],[Aplicación]],14,6)</f>
        <v>22799</v>
      </c>
    </row>
    <row r="685" spans="1:24" x14ac:dyDescent="0.25">
      <c r="A685" s="46">
        <v>220230000042</v>
      </c>
      <c r="B685" s="47" t="s">
        <v>507</v>
      </c>
      <c r="C685" s="52">
        <v>44927</v>
      </c>
      <c r="D685" s="46">
        <v>22023000529</v>
      </c>
      <c r="E685" s="47" t="s">
        <v>699</v>
      </c>
      <c r="F685" s="53">
        <v>5040.3599999999997</v>
      </c>
      <c r="G685" s="47" t="s">
        <v>53</v>
      </c>
      <c r="H685" s="47" t="s">
        <v>1777</v>
      </c>
      <c r="I685" s="46" t="s">
        <v>511</v>
      </c>
      <c r="J685" s="47" t="s">
        <v>519</v>
      </c>
      <c r="K685" s="47" t="s">
        <v>519</v>
      </c>
      <c r="L685" s="47" t="s">
        <v>520</v>
      </c>
      <c r="M685" s="47" t="s">
        <v>514</v>
      </c>
      <c r="N685" s="47" t="s">
        <v>604</v>
      </c>
      <c r="O685" s="45" t="s">
        <v>371</v>
      </c>
      <c r="P685" s="44" t="s">
        <v>309</v>
      </c>
      <c r="Q685" s="59" t="str">
        <f>MID(Tabla1[[#This Row],[Aplicación]],14,1)</f>
        <v>2</v>
      </c>
      <c r="R685" s="35" t="s">
        <v>298</v>
      </c>
      <c r="S685" s="59" t="str">
        <f>MID(Tabla1[[#This Row],[Aplicación]],6,2)</f>
        <v>03</v>
      </c>
      <c r="T685" s="35" t="str">
        <f>VLOOKUP(Tabla1[[#This Row],[AREA]],Hoja1!A:B,2,FALSE)</f>
        <v>03. Participación ciudadana y deportes</v>
      </c>
      <c r="U685" s="35" t="str">
        <f>MID(Tabla1[[#This Row],[Aplicación]],9,4)</f>
        <v>9241</v>
      </c>
      <c r="V685" s="35" t="str">
        <f>VLOOKUP(Tabla1[[#This Row],[PROGRAMA]],Hoja1!A:B,2,FALSE)</f>
        <v>9241. Participación ciudadana</v>
      </c>
      <c r="W685" s="56" t="str">
        <f>MID(Tabla1[[#This Row],[Aplicación]],14,2)</f>
        <v>22</v>
      </c>
      <c r="X685" s="56" t="str">
        <f>MID(Tabla1[[#This Row],[Aplicación]],14,6)</f>
        <v>22700</v>
      </c>
    </row>
    <row r="686" spans="1:24" x14ac:dyDescent="0.25">
      <c r="A686" s="46">
        <v>220230000048</v>
      </c>
      <c r="B686" s="47" t="s">
        <v>507</v>
      </c>
      <c r="C686" s="52">
        <v>44927</v>
      </c>
      <c r="D686" s="46">
        <v>22023000536</v>
      </c>
      <c r="E686" s="47" t="s">
        <v>931</v>
      </c>
      <c r="F686" s="53">
        <v>3194.4</v>
      </c>
      <c r="G686" s="47" t="s">
        <v>53</v>
      </c>
      <c r="H686" s="47" t="s">
        <v>1778</v>
      </c>
      <c r="I686" s="46" t="s">
        <v>511</v>
      </c>
      <c r="J686" s="47" t="s">
        <v>519</v>
      </c>
      <c r="K686" s="47" t="s">
        <v>519</v>
      </c>
      <c r="L686" s="47" t="s">
        <v>520</v>
      </c>
      <c r="M686" s="47" t="s">
        <v>514</v>
      </c>
      <c r="N686" s="47" t="s">
        <v>515</v>
      </c>
      <c r="O686" s="45" t="s">
        <v>371</v>
      </c>
      <c r="P686" s="44" t="s">
        <v>309</v>
      </c>
      <c r="Q686" s="59" t="str">
        <f>MID(Tabla1[[#This Row],[Aplicación]],14,1)</f>
        <v>2</v>
      </c>
      <c r="R686" s="35" t="s">
        <v>298</v>
      </c>
      <c r="S686" s="59" t="str">
        <f>MID(Tabla1[[#This Row],[Aplicación]],6,2)</f>
        <v>09</v>
      </c>
      <c r="T686" s="35" t="str">
        <f>VLOOKUP(Tabla1[[#This Row],[AREA]],Hoja1!A:B,2,FALSE)</f>
        <v>09. Cultura y turismo</v>
      </c>
      <c r="U686" s="35" t="str">
        <f>MID(Tabla1[[#This Row],[Aplicación]],9,4)</f>
        <v>3341</v>
      </c>
      <c r="V686" s="35" t="str">
        <f>VLOOKUP(Tabla1[[#This Row],[PROGRAMA]],Hoja1!A:B,2,FALSE)</f>
        <v>3341. Coordinación de políticas culturales</v>
      </c>
      <c r="W686" s="56" t="str">
        <f>MID(Tabla1[[#This Row],[Aplicación]],14,2)</f>
        <v>22</v>
      </c>
      <c r="X686" s="56" t="str">
        <f>MID(Tabla1[[#This Row],[Aplicación]],14,6)</f>
        <v>22799</v>
      </c>
    </row>
    <row r="687" spans="1:24" x14ac:dyDescent="0.25">
      <c r="A687" s="46">
        <v>220229000764</v>
      </c>
      <c r="B687" s="47" t="s">
        <v>507</v>
      </c>
      <c r="C687" s="52">
        <v>44927</v>
      </c>
      <c r="D687" s="46">
        <v>22023000748</v>
      </c>
      <c r="E687" s="47" t="s">
        <v>1779</v>
      </c>
      <c r="F687" s="53">
        <v>1087.25</v>
      </c>
      <c r="G687" s="47" t="s">
        <v>53</v>
      </c>
      <c r="H687" s="47" t="s">
        <v>1780</v>
      </c>
      <c r="I687" s="46" t="s">
        <v>511</v>
      </c>
      <c r="J687" s="47" t="s">
        <v>519</v>
      </c>
      <c r="K687" s="47" t="s">
        <v>519</v>
      </c>
      <c r="L687" s="47" t="s">
        <v>520</v>
      </c>
      <c r="M687" s="47" t="s">
        <v>514</v>
      </c>
      <c r="N687" s="47" t="s">
        <v>515</v>
      </c>
      <c r="O687" s="45" t="s">
        <v>371</v>
      </c>
      <c r="P687" s="44" t="s">
        <v>309</v>
      </c>
      <c r="Q687" s="59" t="str">
        <f>MID(Tabla1[[#This Row],[Aplicación]],14,1)</f>
        <v>2</v>
      </c>
      <c r="R687" s="35" t="s">
        <v>298</v>
      </c>
      <c r="S687" s="59" t="str">
        <f>MID(Tabla1[[#This Row],[Aplicación]],6,2)</f>
        <v>08</v>
      </c>
      <c r="T687" s="35" t="str">
        <f>VLOOKUP(Tabla1[[#This Row],[AREA]],Hoja1!A:B,2,FALSE)</f>
        <v>08. Movilidad y espacio urbano</v>
      </c>
      <c r="U687" s="35" t="str">
        <f>MID(Tabla1[[#This Row],[Aplicación]],9,4)</f>
        <v>1651</v>
      </c>
      <c r="V687" s="35" t="str">
        <f>VLOOKUP(Tabla1[[#This Row],[PROGRAMA]],Hoja1!A:B,2,FALSE)</f>
        <v>1651. Alumbrado público</v>
      </c>
      <c r="W687" s="56" t="str">
        <f>MID(Tabla1[[#This Row],[Aplicación]],14,2)</f>
        <v>22</v>
      </c>
      <c r="X687" s="56" t="str">
        <f>MID(Tabla1[[#This Row],[Aplicación]],14,6)</f>
        <v>22700</v>
      </c>
    </row>
    <row r="688" spans="1:24" x14ac:dyDescent="0.25">
      <c r="A688" s="46">
        <v>220229000272</v>
      </c>
      <c r="B688" s="47" t="s">
        <v>507</v>
      </c>
      <c r="C688" s="52">
        <v>44927</v>
      </c>
      <c r="D688" s="46">
        <v>22023000941</v>
      </c>
      <c r="E688" s="47" t="s">
        <v>1618</v>
      </c>
      <c r="F688" s="53">
        <v>1866.26</v>
      </c>
      <c r="G688" s="47" t="s">
        <v>53</v>
      </c>
      <c r="H688" s="47" t="s">
        <v>1781</v>
      </c>
      <c r="I688" s="46" t="s">
        <v>511</v>
      </c>
      <c r="J688" s="47" t="s">
        <v>519</v>
      </c>
      <c r="K688" s="47" t="s">
        <v>519</v>
      </c>
      <c r="L688" s="47" t="s">
        <v>520</v>
      </c>
      <c r="M688" s="47" t="s">
        <v>976</v>
      </c>
      <c r="N688" s="47" t="s">
        <v>839</v>
      </c>
      <c r="O688" s="45" t="s">
        <v>383</v>
      </c>
      <c r="P688" s="44" t="s">
        <v>309</v>
      </c>
      <c r="Q688" s="59" t="str">
        <f>MID(Tabla1[[#This Row],[Aplicación]],14,1)</f>
        <v>2</v>
      </c>
      <c r="R688" s="35" t="s">
        <v>298</v>
      </c>
      <c r="S688" s="59" t="str">
        <f>MID(Tabla1[[#This Row],[Aplicación]],6,2)</f>
        <v>09</v>
      </c>
      <c r="T688" s="35" t="str">
        <f>VLOOKUP(Tabla1[[#This Row],[AREA]],Hoja1!A:B,2,FALSE)</f>
        <v>09. Cultura y turismo</v>
      </c>
      <c r="U688" s="35" t="str">
        <f>MID(Tabla1[[#This Row],[Aplicación]],9,4)</f>
        <v>3341</v>
      </c>
      <c r="V688" s="35" t="str">
        <f>VLOOKUP(Tabla1[[#This Row],[PROGRAMA]],Hoja1!A:B,2,FALSE)</f>
        <v>3341. Coordinación de políticas culturales</v>
      </c>
      <c r="W688" s="56" t="str">
        <f>MID(Tabla1[[#This Row],[Aplicación]],14,2)</f>
        <v>22</v>
      </c>
      <c r="X688" s="56" t="str">
        <f>MID(Tabla1[[#This Row],[Aplicación]],14,6)</f>
        <v>22700</v>
      </c>
    </row>
    <row r="689" spans="1:24" x14ac:dyDescent="0.25">
      <c r="A689" s="46">
        <v>220230002004</v>
      </c>
      <c r="B689" s="47" t="s">
        <v>507</v>
      </c>
      <c r="C689" s="52">
        <v>44960</v>
      </c>
      <c r="D689" s="46">
        <v>22023001493</v>
      </c>
      <c r="E689" s="47" t="s">
        <v>699</v>
      </c>
      <c r="F689" s="53">
        <v>379.43</v>
      </c>
      <c r="G689" s="47" t="s">
        <v>53</v>
      </c>
      <c r="H689" s="47" t="s">
        <v>1782</v>
      </c>
      <c r="I689" s="46" t="s">
        <v>511</v>
      </c>
      <c r="J689" s="47" t="s">
        <v>519</v>
      </c>
      <c r="K689" s="47" t="s">
        <v>519</v>
      </c>
      <c r="L689" s="47" t="s">
        <v>552</v>
      </c>
      <c r="M689" s="47" t="s">
        <v>976</v>
      </c>
      <c r="N689" s="47" t="s">
        <v>839</v>
      </c>
      <c r="O689" s="45" t="s">
        <v>383</v>
      </c>
      <c r="P689" s="44" t="s">
        <v>309</v>
      </c>
      <c r="Q689" s="59" t="str">
        <f>MID(Tabla1[[#This Row],[Aplicación]],14,1)</f>
        <v>2</v>
      </c>
      <c r="R689" s="35" t="s">
        <v>298</v>
      </c>
      <c r="S689" s="59" t="str">
        <f>MID(Tabla1[[#This Row],[Aplicación]],6,2)</f>
        <v>03</v>
      </c>
      <c r="T689" s="35" t="str">
        <f>VLOOKUP(Tabla1[[#This Row],[AREA]],Hoja1!A:B,2,FALSE)</f>
        <v>03. Participación ciudadana y deportes</v>
      </c>
      <c r="U689" s="35" t="str">
        <f>MID(Tabla1[[#This Row],[Aplicación]],9,4)</f>
        <v>9241</v>
      </c>
      <c r="V689" s="35" t="str">
        <f>VLOOKUP(Tabla1[[#This Row],[PROGRAMA]],Hoja1!A:B,2,FALSE)</f>
        <v>9241. Participación ciudadana</v>
      </c>
      <c r="W689" s="56" t="str">
        <f>MID(Tabla1[[#This Row],[Aplicación]],14,2)</f>
        <v>22</v>
      </c>
      <c r="X689" s="56" t="str">
        <f>MID(Tabla1[[#This Row],[Aplicación]],14,6)</f>
        <v>22700</v>
      </c>
    </row>
    <row r="690" spans="1:24" x14ac:dyDescent="0.25">
      <c r="A690" s="46">
        <v>220230001994</v>
      </c>
      <c r="B690" s="47" t="s">
        <v>507</v>
      </c>
      <c r="C690" s="52">
        <v>44960</v>
      </c>
      <c r="D690" s="46">
        <v>22023001580</v>
      </c>
      <c r="E690" s="47" t="s">
        <v>1783</v>
      </c>
      <c r="F690" s="53">
        <v>536.79999999999995</v>
      </c>
      <c r="G690" s="47" t="s">
        <v>53</v>
      </c>
      <c r="H690" s="47" t="s">
        <v>1784</v>
      </c>
      <c r="I690" s="46" t="s">
        <v>511</v>
      </c>
      <c r="J690" s="47" t="s">
        <v>519</v>
      </c>
      <c r="K690" s="47" t="s">
        <v>519</v>
      </c>
      <c r="L690" s="47" t="s">
        <v>520</v>
      </c>
      <c r="M690" s="47" t="s">
        <v>976</v>
      </c>
      <c r="N690" s="47" t="s">
        <v>839</v>
      </c>
      <c r="O690" s="45" t="s">
        <v>383</v>
      </c>
      <c r="P690" s="44" t="s">
        <v>309</v>
      </c>
      <c r="Q690" s="59" t="str">
        <f>MID(Tabla1[[#This Row],[Aplicación]],14,1)</f>
        <v>2</v>
      </c>
      <c r="R690" s="35" t="s">
        <v>298</v>
      </c>
      <c r="S690" s="59" t="str">
        <f>MID(Tabla1[[#This Row],[Aplicación]],6,2)</f>
        <v>07</v>
      </c>
      <c r="T690" s="35" t="str">
        <f>VLOOKUP(Tabla1[[#This Row],[AREA]],Hoja1!A:B,2,FALSE)</f>
        <v>07. Medio ambiente y desarrollo sostenible</v>
      </c>
      <c r="U690" s="35" t="str">
        <f>MID(Tabla1[[#This Row],[Aplicación]],9,4)</f>
        <v>1701</v>
      </c>
      <c r="V690" s="35" t="str">
        <f>VLOOKUP(Tabla1[[#This Row],[PROGRAMA]],Hoja1!A:B,2,FALSE)</f>
        <v>1701. Dirección del área de medio ambiente</v>
      </c>
      <c r="W690" s="56" t="str">
        <f>MID(Tabla1[[#This Row],[Aplicación]],14,2)</f>
        <v>22</v>
      </c>
      <c r="X690" s="56" t="str">
        <f>MID(Tabla1[[#This Row],[Aplicación]],14,6)</f>
        <v>22699</v>
      </c>
    </row>
    <row r="691" spans="1:24" x14ac:dyDescent="0.25">
      <c r="A691" s="46">
        <v>220230001996</v>
      </c>
      <c r="B691" s="47" t="s">
        <v>507</v>
      </c>
      <c r="C691" s="52">
        <v>44960</v>
      </c>
      <c r="D691" s="46">
        <v>22023001642</v>
      </c>
      <c r="E691" s="47" t="s">
        <v>898</v>
      </c>
      <c r="F691" s="53">
        <v>7139</v>
      </c>
      <c r="G691" s="47" t="s">
        <v>53</v>
      </c>
      <c r="H691" s="47" t="s">
        <v>1785</v>
      </c>
      <c r="I691" s="46" t="s">
        <v>511</v>
      </c>
      <c r="J691" s="47" t="s">
        <v>519</v>
      </c>
      <c r="K691" s="47" t="s">
        <v>519</v>
      </c>
      <c r="L691" s="47" t="s">
        <v>520</v>
      </c>
      <c r="M691" s="47" t="s">
        <v>976</v>
      </c>
      <c r="N691" s="47" t="s">
        <v>839</v>
      </c>
      <c r="O691" s="45" t="s">
        <v>383</v>
      </c>
      <c r="P691" s="44" t="s">
        <v>309</v>
      </c>
      <c r="Q691" s="59" t="str">
        <f>MID(Tabla1[[#This Row],[Aplicación]],14,1)</f>
        <v>2</v>
      </c>
      <c r="R691" s="35" t="s">
        <v>298</v>
      </c>
      <c r="S691" s="59" t="str">
        <f>MID(Tabla1[[#This Row],[Aplicación]],6,2)</f>
        <v>06</v>
      </c>
      <c r="T691" s="35" t="str">
        <f>VLOOKUP(Tabla1[[#This Row],[AREA]],Hoja1!A:B,2,FALSE)</f>
        <v>06. Educación, infancia, juventud e igualdad</v>
      </c>
      <c r="U691" s="35" t="str">
        <f>MID(Tabla1[[#This Row],[Aplicación]],9,4)</f>
        <v>3232</v>
      </c>
      <c r="V691" s="35" t="str">
        <f>VLOOKUP(Tabla1[[#This Row],[PROGRAMA]],Hoja1!A:B,2,FALSE)</f>
        <v>3232. Conservación y mantenimiento centros educación infantil y primaria</v>
      </c>
      <c r="W691" s="56" t="str">
        <f>MID(Tabla1[[#This Row],[Aplicación]],14,2)</f>
        <v>22</v>
      </c>
      <c r="X691" s="56" t="str">
        <f>MID(Tabla1[[#This Row],[Aplicación]],14,6)</f>
        <v>22799</v>
      </c>
    </row>
    <row r="692" spans="1:24" x14ac:dyDescent="0.25">
      <c r="A692" s="46">
        <v>220230003005</v>
      </c>
      <c r="B692" s="47" t="s">
        <v>507</v>
      </c>
      <c r="C692" s="52">
        <v>44970</v>
      </c>
      <c r="D692" s="46">
        <v>22023002363</v>
      </c>
      <c r="E692" s="47" t="s">
        <v>1456</v>
      </c>
      <c r="F692" s="53">
        <v>1584</v>
      </c>
      <c r="G692" s="47" t="s">
        <v>53</v>
      </c>
      <c r="H692" s="47" t="s">
        <v>1786</v>
      </c>
      <c r="I692" s="46" t="s">
        <v>511</v>
      </c>
      <c r="J692" s="47" t="s">
        <v>519</v>
      </c>
      <c r="K692" s="47" t="s">
        <v>519</v>
      </c>
      <c r="L692" s="47" t="s">
        <v>520</v>
      </c>
      <c r="M692" s="47" t="s">
        <v>976</v>
      </c>
      <c r="N692" s="47" t="s">
        <v>839</v>
      </c>
      <c r="O692" s="45" t="s">
        <v>383</v>
      </c>
      <c r="P692" s="44" t="s">
        <v>309</v>
      </c>
      <c r="Q692" s="59" t="str">
        <f>MID(Tabla1[[#This Row],[Aplicación]],14,1)</f>
        <v>2</v>
      </c>
      <c r="R692" s="35" t="s">
        <v>298</v>
      </c>
      <c r="S692" s="59" t="str">
        <f>MID(Tabla1[[#This Row],[Aplicación]],6,2)</f>
        <v>01</v>
      </c>
      <c r="T692" s="35" t="str">
        <f>VLOOKUP(Tabla1[[#This Row],[AREA]],Hoja1!A:B,2,FALSE)</f>
        <v>01. Alcaldía</v>
      </c>
      <c r="U692" s="35" t="str">
        <f>MID(Tabla1[[#This Row],[Aplicación]],9,4)</f>
        <v>9206</v>
      </c>
      <c r="V692" s="35" t="str">
        <f>VLOOKUP(Tabla1[[#This Row],[PROGRAMA]],Hoja1!A:B,2,FALSE)</f>
        <v>9206. Archivo municipal</v>
      </c>
      <c r="W692" s="56" t="str">
        <f>MID(Tabla1[[#This Row],[Aplicación]],14,2)</f>
        <v>22</v>
      </c>
      <c r="X692" s="56" t="str">
        <f>MID(Tabla1[[#This Row],[Aplicación]],14,6)</f>
        <v>22799</v>
      </c>
    </row>
    <row r="693" spans="1:24" x14ac:dyDescent="0.25">
      <c r="A693" s="46">
        <v>220230003897</v>
      </c>
      <c r="B693" s="47" t="s">
        <v>507</v>
      </c>
      <c r="C693" s="52">
        <v>44974</v>
      </c>
      <c r="D693" s="46">
        <v>22023002229</v>
      </c>
      <c r="E693" s="47" t="s">
        <v>578</v>
      </c>
      <c r="F693" s="53">
        <v>11877.78</v>
      </c>
      <c r="G693" s="47" t="s">
        <v>53</v>
      </c>
      <c r="H693" s="47" t="s">
        <v>1787</v>
      </c>
      <c r="I693" s="46" t="s">
        <v>511</v>
      </c>
      <c r="J693" s="47" t="s">
        <v>519</v>
      </c>
      <c r="K693" s="47" t="s">
        <v>519</v>
      </c>
      <c r="L693" s="47" t="s">
        <v>520</v>
      </c>
      <c r="M693" s="47" t="s">
        <v>514</v>
      </c>
      <c r="N693" s="47" t="s">
        <v>604</v>
      </c>
      <c r="O693" s="45" t="s">
        <v>371</v>
      </c>
      <c r="P693" s="44" t="s">
        <v>309</v>
      </c>
      <c r="Q693" s="59" t="str">
        <f>MID(Tabla1[[#This Row],[Aplicación]],14,1)</f>
        <v>2</v>
      </c>
      <c r="R693" s="35" t="s">
        <v>298</v>
      </c>
      <c r="S693" s="59" t="str">
        <f>MID(Tabla1[[#This Row],[Aplicación]],6,2)</f>
        <v>06</v>
      </c>
      <c r="T693" s="35" t="str">
        <f>VLOOKUP(Tabla1[[#This Row],[AREA]],Hoja1!A:B,2,FALSE)</f>
        <v>06. Educación, infancia, juventud e igualdad</v>
      </c>
      <c r="U693" s="35" t="str">
        <f>MID(Tabla1[[#This Row],[Aplicación]],9,4)</f>
        <v>3231</v>
      </c>
      <c r="V693" s="35" t="str">
        <f>VLOOKUP(Tabla1[[#This Row],[PROGRAMA]],Hoja1!A:B,2,FALSE)</f>
        <v>3231. Escuelas infantiles</v>
      </c>
      <c r="W693" s="56" t="str">
        <f>MID(Tabla1[[#This Row],[Aplicación]],14,2)</f>
        <v>22</v>
      </c>
      <c r="X693" s="56" t="str">
        <f>MID(Tabla1[[#This Row],[Aplicación]],14,6)</f>
        <v>22799</v>
      </c>
    </row>
    <row r="694" spans="1:24" x14ac:dyDescent="0.25">
      <c r="A694" s="46">
        <v>220230003897</v>
      </c>
      <c r="B694" s="47" t="s">
        <v>507</v>
      </c>
      <c r="C694" s="52">
        <v>44974</v>
      </c>
      <c r="D694" s="46">
        <v>22023002228</v>
      </c>
      <c r="E694" s="47" t="s">
        <v>578</v>
      </c>
      <c r="F694" s="53">
        <v>4609.82</v>
      </c>
      <c r="G694" s="47" t="s">
        <v>53</v>
      </c>
      <c r="H694" s="47" t="s">
        <v>1787</v>
      </c>
      <c r="I694" s="46" t="s">
        <v>511</v>
      </c>
      <c r="J694" s="47" t="s">
        <v>519</v>
      </c>
      <c r="K694" s="47" t="s">
        <v>519</v>
      </c>
      <c r="L694" s="47" t="s">
        <v>520</v>
      </c>
      <c r="M694" s="47" t="s">
        <v>514</v>
      </c>
      <c r="N694" s="47" t="s">
        <v>604</v>
      </c>
      <c r="O694" s="45" t="s">
        <v>371</v>
      </c>
      <c r="P694" s="44" t="s">
        <v>309</v>
      </c>
      <c r="Q694" s="59" t="str">
        <f>MID(Tabla1[[#This Row],[Aplicación]],14,1)</f>
        <v>2</v>
      </c>
      <c r="R694" s="35" t="s">
        <v>298</v>
      </c>
      <c r="S694" s="59" t="str">
        <f>MID(Tabla1[[#This Row],[Aplicación]],6,2)</f>
        <v>06</v>
      </c>
      <c r="T694" s="35" t="str">
        <f>VLOOKUP(Tabla1[[#This Row],[AREA]],Hoja1!A:B,2,FALSE)</f>
        <v>06. Educación, infancia, juventud e igualdad</v>
      </c>
      <c r="U694" s="35" t="str">
        <f>MID(Tabla1[[#This Row],[Aplicación]],9,4)</f>
        <v>3231</v>
      </c>
      <c r="V694" s="35" t="str">
        <f>VLOOKUP(Tabla1[[#This Row],[PROGRAMA]],Hoja1!A:B,2,FALSE)</f>
        <v>3231. Escuelas infantiles</v>
      </c>
      <c r="W694" s="56" t="str">
        <f>MID(Tabla1[[#This Row],[Aplicación]],14,2)</f>
        <v>22</v>
      </c>
      <c r="X694" s="56" t="str">
        <f>MID(Tabla1[[#This Row],[Aplicación]],14,6)</f>
        <v>22799</v>
      </c>
    </row>
    <row r="695" spans="1:24" x14ac:dyDescent="0.25">
      <c r="A695" s="46">
        <v>220230003896</v>
      </c>
      <c r="B695" s="47" t="s">
        <v>1337</v>
      </c>
      <c r="C695" s="52">
        <v>44974</v>
      </c>
      <c r="D695" s="46">
        <v>22023000908</v>
      </c>
      <c r="E695" s="47" t="s">
        <v>578</v>
      </c>
      <c r="F695" s="53">
        <v>-16487.599999999999</v>
      </c>
      <c r="G695" s="47" t="s">
        <v>53</v>
      </c>
      <c r="H695" s="47" t="s">
        <v>1788</v>
      </c>
      <c r="I695" s="46" t="s">
        <v>511</v>
      </c>
      <c r="J695" s="47" t="s">
        <v>519</v>
      </c>
      <c r="K695" s="47" t="s">
        <v>519</v>
      </c>
      <c r="L695" s="47" t="s">
        <v>520</v>
      </c>
      <c r="M695" s="47" t="s">
        <v>514</v>
      </c>
      <c r="N695" s="47" t="s">
        <v>604</v>
      </c>
      <c r="O695" s="45" t="s">
        <v>371</v>
      </c>
      <c r="P695" s="44" t="s">
        <v>309</v>
      </c>
      <c r="Q695" s="59" t="str">
        <f>MID(Tabla1[[#This Row],[Aplicación]],14,1)</f>
        <v>2</v>
      </c>
      <c r="R695" s="35" t="s">
        <v>298</v>
      </c>
      <c r="S695" s="59" t="str">
        <f>MID(Tabla1[[#This Row],[Aplicación]],6,2)</f>
        <v>06</v>
      </c>
      <c r="T695" s="35" t="str">
        <f>VLOOKUP(Tabla1[[#This Row],[AREA]],Hoja1!A:B,2,FALSE)</f>
        <v>06. Educación, infancia, juventud e igualdad</v>
      </c>
      <c r="U695" s="35" t="str">
        <f>MID(Tabla1[[#This Row],[Aplicación]],9,4)</f>
        <v>3231</v>
      </c>
      <c r="V695" s="35" t="str">
        <f>VLOOKUP(Tabla1[[#This Row],[PROGRAMA]],Hoja1!A:B,2,FALSE)</f>
        <v>3231. Escuelas infantiles</v>
      </c>
      <c r="W695" s="56" t="str">
        <f>MID(Tabla1[[#This Row],[Aplicación]],14,2)</f>
        <v>22</v>
      </c>
      <c r="X695" s="56" t="str">
        <f>MID(Tabla1[[#This Row],[Aplicación]],14,6)</f>
        <v>22799</v>
      </c>
    </row>
    <row r="696" spans="1:24" x14ac:dyDescent="0.25">
      <c r="A696" s="46">
        <v>220230004179</v>
      </c>
      <c r="B696" s="47" t="s">
        <v>507</v>
      </c>
      <c r="C696" s="52">
        <v>44977</v>
      </c>
      <c r="D696" s="46">
        <v>22023002030</v>
      </c>
      <c r="E696" s="47" t="s">
        <v>1768</v>
      </c>
      <c r="F696" s="53">
        <v>600</v>
      </c>
      <c r="G696" s="47" t="s">
        <v>53</v>
      </c>
      <c r="H696" s="47" t="s">
        <v>1789</v>
      </c>
      <c r="I696" s="46" t="s">
        <v>511</v>
      </c>
      <c r="J696" s="47" t="s">
        <v>519</v>
      </c>
      <c r="K696" s="47" t="s">
        <v>519</v>
      </c>
      <c r="L696" s="47" t="s">
        <v>520</v>
      </c>
      <c r="M696" s="47" t="s">
        <v>976</v>
      </c>
      <c r="N696" s="47" t="s">
        <v>839</v>
      </c>
      <c r="O696" s="45" t="s">
        <v>383</v>
      </c>
      <c r="P696" s="44" t="s">
        <v>309</v>
      </c>
      <c r="Q696" s="59" t="str">
        <f>MID(Tabla1[[#This Row],[Aplicación]],14,1)</f>
        <v>2</v>
      </c>
      <c r="R696" s="35" t="s">
        <v>298</v>
      </c>
      <c r="S696" s="59" t="str">
        <f>MID(Tabla1[[#This Row],[Aplicación]],6,2)</f>
        <v>04</v>
      </c>
      <c r="T696" s="35" t="str">
        <f>VLOOKUP(Tabla1[[#This Row],[AREA]],Hoja1!A:B,2,FALSE)</f>
        <v>04. Planificación y recursos</v>
      </c>
      <c r="U696" s="35" t="str">
        <f>MID(Tabla1[[#This Row],[Aplicación]],9,4)</f>
        <v>3121</v>
      </c>
      <c r="V696" s="35" t="str">
        <f>VLOOKUP(Tabla1[[#This Row],[PROGRAMA]],Hoja1!A:B,2,FALSE)</f>
        <v>3121. Prevención y salud laboral</v>
      </c>
      <c r="W696" s="56" t="str">
        <f>MID(Tabla1[[#This Row],[Aplicación]],14,2)</f>
        <v>22</v>
      </c>
      <c r="X696" s="56" t="str">
        <f>MID(Tabla1[[#This Row],[Aplicación]],14,6)</f>
        <v>22799</v>
      </c>
    </row>
    <row r="697" spans="1:24" x14ac:dyDescent="0.25">
      <c r="A697" s="46">
        <v>220230006736</v>
      </c>
      <c r="B697" s="47" t="s">
        <v>507</v>
      </c>
      <c r="C697" s="52">
        <v>44986</v>
      </c>
      <c r="D697" s="46">
        <v>22023002650</v>
      </c>
      <c r="E697" s="47" t="s">
        <v>757</v>
      </c>
      <c r="F697" s="53">
        <v>199.78</v>
      </c>
      <c r="G697" s="47" t="s">
        <v>53</v>
      </c>
      <c r="H697" s="47" t="s">
        <v>1790</v>
      </c>
      <c r="I697" s="46" t="s">
        <v>511</v>
      </c>
      <c r="J697" s="47" t="s">
        <v>519</v>
      </c>
      <c r="K697" s="47" t="s">
        <v>519</v>
      </c>
      <c r="L697" s="47" t="s">
        <v>520</v>
      </c>
      <c r="M697" s="47" t="s">
        <v>976</v>
      </c>
      <c r="N697" s="47" t="s">
        <v>839</v>
      </c>
      <c r="O697" s="45" t="s">
        <v>383</v>
      </c>
      <c r="P697" s="44" t="s">
        <v>309</v>
      </c>
      <c r="Q697" s="59" t="str">
        <f>MID(Tabla1[[#This Row],[Aplicación]],14,1)</f>
        <v>2</v>
      </c>
      <c r="R697" s="35" t="s">
        <v>298</v>
      </c>
      <c r="S697" s="59" t="str">
        <f>MID(Tabla1[[#This Row],[Aplicación]],6,2)</f>
        <v>10</v>
      </c>
      <c r="T697" s="35" t="str">
        <f>VLOOKUP(Tabla1[[#This Row],[AREA]],Hoja1!A:B,2,FALSE)</f>
        <v>10. Servicios sociales y mediación comunitaria</v>
      </c>
      <c r="U697" s="35" t="str">
        <f>MID(Tabla1[[#This Row],[Aplicación]],9,4)</f>
        <v>2312</v>
      </c>
      <c r="V697" s="35" t="str">
        <f>VLOOKUP(Tabla1[[#This Row],[PROGRAMA]],Hoja1!A:B,2,FALSE)</f>
        <v>2312. Iniciativas sociales</v>
      </c>
      <c r="W697" s="56" t="str">
        <f>MID(Tabla1[[#This Row],[Aplicación]],14,2)</f>
        <v>22</v>
      </c>
      <c r="X697" s="56" t="str">
        <f>MID(Tabla1[[#This Row],[Aplicación]],14,6)</f>
        <v>22700</v>
      </c>
    </row>
    <row r="698" spans="1:24" x14ac:dyDescent="0.25">
      <c r="A698" s="46">
        <v>220230007169</v>
      </c>
      <c r="B698" s="47" t="s">
        <v>507</v>
      </c>
      <c r="C698" s="52">
        <v>44987</v>
      </c>
      <c r="D698" s="46">
        <v>22023002851</v>
      </c>
      <c r="E698" s="47" t="s">
        <v>1039</v>
      </c>
      <c r="F698" s="53">
        <v>10097.48</v>
      </c>
      <c r="G698" s="47" t="s">
        <v>53</v>
      </c>
      <c r="H698" s="47" t="s">
        <v>1791</v>
      </c>
      <c r="I698" s="46" t="s">
        <v>511</v>
      </c>
      <c r="J698" s="47" t="s">
        <v>519</v>
      </c>
      <c r="K698" s="47" t="s">
        <v>519</v>
      </c>
      <c r="L698" s="47" t="s">
        <v>520</v>
      </c>
      <c r="M698" s="47" t="s">
        <v>514</v>
      </c>
      <c r="N698" s="47" t="s">
        <v>515</v>
      </c>
      <c r="O698" s="45" t="s">
        <v>371</v>
      </c>
      <c r="P698" s="44" t="s">
        <v>309</v>
      </c>
      <c r="Q698" s="59" t="str">
        <f>MID(Tabla1[[#This Row],[Aplicación]],14,1)</f>
        <v>2</v>
      </c>
      <c r="R698" s="35" t="s">
        <v>298</v>
      </c>
      <c r="S698" s="59" t="str">
        <f>MID(Tabla1[[#This Row],[Aplicación]],6,2)</f>
        <v>10</v>
      </c>
      <c r="T698" s="35" t="str">
        <f>VLOOKUP(Tabla1[[#This Row],[AREA]],Hoja1!A:B,2,FALSE)</f>
        <v>10. Servicios sociales y mediación comunitaria</v>
      </c>
      <c r="U698" s="35" t="str">
        <f>MID(Tabla1[[#This Row],[Aplicación]],9,4)</f>
        <v>2412</v>
      </c>
      <c r="V698" s="35" t="str">
        <f>VLOOKUP(Tabla1[[#This Row],[PROGRAMA]],Hoja1!A:B,2,FALSE)</f>
        <v>2412. Formación para el empleo</v>
      </c>
      <c r="W698" s="56" t="str">
        <f>MID(Tabla1[[#This Row],[Aplicación]],14,2)</f>
        <v>22</v>
      </c>
      <c r="X698" s="56" t="str">
        <f>MID(Tabla1[[#This Row],[Aplicación]],14,6)</f>
        <v>22700</v>
      </c>
    </row>
    <row r="699" spans="1:24" x14ac:dyDescent="0.25">
      <c r="A699" s="46">
        <v>220230007169</v>
      </c>
      <c r="B699" s="47" t="s">
        <v>507</v>
      </c>
      <c r="C699" s="52">
        <v>44987</v>
      </c>
      <c r="D699" s="46">
        <v>22023002850</v>
      </c>
      <c r="E699" s="47" t="s">
        <v>1039</v>
      </c>
      <c r="F699" s="53">
        <v>6398.4</v>
      </c>
      <c r="G699" s="47" t="s">
        <v>53</v>
      </c>
      <c r="H699" s="47" t="s">
        <v>1791</v>
      </c>
      <c r="I699" s="46" t="s">
        <v>511</v>
      </c>
      <c r="J699" s="47" t="s">
        <v>519</v>
      </c>
      <c r="K699" s="47" t="s">
        <v>519</v>
      </c>
      <c r="L699" s="47" t="s">
        <v>520</v>
      </c>
      <c r="M699" s="47" t="s">
        <v>514</v>
      </c>
      <c r="N699" s="47" t="s">
        <v>515</v>
      </c>
      <c r="O699" s="45" t="s">
        <v>371</v>
      </c>
      <c r="P699" s="44" t="s">
        <v>309</v>
      </c>
      <c r="Q699" s="59" t="str">
        <f>MID(Tabla1[[#This Row],[Aplicación]],14,1)</f>
        <v>2</v>
      </c>
      <c r="R699" s="35" t="s">
        <v>298</v>
      </c>
      <c r="S699" s="59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35" t="str">
        <f>MID(Tabla1[[#This Row],[Aplicación]],9,4)</f>
        <v>2412</v>
      </c>
      <c r="V699" s="35" t="str">
        <f>VLOOKUP(Tabla1[[#This Row],[PROGRAMA]],Hoja1!A:B,2,FALSE)</f>
        <v>2412. Formación para el empleo</v>
      </c>
      <c r="W699" s="56" t="str">
        <f>MID(Tabla1[[#This Row],[Aplicación]],14,2)</f>
        <v>22</v>
      </c>
      <c r="X699" s="56" t="str">
        <f>MID(Tabla1[[#This Row],[Aplicación]],14,6)</f>
        <v>22700</v>
      </c>
    </row>
    <row r="700" spans="1:24" x14ac:dyDescent="0.25">
      <c r="A700" s="46">
        <v>220230007169</v>
      </c>
      <c r="B700" s="47" t="s">
        <v>507</v>
      </c>
      <c r="C700" s="52">
        <v>44987</v>
      </c>
      <c r="D700" s="46">
        <v>22023002849</v>
      </c>
      <c r="E700" s="47" t="s">
        <v>1039</v>
      </c>
      <c r="F700" s="53">
        <v>4498.8900000000003</v>
      </c>
      <c r="G700" s="47" t="s">
        <v>53</v>
      </c>
      <c r="H700" s="47" t="s">
        <v>1791</v>
      </c>
      <c r="I700" s="46" t="s">
        <v>511</v>
      </c>
      <c r="J700" s="47" t="s">
        <v>519</v>
      </c>
      <c r="K700" s="47" t="s">
        <v>519</v>
      </c>
      <c r="L700" s="47" t="s">
        <v>520</v>
      </c>
      <c r="M700" s="47" t="s">
        <v>514</v>
      </c>
      <c r="N700" s="47" t="s">
        <v>515</v>
      </c>
      <c r="O700" s="45" t="s">
        <v>371</v>
      </c>
      <c r="P700" s="44" t="s">
        <v>309</v>
      </c>
      <c r="Q700" s="59" t="str">
        <f>MID(Tabla1[[#This Row],[Aplicación]],14,1)</f>
        <v>2</v>
      </c>
      <c r="R700" s="35" t="s">
        <v>298</v>
      </c>
      <c r="S700" s="59" t="str">
        <f>MID(Tabla1[[#This Row],[Aplicación]],6,2)</f>
        <v>10</v>
      </c>
      <c r="T700" s="35" t="str">
        <f>VLOOKUP(Tabla1[[#This Row],[AREA]],Hoja1!A:B,2,FALSE)</f>
        <v>10. Servicios sociales y mediación comunitaria</v>
      </c>
      <c r="U700" s="35" t="str">
        <f>MID(Tabla1[[#This Row],[Aplicación]],9,4)</f>
        <v>2412</v>
      </c>
      <c r="V700" s="35" t="str">
        <f>VLOOKUP(Tabla1[[#This Row],[PROGRAMA]],Hoja1!A:B,2,FALSE)</f>
        <v>2412. Formación para el empleo</v>
      </c>
      <c r="W700" s="56" t="str">
        <f>MID(Tabla1[[#This Row],[Aplicación]],14,2)</f>
        <v>22</v>
      </c>
      <c r="X700" s="56" t="str">
        <f>MID(Tabla1[[#This Row],[Aplicación]],14,6)</f>
        <v>22700</v>
      </c>
    </row>
    <row r="701" spans="1:24" x14ac:dyDescent="0.25">
      <c r="A701" s="46">
        <v>220230007169</v>
      </c>
      <c r="B701" s="47" t="s">
        <v>507</v>
      </c>
      <c r="C701" s="52">
        <v>44987</v>
      </c>
      <c r="D701" s="46">
        <v>22023002852</v>
      </c>
      <c r="E701" s="47" t="s">
        <v>1039</v>
      </c>
      <c r="F701" s="53">
        <v>4198.95</v>
      </c>
      <c r="G701" s="47" t="s">
        <v>53</v>
      </c>
      <c r="H701" s="47" t="s">
        <v>1791</v>
      </c>
      <c r="I701" s="46" t="s">
        <v>511</v>
      </c>
      <c r="J701" s="47" t="s">
        <v>519</v>
      </c>
      <c r="K701" s="47" t="s">
        <v>519</v>
      </c>
      <c r="L701" s="47" t="s">
        <v>520</v>
      </c>
      <c r="M701" s="47" t="s">
        <v>514</v>
      </c>
      <c r="N701" s="47" t="s">
        <v>515</v>
      </c>
      <c r="O701" s="45" t="s">
        <v>371</v>
      </c>
      <c r="P701" s="44" t="s">
        <v>309</v>
      </c>
      <c r="Q701" s="59" t="str">
        <f>MID(Tabla1[[#This Row],[Aplicación]],14,1)</f>
        <v>2</v>
      </c>
      <c r="R701" s="35" t="s">
        <v>298</v>
      </c>
      <c r="S701" s="59" t="str">
        <f>MID(Tabla1[[#This Row],[Aplicación]],6,2)</f>
        <v>10</v>
      </c>
      <c r="T701" s="35" t="str">
        <f>VLOOKUP(Tabla1[[#This Row],[AREA]],Hoja1!A:B,2,FALSE)</f>
        <v>10. Servicios sociales y mediación comunitaria</v>
      </c>
      <c r="U701" s="35" t="str">
        <f>MID(Tabla1[[#This Row],[Aplicación]],9,4)</f>
        <v>2412</v>
      </c>
      <c r="V701" s="35" t="str">
        <f>VLOOKUP(Tabla1[[#This Row],[PROGRAMA]],Hoja1!A:B,2,FALSE)</f>
        <v>2412. Formación para el empleo</v>
      </c>
      <c r="W701" s="56" t="str">
        <f>MID(Tabla1[[#This Row],[Aplicación]],14,2)</f>
        <v>22</v>
      </c>
      <c r="X701" s="56" t="str">
        <f>MID(Tabla1[[#This Row],[Aplicación]],14,6)</f>
        <v>22700</v>
      </c>
    </row>
    <row r="702" spans="1:24" x14ac:dyDescent="0.25">
      <c r="A702" s="46">
        <v>220230007168</v>
      </c>
      <c r="B702" s="47" t="s">
        <v>1337</v>
      </c>
      <c r="C702" s="52">
        <v>44987</v>
      </c>
      <c r="D702" s="46">
        <v>22023000744</v>
      </c>
      <c r="E702" s="47" t="s">
        <v>1039</v>
      </c>
      <c r="F702" s="53">
        <v>-25193.72</v>
      </c>
      <c r="G702" s="47" t="s">
        <v>53</v>
      </c>
      <c r="H702" s="47" t="s">
        <v>1792</v>
      </c>
      <c r="I702" s="46" t="s">
        <v>511</v>
      </c>
      <c r="J702" s="47" t="s">
        <v>519</v>
      </c>
      <c r="K702" s="47" t="s">
        <v>519</v>
      </c>
      <c r="L702" s="47" t="s">
        <v>520</v>
      </c>
      <c r="M702" s="47" t="s">
        <v>514</v>
      </c>
      <c r="N702" s="47" t="s">
        <v>515</v>
      </c>
      <c r="O702" s="45" t="s">
        <v>371</v>
      </c>
      <c r="P702" s="44" t="s">
        <v>309</v>
      </c>
      <c r="Q702" s="59" t="str">
        <f>MID(Tabla1[[#This Row],[Aplicación]],14,1)</f>
        <v>2</v>
      </c>
      <c r="R702" s="35" t="s">
        <v>298</v>
      </c>
      <c r="S702" s="59" t="str">
        <f>MID(Tabla1[[#This Row],[Aplicación]],6,2)</f>
        <v>10</v>
      </c>
      <c r="T702" s="35" t="str">
        <f>VLOOKUP(Tabla1[[#This Row],[AREA]],Hoja1!A:B,2,FALSE)</f>
        <v>10. Servicios sociales y mediación comunitaria</v>
      </c>
      <c r="U702" s="35" t="str">
        <f>MID(Tabla1[[#This Row],[Aplicación]],9,4)</f>
        <v>2412</v>
      </c>
      <c r="V702" s="35" t="str">
        <f>VLOOKUP(Tabla1[[#This Row],[PROGRAMA]],Hoja1!A:B,2,FALSE)</f>
        <v>2412. Formación para el empleo</v>
      </c>
      <c r="W702" s="56" t="str">
        <f>MID(Tabla1[[#This Row],[Aplicación]],14,2)</f>
        <v>22</v>
      </c>
      <c r="X702" s="56" t="str">
        <f>MID(Tabla1[[#This Row],[Aplicación]],14,6)</f>
        <v>22700</v>
      </c>
    </row>
    <row r="703" spans="1:24" x14ac:dyDescent="0.25">
      <c r="A703" s="55">
        <v>220230008962</v>
      </c>
      <c r="B703" s="47" t="s">
        <v>507</v>
      </c>
      <c r="C703" s="52">
        <v>45002</v>
      </c>
      <c r="D703" s="46">
        <v>22023003177</v>
      </c>
      <c r="E703" s="47" t="s">
        <v>1382</v>
      </c>
      <c r="F703" s="53">
        <v>14.4</v>
      </c>
      <c r="G703" s="47" t="s">
        <v>53</v>
      </c>
      <c r="H703" s="47" t="s">
        <v>1793</v>
      </c>
      <c r="I703" s="46" t="s">
        <v>511</v>
      </c>
      <c r="J703" s="47" t="s">
        <v>519</v>
      </c>
      <c r="K703" s="47" t="s">
        <v>519</v>
      </c>
      <c r="L703" s="47" t="s">
        <v>552</v>
      </c>
      <c r="M703" s="47" t="s">
        <v>976</v>
      </c>
      <c r="N703" s="47" t="s">
        <v>839</v>
      </c>
      <c r="O703" s="54" t="s">
        <v>383</v>
      </c>
      <c r="P703" s="44" t="s">
        <v>309</v>
      </c>
      <c r="Q703" s="59" t="str">
        <f>MID(Tabla1[[#This Row],[Aplicación]],14,1)</f>
        <v>2</v>
      </c>
      <c r="R703" s="35" t="s">
        <v>298</v>
      </c>
      <c r="S703" s="59" t="str">
        <f>MID(Tabla1[[#This Row],[Aplicación]],6,2)</f>
        <v>03</v>
      </c>
      <c r="T703" s="35" t="str">
        <f>VLOOKUP(Tabla1[[#This Row],[AREA]],Hoja1!A:B,2,FALSE)</f>
        <v>03. Participación ciudadana y deportes</v>
      </c>
      <c r="U703" s="35" t="str">
        <f>MID(Tabla1[[#This Row],[Aplicación]],9,4)</f>
        <v>9241</v>
      </c>
      <c r="V703" s="35" t="str">
        <f>VLOOKUP(Tabla1[[#This Row],[PROGRAMA]],Hoja1!A:B,2,FALSE)</f>
        <v>9241. Participación ciudadana</v>
      </c>
      <c r="W703" s="56" t="str">
        <f>MID(Tabla1[[#This Row],[Aplicación]],14,2)</f>
        <v>22</v>
      </c>
      <c r="X703" s="56" t="str">
        <f>MID(Tabla1[[#This Row],[Aplicación]],14,6)</f>
        <v>22699</v>
      </c>
    </row>
    <row r="704" spans="1:24" x14ac:dyDescent="0.25">
      <c r="A704" s="46">
        <v>220230001232</v>
      </c>
      <c r="B704" s="47" t="s">
        <v>1249</v>
      </c>
      <c r="C704" s="52">
        <v>44959</v>
      </c>
      <c r="D704" s="46">
        <v>22023001802</v>
      </c>
      <c r="E704" s="47" t="s">
        <v>1479</v>
      </c>
      <c r="F704" s="53">
        <v>400</v>
      </c>
      <c r="G704" s="47" t="s">
        <v>1794</v>
      </c>
      <c r="H704" s="47" t="s">
        <v>1795</v>
      </c>
      <c r="I704" s="46" t="s">
        <v>1251</v>
      </c>
      <c r="J704" s="47" t="s">
        <v>519</v>
      </c>
      <c r="K704" s="47" t="s">
        <v>519</v>
      </c>
      <c r="L704" s="47" t="s">
        <v>520</v>
      </c>
      <c r="M704" s="47" t="s">
        <v>976</v>
      </c>
      <c r="N704" s="47" t="s">
        <v>839</v>
      </c>
      <c r="O704" s="45" t="s">
        <v>383</v>
      </c>
      <c r="P704" s="44" t="s">
        <v>309</v>
      </c>
      <c r="Q704" s="59" t="str">
        <f>MID(Tabla1[[#This Row],[Aplicación]],14,1)</f>
        <v>2</v>
      </c>
      <c r="R704" s="35" t="s">
        <v>298</v>
      </c>
      <c r="S704" s="59" t="str">
        <f>MID(Tabla1[[#This Row],[Aplicación]],6,2)</f>
        <v>03</v>
      </c>
      <c r="T704" s="35" t="str">
        <f>VLOOKUP(Tabla1[[#This Row],[AREA]],Hoja1!A:B,2,FALSE)</f>
        <v>03. Participación ciudadana y deportes</v>
      </c>
      <c r="U704" s="35" t="str">
        <f>MID(Tabla1[[#This Row],[Aplicación]],9,4)</f>
        <v>9241</v>
      </c>
      <c r="V704" s="35" t="str">
        <f>VLOOKUP(Tabla1[[#This Row],[PROGRAMA]],Hoja1!A:B,2,FALSE)</f>
        <v>9241. Participación ciudadana</v>
      </c>
      <c r="W704" s="56" t="str">
        <f>MID(Tabla1[[#This Row],[Aplicación]],14,2)</f>
        <v>22</v>
      </c>
      <c r="X704" s="56" t="str">
        <f>MID(Tabla1[[#This Row],[Aplicación]],14,6)</f>
        <v>22609</v>
      </c>
    </row>
    <row r="705" spans="1:24" x14ac:dyDescent="0.25">
      <c r="A705" s="46">
        <v>220230001794</v>
      </c>
      <c r="B705" s="47" t="s">
        <v>507</v>
      </c>
      <c r="C705" s="52">
        <v>44960</v>
      </c>
      <c r="D705" s="46">
        <v>22023000127</v>
      </c>
      <c r="E705" s="47" t="s">
        <v>974</v>
      </c>
      <c r="F705" s="53">
        <v>1070.8499999999999</v>
      </c>
      <c r="G705" s="47" t="s">
        <v>471</v>
      </c>
      <c r="H705" s="47" t="s">
        <v>1796</v>
      </c>
      <c r="I705" s="46" t="s">
        <v>511</v>
      </c>
      <c r="J705" s="47" t="s">
        <v>1797</v>
      </c>
      <c r="K705" s="47" t="s">
        <v>512</v>
      </c>
      <c r="L705" s="47" t="s">
        <v>520</v>
      </c>
      <c r="M705" s="47" t="s">
        <v>976</v>
      </c>
      <c r="N705" s="47" t="s">
        <v>839</v>
      </c>
      <c r="O705" s="45" t="s">
        <v>383</v>
      </c>
      <c r="P705" s="44" t="s">
        <v>309</v>
      </c>
      <c r="Q705" s="59" t="str">
        <f>MID(Tabla1[[#This Row],[Aplicación]],14,1)</f>
        <v>2</v>
      </c>
      <c r="R705" s="35" t="s">
        <v>298</v>
      </c>
      <c r="S705" s="59" t="str">
        <f>MID(Tabla1[[#This Row],[Aplicación]],6,2)</f>
        <v>11</v>
      </c>
      <c r="T705" s="35" t="str">
        <f>VLOOKUP(Tabla1[[#This Row],[AREA]],Hoja1!A:B,2,FALSE)</f>
        <v>11. Salud pública y seguridad ciudadana</v>
      </c>
      <c r="U705" s="35" t="str">
        <f>MID(Tabla1[[#This Row],[Aplicación]],9,4)</f>
        <v>1621</v>
      </c>
      <c r="V705" s="35" t="str">
        <f>VLOOKUP(Tabla1[[#This Row],[PROGRAMA]],Hoja1!A:B,2,FALSE)</f>
        <v>1621. Servicio de limpieza</v>
      </c>
      <c r="W705" s="56" t="str">
        <f>MID(Tabla1[[#This Row],[Aplicación]],14,2)</f>
        <v>21</v>
      </c>
      <c r="X705" s="56" t="str">
        <f>MID(Tabla1[[#This Row],[Aplicación]],14,6)</f>
        <v>212</v>
      </c>
    </row>
    <row r="706" spans="1:24" x14ac:dyDescent="0.25">
      <c r="A706" s="46">
        <v>220230007146</v>
      </c>
      <c r="B706" s="47" t="s">
        <v>507</v>
      </c>
      <c r="C706" s="52">
        <v>44987</v>
      </c>
      <c r="D706" s="46">
        <v>22023002868</v>
      </c>
      <c r="E706" s="47" t="s">
        <v>1798</v>
      </c>
      <c r="F706" s="53">
        <v>242</v>
      </c>
      <c r="G706" s="47" t="s">
        <v>471</v>
      </c>
      <c r="H706" s="47" t="s">
        <v>1799</v>
      </c>
      <c r="I706" s="46" t="s">
        <v>511</v>
      </c>
      <c r="J706" s="47" t="s">
        <v>1797</v>
      </c>
      <c r="K706" s="47" t="s">
        <v>512</v>
      </c>
      <c r="L706" s="47" t="s">
        <v>520</v>
      </c>
      <c r="M706" s="47" t="s">
        <v>976</v>
      </c>
      <c r="N706" s="47" t="s">
        <v>839</v>
      </c>
      <c r="O706" s="45" t="s">
        <v>383</v>
      </c>
      <c r="P706" s="44" t="s">
        <v>309</v>
      </c>
      <c r="Q706" s="59" t="str">
        <f>MID(Tabla1[[#This Row],[Aplicación]],14,1)</f>
        <v>2</v>
      </c>
      <c r="R706" s="35" t="s">
        <v>298</v>
      </c>
      <c r="S706" s="59" t="str">
        <f>MID(Tabla1[[#This Row],[Aplicación]],6,2)</f>
        <v>11</v>
      </c>
      <c r="T706" s="35" t="str">
        <f>VLOOKUP(Tabla1[[#This Row],[AREA]],Hoja1!A:B,2,FALSE)</f>
        <v>11. Salud pública y seguridad ciudadana</v>
      </c>
      <c r="U706" s="35" t="str">
        <f>MID(Tabla1[[#This Row],[Aplicación]],9,4)</f>
        <v>1631</v>
      </c>
      <c r="V706" s="35" t="str">
        <f>VLOOKUP(Tabla1[[#This Row],[PROGRAMA]],Hoja1!A:B,2,FALSE)</f>
        <v>1631. Limpieza viaria</v>
      </c>
      <c r="W706" s="56" t="str">
        <f>MID(Tabla1[[#This Row],[Aplicación]],14,2)</f>
        <v>21</v>
      </c>
      <c r="X706" s="56" t="str">
        <f>MID(Tabla1[[#This Row],[Aplicación]],14,6)</f>
        <v>212</v>
      </c>
    </row>
    <row r="707" spans="1:24" x14ac:dyDescent="0.25">
      <c r="A707" s="46">
        <v>220219000182</v>
      </c>
      <c r="B707" s="47" t="s">
        <v>507</v>
      </c>
      <c r="C707" s="52">
        <v>44927</v>
      </c>
      <c r="D707" s="46">
        <v>22023003360</v>
      </c>
      <c r="E707" s="47" t="s">
        <v>539</v>
      </c>
      <c r="F707" s="53">
        <v>4966.6499999999996</v>
      </c>
      <c r="G707" s="47" t="s">
        <v>1800</v>
      </c>
      <c r="H707" s="47" t="s">
        <v>1801</v>
      </c>
      <c r="I707" s="46" t="s">
        <v>511</v>
      </c>
      <c r="J707" s="47" t="s">
        <v>519</v>
      </c>
      <c r="K707" s="47" t="s">
        <v>519</v>
      </c>
      <c r="L707" s="47" t="s">
        <v>520</v>
      </c>
      <c r="M707" s="47" t="s">
        <v>514</v>
      </c>
      <c r="N707" s="47" t="s">
        <v>515</v>
      </c>
      <c r="O707" s="45" t="s">
        <v>371</v>
      </c>
      <c r="P707" s="44" t="s">
        <v>309</v>
      </c>
      <c r="Q707" s="59" t="str">
        <f>MID(Tabla1[[#This Row],[Aplicación]],14,1)</f>
        <v>2</v>
      </c>
      <c r="R707" s="35" t="s">
        <v>298</v>
      </c>
      <c r="S707" s="59" t="str">
        <f>MID(Tabla1[[#This Row],[Aplicación]],6,2)</f>
        <v>10</v>
      </c>
      <c r="T707" s="35" t="str">
        <f>VLOOKUP(Tabla1[[#This Row],[AREA]],Hoja1!A:B,2,FALSE)</f>
        <v>10. Servicios sociales y mediación comunitaria</v>
      </c>
      <c r="U707" s="35" t="str">
        <f>MID(Tabla1[[#This Row],[Aplicación]],9,4)</f>
        <v>2312</v>
      </c>
      <c r="V707" s="35" t="str">
        <f>VLOOKUP(Tabla1[[#This Row],[PROGRAMA]],Hoja1!A:B,2,FALSE)</f>
        <v>2312. Iniciativas sociales</v>
      </c>
      <c r="W707" s="56" t="str">
        <f>MID(Tabla1[[#This Row],[Aplicación]],14,2)</f>
        <v>22</v>
      </c>
      <c r="X707" s="56" t="str">
        <f>MID(Tabla1[[#This Row],[Aplicación]],14,6)</f>
        <v>22799</v>
      </c>
    </row>
    <row r="708" spans="1:24" x14ac:dyDescent="0.25">
      <c r="A708" s="46">
        <v>220229000072</v>
      </c>
      <c r="B708" s="47" t="s">
        <v>507</v>
      </c>
      <c r="C708" s="52">
        <v>44927</v>
      </c>
      <c r="D708" s="46">
        <v>22023000879</v>
      </c>
      <c r="E708" s="47" t="s">
        <v>516</v>
      </c>
      <c r="F708" s="53">
        <v>2114.48</v>
      </c>
      <c r="G708" s="47" t="s">
        <v>1800</v>
      </c>
      <c r="H708" s="47" t="s">
        <v>1802</v>
      </c>
      <c r="I708" s="46" t="s">
        <v>511</v>
      </c>
      <c r="J708" s="47" t="s">
        <v>519</v>
      </c>
      <c r="K708" s="47" t="s">
        <v>519</v>
      </c>
      <c r="L708" s="47" t="s">
        <v>520</v>
      </c>
      <c r="M708" s="47" t="s">
        <v>514</v>
      </c>
      <c r="N708" s="47" t="s">
        <v>515</v>
      </c>
      <c r="O708" s="45" t="s">
        <v>371</v>
      </c>
      <c r="P708" s="44" t="s">
        <v>309</v>
      </c>
      <c r="Q708" s="59" t="str">
        <f>MID(Tabla1[[#This Row],[Aplicación]],14,1)</f>
        <v>2</v>
      </c>
      <c r="R708" s="35" t="s">
        <v>298</v>
      </c>
      <c r="S708" s="59" t="str">
        <f>MID(Tabla1[[#This Row],[Aplicación]],6,2)</f>
        <v>10</v>
      </c>
      <c r="T708" s="35" t="str">
        <f>VLOOKUP(Tabla1[[#This Row],[AREA]],Hoja1!A:B,2,FALSE)</f>
        <v>10. Servicios sociales y mediación comunitaria</v>
      </c>
      <c r="U708" s="35" t="str">
        <f>MID(Tabla1[[#This Row],[Aplicación]],9,4)</f>
        <v>2311</v>
      </c>
      <c r="V708" s="35" t="str">
        <f>VLOOKUP(Tabla1[[#This Row],[PROGRAMA]],Hoja1!A:B,2,FALSE)</f>
        <v>2311. Intervención social</v>
      </c>
      <c r="W708" s="56" t="str">
        <f>MID(Tabla1[[#This Row],[Aplicación]],14,2)</f>
        <v>22</v>
      </c>
      <c r="X708" s="56" t="str">
        <f>MID(Tabla1[[#This Row],[Aplicación]],14,6)</f>
        <v>22799</v>
      </c>
    </row>
    <row r="709" spans="1:24" x14ac:dyDescent="0.25">
      <c r="A709" s="46">
        <v>220230000036</v>
      </c>
      <c r="B709" s="47" t="s">
        <v>507</v>
      </c>
      <c r="C709" s="52">
        <v>44927</v>
      </c>
      <c r="D709" s="46">
        <v>22023000523</v>
      </c>
      <c r="E709" s="47" t="s">
        <v>516</v>
      </c>
      <c r="F709" s="53">
        <v>461.37</v>
      </c>
      <c r="G709" s="47" t="s">
        <v>1800</v>
      </c>
      <c r="H709" s="47" t="s">
        <v>1803</v>
      </c>
      <c r="I709" s="46" t="s">
        <v>511</v>
      </c>
      <c r="J709" s="47" t="s">
        <v>519</v>
      </c>
      <c r="K709" s="47" t="s">
        <v>519</v>
      </c>
      <c r="L709" s="47" t="s">
        <v>520</v>
      </c>
      <c r="M709" s="47" t="s">
        <v>514</v>
      </c>
      <c r="N709" s="47" t="s">
        <v>515</v>
      </c>
      <c r="O709" s="45" t="s">
        <v>371</v>
      </c>
      <c r="P709" s="44" t="s">
        <v>309</v>
      </c>
      <c r="Q709" s="59" t="str">
        <f>MID(Tabla1[[#This Row],[Aplicación]],14,1)</f>
        <v>2</v>
      </c>
      <c r="R709" s="35" t="s">
        <v>298</v>
      </c>
      <c r="S709" s="59" t="str">
        <f>MID(Tabla1[[#This Row],[Aplicación]],6,2)</f>
        <v>10</v>
      </c>
      <c r="T709" s="35" t="str">
        <f>VLOOKUP(Tabla1[[#This Row],[AREA]],Hoja1!A:B,2,FALSE)</f>
        <v>10. Servicios sociales y mediación comunitaria</v>
      </c>
      <c r="U709" s="35" t="str">
        <f>MID(Tabla1[[#This Row],[Aplicación]],9,4)</f>
        <v>2311</v>
      </c>
      <c r="V709" s="35" t="str">
        <f>VLOOKUP(Tabla1[[#This Row],[PROGRAMA]],Hoja1!A:B,2,FALSE)</f>
        <v>2311. Intervención social</v>
      </c>
      <c r="W709" s="56" t="str">
        <f>MID(Tabla1[[#This Row],[Aplicación]],14,2)</f>
        <v>22</v>
      </c>
      <c r="X709" s="56" t="str">
        <f>MID(Tabla1[[#This Row],[Aplicación]],14,6)</f>
        <v>22799</v>
      </c>
    </row>
    <row r="710" spans="1:24" x14ac:dyDescent="0.25">
      <c r="A710" s="46">
        <v>220230003427</v>
      </c>
      <c r="B710" s="47" t="s">
        <v>507</v>
      </c>
      <c r="C710" s="52">
        <v>44971</v>
      </c>
      <c r="D710" s="46">
        <v>22023002332</v>
      </c>
      <c r="E710" s="47" t="s">
        <v>1495</v>
      </c>
      <c r="F710" s="53">
        <v>1267.92</v>
      </c>
      <c r="G710" s="47" t="s">
        <v>1800</v>
      </c>
      <c r="H710" s="47" t="s">
        <v>1804</v>
      </c>
      <c r="I710" s="46" t="s">
        <v>511</v>
      </c>
      <c r="J710" s="47" t="s">
        <v>519</v>
      </c>
      <c r="K710" s="47" t="s">
        <v>519</v>
      </c>
      <c r="L710" s="47" t="s">
        <v>552</v>
      </c>
      <c r="M710" s="47" t="s">
        <v>976</v>
      </c>
      <c r="N710" s="47" t="s">
        <v>839</v>
      </c>
      <c r="O710" s="45" t="s">
        <v>383</v>
      </c>
      <c r="P710" s="44" t="s">
        <v>309</v>
      </c>
      <c r="Q710" s="59" t="str">
        <f>MID(Tabla1[[#This Row],[Aplicación]],14,1)</f>
        <v>2</v>
      </c>
      <c r="R710" s="35" t="s">
        <v>298</v>
      </c>
      <c r="S710" s="59" t="str">
        <f>MID(Tabla1[[#This Row],[Aplicación]],6,2)</f>
        <v>10</v>
      </c>
      <c r="T710" s="35" t="str">
        <f>VLOOKUP(Tabla1[[#This Row],[AREA]],Hoja1!A:B,2,FALSE)</f>
        <v>10. Servicios sociales y mediación comunitaria</v>
      </c>
      <c r="U710" s="35" t="str">
        <f>MID(Tabla1[[#This Row],[Aplicación]],9,4)</f>
        <v>2312</v>
      </c>
      <c r="V710" s="35" t="str">
        <f>VLOOKUP(Tabla1[[#This Row],[PROGRAMA]],Hoja1!A:B,2,FALSE)</f>
        <v>2312. Iniciativas sociales</v>
      </c>
      <c r="W710" s="56" t="str">
        <f>MID(Tabla1[[#This Row],[Aplicación]],14,2)</f>
        <v>22</v>
      </c>
      <c r="X710" s="56" t="str">
        <f>MID(Tabla1[[#This Row],[Aplicación]],14,6)</f>
        <v>22617</v>
      </c>
    </row>
    <row r="711" spans="1:24" x14ac:dyDescent="0.25">
      <c r="A711" s="46">
        <v>220230003649</v>
      </c>
      <c r="B711" s="47" t="s">
        <v>507</v>
      </c>
      <c r="C711" s="52">
        <v>44973</v>
      </c>
      <c r="D711" s="46">
        <v>22023000711</v>
      </c>
      <c r="E711" s="47" t="s">
        <v>539</v>
      </c>
      <c r="F711" s="53">
        <v>9933.2900000000009</v>
      </c>
      <c r="G711" s="47" t="s">
        <v>1800</v>
      </c>
      <c r="H711" s="47" t="s">
        <v>1805</v>
      </c>
      <c r="I711" s="46" t="s">
        <v>511</v>
      </c>
      <c r="J711" s="47" t="s">
        <v>519</v>
      </c>
      <c r="K711" s="47" t="s">
        <v>519</v>
      </c>
      <c r="L711" s="47" t="s">
        <v>520</v>
      </c>
      <c r="M711" s="47" t="s">
        <v>514</v>
      </c>
      <c r="N711" s="47" t="s">
        <v>515</v>
      </c>
      <c r="O711" s="45" t="s">
        <v>371</v>
      </c>
      <c r="P711" s="44" t="s">
        <v>309</v>
      </c>
      <c r="Q711" s="59" t="str">
        <f>MID(Tabla1[[#This Row],[Aplicación]],14,1)</f>
        <v>2</v>
      </c>
      <c r="R711" s="35" t="s">
        <v>298</v>
      </c>
      <c r="S711" s="59" t="str">
        <f>MID(Tabla1[[#This Row],[Aplicación]],6,2)</f>
        <v>10</v>
      </c>
      <c r="T711" s="35" t="str">
        <f>VLOOKUP(Tabla1[[#This Row],[AREA]],Hoja1!A:B,2,FALSE)</f>
        <v>10. Servicios sociales y mediación comunitaria</v>
      </c>
      <c r="U711" s="35" t="str">
        <f>MID(Tabla1[[#This Row],[Aplicación]],9,4)</f>
        <v>2312</v>
      </c>
      <c r="V711" s="35" t="str">
        <f>VLOOKUP(Tabla1[[#This Row],[PROGRAMA]],Hoja1!A:B,2,FALSE)</f>
        <v>2312. Iniciativas sociales</v>
      </c>
      <c r="W711" s="56" t="str">
        <f>MID(Tabla1[[#This Row],[Aplicación]],14,2)</f>
        <v>22</v>
      </c>
      <c r="X711" s="56" t="str">
        <f>MID(Tabla1[[#This Row],[Aplicación]],14,6)</f>
        <v>22799</v>
      </c>
    </row>
    <row r="712" spans="1:24" x14ac:dyDescent="0.25">
      <c r="A712" s="46">
        <v>220230003650</v>
      </c>
      <c r="B712" s="47" t="s">
        <v>507</v>
      </c>
      <c r="C712" s="52">
        <v>44973</v>
      </c>
      <c r="D712" s="46">
        <v>22023000723</v>
      </c>
      <c r="E712" s="47" t="s">
        <v>516</v>
      </c>
      <c r="F712" s="53">
        <v>922.74</v>
      </c>
      <c r="G712" s="47" t="s">
        <v>1800</v>
      </c>
      <c r="H712" s="47" t="s">
        <v>1806</v>
      </c>
      <c r="I712" s="46" t="s">
        <v>511</v>
      </c>
      <c r="J712" s="47" t="s">
        <v>519</v>
      </c>
      <c r="K712" s="47" t="s">
        <v>519</v>
      </c>
      <c r="L712" s="47" t="s">
        <v>520</v>
      </c>
      <c r="M712" s="47" t="s">
        <v>514</v>
      </c>
      <c r="N712" s="47" t="s">
        <v>515</v>
      </c>
      <c r="O712" s="45" t="s">
        <v>371</v>
      </c>
      <c r="P712" s="44" t="s">
        <v>309</v>
      </c>
      <c r="Q712" s="59" t="str">
        <f>MID(Tabla1[[#This Row],[Aplicación]],14,1)</f>
        <v>2</v>
      </c>
      <c r="R712" s="35" t="s">
        <v>298</v>
      </c>
      <c r="S712" s="59" t="str">
        <f>MID(Tabla1[[#This Row],[Aplicación]],6,2)</f>
        <v>10</v>
      </c>
      <c r="T712" s="35" t="str">
        <f>VLOOKUP(Tabla1[[#This Row],[AREA]],Hoja1!A:B,2,FALSE)</f>
        <v>10. Servicios sociales y mediación comunitaria</v>
      </c>
      <c r="U712" s="35" t="str">
        <f>MID(Tabla1[[#This Row],[Aplicación]],9,4)</f>
        <v>2311</v>
      </c>
      <c r="V712" s="35" t="str">
        <f>VLOOKUP(Tabla1[[#This Row],[PROGRAMA]],Hoja1!A:B,2,FALSE)</f>
        <v>2311. Intervención social</v>
      </c>
      <c r="W712" s="56" t="str">
        <f>MID(Tabla1[[#This Row],[Aplicación]],14,2)</f>
        <v>22</v>
      </c>
      <c r="X712" s="56" t="str">
        <f>MID(Tabla1[[#This Row],[Aplicación]],14,6)</f>
        <v>22799</v>
      </c>
    </row>
    <row r="713" spans="1:24" x14ac:dyDescent="0.25">
      <c r="A713" s="46">
        <v>220230002637</v>
      </c>
      <c r="B713" s="47" t="s">
        <v>507</v>
      </c>
      <c r="C713" s="52">
        <v>44966</v>
      </c>
      <c r="D713" s="46">
        <v>22023002170</v>
      </c>
      <c r="E713" s="47" t="s">
        <v>1299</v>
      </c>
      <c r="F713" s="53">
        <v>114.66</v>
      </c>
      <c r="G713" s="47" t="s">
        <v>1807</v>
      </c>
      <c r="H713" s="47" t="s">
        <v>1808</v>
      </c>
      <c r="I713" s="46" t="s">
        <v>511</v>
      </c>
      <c r="J713" s="47" t="s">
        <v>532</v>
      </c>
      <c r="K713" s="47" t="s">
        <v>512</v>
      </c>
      <c r="L713" s="47" t="s">
        <v>552</v>
      </c>
      <c r="M713" s="47" t="s">
        <v>976</v>
      </c>
      <c r="N713" s="47" t="s">
        <v>839</v>
      </c>
      <c r="O713" s="45" t="s">
        <v>383</v>
      </c>
      <c r="P713" s="44" t="s">
        <v>309</v>
      </c>
      <c r="Q713" s="59" t="str">
        <f>MID(Tabla1[[#This Row],[Aplicación]],14,1)</f>
        <v>2</v>
      </c>
      <c r="R713" s="35" t="s">
        <v>298</v>
      </c>
      <c r="S713" s="59" t="str">
        <f>MID(Tabla1[[#This Row],[Aplicación]],6,2)</f>
        <v>06</v>
      </c>
      <c r="T713" s="35" t="str">
        <f>VLOOKUP(Tabla1[[#This Row],[AREA]],Hoja1!A:B,2,FALSE)</f>
        <v>06. Educación, infancia, juventud e igualdad</v>
      </c>
      <c r="U713" s="35" t="str">
        <f>MID(Tabla1[[#This Row],[Aplicación]],9,4)</f>
        <v>3321</v>
      </c>
      <c r="V713" s="35" t="str">
        <f>VLOOKUP(Tabla1[[#This Row],[PROGRAMA]],Hoja1!A:B,2,FALSE)</f>
        <v>3321. Bibliotecas públicas</v>
      </c>
      <c r="W713" s="56" t="str">
        <f>MID(Tabla1[[#This Row],[Aplicación]],14,2)</f>
        <v>22</v>
      </c>
      <c r="X713" s="56" t="str">
        <f>MID(Tabla1[[#This Row],[Aplicación]],14,6)</f>
        <v>22001</v>
      </c>
    </row>
    <row r="714" spans="1:24" x14ac:dyDescent="0.25">
      <c r="A714" s="46">
        <v>220230008587</v>
      </c>
      <c r="B714" s="47" t="s">
        <v>507</v>
      </c>
      <c r="C714" s="52">
        <v>45000</v>
      </c>
      <c r="D714" s="46">
        <v>22023002990</v>
      </c>
      <c r="E714" s="47" t="s">
        <v>1183</v>
      </c>
      <c r="F714" s="53">
        <v>1089</v>
      </c>
      <c r="G714" s="47" t="s">
        <v>25</v>
      </c>
      <c r="H714" s="47" t="s">
        <v>1809</v>
      </c>
      <c r="I714" s="46" t="s">
        <v>511</v>
      </c>
      <c r="J714" s="47" t="s">
        <v>755</v>
      </c>
      <c r="K714" s="47" t="s">
        <v>755</v>
      </c>
      <c r="L714" s="47" t="s">
        <v>520</v>
      </c>
      <c r="M714" s="47" t="s">
        <v>976</v>
      </c>
      <c r="N714" s="47" t="s">
        <v>839</v>
      </c>
      <c r="O714" s="54" t="s">
        <v>383</v>
      </c>
      <c r="P714" s="44" t="s">
        <v>309</v>
      </c>
      <c r="Q714" s="59" t="str">
        <f>MID(Tabla1[[#This Row],[Aplicación]],14,1)</f>
        <v>2</v>
      </c>
      <c r="R714" s="35" t="s">
        <v>298</v>
      </c>
      <c r="S714" s="59" t="str">
        <f>MID(Tabla1[[#This Row],[Aplicación]],6,2)</f>
        <v>09</v>
      </c>
      <c r="T714" s="35" t="str">
        <f>VLOOKUP(Tabla1[[#This Row],[AREA]],Hoja1!A:B,2,FALSE)</f>
        <v>09. Cultura y turismo</v>
      </c>
      <c r="U714" s="35" t="str">
        <f>MID(Tabla1[[#This Row],[Aplicación]],9,4)</f>
        <v>3341</v>
      </c>
      <c r="V714" s="35" t="str">
        <f>VLOOKUP(Tabla1[[#This Row],[PROGRAMA]],Hoja1!A:B,2,FALSE)</f>
        <v>3341. Coordinación de políticas culturales</v>
      </c>
      <c r="W714" s="56" t="str">
        <f>MID(Tabla1[[#This Row],[Aplicación]],14,2)</f>
        <v>22</v>
      </c>
      <c r="X714" s="56" t="str">
        <f>MID(Tabla1[[#This Row],[Aplicación]],14,6)</f>
        <v>22602</v>
      </c>
    </row>
    <row r="715" spans="1:24" x14ac:dyDescent="0.25">
      <c r="A715" s="55">
        <v>220220076561</v>
      </c>
      <c r="B715" s="47" t="s">
        <v>507</v>
      </c>
      <c r="C715" s="52">
        <v>45014</v>
      </c>
      <c r="D715" s="46">
        <v>22022008651</v>
      </c>
      <c r="E715" s="47" t="s">
        <v>1384</v>
      </c>
      <c r="F715" s="53">
        <v>5172.34</v>
      </c>
      <c r="G715" s="47" t="s">
        <v>1810</v>
      </c>
      <c r="H715" s="47" t="s">
        <v>1811</v>
      </c>
      <c r="I715" s="46" t="s">
        <v>511</v>
      </c>
      <c r="J715" s="47" t="s">
        <v>1812</v>
      </c>
      <c r="K715" s="47" t="s">
        <v>858</v>
      </c>
      <c r="L715" s="47" t="s">
        <v>552</v>
      </c>
      <c r="M715" s="47" t="s">
        <v>976</v>
      </c>
      <c r="N715" s="47" t="s">
        <v>839</v>
      </c>
      <c r="O715" s="54" t="s">
        <v>383</v>
      </c>
      <c r="P715" s="44" t="s">
        <v>309</v>
      </c>
      <c r="Q715" s="59" t="str">
        <f>MID(Tabla1[[#This Row],[Aplicación]],14,1)</f>
        <v>6</v>
      </c>
      <c r="R715" s="35" t="s">
        <v>299</v>
      </c>
      <c r="S715" s="59" t="str">
        <f>MID(Tabla1[[#This Row],[Aplicación]],6,2)</f>
        <v>02</v>
      </c>
      <c r="T715" s="35" t="str">
        <f>VLOOKUP(Tabla1[[#This Row],[AREA]],Hoja1!A:B,2,FALSE)</f>
        <v>02. Planeamiento urbanístico y vivienda</v>
      </c>
      <c r="U715" s="35" t="str">
        <f>MID(Tabla1[[#This Row],[Aplicación]],9,4)</f>
        <v>9332</v>
      </c>
      <c r="V715" s="35" t="str">
        <f>VLOOKUP(Tabla1[[#This Row],[PROGRAMA]],Hoja1!A:B,2,FALSE)</f>
        <v>9332. Mantenimiento de edificios e instalaciones municipales</v>
      </c>
      <c r="W715" s="56" t="str">
        <f>MID(Tabla1[[#This Row],[Aplicación]],14,2)</f>
        <v>62</v>
      </c>
      <c r="X715" s="56" t="str">
        <f>MID(Tabla1[[#This Row],[Aplicación]],14,6)</f>
        <v>623</v>
      </c>
    </row>
    <row r="716" spans="1:24" x14ac:dyDescent="0.25">
      <c r="A716" s="55">
        <v>220220076561</v>
      </c>
      <c r="B716" s="47" t="s">
        <v>507</v>
      </c>
      <c r="C716" s="52">
        <v>45014</v>
      </c>
      <c r="D716" s="46">
        <v>22022008652</v>
      </c>
      <c r="E716" s="47" t="s">
        <v>1384</v>
      </c>
      <c r="F716" s="53">
        <v>12976.39</v>
      </c>
      <c r="G716" s="47" t="s">
        <v>1810</v>
      </c>
      <c r="H716" s="47" t="s">
        <v>1811</v>
      </c>
      <c r="I716" s="46" t="s">
        <v>511</v>
      </c>
      <c r="J716" s="47" t="s">
        <v>1812</v>
      </c>
      <c r="K716" s="47" t="s">
        <v>858</v>
      </c>
      <c r="L716" s="47" t="s">
        <v>552</v>
      </c>
      <c r="M716" s="47" t="s">
        <v>976</v>
      </c>
      <c r="N716" s="47" t="s">
        <v>839</v>
      </c>
      <c r="O716" s="54" t="s">
        <v>383</v>
      </c>
      <c r="P716" s="44" t="s">
        <v>309</v>
      </c>
      <c r="Q716" s="59" t="str">
        <f>MID(Tabla1[[#This Row],[Aplicación]],14,1)</f>
        <v>6</v>
      </c>
      <c r="R716" s="35" t="s">
        <v>299</v>
      </c>
      <c r="S716" s="59" t="str">
        <f>MID(Tabla1[[#This Row],[Aplicación]],6,2)</f>
        <v>02</v>
      </c>
      <c r="T716" s="35" t="str">
        <f>VLOOKUP(Tabla1[[#This Row],[AREA]],Hoja1!A:B,2,FALSE)</f>
        <v>02. Planeamiento urbanístico y vivienda</v>
      </c>
      <c r="U716" s="35" t="str">
        <f>MID(Tabla1[[#This Row],[Aplicación]],9,4)</f>
        <v>9332</v>
      </c>
      <c r="V716" s="35" t="str">
        <f>VLOOKUP(Tabla1[[#This Row],[PROGRAMA]],Hoja1!A:B,2,FALSE)</f>
        <v>9332. Mantenimiento de edificios e instalaciones municipales</v>
      </c>
      <c r="W716" s="56" t="str">
        <f>MID(Tabla1[[#This Row],[Aplicación]],14,2)</f>
        <v>62</v>
      </c>
      <c r="X716" s="56" t="str">
        <f>MID(Tabla1[[#This Row],[Aplicación]],14,6)</f>
        <v>623</v>
      </c>
    </row>
    <row r="717" spans="1:24" x14ac:dyDescent="0.25">
      <c r="A717" s="46">
        <v>220229000526</v>
      </c>
      <c r="B717" s="47" t="s">
        <v>507</v>
      </c>
      <c r="C717" s="52">
        <v>44927</v>
      </c>
      <c r="D717" s="46">
        <v>22023001207</v>
      </c>
      <c r="E717" s="47" t="s">
        <v>699</v>
      </c>
      <c r="F717" s="53">
        <v>939.26</v>
      </c>
      <c r="G717" s="47" t="s">
        <v>1813</v>
      </c>
      <c r="H717" s="47" t="s">
        <v>1814</v>
      </c>
      <c r="I717" s="46" t="s">
        <v>511</v>
      </c>
      <c r="J717" s="47" t="s">
        <v>519</v>
      </c>
      <c r="K717" s="47" t="s">
        <v>519</v>
      </c>
      <c r="L717" s="47" t="s">
        <v>520</v>
      </c>
      <c r="M717" s="47" t="s">
        <v>976</v>
      </c>
      <c r="N717" s="47" t="s">
        <v>839</v>
      </c>
      <c r="O717" s="45" t="s">
        <v>383</v>
      </c>
      <c r="P717" s="44" t="s">
        <v>309</v>
      </c>
      <c r="Q717" s="59" t="str">
        <f>MID(Tabla1[[#This Row],[Aplicación]],14,1)</f>
        <v>2</v>
      </c>
      <c r="R717" s="35" t="s">
        <v>298</v>
      </c>
      <c r="S717" s="59" t="str">
        <f>MID(Tabla1[[#This Row],[Aplicación]],6,2)</f>
        <v>03</v>
      </c>
      <c r="T717" s="35" t="str">
        <f>VLOOKUP(Tabla1[[#This Row],[AREA]],Hoja1!A:B,2,FALSE)</f>
        <v>03. Participación ciudadana y deportes</v>
      </c>
      <c r="U717" s="35" t="str">
        <f>MID(Tabla1[[#This Row],[Aplicación]],9,4)</f>
        <v>9241</v>
      </c>
      <c r="V717" s="35" t="str">
        <f>VLOOKUP(Tabla1[[#This Row],[PROGRAMA]],Hoja1!A:B,2,FALSE)</f>
        <v>9241. Participación ciudadana</v>
      </c>
      <c r="W717" s="56" t="str">
        <f>MID(Tabla1[[#This Row],[Aplicación]],14,2)</f>
        <v>22</v>
      </c>
      <c r="X717" s="56" t="str">
        <f>MID(Tabla1[[#This Row],[Aplicación]],14,6)</f>
        <v>22700</v>
      </c>
    </row>
    <row r="718" spans="1:24" x14ac:dyDescent="0.25">
      <c r="A718" s="46">
        <v>220230007154</v>
      </c>
      <c r="B718" s="47" t="s">
        <v>507</v>
      </c>
      <c r="C718" s="52">
        <v>44987</v>
      </c>
      <c r="D718" s="46">
        <v>22023002776</v>
      </c>
      <c r="E718" s="47" t="s">
        <v>699</v>
      </c>
      <c r="F718" s="53">
        <v>822.8</v>
      </c>
      <c r="G718" s="47" t="s">
        <v>1813</v>
      </c>
      <c r="H718" s="47" t="s">
        <v>1815</v>
      </c>
      <c r="I718" s="46" t="s">
        <v>511</v>
      </c>
      <c r="J718" s="47" t="s">
        <v>519</v>
      </c>
      <c r="K718" s="47" t="s">
        <v>519</v>
      </c>
      <c r="L718" s="47" t="s">
        <v>520</v>
      </c>
      <c r="M718" s="47" t="s">
        <v>976</v>
      </c>
      <c r="N718" s="47" t="s">
        <v>839</v>
      </c>
      <c r="O718" s="45" t="s">
        <v>383</v>
      </c>
      <c r="P718" s="44" t="s">
        <v>309</v>
      </c>
      <c r="Q718" s="59" t="str">
        <f>MID(Tabla1[[#This Row],[Aplicación]],14,1)</f>
        <v>2</v>
      </c>
      <c r="R718" s="35" t="s">
        <v>298</v>
      </c>
      <c r="S718" s="59" t="str">
        <f>MID(Tabla1[[#This Row],[Aplicación]],6,2)</f>
        <v>03</v>
      </c>
      <c r="T718" s="35" t="str">
        <f>VLOOKUP(Tabla1[[#This Row],[AREA]],Hoja1!A:B,2,FALSE)</f>
        <v>03. Participación ciudadana y deportes</v>
      </c>
      <c r="U718" s="35" t="str">
        <f>MID(Tabla1[[#This Row],[Aplicación]],9,4)</f>
        <v>9241</v>
      </c>
      <c r="V718" s="35" t="str">
        <f>VLOOKUP(Tabla1[[#This Row],[PROGRAMA]],Hoja1!A:B,2,FALSE)</f>
        <v>9241. Participación ciudadana</v>
      </c>
      <c r="W718" s="56" t="str">
        <f>MID(Tabla1[[#This Row],[Aplicación]],14,2)</f>
        <v>22</v>
      </c>
      <c r="X718" s="56" t="str">
        <f>MID(Tabla1[[#This Row],[Aplicación]],14,6)</f>
        <v>22700</v>
      </c>
    </row>
    <row r="719" spans="1:24" x14ac:dyDescent="0.25">
      <c r="A719" s="46">
        <v>220230000068</v>
      </c>
      <c r="B719" s="47" t="s">
        <v>507</v>
      </c>
      <c r="C719" s="52">
        <v>44927</v>
      </c>
      <c r="D719" s="46">
        <v>22023000574</v>
      </c>
      <c r="E719" s="47" t="s">
        <v>1453</v>
      </c>
      <c r="F719" s="53">
        <v>8394.3799999999992</v>
      </c>
      <c r="G719" s="47" t="s">
        <v>1816</v>
      </c>
      <c r="H719" s="47" t="s">
        <v>1817</v>
      </c>
      <c r="I719" s="46" t="s">
        <v>511</v>
      </c>
      <c r="J719" s="47" t="s">
        <v>519</v>
      </c>
      <c r="K719" s="47" t="s">
        <v>519</v>
      </c>
      <c r="L719" s="47" t="s">
        <v>520</v>
      </c>
      <c r="M719" s="47" t="s">
        <v>976</v>
      </c>
      <c r="N719" s="47" t="s">
        <v>839</v>
      </c>
      <c r="O719" s="45" t="s">
        <v>383</v>
      </c>
      <c r="P719" s="44" t="s">
        <v>309</v>
      </c>
      <c r="Q719" s="59" t="str">
        <f>MID(Tabla1[[#This Row],[Aplicación]],14,1)</f>
        <v>2</v>
      </c>
      <c r="R719" s="35" t="s">
        <v>298</v>
      </c>
      <c r="S719" s="59" t="str">
        <f>MID(Tabla1[[#This Row],[Aplicación]],6,2)</f>
        <v>11</v>
      </c>
      <c r="T719" s="35" t="str">
        <f>VLOOKUP(Tabla1[[#This Row],[AREA]],Hoja1!A:B,2,FALSE)</f>
        <v>11. Salud pública y seguridad ciudadana</v>
      </c>
      <c r="U719" s="35" t="str">
        <f>MID(Tabla1[[#This Row],[Aplicación]],9,4)</f>
        <v>3111</v>
      </c>
      <c r="V719" s="35" t="str">
        <f>VLOOKUP(Tabla1[[#This Row],[PROGRAMA]],Hoja1!A:B,2,FALSE)</f>
        <v>3111. Protección de la salubridad pública</v>
      </c>
      <c r="W719" s="56" t="str">
        <f>MID(Tabla1[[#This Row],[Aplicación]],14,2)</f>
        <v>22</v>
      </c>
      <c r="X719" s="56" t="str">
        <f>MID(Tabla1[[#This Row],[Aplicación]],14,6)</f>
        <v>22799</v>
      </c>
    </row>
    <row r="720" spans="1:24" x14ac:dyDescent="0.25">
      <c r="A720" s="46">
        <v>220230001968</v>
      </c>
      <c r="B720" s="47" t="s">
        <v>507</v>
      </c>
      <c r="C720" s="52">
        <v>44960</v>
      </c>
      <c r="D720" s="46">
        <v>22023001470</v>
      </c>
      <c r="E720" s="47" t="s">
        <v>1818</v>
      </c>
      <c r="F720" s="53">
        <v>605</v>
      </c>
      <c r="G720" s="47" t="s">
        <v>1819</v>
      </c>
      <c r="H720" s="47" t="s">
        <v>1820</v>
      </c>
      <c r="I720" s="46" t="s">
        <v>511</v>
      </c>
      <c r="J720" s="47" t="s">
        <v>837</v>
      </c>
      <c r="K720" s="47" t="s">
        <v>837</v>
      </c>
      <c r="L720" s="47" t="s">
        <v>520</v>
      </c>
      <c r="M720" s="47" t="s">
        <v>976</v>
      </c>
      <c r="N720" s="47" t="s">
        <v>839</v>
      </c>
      <c r="O720" s="45" t="s">
        <v>383</v>
      </c>
      <c r="P720" s="44" t="s">
        <v>309</v>
      </c>
      <c r="Q720" s="59" t="str">
        <f>MID(Tabla1[[#This Row],[Aplicación]],14,1)</f>
        <v>2</v>
      </c>
      <c r="R720" s="35" t="s">
        <v>298</v>
      </c>
      <c r="S720" s="59" t="str">
        <f>MID(Tabla1[[#This Row],[Aplicación]],6,2)</f>
        <v>01</v>
      </c>
      <c r="T720" s="35" t="str">
        <f>VLOOKUP(Tabla1[[#This Row],[AREA]],Hoja1!A:B,2,FALSE)</f>
        <v>01. Alcaldía</v>
      </c>
      <c r="U720" s="35" t="str">
        <f>MID(Tabla1[[#This Row],[Aplicación]],9,4)</f>
        <v>9205</v>
      </c>
      <c r="V720" s="35" t="str">
        <f>VLOOKUP(Tabla1[[#This Row],[PROGRAMA]],Hoja1!A:B,2,FALSE)</f>
        <v>9205. Imprenta municipal</v>
      </c>
      <c r="W720" s="56" t="str">
        <f>MID(Tabla1[[#This Row],[Aplicación]],14,2)</f>
        <v>22</v>
      </c>
      <c r="X720" s="56" t="str">
        <f>MID(Tabla1[[#This Row],[Aplicación]],14,6)</f>
        <v>22699</v>
      </c>
    </row>
    <row r="721" spans="1:24" x14ac:dyDescent="0.25">
      <c r="A721" s="46">
        <v>220230002008</v>
      </c>
      <c r="B721" s="47" t="s">
        <v>507</v>
      </c>
      <c r="C721" s="52">
        <v>44960</v>
      </c>
      <c r="D721" s="46">
        <v>22023001498</v>
      </c>
      <c r="E721" s="47" t="s">
        <v>1506</v>
      </c>
      <c r="F721" s="53">
        <v>528.77</v>
      </c>
      <c r="G721" s="47" t="s">
        <v>432</v>
      </c>
      <c r="H721" s="47" t="s">
        <v>1821</v>
      </c>
      <c r="I721" s="46" t="s">
        <v>511</v>
      </c>
      <c r="J721" s="47" t="s">
        <v>573</v>
      </c>
      <c r="K721" s="47" t="s">
        <v>573</v>
      </c>
      <c r="L721" s="47" t="s">
        <v>552</v>
      </c>
      <c r="M721" s="47" t="s">
        <v>976</v>
      </c>
      <c r="N721" s="47" t="s">
        <v>839</v>
      </c>
      <c r="O721" s="45" t="s">
        <v>383</v>
      </c>
      <c r="P721" s="44" t="s">
        <v>309</v>
      </c>
      <c r="Q721" s="59" t="str">
        <f>MID(Tabla1[[#This Row],[Aplicación]],14,1)</f>
        <v>2</v>
      </c>
      <c r="R721" s="35" t="s">
        <v>298</v>
      </c>
      <c r="S721" s="59" t="str">
        <f>MID(Tabla1[[#This Row],[Aplicación]],6,2)</f>
        <v>03</v>
      </c>
      <c r="T721" s="35" t="str">
        <f>VLOOKUP(Tabla1[[#This Row],[AREA]],Hoja1!A:B,2,FALSE)</f>
        <v>03. Participación ciudadana y deportes</v>
      </c>
      <c r="U721" s="35" t="str">
        <f>MID(Tabla1[[#This Row],[Aplicación]],9,4)</f>
        <v>9241</v>
      </c>
      <c r="V721" s="35" t="str">
        <f>VLOOKUP(Tabla1[[#This Row],[PROGRAMA]],Hoja1!A:B,2,FALSE)</f>
        <v>9241. Participación ciudadana</v>
      </c>
      <c r="W721" s="56" t="str">
        <f>MID(Tabla1[[#This Row],[Aplicación]],14,2)</f>
        <v>21</v>
      </c>
      <c r="X721" s="56" t="str">
        <f>MID(Tabla1[[#This Row],[Aplicación]],14,6)</f>
        <v>212</v>
      </c>
    </row>
    <row r="722" spans="1:24" x14ac:dyDescent="0.25">
      <c r="A722" s="46">
        <v>220229000787</v>
      </c>
      <c r="B722" s="47" t="s">
        <v>507</v>
      </c>
      <c r="C722" s="52">
        <v>44927</v>
      </c>
      <c r="D722" s="46">
        <v>22023001934</v>
      </c>
      <c r="E722" s="47" t="s">
        <v>1822</v>
      </c>
      <c r="F722" s="53">
        <v>9000</v>
      </c>
      <c r="G722" s="47" t="s">
        <v>1823</v>
      </c>
      <c r="H722" s="47" t="s">
        <v>1824</v>
      </c>
      <c r="I722" s="46" t="s">
        <v>511</v>
      </c>
      <c r="J722" s="47" t="s">
        <v>1032</v>
      </c>
      <c r="K722" s="47" t="s">
        <v>590</v>
      </c>
      <c r="L722" s="47" t="s">
        <v>520</v>
      </c>
      <c r="M722" s="47" t="s">
        <v>514</v>
      </c>
      <c r="N722" s="47" t="s">
        <v>515</v>
      </c>
      <c r="O722" s="45" t="s">
        <v>371</v>
      </c>
      <c r="P722" s="44" t="s">
        <v>309</v>
      </c>
      <c r="Q722" s="59" t="str">
        <f>MID(Tabla1[[#This Row],[Aplicación]],14,1)</f>
        <v>2</v>
      </c>
      <c r="R722" s="35" t="s">
        <v>298</v>
      </c>
      <c r="S722" s="59" t="str">
        <f>MID(Tabla1[[#This Row],[Aplicación]],6,2)</f>
        <v>05</v>
      </c>
      <c r="T722" s="35" t="str">
        <f>VLOOKUP(Tabla1[[#This Row],[AREA]],Hoja1!A:B,2,FALSE)</f>
        <v>05. Innovación, desarrollo económico, empleo y comercio</v>
      </c>
      <c r="U722" s="35" t="str">
        <f>MID(Tabla1[[#This Row],[Aplicación]],9,4)</f>
        <v>4312</v>
      </c>
      <c r="V722" s="35" t="str">
        <f>VLOOKUP(Tabla1[[#This Row],[PROGRAMA]],Hoja1!A:B,2,FALSE)</f>
        <v>4312. Mercados, abastos y lonjas</v>
      </c>
      <c r="W722" s="56" t="str">
        <f>MID(Tabla1[[#This Row],[Aplicación]],14,2)</f>
        <v>22</v>
      </c>
      <c r="X722" s="56" t="str">
        <f>MID(Tabla1[[#This Row],[Aplicación]],14,6)</f>
        <v>22799</v>
      </c>
    </row>
    <row r="723" spans="1:24" x14ac:dyDescent="0.25">
      <c r="A723" s="46">
        <v>220230001980</v>
      </c>
      <c r="B723" s="47" t="s">
        <v>507</v>
      </c>
      <c r="C723" s="52">
        <v>44960</v>
      </c>
      <c r="D723" s="46">
        <v>22023001355</v>
      </c>
      <c r="E723" s="47" t="s">
        <v>1285</v>
      </c>
      <c r="F723" s="53">
        <v>127.93</v>
      </c>
      <c r="G723" s="47" t="s">
        <v>1825</v>
      </c>
      <c r="H723" s="47" t="s">
        <v>1826</v>
      </c>
      <c r="I723" s="46" t="s">
        <v>511</v>
      </c>
      <c r="J723" s="47" t="s">
        <v>519</v>
      </c>
      <c r="K723" s="47" t="s">
        <v>519</v>
      </c>
      <c r="L723" s="47" t="s">
        <v>552</v>
      </c>
      <c r="M723" s="47" t="s">
        <v>976</v>
      </c>
      <c r="N723" s="47" t="s">
        <v>839</v>
      </c>
      <c r="O723" s="45" t="s">
        <v>383</v>
      </c>
      <c r="P723" s="44" t="s">
        <v>309</v>
      </c>
      <c r="Q723" s="59" t="str">
        <f>MID(Tabla1[[#This Row],[Aplicación]],14,1)</f>
        <v>2</v>
      </c>
      <c r="R723" s="35" t="s">
        <v>298</v>
      </c>
      <c r="S723" s="59" t="str">
        <f>MID(Tabla1[[#This Row],[Aplicación]],6,2)</f>
        <v>11</v>
      </c>
      <c r="T723" s="35" t="str">
        <f>VLOOKUP(Tabla1[[#This Row],[AREA]],Hoja1!A:B,2,FALSE)</f>
        <v>11. Salud pública y seguridad ciudadana</v>
      </c>
      <c r="U723" s="35" t="str">
        <f>MID(Tabla1[[#This Row],[Aplicación]],9,4)</f>
        <v>1361</v>
      </c>
      <c r="V723" s="35" t="str">
        <f>VLOOKUP(Tabla1[[#This Row],[PROGRAMA]],Hoja1!A:B,2,FALSE)</f>
        <v>1361. Prevención y extinción de incencios</v>
      </c>
      <c r="W723" s="56" t="str">
        <f>MID(Tabla1[[#This Row],[Aplicación]],14,2)</f>
        <v>22</v>
      </c>
      <c r="X723" s="56" t="str">
        <f>MID(Tabla1[[#This Row],[Aplicación]],14,6)</f>
        <v>22199</v>
      </c>
    </row>
    <row r="724" spans="1:24" x14ac:dyDescent="0.25">
      <c r="A724" s="46">
        <v>220230002955</v>
      </c>
      <c r="B724" s="47" t="s">
        <v>507</v>
      </c>
      <c r="C724" s="52">
        <v>44967</v>
      </c>
      <c r="D724" s="46">
        <v>22023002291</v>
      </c>
      <c r="E724" s="47" t="s">
        <v>1290</v>
      </c>
      <c r="F724" s="53">
        <v>5000</v>
      </c>
      <c r="G724" s="47" t="s">
        <v>1825</v>
      </c>
      <c r="H724" s="47" t="s">
        <v>1827</v>
      </c>
      <c r="I724" s="46" t="s">
        <v>511</v>
      </c>
      <c r="J724" s="47" t="s">
        <v>519</v>
      </c>
      <c r="K724" s="47" t="s">
        <v>519</v>
      </c>
      <c r="L724" s="47" t="s">
        <v>552</v>
      </c>
      <c r="M724" s="47" t="s">
        <v>976</v>
      </c>
      <c r="N724" s="47" t="s">
        <v>839</v>
      </c>
      <c r="O724" s="45" t="s">
        <v>383</v>
      </c>
      <c r="P724" s="44" t="s">
        <v>309</v>
      </c>
      <c r="Q724" s="59" t="str">
        <f>MID(Tabla1[[#This Row],[Aplicación]],14,1)</f>
        <v>2</v>
      </c>
      <c r="R724" s="35" t="s">
        <v>298</v>
      </c>
      <c r="S724" s="59" t="str">
        <f>MID(Tabla1[[#This Row],[Aplicación]],6,2)</f>
        <v>11</v>
      </c>
      <c r="T724" s="35" t="str">
        <f>VLOOKUP(Tabla1[[#This Row],[AREA]],Hoja1!A:B,2,FALSE)</f>
        <v>11. Salud pública y seguridad ciudadana</v>
      </c>
      <c r="U724" s="35" t="str">
        <f>MID(Tabla1[[#This Row],[Aplicación]],9,4)</f>
        <v>1621</v>
      </c>
      <c r="V724" s="35" t="str">
        <f>VLOOKUP(Tabla1[[#This Row],[PROGRAMA]],Hoja1!A:B,2,FALSE)</f>
        <v>1621. Servicio de limpieza</v>
      </c>
      <c r="W724" s="56" t="str">
        <f>MID(Tabla1[[#This Row],[Aplicación]],14,2)</f>
        <v>21</v>
      </c>
      <c r="X724" s="56" t="str">
        <f>MID(Tabla1[[#This Row],[Aplicación]],14,6)</f>
        <v>214</v>
      </c>
    </row>
    <row r="725" spans="1:24" x14ac:dyDescent="0.25">
      <c r="A725" s="46">
        <v>220230003245</v>
      </c>
      <c r="B725" s="47" t="s">
        <v>507</v>
      </c>
      <c r="C725" s="52">
        <v>44971</v>
      </c>
      <c r="D725" s="46">
        <v>22023002434</v>
      </c>
      <c r="E725" s="47" t="s">
        <v>1285</v>
      </c>
      <c r="F725" s="53">
        <v>158.35</v>
      </c>
      <c r="G725" s="47" t="s">
        <v>1825</v>
      </c>
      <c r="H725" s="47" t="s">
        <v>1828</v>
      </c>
      <c r="I725" s="46" t="s">
        <v>511</v>
      </c>
      <c r="J725" s="47" t="s">
        <v>519</v>
      </c>
      <c r="K725" s="47" t="s">
        <v>519</v>
      </c>
      <c r="L725" s="47" t="s">
        <v>552</v>
      </c>
      <c r="M725" s="47" t="s">
        <v>976</v>
      </c>
      <c r="N725" s="47" t="s">
        <v>839</v>
      </c>
      <c r="O725" s="45" t="s">
        <v>383</v>
      </c>
      <c r="P725" s="44" t="s">
        <v>309</v>
      </c>
      <c r="Q725" s="59" t="str">
        <f>MID(Tabla1[[#This Row],[Aplicación]],14,1)</f>
        <v>2</v>
      </c>
      <c r="R725" s="35" t="s">
        <v>298</v>
      </c>
      <c r="S725" s="59" t="str">
        <f>MID(Tabla1[[#This Row],[Aplicación]],6,2)</f>
        <v>11</v>
      </c>
      <c r="T725" s="35" t="str">
        <f>VLOOKUP(Tabla1[[#This Row],[AREA]],Hoja1!A:B,2,FALSE)</f>
        <v>11. Salud pública y seguridad ciudadana</v>
      </c>
      <c r="U725" s="35" t="str">
        <f>MID(Tabla1[[#This Row],[Aplicación]],9,4)</f>
        <v>1361</v>
      </c>
      <c r="V725" s="35" t="str">
        <f>VLOOKUP(Tabla1[[#This Row],[PROGRAMA]],Hoja1!A:B,2,FALSE)</f>
        <v>1361. Prevención y extinción de incencios</v>
      </c>
      <c r="W725" s="56" t="str">
        <f>MID(Tabla1[[#This Row],[Aplicación]],14,2)</f>
        <v>22</v>
      </c>
      <c r="X725" s="56" t="str">
        <f>MID(Tabla1[[#This Row],[Aplicación]],14,6)</f>
        <v>22199</v>
      </c>
    </row>
    <row r="726" spans="1:24" x14ac:dyDescent="0.25">
      <c r="A726" s="55">
        <v>220230009451</v>
      </c>
      <c r="B726" s="47" t="s">
        <v>507</v>
      </c>
      <c r="C726" s="52">
        <v>45006</v>
      </c>
      <c r="D726" s="46">
        <v>22023002291</v>
      </c>
      <c r="E726" s="47" t="s">
        <v>1290</v>
      </c>
      <c r="F726" s="53">
        <v>4000</v>
      </c>
      <c r="G726" s="47" t="s">
        <v>1825</v>
      </c>
      <c r="H726" s="47" t="s">
        <v>1829</v>
      </c>
      <c r="I726" s="46" t="s">
        <v>511</v>
      </c>
      <c r="J726" s="47" t="s">
        <v>519</v>
      </c>
      <c r="K726" s="47" t="s">
        <v>519</v>
      </c>
      <c r="L726" s="47" t="s">
        <v>552</v>
      </c>
      <c r="M726" s="47" t="s">
        <v>976</v>
      </c>
      <c r="N726" s="47" t="s">
        <v>839</v>
      </c>
      <c r="O726" s="54" t="s">
        <v>383</v>
      </c>
      <c r="P726" s="44" t="s">
        <v>309</v>
      </c>
      <c r="Q726" s="59" t="str">
        <f>MID(Tabla1[[#This Row],[Aplicación]],14,1)</f>
        <v>2</v>
      </c>
      <c r="R726" s="35" t="s">
        <v>298</v>
      </c>
      <c r="S726" s="59" t="str">
        <f>MID(Tabla1[[#This Row],[Aplicación]],6,2)</f>
        <v>11</v>
      </c>
      <c r="T726" s="35" t="str">
        <f>VLOOKUP(Tabla1[[#This Row],[AREA]],Hoja1!A:B,2,FALSE)</f>
        <v>11. Salud pública y seguridad ciudadana</v>
      </c>
      <c r="U726" s="35" t="str">
        <f>MID(Tabla1[[#This Row],[Aplicación]],9,4)</f>
        <v>1621</v>
      </c>
      <c r="V726" s="35" t="str">
        <f>VLOOKUP(Tabla1[[#This Row],[PROGRAMA]],Hoja1!A:B,2,FALSE)</f>
        <v>1621. Servicio de limpieza</v>
      </c>
      <c r="W726" s="56" t="str">
        <f>MID(Tabla1[[#This Row],[Aplicación]],14,2)</f>
        <v>21</v>
      </c>
      <c r="X726" s="56" t="str">
        <f>MID(Tabla1[[#This Row],[Aplicación]],14,6)</f>
        <v>214</v>
      </c>
    </row>
    <row r="727" spans="1:24" x14ac:dyDescent="0.25">
      <c r="A727" s="55">
        <v>220230011684</v>
      </c>
      <c r="B727" s="47" t="s">
        <v>507</v>
      </c>
      <c r="C727" s="52">
        <v>45013</v>
      </c>
      <c r="D727" s="46">
        <v>22023003537</v>
      </c>
      <c r="E727" s="47" t="s">
        <v>1290</v>
      </c>
      <c r="F727" s="53">
        <v>3781.25</v>
      </c>
      <c r="G727" s="47" t="s">
        <v>1825</v>
      </c>
      <c r="H727" s="47" t="s">
        <v>1830</v>
      </c>
      <c r="I727" s="46" t="s">
        <v>511</v>
      </c>
      <c r="J727" s="47" t="s">
        <v>519</v>
      </c>
      <c r="K727" s="47" t="s">
        <v>519</v>
      </c>
      <c r="L727" s="47" t="s">
        <v>552</v>
      </c>
      <c r="M727" s="47" t="s">
        <v>976</v>
      </c>
      <c r="N727" s="47" t="s">
        <v>839</v>
      </c>
      <c r="O727" s="54" t="s">
        <v>383</v>
      </c>
      <c r="P727" s="44" t="s">
        <v>309</v>
      </c>
      <c r="Q727" s="59" t="str">
        <f>MID(Tabla1[[#This Row],[Aplicación]],14,1)</f>
        <v>2</v>
      </c>
      <c r="R727" s="35" t="s">
        <v>298</v>
      </c>
      <c r="S727" s="59" t="str">
        <f>MID(Tabla1[[#This Row],[Aplicación]],6,2)</f>
        <v>11</v>
      </c>
      <c r="T727" s="35" t="str">
        <f>VLOOKUP(Tabla1[[#This Row],[AREA]],Hoja1!A:B,2,FALSE)</f>
        <v>11. Salud pública y seguridad ciudadana</v>
      </c>
      <c r="U727" s="35" t="str">
        <f>MID(Tabla1[[#This Row],[Aplicación]],9,4)</f>
        <v>1621</v>
      </c>
      <c r="V727" s="35" t="str">
        <f>VLOOKUP(Tabla1[[#This Row],[PROGRAMA]],Hoja1!A:B,2,FALSE)</f>
        <v>1621. Servicio de limpieza</v>
      </c>
      <c r="W727" s="56" t="str">
        <f>MID(Tabla1[[#This Row],[Aplicación]],14,2)</f>
        <v>21</v>
      </c>
      <c r="X727" s="56" t="str">
        <f>MID(Tabla1[[#This Row],[Aplicación]],14,6)</f>
        <v>214</v>
      </c>
    </row>
    <row r="728" spans="1:24" x14ac:dyDescent="0.25">
      <c r="A728" s="46">
        <v>220230002653</v>
      </c>
      <c r="B728" s="47" t="s">
        <v>507</v>
      </c>
      <c r="C728" s="52">
        <v>44966</v>
      </c>
      <c r="D728" s="46">
        <v>22023002288</v>
      </c>
      <c r="E728" s="47" t="s">
        <v>1055</v>
      </c>
      <c r="F728" s="53">
        <v>233.05</v>
      </c>
      <c r="G728" s="47" t="s">
        <v>444</v>
      </c>
      <c r="H728" s="47" t="s">
        <v>1831</v>
      </c>
      <c r="I728" s="46" t="s">
        <v>511</v>
      </c>
      <c r="J728" s="47" t="s">
        <v>519</v>
      </c>
      <c r="K728" s="47" t="s">
        <v>519</v>
      </c>
      <c r="L728" s="47" t="s">
        <v>552</v>
      </c>
      <c r="M728" s="47" t="s">
        <v>976</v>
      </c>
      <c r="N728" s="47" t="s">
        <v>839</v>
      </c>
      <c r="O728" s="45" t="s">
        <v>383</v>
      </c>
      <c r="P728" s="44" t="s">
        <v>309</v>
      </c>
      <c r="Q728" s="59" t="str">
        <f>MID(Tabla1[[#This Row],[Aplicación]],14,1)</f>
        <v>2</v>
      </c>
      <c r="R728" s="35" t="s">
        <v>298</v>
      </c>
      <c r="S728" s="59" t="str">
        <f>MID(Tabla1[[#This Row],[Aplicación]],6,2)</f>
        <v>02</v>
      </c>
      <c r="T728" s="35" t="str">
        <f>VLOOKUP(Tabla1[[#This Row],[AREA]],Hoja1!A:B,2,FALSE)</f>
        <v>02. Planeamiento urbanístico y vivienda</v>
      </c>
      <c r="U728" s="35" t="str">
        <f>MID(Tabla1[[#This Row],[Aplicación]],9,4)</f>
        <v>9332</v>
      </c>
      <c r="V728" s="35" t="str">
        <f>VLOOKUP(Tabla1[[#This Row],[PROGRAMA]],Hoja1!A:B,2,FALSE)</f>
        <v>9332. Mantenimiento de edificios e instalaciones municipales</v>
      </c>
      <c r="W728" s="56" t="str">
        <f>MID(Tabla1[[#This Row],[Aplicación]],14,2)</f>
        <v>21</v>
      </c>
      <c r="X728" s="56" t="str">
        <f>MID(Tabla1[[#This Row],[Aplicación]],14,6)</f>
        <v>213</v>
      </c>
    </row>
    <row r="729" spans="1:24" x14ac:dyDescent="0.25">
      <c r="A729" s="46">
        <v>220230003785</v>
      </c>
      <c r="B729" s="47" t="s">
        <v>507</v>
      </c>
      <c r="C729" s="52">
        <v>44974</v>
      </c>
      <c r="D729" s="46">
        <v>22023002449</v>
      </c>
      <c r="E729" s="47" t="s">
        <v>1055</v>
      </c>
      <c r="F729" s="53">
        <v>1331</v>
      </c>
      <c r="G729" s="47" t="s">
        <v>444</v>
      </c>
      <c r="H729" s="47" t="s">
        <v>1832</v>
      </c>
      <c r="I729" s="46" t="s">
        <v>511</v>
      </c>
      <c r="J729" s="47" t="s">
        <v>519</v>
      </c>
      <c r="K729" s="47" t="s">
        <v>519</v>
      </c>
      <c r="L729" s="47" t="s">
        <v>552</v>
      </c>
      <c r="M729" s="47" t="s">
        <v>976</v>
      </c>
      <c r="N729" s="47" t="s">
        <v>839</v>
      </c>
      <c r="O729" s="45" t="s">
        <v>383</v>
      </c>
      <c r="P729" s="44" t="s">
        <v>309</v>
      </c>
      <c r="Q729" s="59" t="str">
        <f>MID(Tabla1[[#This Row],[Aplicación]],14,1)</f>
        <v>2</v>
      </c>
      <c r="R729" s="35" t="s">
        <v>298</v>
      </c>
      <c r="S729" s="59" t="str">
        <f>MID(Tabla1[[#This Row],[Aplicación]],6,2)</f>
        <v>02</v>
      </c>
      <c r="T729" s="35" t="str">
        <f>VLOOKUP(Tabla1[[#This Row],[AREA]],Hoja1!A:B,2,FALSE)</f>
        <v>02. Planeamiento urbanístico y vivienda</v>
      </c>
      <c r="U729" s="35" t="str">
        <f>MID(Tabla1[[#This Row],[Aplicación]],9,4)</f>
        <v>9332</v>
      </c>
      <c r="V729" s="35" t="str">
        <f>VLOOKUP(Tabla1[[#This Row],[PROGRAMA]],Hoja1!A:B,2,FALSE)</f>
        <v>9332. Mantenimiento de edificios e instalaciones municipales</v>
      </c>
      <c r="W729" s="56" t="str">
        <f>MID(Tabla1[[#This Row],[Aplicación]],14,2)</f>
        <v>21</v>
      </c>
      <c r="X729" s="56" t="str">
        <f>MID(Tabla1[[#This Row],[Aplicación]],14,6)</f>
        <v>213</v>
      </c>
    </row>
    <row r="730" spans="1:24" x14ac:dyDescent="0.25">
      <c r="A730" s="46">
        <v>220230003783</v>
      </c>
      <c r="B730" s="47" t="s">
        <v>507</v>
      </c>
      <c r="C730" s="52">
        <v>44974</v>
      </c>
      <c r="D730" s="46">
        <v>22023001923</v>
      </c>
      <c r="E730" s="47" t="s">
        <v>1532</v>
      </c>
      <c r="F730" s="53">
        <v>610.67999999999995</v>
      </c>
      <c r="G730" s="47" t="s">
        <v>1833</v>
      </c>
      <c r="H730" s="47" t="s">
        <v>1834</v>
      </c>
      <c r="I730" s="46" t="s">
        <v>511</v>
      </c>
      <c r="J730" s="47" t="s">
        <v>512</v>
      </c>
      <c r="K730" s="47" t="s">
        <v>512</v>
      </c>
      <c r="L730" s="47" t="s">
        <v>520</v>
      </c>
      <c r="M730" s="47" t="s">
        <v>976</v>
      </c>
      <c r="N730" s="47" t="s">
        <v>839</v>
      </c>
      <c r="O730" s="45" t="s">
        <v>383</v>
      </c>
      <c r="P730" s="44" t="s">
        <v>309</v>
      </c>
      <c r="Q730" s="59" t="str">
        <f>MID(Tabla1[[#This Row],[Aplicación]],14,1)</f>
        <v>2</v>
      </c>
      <c r="R730" s="35" t="s">
        <v>298</v>
      </c>
      <c r="S730" s="59" t="str">
        <f>MID(Tabla1[[#This Row],[Aplicación]],6,2)</f>
        <v>09</v>
      </c>
      <c r="T730" s="35" t="str">
        <f>VLOOKUP(Tabla1[[#This Row],[AREA]],Hoja1!A:B,2,FALSE)</f>
        <v>09. Cultura y turismo</v>
      </c>
      <c r="U730" s="35" t="str">
        <f>MID(Tabla1[[#This Row],[Aplicación]],9,4)</f>
        <v>3341</v>
      </c>
      <c r="V730" s="35" t="str">
        <f>VLOOKUP(Tabla1[[#This Row],[PROGRAMA]],Hoja1!A:B,2,FALSE)</f>
        <v>3341. Coordinación de políticas culturales</v>
      </c>
      <c r="W730" s="56" t="str">
        <f>MID(Tabla1[[#This Row],[Aplicación]],14,2)</f>
        <v>22</v>
      </c>
      <c r="X730" s="56" t="str">
        <f>MID(Tabla1[[#This Row],[Aplicación]],14,6)</f>
        <v>22699</v>
      </c>
    </row>
    <row r="731" spans="1:24" x14ac:dyDescent="0.25">
      <c r="A731" s="46">
        <v>220230001949</v>
      </c>
      <c r="B731" s="47" t="s">
        <v>507</v>
      </c>
      <c r="C731" s="52">
        <v>44960</v>
      </c>
      <c r="D731" s="46">
        <v>22023001132</v>
      </c>
      <c r="E731" s="47" t="s">
        <v>1670</v>
      </c>
      <c r="F731" s="53">
        <v>1500</v>
      </c>
      <c r="G731" s="47" t="s">
        <v>1835</v>
      </c>
      <c r="H731" s="47" t="s">
        <v>1836</v>
      </c>
      <c r="I731" s="46" t="s">
        <v>511</v>
      </c>
      <c r="J731" s="47" t="s">
        <v>731</v>
      </c>
      <c r="K731" s="47" t="s">
        <v>519</v>
      </c>
      <c r="L731" s="47" t="s">
        <v>520</v>
      </c>
      <c r="M731" s="47" t="s">
        <v>514</v>
      </c>
      <c r="N731" s="47" t="s">
        <v>515</v>
      </c>
      <c r="O731" s="45" t="s">
        <v>382</v>
      </c>
      <c r="P731" s="44" t="s">
        <v>309</v>
      </c>
      <c r="Q731" s="59" t="str">
        <f>MID(Tabla1[[#This Row],[Aplicación]],14,1)</f>
        <v>2</v>
      </c>
      <c r="R731" s="35" t="s">
        <v>298</v>
      </c>
      <c r="S731" s="59" t="str">
        <f>MID(Tabla1[[#This Row],[Aplicación]],6,2)</f>
        <v>07</v>
      </c>
      <c r="T731" s="35" t="str">
        <f>VLOOKUP(Tabla1[[#This Row],[AREA]],Hoja1!A:B,2,FALSE)</f>
        <v>07. Medio ambiente y desarrollo sostenible</v>
      </c>
      <c r="U731" s="35" t="str">
        <f>MID(Tabla1[[#This Row],[Aplicación]],9,4)</f>
        <v>1721</v>
      </c>
      <c r="V731" s="35" t="str">
        <f>VLOOKUP(Tabla1[[#This Row],[PROGRAMA]],Hoja1!A:B,2,FALSE)</f>
        <v>1721. Protección del medio ambiente</v>
      </c>
      <c r="W731" s="56" t="str">
        <f>MID(Tabla1[[#This Row],[Aplicación]],14,2)</f>
        <v>22</v>
      </c>
      <c r="X731" s="56" t="str">
        <f>MID(Tabla1[[#This Row],[Aplicación]],14,6)</f>
        <v>22602</v>
      </c>
    </row>
    <row r="732" spans="1:24" x14ac:dyDescent="0.25">
      <c r="A732" s="46">
        <v>220230001957</v>
      </c>
      <c r="B732" s="47" t="s">
        <v>507</v>
      </c>
      <c r="C732" s="52">
        <v>44960</v>
      </c>
      <c r="D732" s="46">
        <v>22023001383</v>
      </c>
      <c r="E732" s="47" t="s">
        <v>1670</v>
      </c>
      <c r="F732" s="53">
        <v>2249.39</v>
      </c>
      <c r="G732" s="47" t="s">
        <v>341</v>
      </c>
      <c r="H732" s="47" t="s">
        <v>1837</v>
      </c>
      <c r="I732" s="46" t="s">
        <v>511</v>
      </c>
      <c r="J732" s="47" t="s">
        <v>519</v>
      </c>
      <c r="K732" s="47" t="s">
        <v>519</v>
      </c>
      <c r="L732" s="47" t="s">
        <v>520</v>
      </c>
      <c r="M732" s="47" t="s">
        <v>514</v>
      </c>
      <c r="N732" s="47" t="s">
        <v>515</v>
      </c>
      <c r="O732" s="45" t="s">
        <v>382</v>
      </c>
      <c r="P732" s="44" t="s">
        <v>309</v>
      </c>
      <c r="Q732" s="59" t="str">
        <f>MID(Tabla1[[#This Row],[Aplicación]],14,1)</f>
        <v>2</v>
      </c>
      <c r="R732" s="35" t="s">
        <v>298</v>
      </c>
      <c r="S732" s="59" t="str">
        <f>MID(Tabla1[[#This Row],[Aplicación]],6,2)</f>
        <v>07</v>
      </c>
      <c r="T732" s="35" t="str">
        <f>VLOOKUP(Tabla1[[#This Row],[AREA]],Hoja1!A:B,2,FALSE)</f>
        <v>07. Medio ambiente y desarrollo sostenible</v>
      </c>
      <c r="U732" s="35" t="str">
        <f>MID(Tabla1[[#This Row],[Aplicación]],9,4)</f>
        <v>1721</v>
      </c>
      <c r="V732" s="35" t="str">
        <f>VLOOKUP(Tabla1[[#This Row],[PROGRAMA]],Hoja1!A:B,2,FALSE)</f>
        <v>1721. Protección del medio ambiente</v>
      </c>
      <c r="W732" s="56" t="str">
        <f>MID(Tabla1[[#This Row],[Aplicación]],14,2)</f>
        <v>22</v>
      </c>
      <c r="X732" s="56" t="str">
        <f>MID(Tabla1[[#This Row],[Aplicación]],14,6)</f>
        <v>22602</v>
      </c>
    </row>
    <row r="733" spans="1:24" x14ac:dyDescent="0.25">
      <c r="A733" s="55">
        <v>220220058853</v>
      </c>
      <c r="B733" s="47" t="s">
        <v>507</v>
      </c>
      <c r="C733" s="52">
        <v>45014</v>
      </c>
      <c r="D733" s="46">
        <v>22022006986</v>
      </c>
      <c r="E733" s="47" t="s">
        <v>745</v>
      </c>
      <c r="F733" s="53">
        <v>366351.77</v>
      </c>
      <c r="G733" s="47" t="s">
        <v>746</v>
      </c>
      <c r="H733" s="47" t="s">
        <v>3417</v>
      </c>
      <c r="I733" s="46" t="s">
        <v>511</v>
      </c>
      <c r="J733" s="47" t="s">
        <v>532</v>
      </c>
      <c r="K733" s="47" t="s">
        <v>512</v>
      </c>
      <c r="L733" s="47" t="s">
        <v>552</v>
      </c>
      <c r="M733" s="47" t="s">
        <v>514</v>
      </c>
      <c r="N733" s="47" t="s">
        <v>515</v>
      </c>
      <c r="O733" s="54" t="s">
        <v>371</v>
      </c>
      <c r="P733" s="44" t="s">
        <v>309</v>
      </c>
      <c r="Q733" s="59">
        <v>6</v>
      </c>
      <c r="R733" s="35" t="s">
        <v>299</v>
      </c>
      <c r="S733" s="59" t="str">
        <f>MID(Tabla1[[#This Row],[Aplicación]],6,2)</f>
        <v>07</v>
      </c>
      <c r="T733" s="35" t="str">
        <f>VLOOKUP(Tabla1[[#This Row],[AREA]],Hoja1!A:B,2,FALSE)</f>
        <v>07. Medio ambiente y desarrollo sostenible</v>
      </c>
      <c r="U733" s="35">
        <v>1721</v>
      </c>
      <c r="V733" s="35" t="str">
        <f>VLOOKUP(Tabla1[[#This Row],[PROGRAMA]],Hoja1!A:B,2,FALSE)</f>
        <v>1721. Protección del medio ambiente</v>
      </c>
      <c r="W733" s="56">
        <v>62</v>
      </c>
      <c r="X733" s="56">
        <v>623</v>
      </c>
    </row>
    <row r="734" spans="1:24" x14ac:dyDescent="0.25">
      <c r="A734" s="55">
        <v>220220053077</v>
      </c>
      <c r="B734" s="47" t="s">
        <v>507</v>
      </c>
      <c r="C734" s="52">
        <v>45014</v>
      </c>
      <c r="D734" s="46">
        <v>22022005960</v>
      </c>
      <c r="E734" s="47" t="s">
        <v>745</v>
      </c>
      <c r="F734" s="53">
        <v>176504.2</v>
      </c>
      <c r="G734" s="47" t="s">
        <v>83</v>
      </c>
      <c r="H734" s="47" t="s">
        <v>3428</v>
      </c>
      <c r="I734" s="46" t="s">
        <v>511</v>
      </c>
      <c r="J734" s="47" t="s">
        <v>716</v>
      </c>
      <c r="K734" s="47" t="s">
        <v>717</v>
      </c>
      <c r="L734" s="47" t="s">
        <v>552</v>
      </c>
      <c r="M734" s="47" t="s">
        <v>514</v>
      </c>
      <c r="N734" s="47" t="s">
        <v>515</v>
      </c>
      <c r="O734" s="54" t="s">
        <v>371</v>
      </c>
      <c r="P734" s="44" t="s">
        <v>309</v>
      </c>
      <c r="Q734" s="59">
        <v>6</v>
      </c>
      <c r="R734" s="35" t="s">
        <v>299</v>
      </c>
      <c r="S734" s="59" t="str">
        <f>MID(Tabla1[[#This Row],[Aplicación]],6,2)</f>
        <v>07</v>
      </c>
      <c r="T734" s="35" t="str">
        <f>VLOOKUP(Tabla1[[#This Row],[AREA]],Hoja1!A:B,2,FALSE)</f>
        <v>07. Medio ambiente y desarrollo sostenible</v>
      </c>
      <c r="U734" s="35">
        <v>1721</v>
      </c>
      <c r="V734" s="35" t="str">
        <f>VLOOKUP(Tabla1[[#This Row],[PROGRAMA]],Hoja1!A:B,2,FALSE)</f>
        <v>1721. Protección del medio ambiente</v>
      </c>
      <c r="W734" s="56">
        <v>62</v>
      </c>
      <c r="X734" s="56">
        <v>623</v>
      </c>
    </row>
    <row r="735" spans="1:24" x14ac:dyDescent="0.25">
      <c r="A735" s="46">
        <v>220230000034</v>
      </c>
      <c r="B735" s="47" t="s">
        <v>507</v>
      </c>
      <c r="C735" s="52">
        <v>44927</v>
      </c>
      <c r="D735" s="46">
        <v>22023000521</v>
      </c>
      <c r="E735" s="47" t="s">
        <v>1841</v>
      </c>
      <c r="F735" s="53">
        <v>4560.1899999999996</v>
      </c>
      <c r="G735" s="47" t="s">
        <v>1842</v>
      </c>
      <c r="H735" s="47" t="s">
        <v>1843</v>
      </c>
      <c r="I735" s="46" t="s">
        <v>511</v>
      </c>
      <c r="J735" s="47" t="s">
        <v>519</v>
      </c>
      <c r="K735" s="47" t="s">
        <v>519</v>
      </c>
      <c r="L735" s="47" t="s">
        <v>520</v>
      </c>
      <c r="M735" s="47" t="s">
        <v>514</v>
      </c>
      <c r="N735" s="47" t="s">
        <v>515</v>
      </c>
      <c r="O735" s="45" t="s">
        <v>371</v>
      </c>
      <c r="P735" s="44" t="s">
        <v>309</v>
      </c>
      <c r="Q735" s="59" t="str">
        <f>MID(Tabla1[[#This Row],[Aplicación]],14,1)</f>
        <v>2</v>
      </c>
      <c r="R735" s="35" t="s">
        <v>298</v>
      </c>
      <c r="S735" s="59" t="str">
        <f>MID(Tabla1[[#This Row],[Aplicación]],6,2)</f>
        <v>11</v>
      </c>
      <c r="T735" s="35" t="str">
        <f>VLOOKUP(Tabla1[[#This Row],[AREA]],Hoja1!A:B,2,FALSE)</f>
        <v>11. Salud pública y seguridad ciudadana</v>
      </c>
      <c r="U735" s="35" t="str">
        <f>MID(Tabla1[[#This Row],[Aplicación]],9,4)</f>
        <v>3111</v>
      </c>
      <c r="V735" s="35" t="str">
        <f>VLOOKUP(Tabla1[[#This Row],[PROGRAMA]],Hoja1!A:B,2,FALSE)</f>
        <v>3111. Protección de la salubridad pública</v>
      </c>
      <c r="W735" s="56" t="str">
        <f>MID(Tabla1[[#This Row],[Aplicación]],14,2)</f>
        <v>22</v>
      </c>
      <c r="X735" s="56" t="str">
        <f>MID(Tabla1[[#This Row],[Aplicación]],14,6)</f>
        <v>22706</v>
      </c>
    </row>
    <row r="736" spans="1:24" x14ac:dyDescent="0.25">
      <c r="A736" s="46">
        <v>220230006399</v>
      </c>
      <c r="B736" s="47" t="s">
        <v>507</v>
      </c>
      <c r="C736" s="52">
        <v>44981</v>
      </c>
      <c r="D736" s="46">
        <v>22023002649</v>
      </c>
      <c r="E736" s="47" t="s">
        <v>1453</v>
      </c>
      <c r="F736" s="53">
        <v>13722.5</v>
      </c>
      <c r="G736" s="47" t="s">
        <v>1842</v>
      </c>
      <c r="H736" s="47" t="s">
        <v>1844</v>
      </c>
      <c r="I736" s="46" t="s">
        <v>511</v>
      </c>
      <c r="J736" s="47" t="s">
        <v>519</v>
      </c>
      <c r="K736" s="47" t="s">
        <v>519</v>
      </c>
      <c r="L736" s="47" t="s">
        <v>520</v>
      </c>
      <c r="M736" s="47" t="s">
        <v>976</v>
      </c>
      <c r="N736" s="47" t="s">
        <v>839</v>
      </c>
      <c r="O736" s="45" t="s">
        <v>383</v>
      </c>
      <c r="P736" s="44" t="s">
        <v>309</v>
      </c>
      <c r="Q736" s="59" t="str">
        <f>MID(Tabla1[[#This Row],[Aplicación]],14,1)</f>
        <v>2</v>
      </c>
      <c r="R736" s="35" t="s">
        <v>298</v>
      </c>
      <c r="S736" s="59" t="str">
        <f>MID(Tabla1[[#This Row],[Aplicación]],6,2)</f>
        <v>11</v>
      </c>
      <c r="T736" s="35" t="str">
        <f>VLOOKUP(Tabla1[[#This Row],[AREA]],Hoja1!A:B,2,FALSE)</f>
        <v>11. Salud pública y seguridad ciudadana</v>
      </c>
      <c r="U736" s="35" t="str">
        <f>MID(Tabla1[[#This Row],[Aplicación]],9,4)</f>
        <v>3111</v>
      </c>
      <c r="V736" s="35" t="str">
        <f>VLOOKUP(Tabla1[[#This Row],[PROGRAMA]],Hoja1!A:B,2,FALSE)</f>
        <v>3111. Protección de la salubridad pública</v>
      </c>
      <c r="W736" s="56" t="str">
        <f>MID(Tabla1[[#This Row],[Aplicación]],14,2)</f>
        <v>22</v>
      </c>
      <c r="X736" s="56" t="str">
        <f>MID(Tabla1[[#This Row],[Aplicación]],14,6)</f>
        <v>22799</v>
      </c>
    </row>
    <row r="737" spans="1:24" x14ac:dyDescent="0.25">
      <c r="A737" s="46">
        <v>220230002951</v>
      </c>
      <c r="B737" s="47" t="s">
        <v>507</v>
      </c>
      <c r="C737" s="52">
        <v>44967</v>
      </c>
      <c r="D737" s="46">
        <v>22023002199</v>
      </c>
      <c r="E737" s="47" t="s">
        <v>1694</v>
      </c>
      <c r="F737" s="53">
        <v>660</v>
      </c>
      <c r="G737" s="47" t="s">
        <v>397</v>
      </c>
      <c r="H737" s="47" t="s">
        <v>1845</v>
      </c>
      <c r="I737" s="46" t="s">
        <v>511</v>
      </c>
      <c r="J737" s="47" t="s">
        <v>519</v>
      </c>
      <c r="K737" s="47" t="s">
        <v>519</v>
      </c>
      <c r="L737" s="47" t="s">
        <v>520</v>
      </c>
      <c r="M737" s="47" t="s">
        <v>976</v>
      </c>
      <c r="N737" s="47" t="s">
        <v>839</v>
      </c>
      <c r="O737" s="45" t="s">
        <v>383</v>
      </c>
      <c r="P737" s="44" t="s">
        <v>309</v>
      </c>
      <c r="Q737" s="59" t="str">
        <f>MID(Tabla1[[#This Row],[Aplicación]],14,1)</f>
        <v>2</v>
      </c>
      <c r="R737" s="35" t="s">
        <v>298</v>
      </c>
      <c r="S737" s="59" t="str">
        <f>MID(Tabla1[[#This Row],[Aplicación]],6,2)</f>
        <v>11</v>
      </c>
      <c r="T737" s="35" t="str">
        <f>VLOOKUP(Tabla1[[#This Row],[AREA]],Hoja1!A:B,2,FALSE)</f>
        <v>11. Salud pública y seguridad ciudadana</v>
      </c>
      <c r="U737" s="35" t="str">
        <f>MID(Tabla1[[#This Row],[Aplicación]],9,4)</f>
        <v>1321</v>
      </c>
      <c r="V737" s="35" t="str">
        <f>VLOOKUP(Tabla1[[#This Row],[PROGRAMA]],Hoja1!A:B,2,FALSE)</f>
        <v>1321. Policía municipal</v>
      </c>
      <c r="W737" s="56" t="str">
        <f>MID(Tabla1[[#This Row],[Aplicación]],14,2)</f>
        <v>21</v>
      </c>
      <c r="X737" s="56" t="str">
        <f>MID(Tabla1[[#This Row],[Aplicación]],14,6)</f>
        <v>214</v>
      </c>
    </row>
    <row r="738" spans="1:24" x14ac:dyDescent="0.25">
      <c r="A738" s="46">
        <v>220230003262</v>
      </c>
      <c r="B738" s="47" t="s">
        <v>507</v>
      </c>
      <c r="C738" s="52">
        <v>44971</v>
      </c>
      <c r="D738" s="46">
        <v>22023002335</v>
      </c>
      <c r="E738" s="47" t="s">
        <v>1846</v>
      </c>
      <c r="F738" s="53">
        <v>222.42</v>
      </c>
      <c r="G738" s="47" t="s">
        <v>397</v>
      </c>
      <c r="H738" s="47" t="s">
        <v>1847</v>
      </c>
      <c r="I738" s="46" t="s">
        <v>511</v>
      </c>
      <c r="J738" s="47" t="s">
        <v>519</v>
      </c>
      <c r="K738" s="47" t="s">
        <v>519</v>
      </c>
      <c r="L738" s="47" t="s">
        <v>520</v>
      </c>
      <c r="M738" s="47" t="s">
        <v>976</v>
      </c>
      <c r="N738" s="47" t="s">
        <v>839</v>
      </c>
      <c r="O738" s="45" t="s">
        <v>383</v>
      </c>
      <c r="P738" s="44" t="s">
        <v>309</v>
      </c>
      <c r="Q738" s="59" t="str">
        <f>MID(Tabla1[[#This Row],[Aplicación]],14,1)</f>
        <v>2</v>
      </c>
      <c r="R738" s="35" t="s">
        <v>298</v>
      </c>
      <c r="S738" s="59" t="str">
        <f>MID(Tabla1[[#This Row],[Aplicación]],6,2)</f>
        <v>07</v>
      </c>
      <c r="T738" s="35" t="str">
        <f>VLOOKUP(Tabla1[[#This Row],[AREA]],Hoja1!A:B,2,FALSE)</f>
        <v>07. Medio ambiente y desarrollo sostenible</v>
      </c>
      <c r="U738" s="35" t="str">
        <f>MID(Tabla1[[#This Row],[Aplicación]],9,4)</f>
        <v>1721</v>
      </c>
      <c r="V738" s="35" t="str">
        <f>VLOOKUP(Tabla1[[#This Row],[PROGRAMA]],Hoja1!A:B,2,FALSE)</f>
        <v>1721. Protección del medio ambiente</v>
      </c>
      <c r="W738" s="56" t="str">
        <f>MID(Tabla1[[#This Row],[Aplicación]],14,2)</f>
        <v>21</v>
      </c>
      <c r="X738" s="56" t="str">
        <f>MID(Tabla1[[#This Row],[Aplicación]],14,6)</f>
        <v>214</v>
      </c>
    </row>
    <row r="739" spans="1:24" x14ac:dyDescent="0.25">
      <c r="A739" s="55">
        <v>220230009508</v>
      </c>
      <c r="B739" s="47" t="s">
        <v>507</v>
      </c>
      <c r="C739" s="52">
        <v>45006</v>
      </c>
      <c r="D739" s="46">
        <v>22023003466</v>
      </c>
      <c r="E739" s="47" t="s">
        <v>1285</v>
      </c>
      <c r="F739" s="53">
        <v>249.97</v>
      </c>
      <c r="G739" s="47" t="s">
        <v>397</v>
      </c>
      <c r="H739" s="47" t="s">
        <v>1848</v>
      </c>
      <c r="I739" s="46" t="s">
        <v>511</v>
      </c>
      <c r="J739" s="47" t="s">
        <v>519</v>
      </c>
      <c r="K739" s="47" t="s">
        <v>519</v>
      </c>
      <c r="L739" s="47" t="s">
        <v>552</v>
      </c>
      <c r="M739" s="47" t="s">
        <v>976</v>
      </c>
      <c r="N739" s="47" t="s">
        <v>839</v>
      </c>
      <c r="O739" s="54" t="s">
        <v>383</v>
      </c>
      <c r="P739" s="44" t="s">
        <v>309</v>
      </c>
      <c r="Q739" s="59" t="str">
        <f>MID(Tabla1[[#This Row],[Aplicación]],14,1)</f>
        <v>2</v>
      </c>
      <c r="R739" s="35" t="s">
        <v>298</v>
      </c>
      <c r="S739" s="59" t="str">
        <f>MID(Tabla1[[#This Row],[Aplicación]],6,2)</f>
        <v>11</v>
      </c>
      <c r="T739" s="35" t="str">
        <f>VLOOKUP(Tabla1[[#This Row],[AREA]],Hoja1!A:B,2,FALSE)</f>
        <v>11. Salud pública y seguridad ciudadana</v>
      </c>
      <c r="U739" s="35" t="str">
        <f>MID(Tabla1[[#This Row],[Aplicación]],9,4)</f>
        <v>1361</v>
      </c>
      <c r="V739" s="35" t="str">
        <f>VLOOKUP(Tabla1[[#This Row],[PROGRAMA]],Hoja1!A:B,2,FALSE)</f>
        <v>1361. Prevención y extinción de incencios</v>
      </c>
      <c r="W739" s="56" t="str">
        <f>MID(Tabla1[[#This Row],[Aplicación]],14,2)</f>
        <v>22</v>
      </c>
      <c r="X739" s="56" t="str">
        <f>MID(Tabla1[[#This Row],[Aplicación]],14,6)</f>
        <v>22199</v>
      </c>
    </row>
    <row r="740" spans="1:24" x14ac:dyDescent="0.25">
      <c r="A740" s="55">
        <v>220230012875</v>
      </c>
      <c r="B740" s="47" t="s">
        <v>507</v>
      </c>
      <c r="C740" s="52">
        <v>45016</v>
      </c>
      <c r="D740" s="46">
        <v>22023003717</v>
      </c>
      <c r="E740" s="47" t="s">
        <v>1694</v>
      </c>
      <c r="F740" s="53">
        <v>981.46</v>
      </c>
      <c r="G740" s="47" t="s">
        <v>397</v>
      </c>
      <c r="H740" s="47" t="s">
        <v>1849</v>
      </c>
      <c r="I740" s="46" t="s">
        <v>511</v>
      </c>
      <c r="J740" s="47" t="s">
        <v>519</v>
      </c>
      <c r="K740" s="47" t="s">
        <v>519</v>
      </c>
      <c r="L740" s="47" t="s">
        <v>520</v>
      </c>
      <c r="M740" s="47" t="s">
        <v>976</v>
      </c>
      <c r="N740" s="47" t="s">
        <v>839</v>
      </c>
      <c r="O740" s="54" t="s">
        <v>383</v>
      </c>
      <c r="P740" s="44" t="s">
        <v>309</v>
      </c>
      <c r="Q740" s="59" t="str">
        <f>MID(Tabla1[[#This Row],[Aplicación]],14,1)</f>
        <v>2</v>
      </c>
      <c r="R740" s="35" t="s">
        <v>298</v>
      </c>
      <c r="S740" s="59" t="str">
        <f>MID(Tabla1[[#This Row],[Aplicación]],6,2)</f>
        <v>11</v>
      </c>
      <c r="T740" s="35" t="str">
        <f>VLOOKUP(Tabla1[[#This Row],[AREA]],Hoja1!A:B,2,FALSE)</f>
        <v>11. Salud pública y seguridad ciudadana</v>
      </c>
      <c r="U740" s="35" t="str">
        <f>MID(Tabla1[[#This Row],[Aplicación]],9,4)</f>
        <v>1321</v>
      </c>
      <c r="V740" s="35" t="str">
        <f>VLOOKUP(Tabla1[[#This Row],[PROGRAMA]],Hoja1!A:B,2,FALSE)</f>
        <v>1321. Policía municipal</v>
      </c>
      <c r="W740" s="56" t="str">
        <f>MID(Tabla1[[#This Row],[Aplicación]],14,2)</f>
        <v>21</v>
      </c>
      <c r="X740" s="56" t="str">
        <f>MID(Tabla1[[#This Row],[Aplicación]],14,6)</f>
        <v>214</v>
      </c>
    </row>
    <row r="741" spans="1:24" x14ac:dyDescent="0.25">
      <c r="A741" s="46">
        <v>220230002544</v>
      </c>
      <c r="B741" s="47" t="s">
        <v>1249</v>
      </c>
      <c r="C741" s="52">
        <v>44965</v>
      </c>
      <c r="D741" s="46">
        <v>22023002129</v>
      </c>
      <c r="E741" s="47" t="s">
        <v>1110</v>
      </c>
      <c r="F741" s="53">
        <v>213.57</v>
      </c>
      <c r="G741" s="47" t="s">
        <v>587</v>
      </c>
      <c r="H741" s="47" t="s">
        <v>1850</v>
      </c>
      <c r="I741" s="46" t="s">
        <v>1251</v>
      </c>
      <c r="J741" s="47" t="s">
        <v>589</v>
      </c>
      <c r="K741" s="47" t="s">
        <v>590</v>
      </c>
      <c r="L741" s="47" t="s">
        <v>552</v>
      </c>
      <c r="M741" s="47" t="s">
        <v>514</v>
      </c>
      <c r="N741" s="47" t="s">
        <v>604</v>
      </c>
      <c r="O741" s="45" t="s">
        <v>371</v>
      </c>
      <c r="P741" s="44" t="s">
        <v>309</v>
      </c>
      <c r="Q741" s="59" t="str">
        <f>MID(Tabla1[[#This Row],[Aplicación]],14,1)</f>
        <v>2</v>
      </c>
      <c r="R741" s="35" t="s">
        <v>298</v>
      </c>
      <c r="S741" s="59" t="str">
        <f>MID(Tabla1[[#This Row],[Aplicación]],6,2)</f>
        <v>06</v>
      </c>
      <c r="T741" s="35" t="str">
        <f>VLOOKUP(Tabla1[[#This Row],[AREA]],Hoja1!A:B,2,FALSE)</f>
        <v>06. Educación, infancia, juventud e igualdad</v>
      </c>
      <c r="U741" s="35" t="str">
        <f>MID(Tabla1[[#This Row],[Aplicación]],9,4)</f>
        <v>2314</v>
      </c>
      <c r="V741" s="35" t="str">
        <f>VLOOKUP(Tabla1[[#This Row],[PROGRAMA]],Hoja1!A:B,2,FALSE)</f>
        <v>2314. Centro de programas juveniles</v>
      </c>
      <c r="W741" s="56" t="str">
        <f>MID(Tabla1[[#This Row],[Aplicación]],14,2)</f>
        <v>22</v>
      </c>
      <c r="X741" s="56" t="str">
        <f>MID(Tabla1[[#This Row],[Aplicación]],14,6)</f>
        <v>22100</v>
      </c>
    </row>
    <row r="742" spans="1:24" x14ac:dyDescent="0.25">
      <c r="A742" s="55">
        <v>220230008913</v>
      </c>
      <c r="B742" s="47" t="s">
        <v>1514</v>
      </c>
      <c r="C742" s="52">
        <v>45002</v>
      </c>
      <c r="D742" s="46">
        <v>22023002305</v>
      </c>
      <c r="E742" s="47" t="s">
        <v>693</v>
      </c>
      <c r="F742" s="53">
        <v>14641.09</v>
      </c>
      <c r="G742" s="47" t="s">
        <v>1851</v>
      </c>
      <c r="H742" s="47" t="s">
        <v>1852</v>
      </c>
      <c r="I742" s="46" t="s">
        <v>1517</v>
      </c>
      <c r="J742" s="47" t="s">
        <v>1853</v>
      </c>
      <c r="K742" s="47" t="s">
        <v>512</v>
      </c>
      <c r="L742" s="47" t="s">
        <v>520</v>
      </c>
      <c r="M742" s="47" t="s">
        <v>514</v>
      </c>
      <c r="N742" s="47" t="s">
        <v>515</v>
      </c>
      <c r="O742" s="54" t="s">
        <v>371</v>
      </c>
      <c r="P742" s="44" t="s">
        <v>309</v>
      </c>
      <c r="Q742" s="59" t="str">
        <f>MID(Tabla1[[#This Row],[Aplicación]],14,1)</f>
        <v>2</v>
      </c>
      <c r="R742" s="35" t="s">
        <v>298</v>
      </c>
      <c r="S742" s="59" t="str">
        <f>MID(Tabla1[[#This Row],[Aplicación]],6,2)</f>
        <v>11</v>
      </c>
      <c r="T742" s="35" t="str">
        <f>VLOOKUP(Tabla1[[#This Row],[AREA]],Hoja1!A:B,2,FALSE)</f>
        <v>11. Salud pública y seguridad ciudadana</v>
      </c>
      <c r="U742" s="35" t="str">
        <f>MID(Tabla1[[#This Row],[Aplicación]],9,4)</f>
        <v>1361</v>
      </c>
      <c r="V742" s="35" t="str">
        <f>VLOOKUP(Tabla1[[#This Row],[PROGRAMA]],Hoja1!A:B,2,FALSE)</f>
        <v>1361. Prevención y extinción de incencios</v>
      </c>
      <c r="W742" s="56" t="str">
        <f>MID(Tabla1[[#This Row],[Aplicación]],14,2)</f>
        <v>21</v>
      </c>
      <c r="X742" s="56" t="str">
        <f>MID(Tabla1[[#This Row],[Aplicación]],14,6)</f>
        <v>213</v>
      </c>
    </row>
    <row r="743" spans="1:24" x14ac:dyDescent="0.25">
      <c r="A743" s="46">
        <v>220230005400</v>
      </c>
      <c r="B743" s="47" t="s">
        <v>507</v>
      </c>
      <c r="C743" s="52">
        <v>44979</v>
      </c>
      <c r="D743" s="46">
        <v>22023002493</v>
      </c>
      <c r="E743" s="47" t="s">
        <v>835</v>
      </c>
      <c r="F743" s="53">
        <v>7260</v>
      </c>
      <c r="G743" s="47" t="s">
        <v>1854</v>
      </c>
      <c r="H743" s="47" t="s">
        <v>1855</v>
      </c>
      <c r="I743" s="46" t="s">
        <v>511</v>
      </c>
      <c r="J743" s="47" t="s">
        <v>519</v>
      </c>
      <c r="K743" s="47" t="s">
        <v>519</v>
      </c>
      <c r="L743" s="47" t="s">
        <v>520</v>
      </c>
      <c r="M743" s="47" t="s">
        <v>976</v>
      </c>
      <c r="N743" s="47" t="s">
        <v>839</v>
      </c>
      <c r="O743" s="45" t="s">
        <v>383</v>
      </c>
      <c r="P743" s="44" t="s">
        <v>309</v>
      </c>
      <c r="Q743" s="59" t="str">
        <f>MID(Tabla1[[#This Row],[Aplicación]],14,1)</f>
        <v>2</v>
      </c>
      <c r="R743" s="35" t="s">
        <v>298</v>
      </c>
      <c r="S743" s="59" t="str">
        <f>MID(Tabla1[[#This Row],[Aplicación]],6,2)</f>
        <v>05</v>
      </c>
      <c r="T743" s="35" t="str">
        <f>VLOOKUP(Tabla1[[#This Row],[AREA]],Hoja1!A:B,2,FALSE)</f>
        <v>05. Innovación, desarrollo económico, empleo y comercio</v>
      </c>
      <c r="U743" s="35" t="str">
        <f>MID(Tabla1[[#This Row],[Aplicación]],9,4)</f>
        <v>4331</v>
      </c>
      <c r="V743" s="35" t="str">
        <f>VLOOKUP(Tabla1[[#This Row],[PROGRAMA]],Hoja1!A:B,2,FALSE)</f>
        <v>4331. Desarrollo empresarial</v>
      </c>
      <c r="W743" s="56" t="str">
        <f>MID(Tabla1[[#This Row],[Aplicación]],14,2)</f>
        <v>22</v>
      </c>
      <c r="X743" s="56" t="str">
        <f>MID(Tabla1[[#This Row],[Aplicación]],14,6)</f>
        <v>22799</v>
      </c>
    </row>
    <row r="744" spans="1:24" x14ac:dyDescent="0.25">
      <c r="A744" s="46">
        <v>220230001992</v>
      </c>
      <c r="B744" s="47" t="s">
        <v>507</v>
      </c>
      <c r="C744" s="52">
        <v>44960</v>
      </c>
      <c r="D744" s="46">
        <v>22023001582</v>
      </c>
      <c r="E744" s="47" t="s">
        <v>1856</v>
      </c>
      <c r="F744" s="53">
        <v>650</v>
      </c>
      <c r="G744" s="47" t="s">
        <v>1857</v>
      </c>
      <c r="H744" s="47" t="s">
        <v>1858</v>
      </c>
      <c r="I744" s="46" t="s">
        <v>511</v>
      </c>
      <c r="J744" s="47" t="s">
        <v>519</v>
      </c>
      <c r="K744" s="47" t="s">
        <v>519</v>
      </c>
      <c r="L744" s="47" t="s">
        <v>520</v>
      </c>
      <c r="M744" s="47" t="s">
        <v>514</v>
      </c>
      <c r="N744" s="47" t="s">
        <v>515</v>
      </c>
      <c r="O744" s="45" t="s">
        <v>382</v>
      </c>
      <c r="P744" s="44" t="s">
        <v>309</v>
      </c>
      <c r="Q744" s="59" t="str">
        <f>MID(Tabla1[[#This Row],[Aplicación]],14,1)</f>
        <v>2</v>
      </c>
      <c r="R744" s="35" t="s">
        <v>298</v>
      </c>
      <c r="S744" s="59" t="str">
        <f>MID(Tabla1[[#This Row],[Aplicación]],6,2)</f>
        <v>06</v>
      </c>
      <c r="T744" s="35" t="str">
        <f>VLOOKUP(Tabla1[[#This Row],[AREA]],Hoja1!A:B,2,FALSE)</f>
        <v>06. Educación, infancia, juventud e igualdad</v>
      </c>
      <c r="U744" s="35" t="str">
        <f>MID(Tabla1[[#This Row],[Aplicación]],9,4)</f>
        <v>3261</v>
      </c>
      <c r="V744" s="35" t="str">
        <f>VLOOKUP(Tabla1[[#This Row],[PROGRAMA]],Hoja1!A:B,2,FALSE)</f>
        <v>3261. Servicios complementarios de educación</v>
      </c>
      <c r="W744" s="56" t="str">
        <f>MID(Tabla1[[#This Row],[Aplicación]],14,2)</f>
        <v>21</v>
      </c>
      <c r="X744" s="56" t="str">
        <f>MID(Tabla1[[#This Row],[Aplicación]],14,6)</f>
        <v>214</v>
      </c>
    </row>
    <row r="745" spans="1:24" x14ac:dyDescent="0.25">
      <c r="A745" s="55">
        <v>220220013164</v>
      </c>
      <c r="B745" s="47" t="s">
        <v>507</v>
      </c>
      <c r="C745" s="52">
        <v>45014</v>
      </c>
      <c r="D745" s="46">
        <v>22022003052</v>
      </c>
      <c r="E745" s="47" t="s">
        <v>583</v>
      </c>
      <c r="F745" s="53">
        <v>57.38</v>
      </c>
      <c r="G745" s="47" t="s">
        <v>400</v>
      </c>
      <c r="H745" s="47" t="s">
        <v>1859</v>
      </c>
      <c r="I745" s="46" t="s">
        <v>511</v>
      </c>
      <c r="J745" s="47" t="s">
        <v>519</v>
      </c>
      <c r="K745" s="47" t="s">
        <v>519</v>
      </c>
      <c r="L745" s="47" t="s">
        <v>520</v>
      </c>
      <c r="M745" s="47" t="s">
        <v>514</v>
      </c>
      <c r="N745" s="47" t="s">
        <v>515</v>
      </c>
      <c r="O745" s="54" t="s">
        <v>382</v>
      </c>
      <c r="P745" s="44" t="s">
        <v>309</v>
      </c>
      <c r="Q745" s="59" t="str">
        <f>MID(Tabla1[[#This Row],[Aplicación]],14,1)</f>
        <v>6</v>
      </c>
      <c r="R745" s="35" t="s">
        <v>299</v>
      </c>
      <c r="S745" s="59" t="str">
        <f>MID(Tabla1[[#This Row],[Aplicación]],6,2)</f>
        <v>02</v>
      </c>
      <c r="T745" s="35" t="str">
        <f>VLOOKUP(Tabla1[[#This Row],[AREA]],Hoja1!A:B,2,FALSE)</f>
        <v>02. Planeamiento urbanístico y vivienda</v>
      </c>
      <c r="U745" s="35" t="str">
        <f>MID(Tabla1[[#This Row],[Aplicación]],9,4)</f>
        <v>1511</v>
      </c>
      <c r="V745" s="35" t="str">
        <f>VLOOKUP(Tabla1[[#This Row],[PROGRAMA]],Hoja1!A:B,2,FALSE)</f>
        <v>1511. Planficación y gestión del urbanismo</v>
      </c>
      <c r="W745" s="56" t="str">
        <f>MID(Tabla1[[#This Row],[Aplicación]],14,2)</f>
        <v>60</v>
      </c>
      <c r="X745" s="56" t="str">
        <f>MID(Tabla1[[#This Row],[Aplicación]],14,6)</f>
        <v>609</v>
      </c>
    </row>
    <row r="746" spans="1:24" x14ac:dyDescent="0.25">
      <c r="A746" s="55">
        <v>220220044133</v>
      </c>
      <c r="B746" s="47" t="s">
        <v>507</v>
      </c>
      <c r="C746" s="52">
        <v>45014</v>
      </c>
      <c r="D746" s="46">
        <v>22022003306</v>
      </c>
      <c r="E746" s="47" t="s">
        <v>524</v>
      </c>
      <c r="F746" s="53">
        <v>586.12</v>
      </c>
      <c r="G746" s="47" t="s">
        <v>400</v>
      </c>
      <c r="H746" s="47" t="s">
        <v>1860</v>
      </c>
      <c r="I746" s="46" t="s">
        <v>511</v>
      </c>
      <c r="J746" s="47" t="s">
        <v>519</v>
      </c>
      <c r="K746" s="47" t="s">
        <v>519</v>
      </c>
      <c r="L746" s="47" t="s">
        <v>520</v>
      </c>
      <c r="M746" s="47" t="s">
        <v>514</v>
      </c>
      <c r="N746" s="47" t="s">
        <v>515</v>
      </c>
      <c r="O746" s="54" t="s">
        <v>382</v>
      </c>
      <c r="P746" s="44" t="s">
        <v>309</v>
      </c>
      <c r="Q746" s="59" t="str">
        <f>MID(Tabla1[[#This Row],[Aplicación]],14,1)</f>
        <v>6</v>
      </c>
      <c r="R746" s="35" t="s">
        <v>299</v>
      </c>
      <c r="S746" s="59" t="str">
        <f>MID(Tabla1[[#This Row],[Aplicación]],6,2)</f>
        <v>02</v>
      </c>
      <c r="T746" s="35" t="str">
        <f>VLOOKUP(Tabla1[[#This Row],[AREA]],Hoja1!A:B,2,FALSE)</f>
        <v>02. Planeamiento urbanístico y vivienda</v>
      </c>
      <c r="U746" s="35" t="str">
        <f>MID(Tabla1[[#This Row],[Aplicación]],9,4)</f>
        <v>1511</v>
      </c>
      <c r="V746" s="35" t="str">
        <f>VLOOKUP(Tabla1[[#This Row],[PROGRAMA]],Hoja1!A:B,2,FALSE)</f>
        <v>1511. Planficación y gestión del urbanismo</v>
      </c>
      <c r="W746" s="56" t="str">
        <f>MID(Tabla1[[#This Row],[Aplicación]],14,2)</f>
        <v>61</v>
      </c>
      <c r="X746" s="56" t="str">
        <f>MID(Tabla1[[#This Row],[Aplicación]],14,6)</f>
        <v>619</v>
      </c>
    </row>
    <row r="747" spans="1:24" x14ac:dyDescent="0.25">
      <c r="A747" s="55">
        <v>220230008942</v>
      </c>
      <c r="B747" s="47" t="s">
        <v>507</v>
      </c>
      <c r="C747" s="52">
        <v>45002</v>
      </c>
      <c r="D747" s="46">
        <v>22023003136</v>
      </c>
      <c r="E747" s="47" t="s">
        <v>693</v>
      </c>
      <c r="F747" s="53">
        <v>3331.52</v>
      </c>
      <c r="G747" s="47" t="s">
        <v>1861</v>
      </c>
      <c r="H747" s="47" t="s">
        <v>1862</v>
      </c>
      <c r="I747" s="46" t="s">
        <v>511</v>
      </c>
      <c r="J747" s="47" t="s">
        <v>512</v>
      </c>
      <c r="K747" s="47" t="s">
        <v>512</v>
      </c>
      <c r="L747" s="47" t="s">
        <v>520</v>
      </c>
      <c r="M747" s="47" t="s">
        <v>976</v>
      </c>
      <c r="N747" s="47" t="s">
        <v>839</v>
      </c>
      <c r="O747" s="54" t="s">
        <v>383</v>
      </c>
      <c r="P747" s="44" t="s">
        <v>309</v>
      </c>
      <c r="Q747" s="59" t="str">
        <f>MID(Tabla1[[#This Row],[Aplicación]],14,1)</f>
        <v>2</v>
      </c>
      <c r="R747" s="35" t="s">
        <v>298</v>
      </c>
      <c r="S747" s="59" t="str">
        <f>MID(Tabla1[[#This Row],[Aplicación]],6,2)</f>
        <v>11</v>
      </c>
      <c r="T747" s="35" t="str">
        <f>VLOOKUP(Tabla1[[#This Row],[AREA]],Hoja1!A:B,2,FALSE)</f>
        <v>11. Salud pública y seguridad ciudadana</v>
      </c>
      <c r="U747" s="35" t="str">
        <f>MID(Tabla1[[#This Row],[Aplicación]],9,4)</f>
        <v>1361</v>
      </c>
      <c r="V747" s="35" t="str">
        <f>VLOOKUP(Tabla1[[#This Row],[PROGRAMA]],Hoja1!A:B,2,FALSE)</f>
        <v>1361. Prevención y extinción de incencios</v>
      </c>
      <c r="W747" s="56" t="str">
        <f>MID(Tabla1[[#This Row],[Aplicación]],14,2)</f>
        <v>21</v>
      </c>
      <c r="X747" s="56" t="str">
        <f>MID(Tabla1[[#This Row],[Aplicación]],14,6)</f>
        <v>213</v>
      </c>
    </row>
    <row r="748" spans="1:24" x14ac:dyDescent="0.25">
      <c r="A748" s="46">
        <v>220229000385</v>
      </c>
      <c r="B748" s="47" t="s">
        <v>507</v>
      </c>
      <c r="C748" s="52">
        <v>44927</v>
      </c>
      <c r="D748" s="46">
        <v>22023001169</v>
      </c>
      <c r="E748" s="47" t="s">
        <v>1456</v>
      </c>
      <c r="F748" s="53">
        <v>1179.75</v>
      </c>
      <c r="G748" s="47" t="s">
        <v>428</v>
      </c>
      <c r="H748" s="47" t="s">
        <v>1863</v>
      </c>
      <c r="I748" s="46" t="s">
        <v>511</v>
      </c>
      <c r="J748" s="47" t="s">
        <v>519</v>
      </c>
      <c r="K748" s="47" t="s">
        <v>519</v>
      </c>
      <c r="L748" s="47" t="s">
        <v>520</v>
      </c>
      <c r="M748" s="47" t="s">
        <v>976</v>
      </c>
      <c r="N748" s="47" t="s">
        <v>839</v>
      </c>
      <c r="O748" s="45" t="s">
        <v>383</v>
      </c>
      <c r="P748" s="44" t="s">
        <v>309</v>
      </c>
      <c r="Q748" s="59" t="str">
        <f>MID(Tabla1[[#This Row],[Aplicación]],14,1)</f>
        <v>2</v>
      </c>
      <c r="R748" s="35" t="s">
        <v>298</v>
      </c>
      <c r="S748" s="59" t="str">
        <f>MID(Tabla1[[#This Row],[Aplicación]],6,2)</f>
        <v>01</v>
      </c>
      <c r="T748" s="35" t="str">
        <f>VLOOKUP(Tabla1[[#This Row],[AREA]],Hoja1!A:B,2,FALSE)</f>
        <v>01. Alcaldía</v>
      </c>
      <c r="U748" s="35" t="str">
        <f>MID(Tabla1[[#This Row],[Aplicación]],9,4)</f>
        <v>9206</v>
      </c>
      <c r="V748" s="35" t="str">
        <f>VLOOKUP(Tabla1[[#This Row],[PROGRAMA]],Hoja1!A:B,2,FALSE)</f>
        <v>9206. Archivo municipal</v>
      </c>
      <c r="W748" s="56" t="str">
        <f>MID(Tabla1[[#This Row],[Aplicación]],14,2)</f>
        <v>22</v>
      </c>
      <c r="X748" s="56" t="str">
        <f>MID(Tabla1[[#This Row],[Aplicación]],14,6)</f>
        <v>22799</v>
      </c>
    </row>
    <row r="749" spans="1:24" x14ac:dyDescent="0.25">
      <c r="A749" s="46">
        <v>220229000384</v>
      </c>
      <c r="B749" s="47" t="s">
        <v>507</v>
      </c>
      <c r="C749" s="52">
        <v>44927</v>
      </c>
      <c r="D749" s="46">
        <v>22023001168</v>
      </c>
      <c r="E749" s="47" t="s">
        <v>931</v>
      </c>
      <c r="F749" s="53">
        <v>2752.75</v>
      </c>
      <c r="G749" s="47" t="s">
        <v>428</v>
      </c>
      <c r="H749" s="47" t="s">
        <v>1864</v>
      </c>
      <c r="I749" s="46" t="s">
        <v>511</v>
      </c>
      <c r="J749" s="47" t="s">
        <v>519</v>
      </c>
      <c r="K749" s="47" t="s">
        <v>519</v>
      </c>
      <c r="L749" s="47" t="s">
        <v>520</v>
      </c>
      <c r="M749" s="47" t="s">
        <v>976</v>
      </c>
      <c r="N749" s="47" t="s">
        <v>839</v>
      </c>
      <c r="O749" s="45" t="s">
        <v>383</v>
      </c>
      <c r="P749" s="44" t="s">
        <v>309</v>
      </c>
      <c r="Q749" s="59" t="str">
        <f>MID(Tabla1[[#This Row],[Aplicación]],14,1)</f>
        <v>2</v>
      </c>
      <c r="R749" s="35" t="s">
        <v>298</v>
      </c>
      <c r="S749" s="59" t="str">
        <f>MID(Tabla1[[#This Row],[Aplicación]],6,2)</f>
        <v>09</v>
      </c>
      <c r="T749" s="35" t="str">
        <f>VLOOKUP(Tabla1[[#This Row],[AREA]],Hoja1!A:B,2,FALSE)</f>
        <v>09. Cultura y turismo</v>
      </c>
      <c r="U749" s="35" t="str">
        <f>MID(Tabla1[[#This Row],[Aplicación]],9,4)</f>
        <v>3341</v>
      </c>
      <c r="V749" s="35" t="str">
        <f>VLOOKUP(Tabla1[[#This Row],[PROGRAMA]],Hoja1!A:B,2,FALSE)</f>
        <v>3341. Coordinación de políticas culturales</v>
      </c>
      <c r="W749" s="56" t="str">
        <f>MID(Tabla1[[#This Row],[Aplicación]],14,2)</f>
        <v>22</v>
      </c>
      <c r="X749" s="56" t="str">
        <f>MID(Tabla1[[#This Row],[Aplicación]],14,6)</f>
        <v>22799</v>
      </c>
    </row>
    <row r="750" spans="1:24" x14ac:dyDescent="0.25">
      <c r="A750" s="46">
        <v>220230002393</v>
      </c>
      <c r="B750" s="47" t="s">
        <v>507</v>
      </c>
      <c r="C750" s="52">
        <v>44964</v>
      </c>
      <c r="D750" s="46">
        <v>22023001536</v>
      </c>
      <c r="E750" s="47" t="s">
        <v>1865</v>
      </c>
      <c r="F750" s="53">
        <v>15702.78</v>
      </c>
      <c r="G750" s="47" t="s">
        <v>1866</v>
      </c>
      <c r="H750" s="47" t="s">
        <v>1867</v>
      </c>
      <c r="I750" s="46" t="s">
        <v>511</v>
      </c>
      <c r="J750" s="47" t="s">
        <v>1868</v>
      </c>
      <c r="K750" s="47" t="s">
        <v>519</v>
      </c>
      <c r="L750" s="47" t="s">
        <v>520</v>
      </c>
      <c r="M750" s="47" t="s">
        <v>976</v>
      </c>
      <c r="N750" s="47" t="s">
        <v>839</v>
      </c>
      <c r="O750" s="45" t="s">
        <v>383</v>
      </c>
      <c r="P750" s="44" t="s">
        <v>309</v>
      </c>
      <c r="Q750" s="59" t="str">
        <f>MID(Tabla1[[#This Row],[Aplicación]],14,1)</f>
        <v>2</v>
      </c>
      <c r="R750" s="35" t="s">
        <v>298</v>
      </c>
      <c r="S750" s="59" t="str">
        <f>MID(Tabla1[[#This Row],[Aplicación]],6,2)</f>
        <v>02</v>
      </c>
      <c r="T750" s="35" t="str">
        <f>VLOOKUP(Tabla1[[#This Row],[AREA]],Hoja1!A:B,2,FALSE)</f>
        <v>02. Planeamiento urbanístico y vivienda</v>
      </c>
      <c r="U750" s="35" t="str">
        <f>MID(Tabla1[[#This Row],[Aplicación]],9,4)</f>
        <v>1511</v>
      </c>
      <c r="V750" s="35" t="str">
        <f>VLOOKUP(Tabla1[[#This Row],[PROGRAMA]],Hoja1!A:B,2,FALSE)</f>
        <v>1511. Planficación y gestión del urbanismo</v>
      </c>
      <c r="W750" s="56" t="str">
        <f>MID(Tabla1[[#This Row],[Aplicación]],14,2)</f>
        <v>22</v>
      </c>
      <c r="X750" s="56" t="str">
        <f>MID(Tabla1[[#This Row],[Aplicación]],14,6)</f>
        <v>22799</v>
      </c>
    </row>
    <row r="751" spans="1:24" x14ac:dyDescent="0.25">
      <c r="A751" s="55">
        <v>220230011721</v>
      </c>
      <c r="B751" s="47" t="s">
        <v>507</v>
      </c>
      <c r="C751" s="52">
        <v>45014</v>
      </c>
      <c r="D751" s="46">
        <v>22023003549</v>
      </c>
      <c r="E751" s="47" t="s">
        <v>1490</v>
      </c>
      <c r="F751" s="53">
        <v>363</v>
      </c>
      <c r="G751" s="47" t="s">
        <v>1869</v>
      </c>
      <c r="H751" s="47" t="s">
        <v>1870</v>
      </c>
      <c r="I751" s="46" t="s">
        <v>511</v>
      </c>
      <c r="J751" s="47" t="s">
        <v>519</v>
      </c>
      <c r="K751" s="47" t="s">
        <v>519</v>
      </c>
      <c r="L751" s="47" t="s">
        <v>520</v>
      </c>
      <c r="M751" s="47" t="s">
        <v>976</v>
      </c>
      <c r="N751" s="47" t="s">
        <v>839</v>
      </c>
      <c r="O751" s="54" t="s">
        <v>383</v>
      </c>
      <c r="P751" s="44" t="s">
        <v>309</v>
      </c>
      <c r="Q751" s="59" t="str">
        <f>MID(Tabla1[[#This Row],[Aplicación]],14,1)</f>
        <v>2</v>
      </c>
      <c r="R751" s="35" t="s">
        <v>298</v>
      </c>
      <c r="S751" s="59" t="str">
        <f>MID(Tabla1[[#This Row],[Aplicación]],6,2)</f>
        <v>06</v>
      </c>
      <c r="T751" s="35" t="str">
        <f>VLOOKUP(Tabla1[[#This Row],[AREA]],Hoja1!A:B,2,FALSE)</f>
        <v>06. Educación, infancia, juventud e igualdad</v>
      </c>
      <c r="U751" s="35" t="str">
        <f>MID(Tabla1[[#This Row],[Aplicación]],9,4)</f>
        <v>2314</v>
      </c>
      <c r="V751" s="35" t="str">
        <f>VLOOKUP(Tabla1[[#This Row],[PROGRAMA]],Hoja1!A:B,2,FALSE)</f>
        <v>2314. Centro de programas juveniles</v>
      </c>
      <c r="W751" s="56" t="str">
        <f>MID(Tabla1[[#This Row],[Aplicación]],14,2)</f>
        <v>22</v>
      </c>
      <c r="X751" s="56" t="str">
        <f>MID(Tabla1[[#This Row],[Aplicación]],14,6)</f>
        <v>22613</v>
      </c>
    </row>
    <row r="752" spans="1:24" x14ac:dyDescent="0.25">
      <c r="A752" s="46">
        <v>220230002006</v>
      </c>
      <c r="B752" s="47" t="s">
        <v>507</v>
      </c>
      <c r="C752" s="52">
        <v>44960</v>
      </c>
      <c r="D752" s="46">
        <v>22023001496</v>
      </c>
      <c r="E752" s="47" t="s">
        <v>1506</v>
      </c>
      <c r="F752" s="53">
        <v>22.2</v>
      </c>
      <c r="G752" s="47" t="s">
        <v>1871</v>
      </c>
      <c r="H752" s="47" t="s">
        <v>1872</v>
      </c>
      <c r="I752" s="46" t="s">
        <v>511</v>
      </c>
      <c r="J752" s="47" t="s">
        <v>1405</v>
      </c>
      <c r="K752" s="47" t="s">
        <v>519</v>
      </c>
      <c r="L752" s="47" t="s">
        <v>552</v>
      </c>
      <c r="M752" s="47" t="s">
        <v>976</v>
      </c>
      <c r="N752" s="47" t="s">
        <v>839</v>
      </c>
      <c r="O752" s="45" t="s">
        <v>383</v>
      </c>
      <c r="P752" s="44" t="s">
        <v>309</v>
      </c>
      <c r="Q752" s="59" t="str">
        <f>MID(Tabla1[[#This Row],[Aplicación]],14,1)</f>
        <v>2</v>
      </c>
      <c r="R752" s="35" t="s">
        <v>298</v>
      </c>
      <c r="S752" s="59" t="str">
        <f>MID(Tabla1[[#This Row],[Aplicación]],6,2)</f>
        <v>03</v>
      </c>
      <c r="T752" s="35" t="str">
        <f>VLOOKUP(Tabla1[[#This Row],[AREA]],Hoja1!A:B,2,FALSE)</f>
        <v>03. Participación ciudadana y deportes</v>
      </c>
      <c r="U752" s="35" t="str">
        <f>MID(Tabla1[[#This Row],[Aplicación]],9,4)</f>
        <v>9241</v>
      </c>
      <c r="V752" s="35" t="str">
        <f>VLOOKUP(Tabla1[[#This Row],[PROGRAMA]],Hoja1!A:B,2,FALSE)</f>
        <v>9241. Participación ciudadana</v>
      </c>
      <c r="W752" s="56" t="str">
        <f>MID(Tabla1[[#This Row],[Aplicación]],14,2)</f>
        <v>21</v>
      </c>
      <c r="X752" s="56" t="str">
        <f>MID(Tabla1[[#This Row],[Aplicación]],14,6)</f>
        <v>212</v>
      </c>
    </row>
    <row r="753" spans="1:24" x14ac:dyDescent="0.25">
      <c r="A753" s="46">
        <v>220230002072</v>
      </c>
      <c r="B753" s="47" t="s">
        <v>507</v>
      </c>
      <c r="C753" s="52">
        <v>44963</v>
      </c>
      <c r="D753" s="46">
        <v>22023001843</v>
      </c>
      <c r="E753" s="47" t="s">
        <v>1506</v>
      </c>
      <c r="F753" s="53">
        <v>116.64</v>
      </c>
      <c r="G753" s="47" t="s">
        <v>1871</v>
      </c>
      <c r="H753" s="47" t="s">
        <v>1873</v>
      </c>
      <c r="I753" s="46" t="s">
        <v>511</v>
      </c>
      <c r="J753" s="47" t="s">
        <v>1405</v>
      </c>
      <c r="K753" s="47" t="s">
        <v>519</v>
      </c>
      <c r="L753" s="47" t="s">
        <v>552</v>
      </c>
      <c r="M753" s="47" t="s">
        <v>976</v>
      </c>
      <c r="N753" s="47" t="s">
        <v>839</v>
      </c>
      <c r="O753" s="45" t="s">
        <v>383</v>
      </c>
      <c r="P753" s="44" t="s">
        <v>309</v>
      </c>
      <c r="Q753" s="59" t="str">
        <f>MID(Tabla1[[#This Row],[Aplicación]],14,1)</f>
        <v>2</v>
      </c>
      <c r="R753" s="35" t="s">
        <v>298</v>
      </c>
      <c r="S753" s="59" t="str">
        <f>MID(Tabla1[[#This Row],[Aplicación]],6,2)</f>
        <v>03</v>
      </c>
      <c r="T753" s="35" t="str">
        <f>VLOOKUP(Tabla1[[#This Row],[AREA]],Hoja1!A:B,2,FALSE)</f>
        <v>03. Participación ciudadana y deportes</v>
      </c>
      <c r="U753" s="35" t="str">
        <f>MID(Tabla1[[#This Row],[Aplicación]],9,4)</f>
        <v>9241</v>
      </c>
      <c r="V753" s="35" t="str">
        <f>VLOOKUP(Tabla1[[#This Row],[PROGRAMA]],Hoja1!A:B,2,FALSE)</f>
        <v>9241. Participación ciudadana</v>
      </c>
      <c r="W753" s="56" t="str">
        <f>MID(Tabla1[[#This Row],[Aplicación]],14,2)</f>
        <v>21</v>
      </c>
      <c r="X753" s="56" t="str">
        <f>MID(Tabla1[[#This Row],[Aplicación]],14,6)</f>
        <v>212</v>
      </c>
    </row>
    <row r="754" spans="1:24" x14ac:dyDescent="0.25">
      <c r="A754" s="46">
        <v>220230007151</v>
      </c>
      <c r="B754" s="47" t="s">
        <v>507</v>
      </c>
      <c r="C754" s="52">
        <v>44987</v>
      </c>
      <c r="D754" s="46">
        <v>22023002752</v>
      </c>
      <c r="E754" s="47" t="s">
        <v>1506</v>
      </c>
      <c r="F754" s="53">
        <v>844.33</v>
      </c>
      <c r="G754" s="47" t="s">
        <v>1871</v>
      </c>
      <c r="H754" s="47" t="s">
        <v>1874</v>
      </c>
      <c r="I754" s="46" t="s">
        <v>511</v>
      </c>
      <c r="J754" s="47" t="s">
        <v>1405</v>
      </c>
      <c r="K754" s="47" t="s">
        <v>519</v>
      </c>
      <c r="L754" s="47" t="s">
        <v>552</v>
      </c>
      <c r="M754" s="47" t="s">
        <v>976</v>
      </c>
      <c r="N754" s="47" t="s">
        <v>839</v>
      </c>
      <c r="O754" s="45" t="s">
        <v>383</v>
      </c>
      <c r="P754" s="44" t="s">
        <v>309</v>
      </c>
      <c r="Q754" s="59" t="str">
        <f>MID(Tabla1[[#This Row],[Aplicación]],14,1)</f>
        <v>2</v>
      </c>
      <c r="R754" s="35" t="s">
        <v>298</v>
      </c>
      <c r="S754" s="59" t="str">
        <f>MID(Tabla1[[#This Row],[Aplicación]],6,2)</f>
        <v>03</v>
      </c>
      <c r="T754" s="35" t="str">
        <f>VLOOKUP(Tabla1[[#This Row],[AREA]],Hoja1!A:B,2,FALSE)</f>
        <v>03. Participación ciudadana y deportes</v>
      </c>
      <c r="U754" s="35" t="str">
        <f>MID(Tabla1[[#This Row],[Aplicación]],9,4)</f>
        <v>9241</v>
      </c>
      <c r="V754" s="35" t="str">
        <f>VLOOKUP(Tabla1[[#This Row],[PROGRAMA]],Hoja1!A:B,2,FALSE)</f>
        <v>9241. Participación ciudadana</v>
      </c>
      <c r="W754" s="56" t="str">
        <f>MID(Tabla1[[#This Row],[Aplicación]],14,2)</f>
        <v>21</v>
      </c>
      <c r="X754" s="56" t="str">
        <f>MID(Tabla1[[#This Row],[Aplicación]],14,6)</f>
        <v>212</v>
      </c>
    </row>
    <row r="755" spans="1:24" x14ac:dyDescent="0.25">
      <c r="A755" s="55">
        <v>220220037386</v>
      </c>
      <c r="B755" s="47" t="s">
        <v>507</v>
      </c>
      <c r="C755" s="52">
        <v>45014</v>
      </c>
      <c r="D755" s="46">
        <v>22022005118</v>
      </c>
      <c r="E755" s="47" t="s">
        <v>529</v>
      </c>
      <c r="F755" s="53">
        <v>344.21</v>
      </c>
      <c r="G755" s="47" t="s">
        <v>67</v>
      </c>
      <c r="H755" s="47" t="s">
        <v>1875</v>
      </c>
      <c r="I755" s="46" t="s">
        <v>511</v>
      </c>
      <c r="J755" s="47" t="s">
        <v>953</v>
      </c>
      <c r="K755" s="47" t="s">
        <v>519</v>
      </c>
      <c r="L755" s="47" t="s">
        <v>520</v>
      </c>
      <c r="M755" s="47" t="s">
        <v>514</v>
      </c>
      <c r="N755" s="47" t="s">
        <v>515</v>
      </c>
      <c r="O755" s="54" t="s">
        <v>382</v>
      </c>
      <c r="P755" s="44" t="s">
        <v>309</v>
      </c>
      <c r="Q755" s="59" t="str">
        <f>MID(Tabla1[[#This Row],[Aplicación]],14,1)</f>
        <v>6</v>
      </c>
      <c r="R755" s="35" t="s">
        <v>299</v>
      </c>
      <c r="S755" s="59" t="str">
        <f>MID(Tabla1[[#This Row],[Aplicación]],6,2)</f>
        <v>07</v>
      </c>
      <c r="T755" s="35" t="str">
        <f>VLOOKUP(Tabla1[[#This Row],[AREA]],Hoja1!A:B,2,FALSE)</f>
        <v>07. Medio ambiente y desarrollo sostenible</v>
      </c>
      <c r="U755" s="35" t="str">
        <f>MID(Tabla1[[#This Row],[Aplicación]],9,4)</f>
        <v>1711</v>
      </c>
      <c r="V755" s="35" t="str">
        <f>VLOOKUP(Tabla1[[#This Row],[PROGRAMA]],Hoja1!A:B,2,FALSE)</f>
        <v>1711. Parques y jardines</v>
      </c>
      <c r="W755" s="56" t="str">
        <f>MID(Tabla1[[#This Row],[Aplicación]],14,2)</f>
        <v>61</v>
      </c>
      <c r="X755" s="56" t="str">
        <f>MID(Tabla1[[#This Row],[Aplicación]],14,6)</f>
        <v>610</v>
      </c>
    </row>
    <row r="756" spans="1:24" x14ac:dyDescent="0.25">
      <c r="A756" s="46">
        <v>220229000144</v>
      </c>
      <c r="B756" s="47" t="s">
        <v>507</v>
      </c>
      <c r="C756" s="52">
        <v>44927</v>
      </c>
      <c r="D756" s="46">
        <v>22023000905</v>
      </c>
      <c r="E756" s="47" t="s">
        <v>1876</v>
      </c>
      <c r="F756" s="53">
        <v>3025</v>
      </c>
      <c r="G756" s="47" t="s">
        <v>1877</v>
      </c>
      <c r="H756" s="47" t="s">
        <v>1878</v>
      </c>
      <c r="I756" s="46" t="s">
        <v>511</v>
      </c>
      <c r="J756" s="47" t="s">
        <v>519</v>
      </c>
      <c r="K756" s="47" t="s">
        <v>519</v>
      </c>
      <c r="L756" s="47" t="s">
        <v>520</v>
      </c>
      <c r="M756" s="47" t="s">
        <v>514</v>
      </c>
      <c r="N756" s="47" t="s">
        <v>515</v>
      </c>
      <c r="O756" s="45" t="s">
        <v>371</v>
      </c>
      <c r="P756" s="44" t="s">
        <v>309</v>
      </c>
      <c r="Q756" s="59" t="str">
        <f>MID(Tabla1[[#This Row],[Aplicación]],14,1)</f>
        <v>2</v>
      </c>
      <c r="R756" s="35" t="s">
        <v>298</v>
      </c>
      <c r="S756" s="59" t="str">
        <f>MID(Tabla1[[#This Row],[Aplicación]],6,2)</f>
        <v>10</v>
      </c>
      <c r="T756" s="35" t="str">
        <f>VLOOKUP(Tabla1[[#This Row],[AREA]],Hoja1!A:B,2,FALSE)</f>
        <v>10. Servicios sociales y mediación comunitaria</v>
      </c>
      <c r="U756" s="35" t="str">
        <f>MID(Tabla1[[#This Row],[Aplicación]],9,4)</f>
        <v>2311</v>
      </c>
      <c r="V756" s="35" t="str">
        <f>VLOOKUP(Tabla1[[#This Row],[PROGRAMA]],Hoja1!A:B,2,FALSE)</f>
        <v>2311. Intervención social</v>
      </c>
      <c r="W756" s="56" t="str">
        <f>MID(Tabla1[[#This Row],[Aplicación]],14,2)</f>
        <v>22</v>
      </c>
      <c r="X756" s="56" t="str">
        <f>MID(Tabla1[[#This Row],[Aplicación]],14,6)</f>
        <v>22706</v>
      </c>
    </row>
    <row r="757" spans="1:24" x14ac:dyDescent="0.25">
      <c r="A757" s="46">
        <v>220230001948</v>
      </c>
      <c r="B757" s="47" t="s">
        <v>507</v>
      </c>
      <c r="C757" s="52">
        <v>44960</v>
      </c>
      <c r="D757" s="46">
        <v>22023001134</v>
      </c>
      <c r="E757" s="47" t="s">
        <v>1670</v>
      </c>
      <c r="F757" s="53">
        <v>2238.5</v>
      </c>
      <c r="G757" s="47" t="s">
        <v>1879</v>
      </c>
      <c r="H757" s="47" t="s">
        <v>1880</v>
      </c>
      <c r="I757" s="46" t="s">
        <v>511</v>
      </c>
      <c r="J757" s="47" t="s">
        <v>545</v>
      </c>
      <c r="K757" s="47" t="s">
        <v>545</v>
      </c>
      <c r="L757" s="47" t="s">
        <v>520</v>
      </c>
      <c r="M757" s="47" t="s">
        <v>514</v>
      </c>
      <c r="N757" s="47" t="s">
        <v>515</v>
      </c>
      <c r="O757" s="45" t="s">
        <v>382</v>
      </c>
      <c r="P757" s="44" t="s">
        <v>309</v>
      </c>
      <c r="Q757" s="59" t="str">
        <f>MID(Tabla1[[#This Row],[Aplicación]],14,1)</f>
        <v>2</v>
      </c>
      <c r="R757" s="35" t="s">
        <v>298</v>
      </c>
      <c r="S757" s="59" t="str">
        <f>MID(Tabla1[[#This Row],[Aplicación]],6,2)</f>
        <v>07</v>
      </c>
      <c r="T757" s="35" t="str">
        <f>VLOOKUP(Tabla1[[#This Row],[AREA]],Hoja1!A:B,2,FALSE)</f>
        <v>07. Medio ambiente y desarrollo sostenible</v>
      </c>
      <c r="U757" s="35" t="str">
        <f>MID(Tabla1[[#This Row],[Aplicación]],9,4)</f>
        <v>1721</v>
      </c>
      <c r="V757" s="35" t="str">
        <f>VLOOKUP(Tabla1[[#This Row],[PROGRAMA]],Hoja1!A:B,2,FALSE)</f>
        <v>1721. Protección del medio ambiente</v>
      </c>
      <c r="W757" s="56" t="str">
        <f>MID(Tabla1[[#This Row],[Aplicación]],14,2)</f>
        <v>22</v>
      </c>
      <c r="X757" s="56" t="str">
        <f>MID(Tabla1[[#This Row],[Aplicación]],14,6)</f>
        <v>22602</v>
      </c>
    </row>
    <row r="758" spans="1:24" x14ac:dyDescent="0.25">
      <c r="A758" s="46">
        <v>220229000869</v>
      </c>
      <c r="B758" s="47" t="s">
        <v>507</v>
      </c>
      <c r="C758" s="52">
        <v>44927</v>
      </c>
      <c r="D758" s="46">
        <v>22023002056</v>
      </c>
      <c r="E758" s="47" t="s">
        <v>1344</v>
      </c>
      <c r="F758" s="53">
        <v>28050</v>
      </c>
      <c r="G758" s="47" t="s">
        <v>1881</v>
      </c>
      <c r="H758" s="47" t="s">
        <v>1882</v>
      </c>
      <c r="I758" s="46" t="s">
        <v>511</v>
      </c>
      <c r="J758" s="47" t="s">
        <v>519</v>
      </c>
      <c r="K758" s="47" t="s">
        <v>519</v>
      </c>
      <c r="L758" s="47" t="s">
        <v>520</v>
      </c>
      <c r="M758" s="47" t="s">
        <v>514</v>
      </c>
      <c r="N758" s="47" t="s">
        <v>515</v>
      </c>
      <c r="O758" s="45" t="s">
        <v>371</v>
      </c>
      <c r="P758" s="44" t="s">
        <v>309</v>
      </c>
      <c r="Q758" s="59" t="str">
        <f>MID(Tabla1[[#This Row],[Aplicación]],14,1)</f>
        <v>2</v>
      </c>
      <c r="R758" s="35" t="s">
        <v>298</v>
      </c>
      <c r="S758" s="59" t="str">
        <f>MID(Tabla1[[#This Row],[Aplicación]],6,2)</f>
        <v>10</v>
      </c>
      <c r="T758" s="35" t="str">
        <f>VLOOKUP(Tabla1[[#This Row],[AREA]],Hoja1!A:B,2,FALSE)</f>
        <v>10. Servicios sociales y mediación comunitaria</v>
      </c>
      <c r="U758" s="35" t="str">
        <f>MID(Tabla1[[#This Row],[Aplicación]],9,4)</f>
        <v>2312</v>
      </c>
      <c r="V758" s="35" t="str">
        <f>VLOOKUP(Tabla1[[#This Row],[PROGRAMA]],Hoja1!A:B,2,FALSE)</f>
        <v>2312. Iniciativas sociales</v>
      </c>
      <c r="W758" s="56" t="str">
        <f>MID(Tabla1[[#This Row],[Aplicación]],14,2)</f>
        <v>22</v>
      </c>
      <c r="X758" s="56" t="str">
        <f>MID(Tabla1[[#This Row],[Aplicación]],14,6)</f>
        <v>22606</v>
      </c>
    </row>
    <row r="759" spans="1:24" x14ac:dyDescent="0.25">
      <c r="A759" s="55">
        <v>220220030659</v>
      </c>
      <c r="B759" s="47" t="s">
        <v>507</v>
      </c>
      <c r="C759" s="52">
        <v>45014</v>
      </c>
      <c r="D759" s="46">
        <v>22022004649</v>
      </c>
      <c r="E759" s="47" t="s">
        <v>1272</v>
      </c>
      <c r="F759" s="53">
        <v>143.55000000000001</v>
      </c>
      <c r="G759" s="47" t="s">
        <v>346</v>
      </c>
      <c r="H759" s="47" t="s">
        <v>1883</v>
      </c>
      <c r="I759" s="46" t="s">
        <v>511</v>
      </c>
      <c r="J759" s="47" t="s">
        <v>519</v>
      </c>
      <c r="K759" s="47" t="s">
        <v>519</v>
      </c>
      <c r="L759" s="47" t="s">
        <v>520</v>
      </c>
      <c r="M759" s="47" t="s">
        <v>514</v>
      </c>
      <c r="N759" s="47" t="s">
        <v>515</v>
      </c>
      <c r="O759" s="54" t="s">
        <v>371</v>
      </c>
      <c r="P759" s="44" t="s">
        <v>309</v>
      </c>
      <c r="Q759" s="59" t="str">
        <f>MID(Tabla1[[#This Row],[Aplicación]],14,1)</f>
        <v>6</v>
      </c>
      <c r="R759" s="35" t="s">
        <v>299</v>
      </c>
      <c r="S759" s="59" t="str">
        <f>MID(Tabla1[[#This Row],[Aplicación]],6,2)</f>
        <v>02</v>
      </c>
      <c r="T759" s="35" t="str">
        <f>VLOOKUP(Tabla1[[#This Row],[AREA]],Hoja1!A:B,2,FALSE)</f>
        <v>02. Planeamiento urbanístico y vivienda</v>
      </c>
      <c r="U759" s="35" t="str">
        <f>MID(Tabla1[[#This Row],[Aplicación]],9,4)</f>
        <v>9332</v>
      </c>
      <c r="V759" s="35" t="str">
        <f>VLOOKUP(Tabla1[[#This Row],[PROGRAMA]],Hoja1!A:B,2,FALSE)</f>
        <v>9332. Mantenimiento de edificios e instalaciones municipales</v>
      </c>
      <c r="W759" s="56" t="str">
        <f>MID(Tabla1[[#This Row],[Aplicación]],14,2)</f>
        <v>63</v>
      </c>
      <c r="X759" s="56" t="str">
        <f>MID(Tabla1[[#This Row],[Aplicación]],14,6)</f>
        <v>632</v>
      </c>
    </row>
    <row r="760" spans="1:24" x14ac:dyDescent="0.25">
      <c r="A760" s="55">
        <v>220220046957</v>
      </c>
      <c r="B760" s="47" t="s">
        <v>507</v>
      </c>
      <c r="C760" s="52">
        <v>45014</v>
      </c>
      <c r="D760" s="46">
        <v>22022004672</v>
      </c>
      <c r="E760" s="47" t="s">
        <v>533</v>
      </c>
      <c r="F760" s="53">
        <v>331.9</v>
      </c>
      <c r="G760" s="47" t="s">
        <v>400</v>
      </c>
      <c r="H760" s="47" t="s">
        <v>1884</v>
      </c>
      <c r="I760" s="46" t="s">
        <v>511</v>
      </c>
      <c r="J760" s="47" t="s">
        <v>519</v>
      </c>
      <c r="K760" s="47" t="s">
        <v>519</v>
      </c>
      <c r="L760" s="47" t="s">
        <v>527</v>
      </c>
      <c r="M760" s="47" t="s">
        <v>514</v>
      </c>
      <c r="N760" s="47" t="s">
        <v>515</v>
      </c>
      <c r="O760" s="54" t="s">
        <v>382</v>
      </c>
      <c r="P760" s="44" t="s">
        <v>309</v>
      </c>
      <c r="Q760" s="59" t="str">
        <f>MID(Tabla1[[#This Row],[Aplicación]],14,1)</f>
        <v>6</v>
      </c>
      <c r="R760" s="35" t="s">
        <v>299</v>
      </c>
      <c r="S760" s="59" t="str">
        <f>MID(Tabla1[[#This Row],[Aplicación]],6,2)</f>
        <v>08</v>
      </c>
      <c r="T760" s="35" t="str">
        <f>VLOOKUP(Tabla1[[#This Row],[AREA]],Hoja1!A:B,2,FALSE)</f>
        <v>08. Movilidad y espacio urbano</v>
      </c>
      <c r="U760" s="56" t="str">
        <f>MID(Tabla1[[#This Row],[Aplicación]],9,4)</f>
        <v>1341</v>
      </c>
      <c r="V760" s="35" t="str">
        <f>VLOOKUP(Tabla1[[#This Row],[PROGRAMA]],Hoja1!A:B,2,FALSE)</f>
        <v>1341. Movilidad</v>
      </c>
      <c r="W760" s="56" t="str">
        <f>MID(Tabla1[[#This Row],[Aplicación]],14,2)</f>
        <v>61</v>
      </c>
      <c r="X760" s="56" t="str">
        <f>MID(Tabla1[[#This Row],[Aplicación]],14,6)</f>
        <v>619</v>
      </c>
    </row>
    <row r="761" spans="1:24" x14ac:dyDescent="0.25">
      <c r="A761" s="46">
        <v>220230003894</v>
      </c>
      <c r="B761" s="47" t="s">
        <v>507</v>
      </c>
      <c r="C761" s="52">
        <v>44974</v>
      </c>
      <c r="D761" s="46">
        <v>22023002521</v>
      </c>
      <c r="E761" s="47" t="s">
        <v>1548</v>
      </c>
      <c r="F761" s="53">
        <v>1512.5</v>
      </c>
      <c r="G761" s="47" t="s">
        <v>1885</v>
      </c>
      <c r="H761" s="47" t="s">
        <v>1886</v>
      </c>
      <c r="I761" s="46" t="s">
        <v>511</v>
      </c>
      <c r="J761" s="47" t="s">
        <v>573</v>
      </c>
      <c r="K761" s="47" t="s">
        <v>573</v>
      </c>
      <c r="L761" s="47" t="s">
        <v>520</v>
      </c>
      <c r="M761" s="47" t="s">
        <v>976</v>
      </c>
      <c r="N761" s="47" t="s">
        <v>839</v>
      </c>
      <c r="O761" s="45" t="s">
        <v>383</v>
      </c>
      <c r="P761" s="44" t="s">
        <v>309</v>
      </c>
      <c r="Q761" s="59" t="str">
        <f>MID(Tabla1[[#This Row],[Aplicación]],14,1)</f>
        <v>2</v>
      </c>
      <c r="R761" s="35" t="s">
        <v>298</v>
      </c>
      <c r="S761" s="59" t="str">
        <f>MID(Tabla1[[#This Row],[Aplicación]],6,2)</f>
        <v>07</v>
      </c>
      <c r="T761" s="35" t="str">
        <f>VLOOKUP(Tabla1[[#This Row],[AREA]],Hoja1!A:B,2,FALSE)</f>
        <v>07. Medio ambiente y desarrollo sostenible</v>
      </c>
      <c r="U761" s="35" t="str">
        <f>MID(Tabla1[[#This Row],[Aplicación]],9,4)</f>
        <v>1721</v>
      </c>
      <c r="V761" s="35" t="str">
        <f>VLOOKUP(Tabla1[[#This Row],[PROGRAMA]],Hoja1!A:B,2,FALSE)</f>
        <v>1721. Protección del medio ambiente</v>
      </c>
      <c r="W761" s="56" t="str">
        <f>MID(Tabla1[[#This Row],[Aplicación]],14,2)</f>
        <v>22</v>
      </c>
      <c r="X761" s="56" t="str">
        <f>MID(Tabla1[[#This Row],[Aplicación]],14,6)</f>
        <v>22706</v>
      </c>
    </row>
    <row r="762" spans="1:24" x14ac:dyDescent="0.25">
      <c r="A762" s="46">
        <v>220230005422</v>
      </c>
      <c r="B762" s="47" t="s">
        <v>507</v>
      </c>
      <c r="C762" s="52">
        <v>44979</v>
      </c>
      <c r="D762" s="46">
        <v>22023002682</v>
      </c>
      <c r="E762" s="47" t="s">
        <v>736</v>
      </c>
      <c r="F762" s="53">
        <v>7199.5</v>
      </c>
      <c r="G762" s="47" t="s">
        <v>1050</v>
      </c>
      <c r="H762" s="47" t="s">
        <v>1887</v>
      </c>
      <c r="I762" s="46" t="s">
        <v>511</v>
      </c>
      <c r="J762" s="47" t="s">
        <v>519</v>
      </c>
      <c r="K762" s="47" t="s">
        <v>519</v>
      </c>
      <c r="L762" s="47" t="s">
        <v>520</v>
      </c>
      <c r="M762" s="47" t="s">
        <v>976</v>
      </c>
      <c r="N762" s="47" t="s">
        <v>839</v>
      </c>
      <c r="O762" s="45" t="s">
        <v>383</v>
      </c>
      <c r="P762" s="44" t="s">
        <v>309</v>
      </c>
      <c r="Q762" s="59" t="str">
        <f>MID(Tabla1[[#This Row],[Aplicación]],14,1)</f>
        <v>2</v>
      </c>
      <c r="R762" s="35" t="s">
        <v>298</v>
      </c>
      <c r="S762" s="59" t="str">
        <f>MID(Tabla1[[#This Row],[Aplicación]],6,2)</f>
        <v>06</v>
      </c>
      <c r="T762" s="35" t="str">
        <f>VLOOKUP(Tabla1[[#This Row],[AREA]],Hoja1!A:B,2,FALSE)</f>
        <v>06. Educación, infancia, juventud e igualdad</v>
      </c>
      <c r="U762" s="35" t="str">
        <f>MID(Tabla1[[#This Row],[Aplicación]],9,4)</f>
        <v>3261</v>
      </c>
      <c r="V762" s="35" t="str">
        <f>VLOOKUP(Tabla1[[#This Row],[PROGRAMA]],Hoja1!A:B,2,FALSE)</f>
        <v>3261. Servicios complementarios de educación</v>
      </c>
      <c r="W762" s="56" t="str">
        <f>MID(Tabla1[[#This Row],[Aplicación]],14,2)</f>
        <v>22</v>
      </c>
      <c r="X762" s="56" t="str">
        <f>MID(Tabla1[[#This Row],[Aplicación]],14,6)</f>
        <v>22799</v>
      </c>
    </row>
    <row r="763" spans="1:24" x14ac:dyDescent="0.25">
      <c r="A763" s="46">
        <v>220230002068</v>
      </c>
      <c r="B763" s="47" t="s">
        <v>507</v>
      </c>
      <c r="C763" s="52">
        <v>44963</v>
      </c>
      <c r="D763" s="46">
        <v>22023001839</v>
      </c>
      <c r="E763" s="47" t="s">
        <v>1479</v>
      </c>
      <c r="F763" s="53">
        <v>750</v>
      </c>
      <c r="G763" s="47" t="s">
        <v>1888</v>
      </c>
      <c r="H763" s="47" t="s">
        <v>1889</v>
      </c>
      <c r="I763" s="46" t="s">
        <v>511</v>
      </c>
      <c r="J763" s="47" t="s">
        <v>519</v>
      </c>
      <c r="K763" s="47" t="s">
        <v>519</v>
      </c>
      <c r="L763" s="47" t="s">
        <v>520</v>
      </c>
      <c r="M763" s="47" t="s">
        <v>976</v>
      </c>
      <c r="N763" s="47" t="s">
        <v>839</v>
      </c>
      <c r="O763" s="45" t="s">
        <v>383</v>
      </c>
      <c r="P763" s="44" t="s">
        <v>309</v>
      </c>
      <c r="Q763" s="59" t="str">
        <f>MID(Tabla1[[#This Row],[Aplicación]],14,1)</f>
        <v>2</v>
      </c>
      <c r="R763" s="35" t="s">
        <v>298</v>
      </c>
      <c r="S763" s="59" t="str">
        <f>MID(Tabla1[[#This Row],[Aplicación]],6,2)</f>
        <v>03</v>
      </c>
      <c r="T763" s="35" t="str">
        <f>VLOOKUP(Tabla1[[#This Row],[AREA]],Hoja1!A:B,2,FALSE)</f>
        <v>03. Participación ciudadana y deportes</v>
      </c>
      <c r="U763" s="35" t="str">
        <f>MID(Tabla1[[#This Row],[Aplicación]],9,4)</f>
        <v>9241</v>
      </c>
      <c r="V763" s="35" t="str">
        <f>VLOOKUP(Tabla1[[#This Row],[PROGRAMA]],Hoja1!A:B,2,FALSE)</f>
        <v>9241. Participación ciudadana</v>
      </c>
      <c r="W763" s="56" t="str">
        <f>MID(Tabla1[[#This Row],[Aplicación]],14,2)</f>
        <v>22</v>
      </c>
      <c r="X763" s="56" t="str">
        <f>MID(Tabla1[[#This Row],[Aplicación]],14,6)</f>
        <v>22609</v>
      </c>
    </row>
    <row r="764" spans="1:24" x14ac:dyDescent="0.25">
      <c r="A764" s="46">
        <v>220230002082</v>
      </c>
      <c r="B764" s="47" t="s">
        <v>507</v>
      </c>
      <c r="C764" s="52">
        <v>44963</v>
      </c>
      <c r="D764" s="46">
        <v>22023002084</v>
      </c>
      <c r="E764" s="47" t="s">
        <v>659</v>
      </c>
      <c r="F764" s="53">
        <v>505.78</v>
      </c>
      <c r="G764" s="47" t="s">
        <v>464</v>
      </c>
      <c r="H764" s="47" t="s">
        <v>1890</v>
      </c>
      <c r="I764" s="46" t="s">
        <v>511</v>
      </c>
      <c r="J764" s="47" t="s">
        <v>1078</v>
      </c>
      <c r="K764" s="47" t="s">
        <v>519</v>
      </c>
      <c r="L764" s="47" t="s">
        <v>552</v>
      </c>
      <c r="M764" s="47" t="s">
        <v>976</v>
      </c>
      <c r="N764" s="47" t="s">
        <v>839</v>
      </c>
      <c r="O764" s="45" t="s">
        <v>383</v>
      </c>
      <c r="P764" s="44" t="s">
        <v>309</v>
      </c>
      <c r="Q764" s="59" t="str">
        <f>MID(Tabla1[[#This Row],[Aplicación]],14,1)</f>
        <v>2</v>
      </c>
      <c r="R764" s="35" t="s">
        <v>298</v>
      </c>
      <c r="S764" s="59" t="str">
        <f>MID(Tabla1[[#This Row],[Aplicación]],6,2)</f>
        <v>11</v>
      </c>
      <c r="T764" s="35" t="str">
        <f>VLOOKUP(Tabla1[[#This Row],[AREA]],Hoja1!A:B,2,FALSE)</f>
        <v>11. Salud pública y seguridad ciudadana</v>
      </c>
      <c r="U764" s="35" t="str">
        <f>MID(Tabla1[[#This Row],[Aplicación]],9,4)</f>
        <v>1321</v>
      </c>
      <c r="V764" s="35" t="str">
        <f>VLOOKUP(Tabla1[[#This Row],[PROGRAMA]],Hoja1!A:B,2,FALSE)</f>
        <v>1321. Policía municipal</v>
      </c>
      <c r="W764" s="56" t="str">
        <f>MID(Tabla1[[#This Row],[Aplicación]],14,2)</f>
        <v>21</v>
      </c>
      <c r="X764" s="56" t="str">
        <f>MID(Tabla1[[#This Row],[Aplicación]],14,6)</f>
        <v>213</v>
      </c>
    </row>
    <row r="765" spans="1:24" x14ac:dyDescent="0.25">
      <c r="A765" s="46">
        <v>220230002067</v>
      </c>
      <c r="B765" s="47" t="s">
        <v>507</v>
      </c>
      <c r="C765" s="52">
        <v>44963</v>
      </c>
      <c r="D765" s="46">
        <v>22023001838</v>
      </c>
      <c r="E765" s="47" t="s">
        <v>1150</v>
      </c>
      <c r="F765" s="53">
        <v>1010.58</v>
      </c>
      <c r="G765" s="47" t="s">
        <v>39</v>
      </c>
      <c r="H765" s="47" t="s">
        <v>1891</v>
      </c>
      <c r="I765" s="46" t="s">
        <v>511</v>
      </c>
      <c r="J765" s="47" t="s">
        <v>1152</v>
      </c>
      <c r="K765" s="47" t="s">
        <v>771</v>
      </c>
      <c r="L765" s="47" t="s">
        <v>552</v>
      </c>
      <c r="M765" s="47" t="s">
        <v>976</v>
      </c>
      <c r="N765" s="47" t="s">
        <v>839</v>
      </c>
      <c r="O765" s="45" t="s">
        <v>383</v>
      </c>
      <c r="P765" s="44" t="s">
        <v>309</v>
      </c>
      <c r="Q765" s="59" t="str">
        <f>MID(Tabla1[[#This Row],[Aplicación]],14,1)</f>
        <v>2</v>
      </c>
      <c r="R765" s="35" t="s">
        <v>298</v>
      </c>
      <c r="S765" s="59" t="str">
        <f>MID(Tabla1[[#This Row],[Aplicación]],6,2)</f>
        <v>03</v>
      </c>
      <c r="T765" s="35" t="str">
        <f>VLOOKUP(Tabla1[[#This Row],[AREA]],Hoja1!A:B,2,FALSE)</f>
        <v>03. Participación ciudadana y deportes</v>
      </c>
      <c r="U765" s="35" t="str">
        <f>MID(Tabla1[[#This Row],[Aplicación]],9,4)</f>
        <v>9241</v>
      </c>
      <c r="V765" s="35" t="str">
        <f>VLOOKUP(Tabla1[[#This Row],[PROGRAMA]],Hoja1!A:B,2,FALSE)</f>
        <v>9241. Participación ciudadana</v>
      </c>
      <c r="W765" s="56" t="str">
        <f>MID(Tabla1[[#This Row],[Aplicación]],14,2)</f>
        <v>21</v>
      </c>
      <c r="X765" s="56" t="str">
        <f>MID(Tabla1[[#This Row],[Aplicación]],14,6)</f>
        <v>213</v>
      </c>
    </row>
    <row r="766" spans="1:24" x14ac:dyDescent="0.25">
      <c r="A766" s="46">
        <v>220230002078</v>
      </c>
      <c r="B766" s="47" t="s">
        <v>507</v>
      </c>
      <c r="C766" s="52">
        <v>44963</v>
      </c>
      <c r="D766" s="46">
        <v>22023002042</v>
      </c>
      <c r="E766" s="47" t="s">
        <v>1532</v>
      </c>
      <c r="F766" s="53">
        <v>695.02</v>
      </c>
      <c r="G766" s="47" t="s">
        <v>419</v>
      </c>
      <c r="H766" s="47" t="s">
        <v>1892</v>
      </c>
      <c r="I766" s="46" t="s">
        <v>511</v>
      </c>
      <c r="J766" s="47" t="s">
        <v>519</v>
      </c>
      <c r="K766" s="47" t="s">
        <v>519</v>
      </c>
      <c r="L766" s="47" t="s">
        <v>652</v>
      </c>
      <c r="M766" s="47" t="s">
        <v>976</v>
      </c>
      <c r="N766" s="47" t="s">
        <v>839</v>
      </c>
      <c r="O766" s="45" t="s">
        <v>383</v>
      </c>
      <c r="P766" s="44" t="s">
        <v>309</v>
      </c>
      <c r="Q766" s="59" t="str">
        <f>MID(Tabla1[[#This Row],[Aplicación]],14,1)</f>
        <v>2</v>
      </c>
      <c r="R766" s="35" t="s">
        <v>298</v>
      </c>
      <c r="S766" s="59" t="str">
        <f>MID(Tabla1[[#This Row],[Aplicación]],6,2)</f>
        <v>09</v>
      </c>
      <c r="T766" s="35" t="str">
        <f>VLOOKUP(Tabla1[[#This Row],[AREA]],Hoja1!A:B,2,FALSE)</f>
        <v>09. Cultura y turismo</v>
      </c>
      <c r="U766" s="35" t="str">
        <f>MID(Tabla1[[#This Row],[Aplicación]],9,4)</f>
        <v>3341</v>
      </c>
      <c r="V766" s="35" t="str">
        <f>VLOOKUP(Tabla1[[#This Row],[PROGRAMA]],Hoja1!A:B,2,FALSE)</f>
        <v>3341. Coordinación de políticas culturales</v>
      </c>
      <c r="W766" s="56" t="str">
        <f>MID(Tabla1[[#This Row],[Aplicación]],14,2)</f>
        <v>22</v>
      </c>
      <c r="X766" s="56" t="str">
        <f>MID(Tabla1[[#This Row],[Aplicación]],14,6)</f>
        <v>22699</v>
      </c>
    </row>
    <row r="767" spans="1:24" x14ac:dyDescent="0.25">
      <c r="A767" s="46">
        <v>220230002086</v>
      </c>
      <c r="B767" s="47" t="s">
        <v>507</v>
      </c>
      <c r="C767" s="52">
        <v>44963</v>
      </c>
      <c r="D767" s="46">
        <v>22023002094</v>
      </c>
      <c r="E767" s="47" t="s">
        <v>1318</v>
      </c>
      <c r="F767" s="53">
        <v>4840</v>
      </c>
      <c r="G767" s="47" t="s">
        <v>419</v>
      </c>
      <c r="H767" s="47" t="s">
        <v>1893</v>
      </c>
      <c r="I767" s="46" t="s">
        <v>511</v>
      </c>
      <c r="J767" s="47" t="s">
        <v>519</v>
      </c>
      <c r="K767" s="47" t="s">
        <v>519</v>
      </c>
      <c r="L767" s="47" t="s">
        <v>520</v>
      </c>
      <c r="M767" s="47" t="s">
        <v>976</v>
      </c>
      <c r="N767" s="47" t="s">
        <v>839</v>
      </c>
      <c r="O767" s="45" t="s">
        <v>383</v>
      </c>
      <c r="P767" s="44" t="s">
        <v>309</v>
      </c>
      <c r="Q767" s="59" t="str">
        <f>MID(Tabla1[[#This Row],[Aplicación]],14,1)</f>
        <v>2</v>
      </c>
      <c r="R767" s="35" t="s">
        <v>298</v>
      </c>
      <c r="S767" s="59" t="str">
        <f>MID(Tabla1[[#This Row],[Aplicación]],6,2)</f>
        <v>05</v>
      </c>
      <c r="T767" s="35" t="str">
        <f>VLOOKUP(Tabla1[[#This Row],[AREA]],Hoja1!A:B,2,FALSE)</f>
        <v>05. Innovación, desarrollo económico, empleo y comercio</v>
      </c>
      <c r="U767" s="35" t="str">
        <f>MID(Tabla1[[#This Row],[Aplicación]],9,4)</f>
        <v>4331</v>
      </c>
      <c r="V767" s="35" t="str">
        <f>VLOOKUP(Tabla1[[#This Row],[PROGRAMA]],Hoja1!A:B,2,FALSE)</f>
        <v>4331. Desarrollo empresarial</v>
      </c>
      <c r="W767" s="56" t="str">
        <f>MID(Tabla1[[#This Row],[Aplicación]],14,2)</f>
        <v>22</v>
      </c>
      <c r="X767" s="56" t="str">
        <f>MID(Tabla1[[#This Row],[Aplicación]],14,6)</f>
        <v>22699</v>
      </c>
    </row>
    <row r="768" spans="1:24" x14ac:dyDescent="0.25">
      <c r="A768" s="46">
        <v>220229000829</v>
      </c>
      <c r="B768" s="47" t="s">
        <v>507</v>
      </c>
      <c r="C768" s="52">
        <v>44927</v>
      </c>
      <c r="D768" s="46">
        <v>22023001894</v>
      </c>
      <c r="E768" s="47" t="s">
        <v>974</v>
      </c>
      <c r="F768" s="53">
        <v>588.34</v>
      </c>
      <c r="G768" s="47" t="s">
        <v>1163</v>
      </c>
      <c r="H768" s="47" t="s">
        <v>1894</v>
      </c>
      <c r="I768" s="46" t="s">
        <v>511</v>
      </c>
      <c r="J768" s="47" t="s">
        <v>1165</v>
      </c>
      <c r="K768" s="47" t="s">
        <v>837</v>
      </c>
      <c r="L768" s="47" t="s">
        <v>520</v>
      </c>
      <c r="M768" s="47" t="s">
        <v>514</v>
      </c>
      <c r="N768" s="47" t="s">
        <v>515</v>
      </c>
      <c r="O768" s="45" t="s">
        <v>382</v>
      </c>
      <c r="P768" s="44" t="s">
        <v>309</v>
      </c>
      <c r="Q768" s="59" t="str">
        <f>MID(Tabla1[[#This Row],[Aplicación]],14,1)</f>
        <v>2</v>
      </c>
      <c r="R768" s="35" t="s">
        <v>298</v>
      </c>
      <c r="S768" s="59" t="str">
        <f>MID(Tabla1[[#This Row],[Aplicación]],6,2)</f>
        <v>11</v>
      </c>
      <c r="T768" s="35" t="str">
        <f>VLOOKUP(Tabla1[[#This Row],[AREA]],Hoja1!A:B,2,FALSE)</f>
        <v>11. Salud pública y seguridad ciudadana</v>
      </c>
      <c r="U768" s="35" t="str">
        <f>MID(Tabla1[[#This Row],[Aplicación]],9,4)</f>
        <v>1621</v>
      </c>
      <c r="V768" s="35" t="str">
        <f>VLOOKUP(Tabla1[[#This Row],[PROGRAMA]],Hoja1!A:B,2,FALSE)</f>
        <v>1621. Servicio de limpieza</v>
      </c>
      <c r="W768" s="56" t="str">
        <f>MID(Tabla1[[#This Row],[Aplicación]],14,2)</f>
        <v>21</v>
      </c>
      <c r="X768" s="56" t="str">
        <f>MID(Tabla1[[#This Row],[Aplicación]],14,6)</f>
        <v>212</v>
      </c>
    </row>
    <row r="769" spans="1:24" x14ac:dyDescent="0.25">
      <c r="A769" s="46">
        <v>220230002052</v>
      </c>
      <c r="B769" s="47" t="s">
        <v>507</v>
      </c>
      <c r="C769" s="52">
        <v>44963</v>
      </c>
      <c r="D769" s="46">
        <v>22023001681</v>
      </c>
      <c r="E769" s="47" t="s">
        <v>1895</v>
      </c>
      <c r="F769" s="53">
        <v>1024.7</v>
      </c>
      <c r="G769" s="47" t="s">
        <v>17</v>
      </c>
      <c r="H769" s="47" t="s">
        <v>1896</v>
      </c>
      <c r="I769" s="46" t="s">
        <v>511</v>
      </c>
      <c r="J769" s="47" t="s">
        <v>519</v>
      </c>
      <c r="K769" s="47" t="s">
        <v>519</v>
      </c>
      <c r="L769" s="47" t="s">
        <v>552</v>
      </c>
      <c r="M769" s="47" t="s">
        <v>976</v>
      </c>
      <c r="N769" s="47" t="s">
        <v>839</v>
      </c>
      <c r="O769" s="45" t="s">
        <v>383</v>
      </c>
      <c r="P769" s="44" t="s">
        <v>309</v>
      </c>
      <c r="Q769" s="59" t="str">
        <f>MID(Tabla1[[#This Row],[Aplicación]],14,1)</f>
        <v>2</v>
      </c>
      <c r="R769" s="35" t="s">
        <v>298</v>
      </c>
      <c r="S769" s="59" t="str">
        <f>MID(Tabla1[[#This Row],[Aplicación]],6,2)</f>
        <v>05</v>
      </c>
      <c r="T769" s="35" t="str">
        <f>VLOOKUP(Tabla1[[#This Row],[AREA]],Hoja1!A:B,2,FALSE)</f>
        <v>05. Innovación, desarrollo económico, empleo y comercio</v>
      </c>
      <c r="U769" s="35" t="str">
        <f>MID(Tabla1[[#This Row],[Aplicación]],9,4)</f>
        <v>4312</v>
      </c>
      <c r="V769" s="35" t="str">
        <f>VLOOKUP(Tabla1[[#This Row],[PROGRAMA]],Hoja1!A:B,2,FALSE)</f>
        <v>4312. Mercados, abastos y lonjas</v>
      </c>
      <c r="W769" s="56" t="str">
        <f>MID(Tabla1[[#This Row],[Aplicación]],14,2)</f>
        <v>22</v>
      </c>
      <c r="X769" s="56" t="str">
        <f>MID(Tabla1[[#This Row],[Aplicación]],14,6)</f>
        <v>22104</v>
      </c>
    </row>
    <row r="770" spans="1:24" x14ac:dyDescent="0.25">
      <c r="A770" s="46">
        <v>220230002059</v>
      </c>
      <c r="B770" s="47" t="s">
        <v>507</v>
      </c>
      <c r="C770" s="52">
        <v>44963</v>
      </c>
      <c r="D770" s="46">
        <v>22023001954</v>
      </c>
      <c r="E770" s="47" t="s">
        <v>1897</v>
      </c>
      <c r="F770" s="53">
        <v>2582.14</v>
      </c>
      <c r="G770" s="47" t="s">
        <v>117</v>
      </c>
      <c r="H770" s="47" t="s">
        <v>1898</v>
      </c>
      <c r="I770" s="46" t="s">
        <v>511</v>
      </c>
      <c r="J770" s="47" t="s">
        <v>512</v>
      </c>
      <c r="K770" s="47" t="s">
        <v>512</v>
      </c>
      <c r="L770" s="47" t="s">
        <v>520</v>
      </c>
      <c r="M770" s="47" t="s">
        <v>976</v>
      </c>
      <c r="N770" s="47" t="s">
        <v>839</v>
      </c>
      <c r="O770" s="45" t="s">
        <v>383</v>
      </c>
      <c r="P770" s="44" t="s">
        <v>309</v>
      </c>
      <c r="Q770" s="59" t="str">
        <f>MID(Tabla1[[#This Row],[Aplicación]],14,1)</f>
        <v>2</v>
      </c>
      <c r="R770" s="35" t="s">
        <v>298</v>
      </c>
      <c r="S770" s="59" t="str">
        <f>MID(Tabla1[[#This Row],[Aplicación]],6,2)</f>
        <v>11</v>
      </c>
      <c r="T770" s="35" t="str">
        <f>VLOOKUP(Tabla1[[#This Row],[AREA]],Hoja1!A:B,2,FALSE)</f>
        <v>11. Salud pública y seguridad ciudadana</v>
      </c>
      <c r="U770" s="35" t="str">
        <f>MID(Tabla1[[#This Row],[Aplicación]],9,4)</f>
        <v>1321</v>
      </c>
      <c r="V770" s="35" t="str">
        <f>VLOOKUP(Tabla1[[#This Row],[PROGRAMA]],Hoja1!A:B,2,FALSE)</f>
        <v>1321. Policía municipal</v>
      </c>
      <c r="W770" s="56" t="str">
        <f>MID(Tabla1[[#This Row],[Aplicación]],14,2)</f>
        <v>22</v>
      </c>
      <c r="X770" s="56" t="str">
        <f>MID(Tabla1[[#This Row],[Aplicación]],14,6)</f>
        <v>22706</v>
      </c>
    </row>
    <row r="771" spans="1:24" x14ac:dyDescent="0.25">
      <c r="A771" s="46">
        <v>220230002050</v>
      </c>
      <c r="B771" s="47" t="s">
        <v>507</v>
      </c>
      <c r="C771" s="52">
        <v>44963</v>
      </c>
      <c r="D771" s="46">
        <v>22023001673</v>
      </c>
      <c r="E771" s="47" t="s">
        <v>1899</v>
      </c>
      <c r="F771" s="53">
        <v>4840</v>
      </c>
      <c r="G771" s="47" t="s">
        <v>1900</v>
      </c>
      <c r="H771" s="47" t="s">
        <v>1901</v>
      </c>
      <c r="I771" s="46" t="s">
        <v>511</v>
      </c>
      <c r="J771" s="47" t="s">
        <v>512</v>
      </c>
      <c r="K771" s="47" t="s">
        <v>512</v>
      </c>
      <c r="L771" s="47" t="s">
        <v>552</v>
      </c>
      <c r="M771" s="47" t="s">
        <v>976</v>
      </c>
      <c r="N771" s="47" t="s">
        <v>839</v>
      </c>
      <c r="O771" s="45" t="s">
        <v>383</v>
      </c>
      <c r="P771" s="44" t="s">
        <v>309</v>
      </c>
      <c r="Q771" s="59" t="str">
        <f>MID(Tabla1[[#This Row],[Aplicación]],14,1)</f>
        <v>2</v>
      </c>
      <c r="R771" s="35" t="s">
        <v>298</v>
      </c>
      <c r="S771" s="59" t="str">
        <f>MID(Tabla1[[#This Row],[Aplicación]],6,2)</f>
        <v>11</v>
      </c>
      <c r="T771" s="35" t="str">
        <f>VLOOKUP(Tabla1[[#This Row],[AREA]],Hoja1!A:B,2,FALSE)</f>
        <v>11. Salud pública y seguridad ciudadana</v>
      </c>
      <c r="U771" s="35" t="str">
        <f>MID(Tabla1[[#This Row],[Aplicación]],9,4)</f>
        <v>3111</v>
      </c>
      <c r="V771" s="35" t="str">
        <f>VLOOKUP(Tabla1[[#This Row],[PROGRAMA]],Hoja1!A:B,2,FALSE)</f>
        <v>3111. Protección de la salubridad pública</v>
      </c>
      <c r="W771" s="56" t="str">
        <f>MID(Tabla1[[#This Row],[Aplicación]],14,2)</f>
        <v>22</v>
      </c>
      <c r="X771" s="56" t="str">
        <f>MID(Tabla1[[#This Row],[Aplicación]],14,6)</f>
        <v>22103</v>
      </c>
    </row>
    <row r="772" spans="1:24" x14ac:dyDescent="0.25">
      <c r="A772" s="46">
        <v>220230002075</v>
      </c>
      <c r="B772" s="47" t="s">
        <v>507</v>
      </c>
      <c r="C772" s="52">
        <v>44963</v>
      </c>
      <c r="D772" s="46">
        <v>22023002027</v>
      </c>
      <c r="E772" s="47" t="s">
        <v>1305</v>
      </c>
      <c r="F772" s="53">
        <v>7260</v>
      </c>
      <c r="G772" s="47" t="s">
        <v>115</v>
      </c>
      <c r="H772" s="47" t="s">
        <v>1902</v>
      </c>
      <c r="I772" s="46" t="s">
        <v>511</v>
      </c>
      <c r="J772" s="47" t="s">
        <v>1726</v>
      </c>
      <c r="K772" s="47" t="s">
        <v>519</v>
      </c>
      <c r="L772" s="47" t="s">
        <v>552</v>
      </c>
      <c r="M772" s="47" t="s">
        <v>976</v>
      </c>
      <c r="N772" s="47" t="s">
        <v>839</v>
      </c>
      <c r="O772" s="45" t="s">
        <v>383</v>
      </c>
      <c r="P772" s="44" t="s">
        <v>309</v>
      </c>
      <c r="Q772" s="59" t="str">
        <f>MID(Tabla1[[#This Row],[Aplicación]],14,1)</f>
        <v>2</v>
      </c>
      <c r="R772" s="35" t="s">
        <v>298</v>
      </c>
      <c r="S772" s="59" t="str">
        <f>MID(Tabla1[[#This Row],[Aplicación]],6,2)</f>
        <v>06</v>
      </c>
      <c r="T772" s="35" t="str">
        <f>VLOOKUP(Tabla1[[#This Row],[AREA]],Hoja1!A:B,2,FALSE)</f>
        <v>06. Educación, infancia, juventud e igualdad</v>
      </c>
      <c r="U772" s="35" t="str">
        <f>MID(Tabla1[[#This Row],[Aplicación]],9,4)</f>
        <v>3232</v>
      </c>
      <c r="V772" s="35" t="str">
        <f>VLOOKUP(Tabla1[[#This Row],[PROGRAMA]],Hoja1!A:B,2,FALSE)</f>
        <v>3232. Conservación y mantenimiento centros educación infantil y primaria</v>
      </c>
      <c r="W772" s="56" t="str">
        <f>MID(Tabla1[[#This Row],[Aplicación]],14,2)</f>
        <v>21</v>
      </c>
      <c r="X772" s="56" t="str">
        <f>MID(Tabla1[[#This Row],[Aplicación]],14,6)</f>
        <v>212</v>
      </c>
    </row>
    <row r="773" spans="1:24" x14ac:dyDescent="0.25">
      <c r="A773" s="46">
        <v>220230002543</v>
      </c>
      <c r="B773" s="47" t="s">
        <v>1249</v>
      </c>
      <c r="C773" s="52">
        <v>44965</v>
      </c>
      <c r="D773" s="46">
        <v>22023002128</v>
      </c>
      <c r="E773" s="47" t="s">
        <v>1155</v>
      </c>
      <c r="F773" s="53">
        <v>24.93</v>
      </c>
      <c r="G773" s="47" t="s">
        <v>18</v>
      </c>
      <c r="H773" s="47" t="s">
        <v>1903</v>
      </c>
      <c r="I773" s="46" t="s">
        <v>1251</v>
      </c>
      <c r="J773" s="47" t="s">
        <v>519</v>
      </c>
      <c r="K773" s="47" t="s">
        <v>519</v>
      </c>
      <c r="L773" s="47" t="s">
        <v>520</v>
      </c>
      <c r="M773" s="47" t="s">
        <v>514</v>
      </c>
      <c r="N773" s="47" t="s">
        <v>515</v>
      </c>
      <c r="O773" s="45" t="s">
        <v>371</v>
      </c>
      <c r="P773" s="44" t="s">
        <v>309</v>
      </c>
      <c r="Q773" s="59" t="str">
        <f>MID(Tabla1[[#This Row],[Aplicación]],14,1)</f>
        <v>2</v>
      </c>
      <c r="R773" s="35" t="s">
        <v>298</v>
      </c>
      <c r="S773" s="59" t="str">
        <f>MID(Tabla1[[#This Row],[Aplicación]],6,2)</f>
        <v>06</v>
      </c>
      <c r="T773" s="35" t="str">
        <f>VLOOKUP(Tabla1[[#This Row],[AREA]],Hoja1!A:B,2,FALSE)</f>
        <v>06. Educación, infancia, juventud e igualdad</v>
      </c>
      <c r="U773" s="35" t="str">
        <f>MID(Tabla1[[#This Row],[Aplicación]],9,4)</f>
        <v>2314</v>
      </c>
      <c r="V773" s="35" t="str">
        <f>VLOOKUP(Tabla1[[#This Row],[PROGRAMA]],Hoja1!A:B,2,FALSE)</f>
        <v>2314. Centro de programas juveniles</v>
      </c>
      <c r="W773" s="56" t="str">
        <f>MID(Tabla1[[#This Row],[Aplicación]],14,2)</f>
        <v>21</v>
      </c>
      <c r="X773" s="56" t="str">
        <f>MID(Tabla1[[#This Row],[Aplicación]],14,6)</f>
        <v>213</v>
      </c>
    </row>
    <row r="774" spans="1:24" x14ac:dyDescent="0.25">
      <c r="A774" s="46">
        <v>220230002084</v>
      </c>
      <c r="B774" s="47" t="s">
        <v>507</v>
      </c>
      <c r="C774" s="52">
        <v>44963</v>
      </c>
      <c r="D774" s="46">
        <v>22023002015</v>
      </c>
      <c r="E774" s="47" t="s">
        <v>1260</v>
      </c>
      <c r="F774" s="53">
        <v>899.22</v>
      </c>
      <c r="G774" s="47" t="s">
        <v>394</v>
      </c>
      <c r="H774" s="47" t="s">
        <v>1904</v>
      </c>
      <c r="I774" s="46" t="s">
        <v>511</v>
      </c>
      <c r="J774" s="47" t="s">
        <v>519</v>
      </c>
      <c r="K774" s="47" t="s">
        <v>519</v>
      </c>
      <c r="L774" s="47" t="s">
        <v>552</v>
      </c>
      <c r="M774" s="47" t="s">
        <v>976</v>
      </c>
      <c r="N774" s="47" t="s">
        <v>839</v>
      </c>
      <c r="O774" s="45" t="s">
        <v>383</v>
      </c>
      <c r="P774" s="44" t="s">
        <v>309</v>
      </c>
      <c r="Q774" s="59" t="str">
        <f>MID(Tabla1[[#This Row],[Aplicación]],14,1)</f>
        <v>2</v>
      </c>
      <c r="R774" s="35" t="s">
        <v>298</v>
      </c>
      <c r="S774" s="59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35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56" t="str">
        <f>MID(Tabla1[[#This Row],[Aplicación]],14,2)</f>
        <v>22</v>
      </c>
      <c r="X774" s="56" t="str">
        <f>MID(Tabla1[[#This Row],[Aplicación]],14,6)</f>
        <v>22602</v>
      </c>
    </row>
    <row r="775" spans="1:24" x14ac:dyDescent="0.25">
      <c r="A775" s="46">
        <v>220230002058</v>
      </c>
      <c r="B775" s="47" t="s">
        <v>507</v>
      </c>
      <c r="C775" s="52">
        <v>44963</v>
      </c>
      <c r="D775" s="46">
        <v>22023001913</v>
      </c>
      <c r="E775" s="47" t="s">
        <v>1905</v>
      </c>
      <c r="F775" s="53">
        <v>1473.63</v>
      </c>
      <c r="G775" s="47" t="s">
        <v>394</v>
      </c>
      <c r="H775" s="47" t="s">
        <v>1906</v>
      </c>
      <c r="I775" s="46" t="s">
        <v>511</v>
      </c>
      <c r="J775" s="47" t="s">
        <v>519</v>
      </c>
      <c r="K775" s="47" t="s">
        <v>519</v>
      </c>
      <c r="L775" s="47" t="s">
        <v>552</v>
      </c>
      <c r="M775" s="47" t="s">
        <v>976</v>
      </c>
      <c r="N775" s="47" t="s">
        <v>839</v>
      </c>
      <c r="O775" s="45" t="s">
        <v>383</v>
      </c>
      <c r="P775" s="44" t="s">
        <v>309</v>
      </c>
      <c r="Q775" s="59" t="str">
        <f>MID(Tabla1[[#This Row],[Aplicación]],14,1)</f>
        <v>2</v>
      </c>
      <c r="R775" s="35" t="s">
        <v>298</v>
      </c>
      <c r="S775" s="59" t="str">
        <f>MID(Tabla1[[#This Row],[Aplicación]],6,2)</f>
        <v>02</v>
      </c>
      <c r="T775" s="35" t="str">
        <f>VLOOKUP(Tabla1[[#This Row],[AREA]],Hoja1!A:B,2,FALSE)</f>
        <v>02. Planeamiento urbanístico y vivienda</v>
      </c>
      <c r="U775" s="35" t="str">
        <f>MID(Tabla1[[#This Row],[Aplicación]],9,4)</f>
        <v>1501</v>
      </c>
      <c r="V775" s="35" t="str">
        <f>VLOOKUP(Tabla1[[#This Row],[PROGRAMA]],Hoja1!A:B,2,FALSE)</f>
        <v>1501. Dirección del área de urbanismo</v>
      </c>
      <c r="W775" s="56" t="str">
        <f>MID(Tabla1[[#This Row],[Aplicación]],14,2)</f>
        <v>22</v>
      </c>
      <c r="X775" s="56" t="str">
        <f>MID(Tabla1[[#This Row],[Aplicación]],14,6)</f>
        <v>22699</v>
      </c>
    </row>
    <row r="776" spans="1:24" x14ac:dyDescent="0.25">
      <c r="A776" s="46">
        <v>220230002076</v>
      </c>
      <c r="B776" s="47" t="s">
        <v>507</v>
      </c>
      <c r="C776" s="52">
        <v>44963</v>
      </c>
      <c r="D776" s="46">
        <v>22023001817</v>
      </c>
      <c r="E776" s="47" t="s">
        <v>1907</v>
      </c>
      <c r="F776" s="53">
        <v>2000</v>
      </c>
      <c r="G776" s="47" t="s">
        <v>394</v>
      </c>
      <c r="H776" s="47" t="s">
        <v>1908</v>
      </c>
      <c r="I776" s="46" t="s">
        <v>511</v>
      </c>
      <c r="J776" s="47" t="s">
        <v>519</v>
      </c>
      <c r="K776" s="47" t="s">
        <v>519</v>
      </c>
      <c r="L776" s="47" t="s">
        <v>552</v>
      </c>
      <c r="M776" s="47" t="s">
        <v>976</v>
      </c>
      <c r="N776" s="47" t="s">
        <v>839</v>
      </c>
      <c r="O776" s="45" t="s">
        <v>383</v>
      </c>
      <c r="P776" s="44" t="s">
        <v>309</v>
      </c>
      <c r="Q776" s="59" t="str">
        <f>MID(Tabla1[[#This Row],[Aplicación]],14,1)</f>
        <v>2</v>
      </c>
      <c r="R776" s="35" t="s">
        <v>298</v>
      </c>
      <c r="S776" s="59" t="str">
        <f>MID(Tabla1[[#This Row],[Aplicación]],6,2)</f>
        <v>10</v>
      </c>
      <c r="T776" s="35" t="str">
        <f>VLOOKUP(Tabla1[[#This Row],[AREA]],Hoja1!A:B,2,FALSE)</f>
        <v>10. Servicios sociales y mediación comunitaria</v>
      </c>
      <c r="U776" s="35" t="str">
        <f>MID(Tabla1[[#This Row],[Aplicación]],9,4)</f>
        <v>2313</v>
      </c>
      <c r="V776" s="35" t="str">
        <f>VLOOKUP(Tabla1[[#This Row],[PROGRAMA]],Hoja1!A:B,2,FALSE)</f>
        <v>2313. Dirección del área de servicios sociales</v>
      </c>
      <c r="W776" s="56" t="str">
        <f>MID(Tabla1[[#This Row],[Aplicación]],14,2)</f>
        <v>22</v>
      </c>
      <c r="X776" s="56" t="str">
        <f>MID(Tabla1[[#This Row],[Aplicación]],14,6)</f>
        <v>22699</v>
      </c>
    </row>
    <row r="777" spans="1:24" x14ac:dyDescent="0.25">
      <c r="A777" s="46">
        <v>220230006739</v>
      </c>
      <c r="B777" s="47" t="s">
        <v>507</v>
      </c>
      <c r="C777" s="52">
        <v>44986</v>
      </c>
      <c r="D777" s="46">
        <v>22023002736</v>
      </c>
      <c r="E777" s="47" t="s">
        <v>1043</v>
      </c>
      <c r="F777" s="53">
        <v>532.4</v>
      </c>
      <c r="G777" s="47" t="s">
        <v>1050</v>
      </c>
      <c r="H777" s="47" t="s">
        <v>1909</v>
      </c>
      <c r="I777" s="46" t="s">
        <v>511</v>
      </c>
      <c r="J777" s="47" t="s">
        <v>519</v>
      </c>
      <c r="K777" s="47" t="s">
        <v>519</v>
      </c>
      <c r="L777" s="47" t="s">
        <v>520</v>
      </c>
      <c r="M777" s="47" t="s">
        <v>976</v>
      </c>
      <c r="N777" s="47" t="s">
        <v>839</v>
      </c>
      <c r="O777" s="45" t="s">
        <v>383</v>
      </c>
      <c r="P777" s="44" t="s">
        <v>309</v>
      </c>
      <c r="Q777" s="59" t="str">
        <f>MID(Tabla1[[#This Row],[Aplicación]],14,1)</f>
        <v>2</v>
      </c>
      <c r="R777" s="35" t="s">
        <v>298</v>
      </c>
      <c r="S777" s="59" t="str">
        <f>MID(Tabla1[[#This Row],[Aplicación]],6,2)</f>
        <v>10</v>
      </c>
      <c r="T777" s="35" t="str">
        <f>VLOOKUP(Tabla1[[#This Row],[AREA]],Hoja1!A:B,2,FALSE)</f>
        <v>10. Servicios sociales y mediación comunitaria</v>
      </c>
      <c r="U777" s="35" t="str">
        <f>MID(Tabla1[[#This Row],[Aplicación]],9,4)</f>
        <v>2312</v>
      </c>
      <c r="V777" s="35" t="str">
        <f>VLOOKUP(Tabla1[[#This Row],[PROGRAMA]],Hoja1!A:B,2,FALSE)</f>
        <v>2312. Iniciativas sociales</v>
      </c>
      <c r="W777" s="56" t="str">
        <f>MID(Tabla1[[#This Row],[Aplicación]],14,2)</f>
        <v>22</v>
      </c>
      <c r="X777" s="56" t="str">
        <f>MID(Tabla1[[#This Row],[Aplicación]],14,6)</f>
        <v>22699</v>
      </c>
    </row>
    <row r="778" spans="1:24" x14ac:dyDescent="0.25">
      <c r="A778" s="46">
        <v>220229000436</v>
      </c>
      <c r="B778" s="47" t="s">
        <v>507</v>
      </c>
      <c r="C778" s="52">
        <v>44927</v>
      </c>
      <c r="D778" s="46">
        <v>22023001183</v>
      </c>
      <c r="E778" s="47" t="s">
        <v>1519</v>
      </c>
      <c r="F778" s="53">
        <v>1857.35</v>
      </c>
      <c r="G778" s="47" t="s">
        <v>67</v>
      </c>
      <c r="H778" s="47" t="s">
        <v>1910</v>
      </c>
      <c r="I778" s="46" t="s">
        <v>511</v>
      </c>
      <c r="J778" s="47" t="s">
        <v>953</v>
      </c>
      <c r="K778" s="47" t="s">
        <v>519</v>
      </c>
      <c r="L778" s="47" t="s">
        <v>520</v>
      </c>
      <c r="M778" s="47" t="s">
        <v>976</v>
      </c>
      <c r="N778" s="47" t="s">
        <v>839</v>
      </c>
      <c r="O778" s="45" t="s">
        <v>383</v>
      </c>
      <c r="P778" s="44" t="s">
        <v>309</v>
      </c>
      <c r="Q778" s="59" t="str">
        <f>MID(Tabla1[[#This Row],[Aplicación]],14,1)</f>
        <v>2</v>
      </c>
      <c r="R778" s="35" t="s">
        <v>298</v>
      </c>
      <c r="S778" s="59" t="str">
        <f>MID(Tabla1[[#This Row],[Aplicación]],6,2)</f>
        <v>02</v>
      </c>
      <c r="T778" s="35" t="str">
        <f>VLOOKUP(Tabla1[[#This Row],[AREA]],Hoja1!A:B,2,FALSE)</f>
        <v>02. Planeamiento urbanístico y vivienda</v>
      </c>
      <c r="U778" s="35" t="str">
        <f>MID(Tabla1[[#This Row],[Aplicación]],9,4)</f>
        <v>9332</v>
      </c>
      <c r="V778" s="35" t="str">
        <f>VLOOKUP(Tabla1[[#This Row],[PROGRAMA]],Hoja1!A:B,2,FALSE)</f>
        <v>9332. Mantenimiento de edificios e instalaciones municipales</v>
      </c>
      <c r="W778" s="56" t="str">
        <f>MID(Tabla1[[#This Row],[Aplicación]],14,2)</f>
        <v>22</v>
      </c>
      <c r="X778" s="56" t="str">
        <f>MID(Tabla1[[#This Row],[Aplicación]],14,6)</f>
        <v>22799</v>
      </c>
    </row>
    <row r="779" spans="1:24" x14ac:dyDescent="0.25">
      <c r="A779" s="46">
        <v>220230002049</v>
      </c>
      <c r="B779" s="47" t="s">
        <v>507</v>
      </c>
      <c r="C779" s="52">
        <v>44963</v>
      </c>
      <c r="D779" s="46">
        <v>22023001613</v>
      </c>
      <c r="E779" s="47" t="s">
        <v>1911</v>
      </c>
      <c r="F779" s="53">
        <v>4700.87</v>
      </c>
      <c r="G779" s="47" t="s">
        <v>67</v>
      </c>
      <c r="H779" s="47" t="s">
        <v>1912</v>
      </c>
      <c r="I779" s="46" t="s">
        <v>511</v>
      </c>
      <c r="J779" s="47" t="s">
        <v>953</v>
      </c>
      <c r="K779" s="47" t="s">
        <v>519</v>
      </c>
      <c r="L779" s="47" t="s">
        <v>520</v>
      </c>
      <c r="M779" s="47" t="s">
        <v>976</v>
      </c>
      <c r="N779" s="47" t="s">
        <v>839</v>
      </c>
      <c r="O779" s="45" t="s">
        <v>383</v>
      </c>
      <c r="P779" s="44" t="s">
        <v>309</v>
      </c>
      <c r="Q779" s="59" t="str">
        <f>MID(Tabla1[[#This Row],[Aplicación]],14,1)</f>
        <v>2</v>
      </c>
      <c r="R779" s="35" t="s">
        <v>298</v>
      </c>
      <c r="S779" s="59" t="str">
        <f>MID(Tabla1[[#This Row],[Aplicación]],6,2)</f>
        <v>11</v>
      </c>
      <c r="T779" s="35" t="str">
        <f>VLOOKUP(Tabla1[[#This Row],[AREA]],Hoja1!A:B,2,FALSE)</f>
        <v>11. Salud pública y seguridad ciudadana</v>
      </c>
      <c r="U779" s="35" t="str">
        <f>MID(Tabla1[[#This Row],[Aplicación]],9,4)</f>
        <v>1621</v>
      </c>
      <c r="V779" s="35" t="str">
        <f>VLOOKUP(Tabla1[[#This Row],[PROGRAMA]],Hoja1!A:B,2,FALSE)</f>
        <v>1621. Servicio de limpieza</v>
      </c>
      <c r="W779" s="56" t="str">
        <f>MID(Tabla1[[#This Row],[Aplicación]],14,2)</f>
        <v>22</v>
      </c>
      <c r="X779" s="56" t="str">
        <f>MID(Tabla1[[#This Row],[Aplicación]],14,6)</f>
        <v>22706</v>
      </c>
    </row>
    <row r="780" spans="1:24" x14ac:dyDescent="0.25">
      <c r="A780" s="55">
        <v>220230009448</v>
      </c>
      <c r="B780" s="47" t="s">
        <v>507</v>
      </c>
      <c r="C780" s="52">
        <v>45006</v>
      </c>
      <c r="D780" s="46">
        <v>22023003073</v>
      </c>
      <c r="E780" s="47" t="s">
        <v>1913</v>
      </c>
      <c r="F780" s="53">
        <v>2311.1</v>
      </c>
      <c r="G780" s="47" t="s">
        <v>67</v>
      </c>
      <c r="H780" s="47" t="s">
        <v>1914</v>
      </c>
      <c r="I780" s="46" t="s">
        <v>511</v>
      </c>
      <c r="J780" s="47" t="s">
        <v>953</v>
      </c>
      <c r="K780" s="47" t="s">
        <v>519</v>
      </c>
      <c r="L780" s="47" t="s">
        <v>520</v>
      </c>
      <c r="M780" s="47" t="s">
        <v>976</v>
      </c>
      <c r="N780" s="47" t="s">
        <v>839</v>
      </c>
      <c r="O780" s="54" t="s">
        <v>383</v>
      </c>
      <c r="P780" s="44" t="s">
        <v>309</v>
      </c>
      <c r="Q780" s="59" t="str">
        <f>MID(Tabla1[[#This Row],[Aplicación]],14,1)</f>
        <v>2</v>
      </c>
      <c r="R780" s="35" t="s">
        <v>298</v>
      </c>
      <c r="S780" s="59" t="str">
        <f>MID(Tabla1[[#This Row],[Aplicación]],6,2)</f>
        <v>05</v>
      </c>
      <c r="T780" s="35" t="str">
        <f>VLOOKUP(Tabla1[[#This Row],[AREA]],Hoja1!A:B,2,FALSE)</f>
        <v>05. Innovación, desarrollo económico, empleo y comercio</v>
      </c>
      <c r="U780" s="35" t="str">
        <f>MID(Tabla1[[#This Row],[Aplicación]],9,4)</f>
        <v>4312</v>
      </c>
      <c r="V780" s="35" t="str">
        <f>VLOOKUP(Tabla1[[#This Row],[PROGRAMA]],Hoja1!A:B,2,FALSE)</f>
        <v>4312. Mercados, abastos y lonjas</v>
      </c>
      <c r="W780" s="56" t="str">
        <f>MID(Tabla1[[#This Row],[Aplicación]],14,2)</f>
        <v>22</v>
      </c>
      <c r="X780" s="56" t="str">
        <f>MID(Tabla1[[#This Row],[Aplicación]],14,6)</f>
        <v>22706</v>
      </c>
    </row>
    <row r="781" spans="1:24" x14ac:dyDescent="0.25">
      <c r="A781" s="46">
        <v>220230002060</v>
      </c>
      <c r="B781" s="47" t="s">
        <v>507</v>
      </c>
      <c r="C781" s="52">
        <v>44963</v>
      </c>
      <c r="D781" s="46">
        <v>22023001978</v>
      </c>
      <c r="E781" s="47" t="s">
        <v>1551</v>
      </c>
      <c r="F781" s="53">
        <v>1500</v>
      </c>
      <c r="G781" s="47" t="s">
        <v>1915</v>
      </c>
      <c r="H781" s="47" t="s">
        <v>1916</v>
      </c>
      <c r="I781" s="46" t="s">
        <v>511</v>
      </c>
      <c r="J781" s="47" t="s">
        <v>953</v>
      </c>
      <c r="K781" s="47" t="s">
        <v>519</v>
      </c>
      <c r="L781" s="47" t="s">
        <v>552</v>
      </c>
      <c r="M781" s="47" t="s">
        <v>976</v>
      </c>
      <c r="N781" s="47" t="s">
        <v>839</v>
      </c>
      <c r="O781" s="45" t="s">
        <v>383</v>
      </c>
      <c r="P781" s="44" t="s">
        <v>309</v>
      </c>
      <c r="Q781" s="59" t="str">
        <f>MID(Tabla1[[#This Row],[Aplicación]],14,1)</f>
        <v>2</v>
      </c>
      <c r="R781" s="35" t="s">
        <v>298</v>
      </c>
      <c r="S781" s="59" t="str">
        <f>MID(Tabla1[[#This Row],[Aplicación]],6,2)</f>
        <v>02</v>
      </c>
      <c r="T781" s="35" t="str">
        <f>VLOOKUP(Tabla1[[#This Row],[AREA]],Hoja1!A:B,2,FALSE)</f>
        <v>02. Planeamiento urbanístico y vivienda</v>
      </c>
      <c r="U781" s="35" t="str">
        <f>MID(Tabla1[[#This Row],[Aplicación]],9,4)</f>
        <v>9332</v>
      </c>
      <c r="V781" s="35" t="str">
        <f>VLOOKUP(Tabla1[[#This Row],[PROGRAMA]],Hoja1!A:B,2,FALSE)</f>
        <v>9332. Mantenimiento de edificios e instalaciones municipales</v>
      </c>
      <c r="W781" s="56" t="str">
        <f>MID(Tabla1[[#This Row],[Aplicación]],14,2)</f>
        <v>21</v>
      </c>
      <c r="X781" s="56" t="str">
        <f>MID(Tabla1[[#This Row],[Aplicación]],14,6)</f>
        <v>212</v>
      </c>
    </row>
    <row r="782" spans="1:24" x14ac:dyDescent="0.25">
      <c r="A782" s="46">
        <v>220230002088</v>
      </c>
      <c r="B782" s="47" t="s">
        <v>507</v>
      </c>
      <c r="C782" s="52">
        <v>44963</v>
      </c>
      <c r="D782" s="46">
        <v>22023002116</v>
      </c>
      <c r="E782" s="47" t="s">
        <v>1305</v>
      </c>
      <c r="F782" s="53">
        <v>7260</v>
      </c>
      <c r="G782" s="47" t="s">
        <v>1915</v>
      </c>
      <c r="H782" s="47" t="s">
        <v>1917</v>
      </c>
      <c r="I782" s="46" t="s">
        <v>511</v>
      </c>
      <c r="J782" s="47" t="s">
        <v>953</v>
      </c>
      <c r="K782" s="47" t="s">
        <v>519</v>
      </c>
      <c r="L782" s="47" t="s">
        <v>552</v>
      </c>
      <c r="M782" s="47" t="s">
        <v>514</v>
      </c>
      <c r="N782" s="47" t="s">
        <v>515</v>
      </c>
      <c r="O782" s="45" t="s">
        <v>382</v>
      </c>
      <c r="P782" s="44" t="s">
        <v>309</v>
      </c>
      <c r="Q782" s="59" t="str">
        <f>MID(Tabla1[[#This Row],[Aplicación]],14,1)</f>
        <v>2</v>
      </c>
      <c r="R782" s="35" t="s">
        <v>298</v>
      </c>
      <c r="S782" s="59" t="str">
        <f>MID(Tabla1[[#This Row],[Aplicación]],6,2)</f>
        <v>06</v>
      </c>
      <c r="T782" s="35" t="str">
        <f>VLOOKUP(Tabla1[[#This Row],[AREA]],Hoja1!A:B,2,FALSE)</f>
        <v>06. Educación, infancia, juventud e igualdad</v>
      </c>
      <c r="U782" s="35" t="str">
        <f>MID(Tabla1[[#This Row],[Aplicación]],9,4)</f>
        <v>3232</v>
      </c>
      <c r="V782" s="35" t="str">
        <f>VLOOKUP(Tabla1[[#This Row],[PROGRAMA]],Hoja1!A:B,2,FALSE)</f>
        <v>3232. Conservación y mantenimiento centros educación infantil y primaria</v>
      </c>
      <c r="W782" s="56" t="str">
        <f>MID(Tabla1[[#This Row],[Aplicación]],14,2)</f>
        <v>21</v>
      </c>
      <c r="X782" s="56" t="str">
        <f>MID(Tabla1[[#This Row],[Aplicación]],14,6)</f>
        <v>212</v>
      </c>
    </row>
    <row r="783" spans="1:24" x14ac:dyDescent="0.25">
      <c r="A783" s="55">
        <v>220220044402</v>
      </c>
      <c r="B783" s="47" t="s">
        <v>507</v>
      </c>
      <c r="C783" s="52">
        <v>45014</v>
      </c>
      <c r="D783" s="46">
        <v>22022004832</v>
      </c>
      <c r="E783" s="47" t="s">
        <v>741</v>
      </c>
      <c r="F783" s="53">
        <v>803.3</v>
      </c>
      <c r="G783" s="47" t="s">
        <v>400</v>
      </c>
      <c r="H783" s="47" t="s">
        <v>1918</v>
      </c>
      <c r="I783" s="46" t="s">
        <v>511</v>
      </c>
      <c r="J783" s="47" t="s">
        <v>519</v>
      </c>
      <c r="K783" s="47" t="s">
        <v>519</v>
      </c>
      <c r="L783" s="47" t="s">
        <v>520</v>
      </c>
      <c r="M783" s="47" t="s">
        <v>514</v>
      </c>
      <c r="N783" s="47" t="s">
        <v>515</v>
      </c>
      <c r="O783" s="54" t="s">
        <v>382</v>
      </c>
      <c r="P783" s="44" t="s">
        <v>309</v>
      </c>
      <c r="Q783" s="59" t="str">
        <f>MID(Tabla1[[#This Row],[Aplicación]],14,1)</f>
        <v>6</v>
      </c>
      <c r="R783" s="35" t="s">
        <v>299</v>
      </c>
      <c r="S783" s="59" t="str">
        <f>MID(Tabla1[[#This Row],[Aplicación]],6,2)</f>
        <v>07</v>
      </c>
      <c r="T783" s="35" t="str">
        <f>VLOOKUP(Tabla1[[#This Row],[AREA]],Hoja1!A:B,2,FALSE)</f>
        <v>07. Medio ambiente y desarrollo sostenible</v>
      </c>
      <c r="U783" s="35" t="str">
        <f>MID(Tabla1[[#This Row],[Aplicación]],9,4)</f>
        <v>1711</v>
      </c>
      <c r="V783" s="35" t="str">
        <f>VLOOKUP(Tabla1[[#This Row],[PROGRAMA]],Hoja1!A:B,2,FALSE)</f>
        <v>1711. Parques y jardines</v>
      </c>
      <c r="W783" s="56" t="str">
        <f>MID(Tabla1[[#This Row],[Aplicación]],14,2)</f>
        <v>61</v>
      </c>
      <c r="X783" s="56" t="str">
        <f>MID(Tabla1[[#This Row],[Aplicación]],14,6)</f>
        <v>619</v>
      </c>
    </row>
    <row r="784" spans="1:24" x14ac:dyDescent="0.25">
      <c r="A784" s="46">
        <v>220230002063</v>
      </c>
      <c r="B784" s="47" t="s">
        <v>507</v>
      </c>
      <c r="C784" s="52">
        <v>44963</v>
      </c>
      <c r="D784" s="46">
        <v>22023001823</v>
      </c>
      <c r="E784" s="47" t="s">
        <v>1315</v>
      </c>
      <c r="F784" s="53">
        <v>1815</v>
      </c>
      <c r="G784" s="47" t="s">
        <v>1764</v>
      </c>
      <c r="H784" s="47" t="s">
        <v>1919</v>
      </c>
      <c r="I784" s="46" t="s">
        <v>511</v>
      </c>
      <c r="J784" s="47" t="s">
        <v>519</v>
      </c>
      <c r="K784" s="47" t="s">
        <v>519</v>
      </c>
      <c r="L784" s="47" t="s">
        <v>520</v>
      </c>
      <c r="M784" s="47" t="s">
        <v>514</v>
      </c>
      <c r="N784" s="47" t="s">
        <v>515</v>
      </c>
      <c r="O784" s="45" t="s">
        <v>382</v>
      </c>
      <c r="P784" s="44" t="s">
        <v>309</v>
      </c>
      <c r="Q784" s="59" t="str">
        <f>MID(Tabla1[[#This Row],[Aplicación]],14,1)</f>
        <v>2</v>
      </c>
      <c r="R784" s="35" t="s">
        <v>298</v>
      </c>
      <c r="S784" s="59" t="str">
        <f>MID(Tabla1[[#This Row],[Aplicación]],6,2)</f>
        <v>01</v>
      </c>
      <c r="T784" s="35" t="str">
        <f>VLOOKUP(Tabla1[[#This Row],[AREA]],Hoja1!A:B,2,FALSE)</f>
        <v>01. Alcaldía</v>
      </c>
      <c r="U784" s="35" t="str">
        <f>MID(Tabla1[[#This Row],[Aplicación]],9,4)</f>
        <v>9207</v>
      </c>
      <c r="V784" s="35" t="str">
        <f>VLOOKUP(Tabla1[[#This Row],[PROGRAMA]],Hoja1!A:B,2,FALSE)</f>
        <v>9207. Gobierno y relaciones</v>
      </c>
      <c r="W784" s="56" t="str">
        <f>MID(Tabla1[[#This Row],[Aplicación]],14,2)</f>
        <v>22</v>
      </c>
      <c r="X784" s="56" t="str">
        <f>MID(Tabla1[[#This Row],[Aplicación]],14,6)</f>
        <v>22602</v>
      </c>
    </row>
    <row r="785" spans="1:24" x14ac:dyDescent="0.25">
      <c r="A785" s="55">
        <v>220209000233</v>
      </c>
      <c r="B785" s="47" t="s">
        <v>507</v>
      </c>
      <c r="C785" s="52">
        <v>45014</v>
      </c>
      <c r="D785" s="46">
        <v>22022002090</v>
      </c>
      <c r="E785" s="47" t="s">
        <v>1411</v>
      </c>
      <c r="F785" s="53">
        <v>182.58</v>
      </c>
      <c r="G785" s="47" t="s">
        <v>66</v>
      </c>
      <c r="H785" s="47" t="s">
        <v>1920</v>
      </c>
      <c r="I785" s="46" t="s">
        <v>511</v>
      </c>
      <c r="J785" s="47" t="s">
        <v>512</v>
      </c>
      <c r="K785" s="47" t="s">
        <v>512</v>
      </c>
      <c r="L785" s="47" t="s">
        <v>520</v>
      </c>
      <c r="M785" s="47" t="s">
        <v>514</v>
      </c>
      <c r="N785" s="47" t="s">
        <v>515</v>
      </c>
      <c r="O785" s="54" t="s">
        <v>371</v>
      </c>
      <c r="P785" s="44" t="s">
        <v>309</v>
      </c>
      <c r="Q785" s="59" t="str">
        <f>MID(Tabla1[[#This Row],[Aplicación]],14,1)</f>
        <v>6</v>
      </c>
      <c r="R785" s="35" t="s">
        <v>299</v>
      </c>
      <c r="S785" s="59" t="str">
        <f>MID(Tabla1[[#This Row],[Aplicación]],6,2)</f>
        <v>06</v>
      </c>
      <c r="T785" s="35" t="str">
        <f>VLOOKUP(Tabla1[[#This Row],[AREA]],Hoja1!A:B,2,FALSE)</f>
        <v>06. Educación, infancia, juventud e igualdad</v>
      </c>
      <c r="U785" s="35" t="str">
        <f>MID(Tabla1[[#This Row],[Aplicación]],9,4)</f>
        <v>3321</v>
      </c>
      <c r="V785" s="35" t="str">
        <f>VLOOKUP(Tabla1[[#This Row],[PROGRAMA]],Hoja1!A:B,2,FALSE)</f>
        <v>3321. Bibliotecas públicas</v>
      </c>
      <c r="W785" s="56" t="str">
        <f>MID(Tabla1[[#This Row],[Aplicación]],14,2)</f>
        <v>62</v>
      </c>
      <c r="X785" s="56" t="str">
        <f>MID(Tabla1[[#This Row],[Aplicación]],14,6)</f>
        <v>622</v>
      </c>
    </row>
    <row r="786" spans="1:24" x14ac:dyDescent="0.25">
      <c r="A786" s="55">
        <v>220220046959</v>
      </c>
      <c r="B786" s="47" t="s">
        <v>507</v>
      </c>
      <c r="C786" s="52">
        <v>45014</v>
      </c>
      <c r="D786" s="46">
        <v>22022004867</v>
      </c>
      <c r="E786" s="47" t="s">
        <v>533</v>
      </c>
      <c r="F786" s="53">
        <v>833.71</v>
      </c>
      <c r="G786" s="47" t="s">
        <v>400</v>
      </c>
      <c r="H786" s="47" t="s">
        <v>1921</v>
      </c>
      <c r="I786" s="46" t="s">
        <v>511</v>
      </c>
      <c r="J786" s="47" t="s">
        <v>519</v>
      </c>
      <c r="K786" s="47" t="s">
        <v>519</v>
      </c>
      <c r="L786" s="47" t="s">
        <v>527</v>
      </c>
      <c r="M786" s="47" t="s">
        <v>514</v>
      </c>
      <c r="N786" s="47" t="s">
        <v>515</v>
      </c>
      <c r="O786" s="54" t="s">
        <v>382</v>
      </c>
      <c r="P786" s="44" t="s">
        <v>309</v>
      </c>
      <c r="Q786" s="59" t="str">
        <f>MID(Tabla1[[#This Row],[Aplicación]],14,1)</f>
        <v>6</v>
      </c>
      <c r="R786" s="35" t="s">
        <v>299</v>
      </c>
      <c r="S786" s="59" t="str">
        <f>MID(Tabla1[[#This Row],[Aplicación]],6,2)</f>
        <v>08</v>
      </c>
      <c r="T786" s="35" t="str">
        <f>VLOOKUP(Tabla1[[#This Row],[AREA]],Hoja1!A:B,2,FALSE)</f>
        <v>08. Movilidad y espacio urbano</v>
      </c>
      <c r="U786" s="56" t="str">
        <f>MID(Tabla1[[#This Row],[Aplicación]],9,4)</f>
        <v>1341</v>
      </c>
      <c r="V786" s="35" t="str">
        <f>VLOOKUP(Tabla1[[#This Row],[PROGRAMA]],Hoja1!A:B,2,FALSE)</f>
        <v>1341. Movilidad</v>
      </c>
      <c r="W786" s="56" t="str">
        <f>MID(Tabla1[[#This Row],[Aplicación]],14,2)</f>
        <v>61</v>
      </c>
      <c r="X786" s="56" t="str">
        <f>MID(Tabla1[[#This Row],[Aplicación]],14,6)</f>
        <v>619</v>
      </c>
    </row>
    <row r="787" spans="1:24" x14ac:dyDescent="0.25">
      <c r="A787" s="46">
        <v>220230002583</v>
      </c>
      <c r="B787" s="47" t="s">
        <v>507</v>
      </c>
      <c r="C787" s="52">
        <v>44965</v>
      </c>
      <c r="D787" s="46">
        <v>22023001598</v>
      </c>
      <c r="E787" s="47" t="s">
        <v>659</v>
      </c>
      <c r="F787" s="53">
        <v>7676.24</v>
      </c>
      <c r="G787" s="47" t="s">
        <v>417</v>
      </c>
      <c r="H787" s="47" t="s">
        <v>1922</v>
      </c>
      <c r="I787" s="46" t="s">
        <v>511</v>
      </c>
      <c r="J787" s="47" t="s">
        <v>532</v>
      </c>
      <c r="K787" s="47" t="s">
        <v>512</v>
      </c>
      <c r="L787" s="47" t="s">
        <v>520</v>
      </c>
      <c r="M787" s="47" t="s">
        <v>976</v>
      </c>
      <c r="N787" s="47" t="s">
        <v>839</v>
      </c>
      <c r="O787" s="45" t="s">
        <v>383</v>
      </c>
      <c r="P787" s="44" t="s">
        <v>309</v>
      </c>
      <c r="Q787" s="59" t="str">
        <f>MID(Tabla1[[#This Row],[Aplicación]],14,1)</f>
        <v>2</v>
      </c>
      <c r="R787" s="35" t="s">
        <v>298</v>
      </c>
      <c r="S787" s="59" t="str">
        <f>MID(Tabla1[[#This Row],[Aplicación]],6,2)</f>
        <v>11</v>
      </c>
      <c r="T787" s="35" t="str">
        <f>VLOOKUP(Tabla1[[#This Row],[AREA]],Hoja1!A:B,2,FALSE)</f>
        <v>11. Salud pública y seguridad ciudadana</v>
      </c>
      <c r="U787" s="35" t="str">
        <f>MID(Tabla1[[#This Row],[Aplicación]],9,4)</f>
        <v>1321</v>
      </c>
      <c r="V787" s="35" t="str">
        <f>VLOOKUP(Tabla1[[#This Row],[PROGRAMA]],Hoja1!A:B,2,FALSE)</f>
        <v>1321. Policía municipal</v>
      </c>
      <c r="W787" s="56" t="str">
        <f>MID(Tabla1[[#This Row],[Aplicación]],14,2)</f>
        <v>21</v>
      </c>
      <c r="X787" s="56" t="str">
        <f>MID(Tabla1[[#This Row],[Aplicación]],14,6)</f>
        <v>213</v>
      </c>
    </row>
    <row r="788" spans="1:24" x14ac:dyDescent="0.25">
      <c r="A788" s="46">
        <v>220230003430</v>
      </c>
      <c r="B788" s="47" t="s">
        <v>507</v>
      </c>
      <c r="C788" s="52">
        <v>44971</v>
      </c>
      <c r="D788" s="46">
        <v>22023002354</v>
      </c>
      <c r="E788" s="47" t="s">
        <v>1512</v>
      </c>
      <c r="F788" s="53">
        <v>242</v>
      </c>
      <c r="G788" s="47" t="s">
        <v>107</v>
      </c>
      <c r="H788" s="47" t="s">
        <v>1923</v>
      </c>
      <c r="I788" s="46" t="s">
        <v>511</v>
      </c>
      <c r="J788" s="47" t="s">
        <v>519</v>
      </c>
      <c r="K788" s="47" t="s">
        <v>519</v>
      </c>
      <c r="L788" s="47" t="s">
        <v>552</v>
      </c>
      <c r="M788" s="47" t="s">
        <v>976</v>
      </c>
      <c r="N788" s="47" t="s">
        <v>839</v>
      </c>
      <c r="O788" s="45" t="s">
        <v>383</v>
      </c>
      <c r="P788" s="44" t="s">
        <v>309</v>
      </c>
      <c r="Q788" s="59" t="str">
        <f>MID(Tabla1[[#This Row],[Aplicación]],14,1)</f>
        <v>2</v>
      </c>
      <c r="R788" s="35" t="s">
        <v>298</v>
      </c>
      <c r="S788" s="59" t="str">
        <f>MID(Tabla1[[#This Row],[Aplicación]],6,2)</f>
        <v>10</v>
      </c>
      <c r="T788" s="35" t="str">
        <f>VLOOKUP(Tabla1[[#This Row],[AREA]],Hoja1!A:B,2,FALSE)</f>
        <v>10. Servicios sociales y mediación comunitaria</v>
      </c>
      <c r="U788" s="35" t="str">
        <f>MID(Tabla1[[#This Row],[Aplicación]],9,4)</f>
        <v>2312</v>
      </c>
      <c r="V788" s="35" t="str">
        <f>VLOOKUP(Tabla1[[#This Row],[PROGRAMA]],Hoja1!A:B,2,FALSE)</f>
        <v>2312. Iniciativas sociales</v>
      </c>
      <c r="W788" s="56" t="str">
        <f>MID(Tabla1[[#This Row],[Aplicación]],14,2)</f>
        <v>21</v>
      </c>
      <c r="X788" s="56" t="str">
        <f>MID(Tabla1[[#This Row],[Aplicación]],14,6)</f>
        <v>212</v>
      </c>
    </row>
    <row r="789" spans="1:24" x14ac:dyDescent="0.25">
      <c r="A789" s="55">
        <v>220220051003</v>
      </c>
      <c r="B789" s="47" t="s">
        <v>507</v>
      </c>
      <c r="C789" s="52">
        <v>45014</v>
      </c>
      <c r="D789" s="46">
        <v>22022005741</v>
      </c>
      <c r="E789" s="47" t="s">
        <v>994</v>
      </c>
      <c r="F789" s="53">
        <v>2520.84</v>
      </c>
      <c r="G789" s="47" t="s">
        <v>346</v>
      </c>
      <c r="H789" s="47" t="s">
        <v>1924</v>
      </c>
      <c r="I789" s="46" t="s">
        <v>511</v>
      </c>
      <c r="J789" s="47" t="s">
        <v>519</v>
      </c>
      <c r="K789" s="47" t="s">
        <v>519</v>
      </c>
      <c r="L789" s="47" t="s">
        <v>520</v>
      </c>
      <c r="M789" s="47" t="s">
        <v>514</v>
      </c>
      <c r="N789" s="47" t="s">
        <v>515</v>
      </c>
      <c r="O789" s="54" t="s">
        <v>371</v>
      </c>
      <c r="P789" s="44" t="s">
        <v>309</v>
      </c>
      <c r="Q789" s="59" t="str">
        <f>MID(Tabla1[[#This Row],[Aplicación]],14,1)</f>
        <v>6</v>
      </c>
      <c r="R789" s="35" t="s">
        <v>299</v>
      </c>
      <c r="S789" s="59" t="str">
        <f>MID(Tabla1[[#This Row],[Aplicación]],6,2)</f>
        <v>02</v>
      </c>
      <c r="T789" s="35" t="str">
        <f>VLOOKUP(Tabla1[[#This Row],[AREA]],Hoja1!A:B,2,FALSE)</f>
        <v>02. Planeamiento urbanístico y vivienda</v>
      </c>
      <c r="U789" s="35" t="str">
        <f>MID(Tabla1[[#This Row],[Aplicación]],9,4)</f>
        <v>1501</v>
      </c>
      <c r="V789" s="35" t="str">
        <f>VLOOKUP(Tabla1[[#This Row],[PROGRAMA]],Hoja1!A:B,2,FALSE)</f>
        <v>1501. Dirección del área de urbanismo</v>
      </c>
      <c r="W789" s="56" t="str">
        <f>MID(Tabla1[[#This Row],[Aplicación]],14,2)</f>
        <v>61</v>
      </c>
      <c r="X789" s="56" t="str">
        <f>MID(Tabla1[[#This Row],[Aplicación]],14,6)</f>
        <v>619</v>
      </c>
    </row>
    <row r="790" spans="1:24" x14ac:dyDescent="0.25">
      <c r="A790" s="55">
        <v>220220068617</v>
      </c>
      <c r="B790" s="47" t="s">
        <v>507</v>
      </c>
      <c r="C790" s="52">
        <v>45014</v>
      </c>
      <c r="D790" s="46">
        <v>22022005747</v>
      </c>
      <c r="E790" s="47" t="s">
        <v>529</v>
      </c>
      <c r="F790" s="53">
        <v>3841.31</v>
      </c>
      <c r="G790" s="47" t="s">
        <v>769</v>
      </c>
      <c r="H790" s="47" t="s">
        <v>1925</v>
      </c>
      <c r="I790" s="46" t="s">
        <v>511</v>
      </c>
      <c r="J790" s="47" t="s">
        <v>771</v>
      </c>
      <c r="K790" s="47" t="s">
        <v>771</v>
      </c>
      <c r="L790" s="47" t="s">
        <v>520</v>
      </c>
      <c r="M790" s="47" t="s">
        <v>514</v>
      </c>
      <c r="N790" s="47" t="s">
        <v>515</v>
      </c>
      <c r="O790" s="54" t="s">
        <v>371</v>
      </c>
      <c r="P790" s="44" t="s">
        <v>309</v>
      </c>
      <c r="Q790" s="59" t="str">
        <f>MID(Tabla1[[#This Row],[Aplicación]],14,1)</f>
        <v>6</v>
      </c>
      <c r="R790" s="35" t="s">
        <v>299</v>
      </c>
      <c r="S790" s="59" t="str">
        <f>MID(Tabla1[[#This Row],[Aplicación]],6,2)</f>
        <v>07</v>
      </c>
      <c r="T790" s="35" t="str">
        <f>VLOOKUP(Tabla1[[#This Row],[AREA]],Hoja1!A:B,2,FALSE)</f>
        <v>07. Medio ambiente y desarrollo sostenible</v>
      </c>
      <c r="U790" s="35" t="str">
        <f>MID(Tabla1[[#This Row],[Aplicación]],9,4)</f>
        <v>1711</v>
      </c>
      <c r="V790" s="35" t="str">
        <f>VLOOKUP(Tabla1[[#This Row],[PROGRAMA]],Hoja1!A:B,2,FALSE)</f>
        <v>1711. Parques y jardines</v>
      </c>
      <c r="W790" s="56" t="str">
        <f>MID(Tabla1[[#This Row],[Aplicación]],14,2)</f>
        <v>61</v>
      </c>
      <c r="X790" s="56" t="str">
        <f>MID(Tabla1[[#This Row],[Aplicación]],14,6)</f>
        <v>610</v>
      </c>
    </row>
    <row r="791" spans="1:24" x14ac:dyDescent="0.25">
      <c r="A791" s="55">
        <v>220220045937</v>
      </c>
      <c r="B791" s="47" t="s">
        <v>507</v>
      </c>
      <c r="C791" s="52">
        <v>45014</v>
      </c>
      <c r="D791" s="46">
        <v>22022005748</v>
      </c>
      <c r="E791" s="47" t="s">
        <v>529</v>
      </c>
      <c r="F791" s="53">
        <v>221.42</v>
      </c>
      <c r="G791" s="47" t="s">
        <v>400</v>
      </c>
      <c r="H791" s="47" t="s">
        <v>1926</v>
      </c>
      <c r="I791" s="46" t="s">
        <v>511</v>
      </c>
      <c r="J791" s="47" t="s">
        <v>519</v>
      </c>
      <c r="K791" s="47" t="s">
        <v>519</v>
      </c>
      <c r="L791" s="47" t="s">
        <v>520</v>
      </c>
      <c r="M791" s="47" t="s">
        <v>514</v>
      </c>
      <c r="N791" s="47" t="s">
        <v>515</v>
      </c>
      <c r="O791" s="54" t="s">
        <v>382</v>
      </c>
      <c r="P791" s="44" t="s">
        <v>309</v>
      </c>
      <c r="Q791" s="59" t="str">
        <f>MID(Tabla1[[#This Row],[Aplicación]],14,1)</f>
        <v>6</v>
      </c>
      <c r="R791" s="35" t="s">
        <v>299</v>
      </c>
      <c r="S791" s="59" t="str">
        <f>MID(Tabla1[[#This Row],[Aplicación]],6,2)</f>
        <v>07</v>
      </c>
      <c r="T791" s="35" t="str">
        <f>VLOOKUP(Tabla1[[#This Row],[AREA]],Hoja1!A:B,2,FALSE)</f>
        <v>07. Medio ambiente y desarrollo sostenible</v>
      </c>
      <c r="U791" s="35" t="str">
        <f>MID(Tabla1[[#This Row],[Aplicación]],9,4)</f>
        <v>1711</v>
      </c>
      <c r="V791" s="35" t="str">
        <f>VLOOKUP(Tabla1[[#This Row],[PROGRAMA]],Hoja1!A:B,2,FALSE)</f>
        <v>1711. Parques y jardines</v>
      </c>
      <c r="W791" s="56" t="str">
        <f>MID(Tabla1[[#This Row],[Aplicación]],14,2)</f>
        <v>61</v>
      </c>
      <c r="X791" s="56" t="str">
        <f>MID(Tabla1[[#This Row],[Aplicación]],14,6)</f>
        <v>610</v>
      </c>
    </row>
    <row r="792" spans="1:24" x14ac:dyDescent="0.25">
      <c r="A792" s="55">
        <v>220220068618</v>
      </c>
      <c r="B792" s="47" t="s">
        <v>507</v>
      </c>
      <c r="C792" s="52">
        <v>45014</v>
      </c>
      <c r="D792" s="46">
        <v>22022005750</v>
      </c>
      <c r="E792" s="47" t="s">
        <v>741</v>
      </c>
      <c r="F792" s="53">
        <v>17049.89</v>
      </c>
      <c r="G792" s="47" t="s">
        <v>769</v>
      </c>
      <c r="H792" s="47" t="s">
        <v>1927</v>
      </c>
      <c r="I792" s="46" t="s">
        <v>511</v>
      </c>
      <c r="J792" s="47" t="s">
        <v>771</v>
      </c>
      <c r="K792" s="47" t="s">
        <v>771</v>
      </c>
      <c r="L792" s="47" t="s">
        <v>520</v>
      </c>
      <c r="M792" s="47" t="s">
        <v>514</v>
      </c>
      <c r="N792" s="47" t="s">
        <v>515</v>
      </c>
      <c r="O792" s="54" t="s">
        <v>371</v>
      </c>
      <c r="P792" s="44" t="s">
        <v>309</v>
      </c>
      <c r="Q792" s="59" t="str">
        <f>MID(Tabla1[[#This Row],[Aplicación]],14,1)</f>
        <v>6</v>
      </c>
      <c r="R792" s="35" t="s">
        <v>299</v>
      </c>
      <c r="S792" s="59" t="str">
        <f>MID(Tabla1[[#This Row],[Aplicación]],6,2)</f>
        <v>07</v>
      </c>
      <c r="T792" s="35" t="str">
        <f>VLOOKUP(Tabla1[[#This Row],[AREA]],Hoja1!A:B,2,FALSE)</f>
        <v>07. Medio ambiente y desarrollo sostenible</v>
      </c>
      <c r="U792" s="35" t="str">
        <f>MID(Tabla1[[#This Row],[Aplicación]],9,4)</f>
        <v>1711</v>
      </c>
      <c r="V792" s="35" t="str">
        <f>VLOOKUP(Tabla1[[#This Row],[PROGRAMA]],Hoja1!A:B,2,FALSE)</f>
        <v>1711. Parques y jardines</v>
      </c>
      <c r="W792" s="56" t="str">
        <f>MID(Tabla1[[#This Row],[Aplicación]],14,2)</f>
        <v>61</v>
      </c>
      <c r="X792" s="56" t="str">
        <f>MID(Tabla1[[#This Row],[Aplicación]],14,6)</f>
        <v>619</v>
      </c>
    </row>
    <row r="793" spans="1:24" x14ac:dyDescent="0.25">
      <c r="A793" s="46">
        <v>220230002598</v>
      </c>
      <c r="B793" s="47" t="s">
        <v>507</v>
      </c>
      <c r="C793" s="52">
        <v>44965</v>
      </c>
      <c r="D793" s="46">
        <v>22023002231</v>
      </c>
      <c r="E793" s="47" t="s">
        <v>607</v>
      </c>
      <c r="F793" s="53">
        <v>786.52</v>
      </c>
      <c r="G793" s="47" t="s">
        <v>1928</v>
      </c>
      <c r="H793" s="47" t="s">
        <v>1929</v>
      </c>
      <c r="I793" s="46" t="s">
        <v>511</v>
      </c>
      <c r="J793" s="47" t="s">
        <v>519</v>
      </c>
      <c r="K793" s="47" t="s">
        <v>519</v>
      </c>
      <c r="L793" s="47" t="s">
        <v>520</v>
      </c>
      <c r="M793" s="47" t="s">
        <v>976</v>
      </c>
      <c r="N793" s="47" t="s">
        <v>839</v>
      </c>
      <c r="O793" s="45" t="s">
        <v>383</v>
      </c>
      <c r="P793" s="44" t="s">
        <v>309</v>
      </c>
      <c r="Q793" s="59" t="str">
        <f>MID(Tabla1[[#This Row],[Aplicación]],14,1)</f>
        <v>2</v>
      </c>
      <c r="R793" s="35" t="s">
        <v>298</v>
      </c>
      <c r="S793" s="59" t="str">
        <f>MID(Tabla1[[#This Row],[Aplicación]],6,2)</f>
        <v>11</v>
      </c>
      <c r="T793" s="35" t="str">
        <f>VLOOKUP(Tabla1[[#This Row],[AREA]],Hoja1!A:B,2,FALSE)</f>
        <v>11. Salud pública y seguridad ciudadana</v>
      </c>
      <c r="U793" s="35" t="str">
        <f>MID(Tabla1[[#This Row],[Aplicación]],9,4)</f>
        <v>1621</v>
      </c>
      <c r="V793" s="35" t="str">
        <f>VLOOKUP(Tabla1[[#This Row],[PROGRAMA]],Hoja1!A:B,2,FALSE)</f>
        <v>1621. Servicio de limpieza</v>
      </c>
      <c r="W793" s="56" t="str">
        <f>MID(Tabla1[[#This Row],[Aplicación]],14,2)</f>
        <v>21</v>
      </c>
      <c r="X793" s="56" t="str">
        <f>MID(Tabla1[[#This Row],[Aplicación]],14,6)</f>
        <v>213</v>
      </c>
    </row>
    <row r="794" spans="1:24" x14ac:dyDescent="0.25">
      <c r="A794" s="46">
        <v>220230002027</v>
      </c>
      <c r="B794" s="47" t="s">
        <v>507</v>
      </c>
      <c r="C794" s="52">
        <v>44960</v>
      </c>
      <c r="D794" s="46">
        <v>22023001651</v>
      </c>
      <c r="E794" s="47" t="s">
        <v>1191</v>
      </c>
      <c r="F794" s="53">
        <v>2000</v>
      </c>
      <c r="G794" s="47" t="s">
        <v>1930</v>
      </c>
      <c r="H794" s="47" t="s">
        <v>1931</v>
      </c>
      <c r="I794" s="46" t="s">
        <v>511</v>
      </c>
      <c r="J794" s="47" t="s">
        <v>512</v>
      </c>
      <c r="K794" s="47" t="s">
        <v>512</v>
      </c>
      <c r="L794" s="47" t="s">
        <v>520</v>
      </c>
      <c r="M794" s="47" t="s">
        <v>976</v>
      </c>
      <c r="N794" s="47" t="s">
        <v>839</v>
      </c>
      <c r="O794" s="45" t="s">
        <v>383</v>
      </c>
      <c r="P794" s="44" t="s">
        <v>309</v>
      </c>
      <c r="Q794" s="59" t="str">
        <f>MID(Tabla1[[#This Row],[Aplicación]],14,1)</f>
        <v>2</v>
      </c>
      <c r="R794" s="35" t="s">
        <v>298</v>
      </c>
      <c r="S794" s="59" t="str">
        <f>MID(Tabla1[[#This Row],[Aplicación]],6,2)</f>
        <v>06</v>
      </c>
      <c r="T794" s="35" t="str">
        <f>VLOOKUP(Tabla1[[#This Row],[AREA]],Hoja1!A:B,2,FALSE)</f>
        <v>06. Educación, infancia, juventud e igualdad</v>
      </c>
      <c r="U794" s="35" t="str">
        <f>MID(Tabla1[[#This Row],[Aplicación]],9,4)</f>
        <v>2315</v>
      </c>
      <c r="V794" s="35" t="str">
        <f>VLOOKUP(Tabla1[[#This Row],[PROGRAMA]],Hoja1!A:B,2,FALSE)</f>
        <v>2315. Políticas de Igualdad e infancia</v>
      </c>
      <c r="W794" s="56" t="str">
        <f>MID(Tabla1[[#This Row],[Aplicación]],14,2)</f>
        <v>22</v>
      </c>
      <c r="X794" s="56" t="str">
        <f>MID(Tabla1[[#This Row],[Aplicación]],14,6)</f>
        <v>22611</v>
      </c>
    </row>
    <row r="795" spans="1:24" x14ac:dyDescent="0.25">
      <c r="A795" s="46">
        <v>220230005418</v>
      </c>
      <c r="B795" s="47" t="s">
        <v>507</v>
      </c>
      <c r="C795" s="52">
        <v>44979</v>
      </c>
      <c r="D795" s="46">
        <v>22023002641</v>
      </c>
      <c r="E795" s="47" t="s">
        <v>1382</v>
      </c>
      <c r="F795" s="53">
        <v>544.5</v>
      </c>
      <c r="G795" s="47" t="s">
        <v>1932</v>
      </c>
      <c r="H795" s="47" t="s">
        <v>1933</v>
      </c>
      <c r="I795" s="46" t="s">
        <v>511</v>
      </c>
      <c r="J795" s="47" t="s">
        <v>519</v>
      </c>
      <c r="K795" s="47" t="s">
        <v>519</v>
      </c>
      <c r="L795" s="47" t="s">
        <v>520</v>
      </c>
      <c r="M795" s="47" t="s">
        <v>976</v>
      </c>
      <c r="N795" s="47" t="s">
        <v>839</v>
      </c>
      <c r="O795" s="45" t="s">
        <v>383</v>
      </c>
      <c r="P795" s="44" t="s">
        <v>309</v>
      </c>
      <c r="Q795" s="59" t="str">
        <f>MID(Tabla1[[#This Row],[Aplicación]],14,1)</f>
        <v>2</v>
      </c>
      <c r="R795" s="35" t="s">
        <v>298</v>
      </c>
      <c r="S795" s="59" t="str">
        <f>MID(Tabla1[[#This Row],[Aplicación]],6,2)</f>
        <v>03</v>
      </c>
      <c r="T795" s="35" t="str">
        <f>VLOOKUP(Tabla1[[#This Row],[AREA]],Hoja1!A:B,2,FALSE)</f>
        <v>03. Participación ciudadana y deportes</v>
      </c>
      <c r="U795" s="35" t="str">
        <f>MID(Tabla1[[#This Row],[Aplicación]],9,4)</f>
        <v>9241</v>
      </c>
      <c r="V795" s="35" t="str">
        <f>VLOOKUP(Tabla1[[#This Row],[PROGRAMA]],Hoja1!A:B,2,FALSE)</f>
        <v>9241. Participación ciudadana</v>
      </c>
      <c r="W795" s="56" t="str">
        <f>MID(Tabla1[[#This Row],[Aplicación]],14,2)</f>
        <v>22</v>
      </c>
      <c r="X795" s="56" t="str">
        <f>MID(Tabla1[[#This Row],[Aplicación]],14,6)</f>
        <v>22699</v>
      </c>
    </row>
    <row r="796" spans="1:24" x14ac:dyDescent="0.25">
      <c r="A796" s="55">
        <v>220230011718</v>
      </c>
      <c r="B796" s="47" t="s">
        <v>507</v>
      </c>
      <c r="C796" s="52">
        <v>45014</v>
      </c>
      <c r="D796" s="46">
        <v>22023003542</v>
      </c>
      <c r="E796" s="47" t="s">
        <v>1490</v>
      </c>
      <c r="F796" s="53">
        <v>750.2</v>
      </c>
      <c r="G796" s="47" t="s">
        <v>1934</v>
      </c>
      <c r="H796" s="47" t="s">
        <v>1935</v>
      </c>
      <c r="I796" s="46" t="s">
        <v>511</v>
      </c>
      <c r="J796" s="47" t="s">
        <v>519</v>
      </c>
      <c r="K796" s="47" t="s">
        <v>519</v>
      </c>
      <c r="L796" s="47" t="s">
        <v>552</v>
      </c>
      <c r="M796" s="47" t="s">
        <v>976</v>
      </c>
      <c r="N796" s="47" t="s">
        <v>839</v>
      </c>
      <c r="O796" s="54" t="s">
        <v>383</v>
      </c>
      <c r="P796" s="44" t="s">
        <v>309</v>
      </c>
      <c r="Q796" s="59" t="str">
        <f>MID(Tabla1[[#This Row],[Aplicación]],14,1)</f>
        <v>2</v>
      </c>
      <c r="R796" s="35" t="s">
        <v>298</v>
      </c>
      <c r="S796" s="59" t="str">
        <f>MID(Tabla1[[#This Row],[Aplicación]],6,2)</f>
        <v>06</v>
      </c>
      <c r="T796" s="35" t="str">
        <f>VLOOKUP(Tabla1[[#This Row],[AREA]],Hoja1!A:B,2,FALSE)</f>
        <v>06. Educación, infancia, juventud e igualdad</v>
      </c>
      <c r="U796" s="35" t="str">
        <f>MID(Tabla1[[#This Row],[Aplicación]],9,4)</f>
        <v>2314</v>
      </c>
      <c r="V796" s="35" t="str">
        <f>VLOOKUP(Tabla1[[#This Row],[PROGRAMA]],Hoja1!A:B,2,FALSE)</f>
        <v>2314. Centro de programas juveniles</v>
      </c>
      <c r="W796" s="56" t="str">
        <f>MID(Tabla1[[#This Row],[Aplicación]],14,2)</f>
        <v>22</v>
      </c>
      <c r="X796" s="56" t="str">
        <f>MID(Tabla1[[#This Row],[Aplicación]],14,6)</f>
        <v>22613</v>
      </c>
    </row>
    <row r="797" spans="1:24" x14ac:dyDescent="0.25">
      <c r="A797" s="46">
        <v>220230003263</v>
      </c>
      <c r="B797" s="47" t="s">
        <v>507</v>
      </c>
      <c r="C797" s="52">
        <v>44971</v>
      </c>
      <c r="D797" s="46">
        <v>22023002337</v>
      </c>
      <c r="E797" s="47" t="s">
        <v>1548</v>
      </c>
      <c r="F797" s="53">
        <v>1633.5</v>
      </c>
      <c r="G797" s="47" t="s">
        <v>327</v>
      </c>
      <c r="H797" s="47" t="s">
        <v>1936</v>
      </c>
      <c r="I797" s="46" t="s">
        <v>511</v>
      </c>
      <c r="J797" s="47" t="s">
        <v>1937</v>
      </c>
      <c r="K797" s="47" t="s">
        <v>717</v>
      </c>
      <c r="L797" s="47" t="s">
        <v>520</v>
      </c>
      <c r="M797" s="47" t="s">
        <v>976</v>
      </c>
      <c r="N797" s="47" t="s">
        <v>839</v>
      </c>
      <c r="O797" s="45" t="s">
        <v>383</v>
      </c>
      <c r="P797" s="44" t="s">
        <v>309</v>
      </c>
      <c r="Q797" s="59" t="str">
        <f>MID(Tabla1[[#This Row],[Aplicación]],14,1)</f>
        <v>2</v>
      </c>
      <c r="R797" s="35" t="s">
        <v>298</v>
      </c>
      <c r="S797" s="59" t="str">
        <f>MID(Tabla1[[#This Row],[Aplicación]],6,2)</f>
        <v>07</v>
      </c>
      <c r="T797" s="35" t="str">
        <f>VLOOKUP(Tabla1[[#This Row],[AREA]],Hoja1!A:B,2,FALSE)</f>
        <v>07. Medio ambiente y desarrollo sostenible</v>
      </c>
      <c r="U797" s="35" t="str">
        <f>MID(Tabla1[[#This Row],[Aplicación]],9,4)</f>
        <v>1721</v>
      </c>
      <c r="V797" s="35" t="str">
        <f>VLOOKUP(Tabla1[[#This Row],[PROGRAMA]],Hoja1!A:B,2,FALSE)</f>
        <v>1721. Protección del medio ambiente</v>
      </c>
      <c r="W797" s="56" t="str">
        <f>MID(Tabla1[[#This Row],[Aplicación]],14,2)</f>
        <v>22</v>
      </c>
      <c r="X797" s="56" t="str">
        <f>MID(Tabla1[[#This Row],[Aplicación]],14,6)</f>
        <v>22706</v>
      </c>
    </row>
    <row r="798" spans="1:24" x14ac:dyDescent="0.25">
      <c r="A798" s="55">
        <v>220220045939</v>
      </c>
      <c r="B798" s="47" t="s">
        <v>507</v>
      </c>
      <c r="C798" s="52">
        <v>45014</v>
      </c>
      <c r="D798" s="46">
        <v>22022005751</v>
      </c>
      <c r="E798" s="47" t="s">
        <v>741</v>
      </c>
      <c r="F798" s="53">
        <v>131.08000000000001</v>
      </c>
      <c r="G798" s="47" t="s">
        <v>400</v>
      </c>
      <c r="H798" s="47" t="s">
        <v>1938</v>
      </c>
      <c r="I798" s="46" t="s">
        <v>511</v>
      </c>
      <c r="J798" s="47" t="s">
        <v>519</v>
      </c>
      <c r="K798" s="47" t="s">
        <v>519</v>
      </c>
      <c r="L798" s="47" t="s">
        <v>520</v>
      </c>
      <c r="M798" s="47" t="s">
        <v>514</v>
      </c>
      <c r="N798" s="47" t="s">
        <v>515</v>
      </c>
      <c r="O798" s="54" t="s">
        <v>382</v>
      </c>
      <c r="P798" s="44" t="s">
        <v>309</v>
      </c>
      <c r="Q798" s="59" t="str">
        <f>MID(Tabla1[[#This Row],[Aplicación]],14,1)</f>
        <v>6</v>
      </c>
      <c r="R798" s="35" t="s">
        <v>299</v>
      </c>
      <c r="S798" s="59" t="str">
        <f>MID(Tabla1[[#This Row],[Aplicación]],6,2)</f>
        <v>07</v>
      </c>
      <c r="T798" s="35" t="str">
        <f>VLOOKUP(Tabla1[[#This Row],[AREA]],Hoja1!A:B,2,FALSE)</f>
        <v>07. Medio ambiente y desarrollo sostenible</v>
      </c>
      <c r="U798" s="35" t="str">
        <f>MID(Tabla1[[#This Row],[Aplicación]],9,4)</f>
        <v>1711</v>
      </c>
      <c r="V798" s="35" t="str">
        <f>VLOOKUP(Tabla1[[#This Row],[PROGRAMA]],Hoja1!A:B,2,FALSE)</f>
        <v>1711. Parques y jardines</v>
      </c>
      <c r="W798" s="56" t="str">
        <f>MID(Tabla1[[#This Row],[Aplicación]],14,2)</f>
        <v>61</v>
      </c>
      <c r="X798" s="56" t="str">
        <f>MID(Tabla1[[#This Row],[Aplicación]],14,6)</f>
        <v>619</v>
      </c>
    </row>
    <row r="799" spans="1:24" x14ac:dyDescent="0.25">
      <c r="A799" s="46">
        <v>220230002064</v>
      </c>
      <c r="B799" s="47" t="s">
        <v>507</v>
      </c>
      <c r="C799" s="52">
        <v>44963</v>
      </c>
      <c r="D799" s="46">
        <v>22023001824</v>
      </c>
      <c r="E799" s="47" t="s">
        <v>1315</v>
      </c>
      <c r="F799" s="53">
        <v>1210</v>
      </c>
      <c r="G799" s="47" t="s">
        <v>1879</v>
      </c>
      <c r="H799" s="47" t="s">
        <v>1939</v>
      </c>
      <c r="I799" s="46" t="s">
        <v>511</v>
      </c>
      <c r="J799" s="47" t="s">
        <v>545</v>
      </c>
      <c r="K799" s="47" t="s">
        <v>545</v>
      </c>
      <c r="L799" s="47" t="s">
        <v>520</v>
      </c>
      <c r="M799" s="47" t="s">
        <v>514</v>
      </c>
      <c r="N799" s="47" t="s">
        <v>515</v>
      </c>
      <c r="O799" s="45" t="s">
        <v>382</v>
      </c>
      <c r="P799" s="44" t="s">
        <v>309</v>
      </c>
      <c r="Q799" s="59" t="str">
        <f>MID(Tabla1[[#This Row],[Aplicación]],14,1)</f>
        <v>2</v>
      </c>
      <c r="R799" s="35" t="s">
        <v>298</v>
      </c>
      <c r="S799" s="59" t="str">
        <f>MID(Tabla1[[#This Row],[Aplicación]],6,2)</f>
        <v>01</v>
      </c>
      <c r="T799" s="35" t="str">
        <f>VLOOKUP(Tabla1[[#This Row],[AREA]],Hoja1!A:B,2,FALSE)</f>
        <v>01. Alcaldía</v>
      </c>
      <c r="U799" s="35" t="str">
        <f>MID(Tabla1[[#This Row],[Aplicación]],9,4)</f>
        <v>9207</v>
      </c>
      <c r="V799" s="35" t="str">
        <f>VLOOKUP(Tabla1[[#This Row],[PROGRAMA]],Hoja1!A:B,2,FALSE)</f>
        <v>9207. Gobierno y relaciones</v>
      </c>
      <c r="W799" s="56" t="str">
        <f>MID(Tabla1[[#This Row],[Aplicación]],14,2)</f>
        <v>22</v>
      </c>
      <c r="X799" s="56" t="str">
        <f>MID(Tabla1[[#This Row],[Aplicación]],14,6)</f>
        <v>22602</v>
      </c>
    </row>
    <row r="800" spans="1:24" x14ac:dyDescent="0.25">
      <c r="A800" s="46">
        <v>220230002386</v>
      </c>
      <c r="B800" s="47" t="s">
        <v>507</v>
      </c>
      <c r="C800" s="52">
        <v>44964</v>
      </c>
      <c r="D800" s="46">
        <v>22023000209</v>
      </c>
      <c r="E800" s="47" t="s">
        <v>944</v>
      </c>
      <c r="F800" s="53">
        <v>431645.76</v>
      </c>
      <c r="G800" s="47" t="s">
        <v>1940</v>
      </c>
      <c r="H800" s="47" t="s">
        <v>1941</v>
      </c>
      <c r="I800" s="46" t="s">
        <v>511</v>
      </c>
      <c r="J800" s="47" t="s">
        <v>729</v>
      </c>
      <c r="K800" s="47" t="s">
        <v>729</v>
      </c>
      <c r="L800" s="47" t="s">
        <v>520</v>
      </c>
      <c r="M800" s="47" t="s">
        <v>514</v>
      </c>
      <c r="N800" s="47" t="s">
        <v>515</v>
      </c>
      <c r="O800" s="45" t="s">
        <v>371</v>
      </c>
      <c r="P800" s="44" t="s">
        <v>309</v>
      </c>
      <c r="Q800" s="59" t="str">
        <f>MID(Tabla1[[#This Row],[Aplicación]],14,1)</f>
        <v>2</v>
      </c>
      <c r="R800" s="35" t="s">
        <v>298</v>
      </c>
      <c r="S800" s="59" t="str">
        <f>MID(Tabla1[[#This Row],[Aplicación]],6,2)</f>
        <v>04</v>
      </c>
      <c r="T800" s="35" t="str">
        <f>VLOOKUP(Tabla1[[#This Row],[AREA]],Hoja1!A:B,2,FALSE)</f>
        <v>04. Planificación y recursos</v>
      </c>
      <c r="U800" s="35" t="str">
        <f>MID(Tabla1[[#This Row],[Aplicación]],9,4)</f>
        <v>9231</v>
      </c>
      <c r="V800" s="35" t="str">
        <f>VLOOKUP(Tabla1[[#This Row],[PROGRAMA]],Hoja1!A:B,2,FALSE)</f>
        <v>9231. Información, registro y gestión del padrón</v>
      </c>
      <c r="W800" s="56" t="str">
        <f>MID(Tabla1[[#This Row],[Aplicación]],14,2)</f>
        <v>22</v>
      </c>
      <c r="X800" s="56" t="str">
        <f>MID(Tabla1[[#This Row],[Aplicación]],14,6)</f>
        <v>22799</v>
      </c>
    </row>
    <row r="801" spans="1:24" x14ac:dyDescent="0.25">
      <c r="A801" s="46">
        <v>220230002384</v>
      </c>
      <c r="B801" s="47" t="s">
        <v>507</v>
      </c>
      <c r="C801" s="52">
        <v>44964</v>
      </c>
      <c r="D801" s="46">
        <v>22023000068</v>
      </c>
      <c r="E801" s="47" t="s">
        <v>1386</v>
      </c>
      <c r="F801" s="53">
        <v>9922</v>
      </c>
      <c r="G801" s="47" t="s">
        <v>28</v>
      </c>
      <c r="H801" s="47" t="s">
        <v>1942</v>
      </c>
      <c r="I801" s="46" t="s">
        <v>511</v>
      </c>
      <c r="J801" s="47" t="s">
        <v>755</v>
      </c>
      <c r="K801" s="47" t="s">
        <v>755</v>
      </c>
      <c r="L801" s="47" t="s">
        <v>520</v>
      </c>
      <c r="M801" s="47" t="s">
        <v>976</v>
      </c>
      <c r="N801" s="47" t="s">
        <v>839</v>
      </c>
      <c r="O801" s="45" t="s">
        <v>383</v>
      </c>
      <c r="P801" s="44" t="s">
        <v>309</v>
      </c>
      <c r="Q801" s="59" t="str">
        <f>MID(Tabla1[[#This Row],[Aplicación]],14,1)</f>
        <v>2</v>
      </c>
      <c r="R801" s="35" t="s">
        <v>298</v>
      </c>
      <c r="S801" s="59" t="str">
        <f>MID(Tabla1[[#This Row],[Aplicación]],6,2)</f>
        <v>01</v>
      </c>
      <c r="T801" s="35" t="str">
        <f>VLOOKUP(Tabla1[[#This Row],[AREA]],Hoja1!A:B,2,FALSE)</f>
        <v>01. Alcaldía</v>
      </c>
      <c r="U801" s="35" t="str">
        <f>MID(Tabla1[[#This Row],[Aplicación]],9,4)</f>
        <v>9207</v>
      </c>
      <c r="V801" s="35" t="str">
        <f>VLOOKUP(Tabla1[[#This Row],[PROGRAMA]],Hoja1!A:B,2,FALSE)</f>
        <v>9207. Gobierno y relaciones</v>
      </c>
      <c r="W801" s="56" t="str">
        <f>MID(Tabla1[[#This Row],[Aplicación]],14,2)</f>
        <v>22</v>
      </c>
      <c r="X801" s="56" t="str">
        <f>MID(Tabla1[[#This Row],[Aplicación]],14,6)</f>
        <v>22001</v>
      </c>
    </row>
    <row r="802" spans="1:24" x14ac:dyDescent="0.25">
      <c r="A802" s="46">
        <v>220230002383</v>
      </c>
      <c r="B802" s="47" t="s">
        <v>507</v>
      </c>
      <c r="C802" s="52">
        <v>44964</v>
      </c>
      <c r="D802" s="46">
        <v>22023000067</v>
      </c>
      <c r="E802" s="47" t="s">
        <v>1386</v>
      </c>
      <c r="F802" s="53">
        <v>11750.25</v>
      </c>
      <c r="G802" s="47" t="s">
        <v>27</v>
      </c>
      <c r="H802" s="47" t="s">
        <v>1943</v>
      </c>
      <c r="I802" s="46" t="s">
        <v>511</v>
      </c>
      <c r="J802" s="47" t="s">
        <v>512</v>
      </c>
      <c r="K802" s="47" t="s">
        <v>512</v>
      </c>
      <c r="L802" s="47" t="s">
        <v>520</v>
      </c>
      <c r="M802" s="47" t="s">
        <v>976</v>
      </c>
      <c r="N802" s="47" t="s">
        <v>839</v>
      </c>
      <c r="O802" s="45" t="s">
        <v>383</v>
      </c>
      <c r="P802" s="44" t="s">
        <v>309</v>
      </c>
      <c r="Q802" s="59" t="str">
        <f>MID(Tabla1[[#This Row],[Aplicación]],14,1)</f>
        <v>2</v>
      </c>
      <c r="R802" s="35" t="s">
        <v>298</v>
      </c>
      <c r="S802" s="59" t="str">
        <f>MID(Tabla1[[#This Row],[Aplicación]],6,2)</f>
        <v>01</v>
      </c>
      <c r="T802" s="35" t="str">
        <f>VLOOKUP(Tabla1[[#This Row],[AREA]],Hoja1!A:B,2,FALSE)</f>
        <v>01. Alcaldía</v>
      </c>
      <c r="U802" s="35" t="str">
        <f>MID(Tabla1[[#This Row],[Aplicación]],9,4)</f>
        <v>9207</v>
      </c>
      <c r="V802" s="35" t="str">
        <f>VLOOKUP(Tabla1[[#This Row],[PROGRAMA]],Hoja1!A:B,2,FALSE)</f>
        <v>9207. Gobierno y relaciones</v>
      </c>
      <c r="W802" s="56" t="str">
        <f>MID(Tabla1[[#This Row],[Aplicación]],14,2)</f>
        <v>22</v>
      </c>
      <c r="X802" s="56" t="str">
        <f>MID(Tabla1[[#This Row],[Aplicación]],14,6)</f>
        <v>22001</v>
      </c>
    </row>
    <row r="803" spans="1:24" x14ac:dyDescent="0.25">
      <c r="A803" s="46">
        <v>220230002385</v>
      </c>
      <c r="B803" s="47" t="s">
        <v>507</v>
      </c>
      <c r="C803" s="52">
        <v>44964</v>
      </c>
      <c r="D803" s="46">
        <v>22023000071</v>
      </c>
      <c r="E803" s="47" t="s">
        <v>1191</v>
      </c>
      <c r="F803" s="53">
        <v>13068</v>
      </c>
      <c r="G803" s="47" t="s">
        <v>118</v>
      </c>
      <c r="H803" s="47" t="s">
        <v>1944</v>
      </c>
      <c r="I803" s="46" t="s">
        <v>511</v>
      </c>
      <c r="J803" s="47" t="s">
        <v>519</v>
      </c>
      <c r="K803" s="47" t="s">
        <v>519</v>
      </c>
      <c r="L803" s="47" t="s">
        <v>520</v>
      </c>
      <c r="M803" s="47" t="s">
        <v>976</v>
      </c>
      <c r="N803" s="47" t="s">
        <v>839</v>
      </c>
      <c r="O803" s="45" t="s">
        <v>383</v>
      </c>
      <c r="P803" s="44" t="s">
        <v>309</v>
      </c>
      <c r="Q803" s="59" t="str">
        <f>MID(Tabla1[[#This Row],[Aplicación]],14,1)</f>
        <v>2</v>
      </c>
      <c r="R803" s="35" t="s">
        <v>298</v>
      </c>
      <c r="S803" s="59" t="str">
        <f>MID(Tabla1[[#This Row],[Aplicación]],6,2)</f>
        <v>06</v>
      </c>
      <c r="T803" s="35" t="str">
        <f>VLOOKUP(Tabla1[[#This Row],[AREA]],Hoja1!A:B,2,FALSE)</f>
        <v>06. Educación, infancia, juventud e igualdad</v>
      </c>
      <c r="U803" s="35" t="str">
        <f>MID(Tabla1[[#This Row],[Aplicación]],9,4)</f>
        <v>2315</v>
      </c>
      <c r="V803" s="35" t="str">
        <f>VLOOKUP(Tabla1[[#This Row],[PROGRAMA]],Hoja1!A:B,2,FALSE)</f>
        <v>2315. Políticas de Igualdad e infancia</v>
      </c>
      <c r="W803" s="56" t="str">
        <f>MID(Tabla1[[#This Row],[Aplicación]],14,2)</f>
        <v>22</v>
      </c>
      <c r="X803" s="56" t="str">
        <f>MID(Tabla1[[#This Row],[Aplicación]],14,6)</f>
        <v>22611</v>
      </c>
    </row>
    <row r="804" spans="1:24" x14ac:dyDescent="0.25">
      <c r="A804" s="46">
        <v>220230002391</v>
      </c>
      <c r="B804" s="47" t="s">
        <v>507</v>
      </c>
      <c r="C804" s="52">
        <v>44964</v>
      </c>
      <c r="D804" s="46">
        <v>22023001405</v>
      </c>
      <c r="E804" s="47" t="s">
        <v>665</v>
      </c>
      <c r="F804" s="53">
        <v>12083.06</v>
      </c>
      <c r="G804" s="47" t="s">
        <v>421</v>
      </c>
      <c r="H804" s="47" t="s">
        <v>1945</v>
      </c>
      <c r="I804" s="46" t="s">
        <v>511</v>
      </c>
      <c r="J804" s="47" t="s">
        <v>519</v>
      </c>
      <c r="K804" s="47" t="s">
        <v>519</v>
      </c>
      <c r="L804" s="47" t="s">
        <v>552</v>
      </c>
      <c r="M804" s="47" t="s">
        <v>976</v>
      </c>
      <c r="N804" s="47" t="s">
        <v>839</v>
      </c>
      <c r="O804" s="45" t="s">
        <v>383</v>
      </c>
      <c r="P804" s="44" t="s">
        <v>309</v>
      </c>
      <c r="Q804" s="59" t="str">
        <f>MID(Tabla1[[#This Row],[Aplicación]],14,1)</f>
        <v>2</v>
      </c>
      <c r="R804" s="35" t="s">
        <v>298</v>
      </c>
      <c r="S804" s="59" t="str">
        <f>MID(Tabla1[[#This Row],[Aplicación]],6,2)</f>
        <v>08</v>
      </c>
      <c r="T804" s="35" t="str">
        <f>VLOOKUP(Tabla1[[#This Row],[AREA]],Hoja1!A:B,2,FALSE)</f>
        <v>08. Movilidad y espacio urbano</v>
      </c>
      <c r="U804" s="35" t="str">
        <f>MID(Tabla1[[#This Row],[Aplicación]],9,4)</f>
        <v>1532</v>
      </c>
      <c r="V804" s="35" t="str">
        <f>VLOOKUP(Tabla1[[#This Row],[PROGRAMA]],Hoja1!A:B,2,FALSE)</f>
        <v>1532. Pavimentación vias públicas y otros servicios urbanísticos</v>
      </c>
      <c r="W804" s="56" t="str">
        <f>MID(Tabla1[[#This Row],[Aplicación]],14,2)</f>
        <v>21</v>
      </c>
      <c r="X804" s="56" t="str">
        <f>MID(Tabla1[[#This Row],[Aplicación]],14,6)</f>
        <v>213</v>
      </c>
    </row>
    <row r="805" spans="1:24" x14ac:dyDescent="0.25">
      <c r="A805" s="55">
        <v>220220058322</v>
      </c>
      <c r="B805" s="47" t="s">
        <v>507</v>
      </c>
      <c r="C805" s="52">
        <v>45014</v>
      </c>
      <c r="D805" s="46">
        <v>22022007223</v>
      </c>
      <c r="E805" s="47" t="s">
        <v>1272</v>
      </c>
      <c r="F805" s="53">
        <v>15.06</v>
      </c>
      <c r="G805" s="47" t="s">
        <v>346</v>
      </c>
      <c r="H805" s="47" t="s">
        <v>1946</v>
      </c>
      <c r="I805" s="46" t="s">
        <v>511</v>
      </c>
      <c r="J805" s="47" t="s">
        <v>519</v>
      </c>
      <c r="K805" s="47" t="s">
        <v>519</v>
      </c>
      <c r="L805" s="47" t="s">
        <v>527</v>
      </c>
      <c r="M805" s="47" t="s">
        <v>514</v>
      </c>
      <c r="N805" s="47" t="s">
        <v>515</v>
      </c>
      <c r="O805" s="54" t="s">
        <v>371</v>
      </c>
      <c r="P805" s="44" t="s">
        <v>309</v>
      </c>
      <c r="Q805" s="59" t="str">
        <f>MID(Tabla1[[#This Row],[Aplicación]],14,1)</f>
        <v>6</v>
      </c>
      <c r="R805" s="35" t="s">
        <v>299</v>
      </c>
      <c r="S805" s="59" t="str">
        <f>MID(Tabla1[[#This Row],[Aplicación]],6,2)</f>
        <v>02</v>
      </c>
      <c r="T805" s="35" t="str">
        <f>VLOOKUP(Tabla1[[#This Row],[AREA]],Hoja1!A:B,2,FALSE)</f>
        <v>02. Planeamiento urbanístico y vivienda</v>
      </c>
      <c r="U805" s="35" t="str">
        <f>MID(Tabla1[[#This Row],[Aplicación]],9,4)</f>
        <v>9332</v>
      </c>
      <c r="V805" s="35" t="str">
        <f>VLOOKUP(Tabla1[[#This Row],[PROGRAMA]],Hoja1!A:B,2,FALSE)</f>
        <v>9332. Mantenimiento de edificios e instalaciones municipales</v>
      </c>
      <c r="W805" s="56" t="str">
        <f>MID(Tabla1[[#This Row],[Aplicación]],14,2)</f>
        <v>63</v>
      </c>
      <c r="X805" s="56" t="str">
        <f>MID(Tabla1[[#This Row],[Aplicación]],14,6)</f>
        <v>632</v>
      </c>
    </row>
    <row r="806" spans="1:24" x14ac:dyDescent="0.25">
      <c r="A806" s="46">
        <v>220230001786</v>
      </c>
      <c r="B806" s="47" t="s">
        <v>507</v>
      </c>
      <c r="C806" s="52">
        <v>44960</v>
      </c>
      <c r="D806" s="46">
        <v>22023000052</v>
      </c>
      <c r="E806" s="47" t="s">
        <v>1395</v>
      </c>
      <c r="F806" s="53">
        <v>1113.2</v>
      </c>
      <c r="G806" s="47" t="s">
        <v>30</v>
      </c>
      <c r="H806" s="47" t="s">
        <v>1947</v>
      </c>
      <c r="I806" s="46" t="s">
        <v>511</v>
      </c>
      <c r="J806" s="47" t="s">
        <v>519</v>
      </c>
      <c r="K806" s="47" t="s">
        <v>519</v>
      </c>
      <c r="L806" s="47" t="s">
        <v>520</v>
      </c>
      <c r="M806" s="47" t="s">
        <v>976</v>
      </c>
      <c r="N806" s="47" t="s">
        <v>839</v>
      </c>
      <c r="O806" s="45" t="s">
        <v>383</v>
      </c>
      <c r="P806" s="44" t="s">
        <v>309</v>
      </c>
      <c r="Q806" s="59" t="str">
        <f>MID(Tabla1[[#This Row],[Aplicación]],14,1)</f>
        <v>2</v>
      </c>
      <c r="R806" s="35" t="s">
        <v>298</v>
      </c>
      <c r="S806" s="59" t="str">
        <f>MID(Tabla1[[#This Row],[Aplicación]],6,2)</f>
        <v>07</v>
      </c>
      <c r="T806" s="35" t="str">
        <f>VLOOKUP(Tabla1[[#This Row],[AREA]],Hoja1!A:B,2,FALSE)</f>
        <v>07. Medio ambiente y desarrollo sostenible</v>
      </c>
      <c r="U806" s="35" t="str">
        <f>MID(Tabla1[[#This Row],[Aplicación]],9,4)</f>
        <v>1721</v>
      </c>
      <c r="V806" s="35" t="str">
        <f>VLOOKUP(Tabla1[[#This Row],[PROGRAMA]],Hoja1!A:B,2,FALSE)</f>
        <v>1721. Protección del medio ambiente</v>
      </c>
      <c r="W806" s="56" t="str">
        <f>MID(Tabla1[[#This Row],[Aplicación]],14,2)</f>
        <v>22</v>
      </c>
      <c r="X806" s="56" t="str">
        <f>MID(Tabla1[[#This Row],[Aplicación]],14,6)</f>
        <v>22112</v>
      </c>
    </row>
    <row r="807" spans="1:24" x14ac:dyDescent="0.25">
      <c r="A807" s="46">
        <v>220230002651</v>
      </c>
      <c r="B807" s="47" t="s">
        <v>507</v>
      </c>
      <c r="C807" s="52">
        <v>44966</v>
      </c>
      <c r="D807" s="46">
        <v>22023002349</v>
      </c>
      <c r="E807" s="47" t="s">
        <v>736</v>
      </c>
      <c r="F807" s="53">
        <v>393.25</v>
      </c>
      <c r="G807" s="47" t="s">
        <v>30</v>
      </c>
      <c r="H807" s="47" t="s">
        <v>1948</v>
      </c>
      <c r="I807" s="46" t="s">
        <v>511</v>
      </c>
      <c r="J807" s="47" t="s">
        <v>519</v>
      </c>
      <c r="K807" s="47" t="s">
        <v>519</v>
      </c>
      <c r="L807" s="47" t="s">
        <v>520</v>
      </c>
      <c r="M807" s="47" t="s">
        <v>976</v>
      </c>
      <c r="N807" s="47" t="s">
        <v>839</v>
      </c>
      <c r="O807" s="45" t="s">
        <v>383</v>
      </c>
      <c r="P807" s="44" t="s">
        <v>309</v>
      </c>
      <c r="Q807" s="59" t="str">
        <f>MID(Tabla1[[#This Row],[Aplicación]],14,1)</f>
        <v>2</v>
      </c>
      <c r="R807" s="35" t="s">
        <v>298</v>
      </c>
      <c r="S807" s="59" t="str">
        <f>MID(Tabla1[[#This Row],[Aplicación]],6,2)</f>
        <v>06</v>
      </c>
      <c r="T807" s="35" t="str">
        <f>VLOOKUP(Tabla1[[#This Row],[AREA]],Hoja1!A:B,2,FALSE)</f>
        <v>06. Educación, infancia, juventud e igualdad</v>
      </c>
      <c r="U807" s="35" t="str">
        <f>MID(Tabla1[[#This Row],[Aplicación]],9,4)</f>
        <v>3261</v>
      </c>
      <c r="V807" s="35" t="str">
        <f>VLOOKUP(Tabla1[[#This Row],[PROGRAMA]],Hoja1!A:B,2,FALSE)</f>
        <v>3261. Servicios complementarios de educación</v>
      </c>
      <c r="W807" s="56" t="str">
        <f>MID(Tabla1[[#This Row],[Aplicación]],14,2)</f>
        <v>22</v>
      </c>
      <c r="X807" s="56" t="str">
        <f>MID(Tabla1[[#This Row],[Aplicación]],14,6)</f>
        <v>22799</v>
      </c>
    </row>
    <row r="808" spans="1:24" x14ac:dyDescent="0.25">
      <c r="A808" s="46">
        <v>220230002387</v>
      </c>
      <c r="B808" s="47" t="s">
        <v>1514</v>
      </c>
      <c r="C808" s="52">
        <v>44964</v>
      </c>
      <c r="D808" s="46">
        <v>22023000187</v>
      </c>
      <c r="E808" s="47" t="s">
        <v>546</v>
      </c>
      <c r="F808" s="53">
        <v>3250000</v>
      </c>
      <c r="G808" s="47" t="s">
        <v>547</v>
      </c>
      <c r="H808" s="47" t="s">
        <v>1949</v>
      </c>
      <c r="I808" s="46" t="s">
        <v>1517</v>
      </c>
      <c r="J808" s="47" t="s">
        <v>519</v>
      </c>
      <c r="K808" s="47" t="s">
        <v>519</v>
      </c>
      <c r="L808" s="47" t="s">
        <v>520</v>
      </c>
      <c r="M808" s="47" t="s">
        <v>514</v>
      </c>
      <c r="N808" s="47" t="s">
        <v>515</v>
      </c>
      <c r="O808" s="54" t="s">
        <v>371</v>
      </c>
      <c r="P808" s="44" t="s">
        <v>309</v>
      </c>
      <c r="Q808" s="59" t="str">
        <f>MID(Tabla1[[#This Row],[Aplicación]],14,1)</f>
        <v>6</v>
      </c>
      <c r="R808" s="35" t="s">
        <v>299</v>
      </c>
      <c r="S808" s="59" t="str">
        <f>MID(Tabla1[[#This Row],[Aplicación]],6,2)</f>
        <v>08</v>
      </c>
      <c r="T808" s="35" t="str">
        <f>VLOOKUP(Tabla1[[#This Row],[AREA]],Hoja1!A:B,2,FALSE)</f>
        <v>08. Movilidad y espacio urbano</v>
      </c>
      <c r="U808" s="35" t="str">
        <f>MID(Tabla1[[#This Row],[Aplicación]],9,4)</f>
        <v>1532</v>
      </c>
      <c r="V808" s="35" t="str">
        <f>VLOOKUP(Tabla1[[#This Row],[PROGRAMA]],Hoja1!A:B,2,FALSE)</f>
        <v>1532. Pavimentación vias públicas y otros servicios urbanísticos</v>
      </c>
      <c r="W808" s="56" t="str">
        <f>MID(Tabla1[[#This Row],[Aplicación]],14,2)</f>
        <v>61</v>
      </c>
      <c r="X808" s="56" t="str">
        <f>MID(Tabla1[[#This Row],[Aplicación]],14,6)</f>
        <v>619</v>
      </c>
    </row>
    <row r="809" spans="1:24" x14ac:dyDescent="0.25">
      <c r="A809" s="46">
        <v>220230002388</v>
      </c>
      <c r="B809" s="47" t="s">
        <v>1514</v>
      </c>
      <c r="C809" s="52">
        <v>44964</v>
      </c>
      <c r="D809" s="46">
        <v>22023000206</v>
      </c>
      <c r="E809" s="47" t="s">
        <v>546</v>
      </c>
      <c r="F809" s="53">
        <v>1625000</v>
      </c>
      <c r="G809" s="47" t="s">
        <v>547</v>
      </c>
      <c r="H809" s="47" t="s">
        <v>1950</v>
      </c>
      <c r="I809" s="46" t="s">
        <v>1517</v>
      </c>
      <c r="J809" s="47" t="s">
        <v>519</v>
      </c>
      <c r="K809" s="47" t="s">
        <v>519</v>
      </c>
      <c r="L809" s="47" t="s">
        <v>520</v>
      </c>
      <c r="M809" s="47" t="s">
        <v>514</v>
      </c>
      <c r="N809" s="47" t="s">
        <v>515</v>
      </c>
      <c r="O809" s="54" t="s">
        <v>371</v>
      </c>
      <c r="P809" s="44" t="s">
        <v>309</v>
      </c>
      <c r="Q809" s="59" t="str">
        <f>MID(Tabla1[[#This Row],[Aplicación]],14,1)</f>
        <v>6</v>
      </c>
      <c r="R809" s="35" t="s">
        <v>299</v>
      </c>
      <c r="S809" s="59" t="str">
        <f>MID(Tabla1[[#This Row],[Aplicación]],6,2)</f>
        <v>08</v>
      </c>
      <c r="T809" s="35" t="str">
        <f>VLOOKUP(Tabla1[[#This Row],[AREA]],Hoja1!A:B,2,FALSE)</f>
        <v>08. Movilidad y espacio urbano</v>
      </c>
      <c r="U809" s="35" t="str">
        <f>MID(Tabla1[[#This Row],[Aplicación]],9,4)</f>
        <v>1532</v>
      </c>
      <c r="V809" s="35" t="str">
        <f>VLOOKUP(Tabla1[[#This Row],[PROGRAMA]],Hoja1!A:B,2,FALSE)</f>
        <v>1532. Pavimentación vias públicas y otros servicios urbanísticos</v>
      </c>
      <c r="W809" s="56" t="str">
        <f>MID(Tabla1[[#This Row],[Aplicación]],14,2)</f>
        <v>61</v>
      </c>
      <c r="X809" s="56" t="str">
        <f>MID(Tabla1[[#This Row],[Aplicación]],14,6)</f>
        <v>619</v>
      </c>
    </row>
    <row r="810" spans="1:24" x14ac:dyDescent="0.25">
      <c r="A810" s="46">
        <v>220230002389</v>
      </c>
      <c r="B810" s="47" t="s">
        <v>1514</v>
      </c>
      <c r="C810" s="52">
        <v>44964</v>
      </c>
      <c r="D810" s="46">
        <v>22023000207</v>
      </c>
      <c r="E810" s="47" t="s">
        <v>546</v>
      </c>
      <c r="F810" s="53">
        <v>1875000</v>
      </c>
      <c r="G810" s="47" t="s">
        <v>1951</v>
      </c>
      <c r="H810" s="47" t="s">
        <v>1952</v>
      </c>
      <c r="I810" s="46" t="s">
        <v>1517</v>
      </c>
      <c r="J810" s="47" t="s">
        <v>519</v>
      </c>
      <c r="K810" s="47" t="s">
        <v>519</v>
      </c>
      <c r="L810" s="47" t="s">
        <v>520</v>
      </c>
      <c r="M810" s="47" t="s">
        <v>514</v>
      </c>
      <c r="N810" s="47" t="s">
        <v>515</v>
      </c>
      <c r="O810" s="54" t="s">
        <v>371</v>
      </c>
      <c r="P810" s="44" t="s">
        <v>309</v>
      </c>
      <c r="Q810" s="59" t="str">
        <f>MID(Tabla1[[#This Row],[Aplicación]],14,1)</f>
        <v>6</v>
      </c>
      <c r="R810" s="35" t="s">
        <v>299</v>
      </c>
      <c r="S810" s="59" t="str">
        <f>MID(Tabla1[[#This Row],[Aplicación]],6,2)</f>
        <v>08</v>
      </c>
      <c r="T810" s="35" t="str">
        <f>VLOOKUP(Tabla1[[#This Row],[AREA]],Hoja1!A:B,2,FALSE)</f>
        <v>08. Movilidad y espacio urbano</v>
      </c>
      <c r="U810" s="35" t="str">
        <f>MID(Tabla1[[#This Row],[Aplicación]],9,4)</f>
        <v>1532</v>
      </c>
      <c r="V810" s="35" t="str">
        <f>VLOOKUP(Tabla1[[#This Row],[PROGRAMA]],Hoja1!A:B,2,FALSE)</f>
        <v>1532. Pavimentación vias públicas y otros servicios urbanísticos</v>
      </c>
      <c r="W810" s="56" t="str">
        <f>MID(Tabla1[[#This Row],[Aplicación]],14,2)</f>
        <v>61</v>
      </c>
      <c r="X810" s="56" t="str">
        <f>MID(Tabla1[[#This Row],[Aplicación]],14,6)</f>
        <v>619</v>
      </c>
    </row>
    <row r="811" spans="1:24" x14ac:dyDescent="0.25">
      <c r="A811" s="46">
        <v>220230002390</v>
      </c>
      <c r="B811" s="47" t="s">
        <v>1514</v>
      </c>
      <c r="C811" s="52">
        <v>44964</v>
      </c>
      <c r="D811" s="46">
        <v>22023000208</v>
      </c>
      <c r="E811" s="47" t="s">
        <v>546</v>
      </c>
      <c r="F811" s="53">
        <v>500000</v>
      </c>
      <c r="G811" s="47" t="s">
        <v>820</v>
      </c>
      <c r="H811" s="47" t="s">
        <v>1953</v>
      </c>
      <c r="I811" s="46" t="s">
        <v>1517</v>
      </c>
      <c r="J811" s="47" t="s">
        <v>512</v>
      </c>
      <c r="K811" s="47" t="s">
        <v>512</v>
      </c>
      <c r="L811" s="47" t="s">
        <v>520</v>
      </c>
      <c r="M811" s="47" t="s">
        <v>514</v>
      </c>
      <c r="N811" s="47" t="s">
        <v>515</v>
      </c>
      <c r="O811" s="54" t="s">
        <v>371</v>
      </c>
      <c r="P811" s="44" t="s">
        <v>309</v>
      </c>
      <c r="Q811" s="59" t="str">
        <f>MID(Tabla1[[#This Row],[Aplicación]],14,1)</f>
        <v>6</v>
      </c>
      <c r="R811" s="35" t="s">
        <v>299</v>
      </c>
      <c r="S811" s="59" t="str">
        <f>MID(Tabla1[[#This Row],[Aplicación]],6,2)</f>
        <v>08</v>
      </c>
      <c r="T811" s="35" t="str">
        <f>VLOOKUP(Tabla1[[#This Row],[AREA]],Hoja1!A:B,2,FALSE)</f>
        <v>08. Movilidad y espacio urbano</v>
      </c>
      <c r="U811" s="35" t="str">
        <f>MID(Tabla1[[#This Row],[Aplicación]],9,4)</f>
        <v>1532</v>
      </c>
      <c r="V811" s="35" t="str">
        <f>VLOOKUP(Tabla1[[#This Row],[PROGRAMA]],Hoja1!A:B,2,FALSE)</f>
        <v>1532. Pavimentación vias públicas y otros servicios urbanísticos</v>
      </c>
      <c r="W811" s="56" t="str">
        <f>MID(Tabla1[[#This Row],[Aplicación]],14,2)</f>
        <v>61</v>
      </c>
      <c r="X811" s="56" t="str">
        <f>MID(Tabla1[[#This Row],[Aplicación]],14,6)</f>
        <v>619</v>
      </c>
    </row>
    <row r="812" spans="1:24" x14ac:dyDescent="0.25">
      <c r="A812" s="46">
        <v>220230002646</v>
      </c>
      <c r="B812" s="47" t="s">
        <v>507</v>
      </c>
      <c r="C812" s="52">
        <v>44966</v>
      </c>
      <c r="D812" s="46">
        <v>22023002263</v>
      </c>
      <c r="E812" s="47" t="s">
        <v>669</v>
      </c>
      <c r="F812" s="53">
        <v>3000</v>
      </c>
      <c r="G812" s="47" t="s">
        <v>30</v>
      </c>
      <c r="H812" s="47" t="s">
        <v>1954</v>
      </c>
      <c r="I812" s="46" t="s">
        <v>511</v>
      </c>
      <c r="J812" s="47" t="s">
        <v>519</v>
      </c>
      <c r="K812" s="47" t="s">
        <v>519</v>
      </c>
      <c r="L812" s="47" t="s">
        <v>520</v>
      </c>
      <c r="M812" s="47" t="s">
        <v>976</v>
      </c>
      <c r="N812" s="47" t="s">
        <v>839</v>
      </c>
      <c r="O812" s="45" t="s">
        <v>383</v>
      </c>
      <c r="P812" s="44" t="s">
        <v>309</v>
      </c>
      <c r="Q812" s="59" t="str">
        <f>MID(Tabla1[[#This Row],[Aplicación]],14,1)</f>
        <v>2</v>
      </c>
      <c r="R812" s="35" t="s">
        <v>298</v>
      </c>
      <c r="S812" s="59" t="str">
        <f>MID(Tabla1[[#This Row],[Aplicación]],6,2)</f>
        <v>06</v>
      </c>
      <c r="T812" s="35" t="str">
        <f>VLOOKUP(Tabla1[[#This Row],[AREA]],Hoja1!A:B,2,FALSE)</f>
        <v>06. Educación, infancia, juventud e igualdad</v>
      </c>
      <c r="U812" s="35" t="str">
        <f>MID(Tabla1[[#This Row],[Aplicación]],9,4)</f>
        <v>3232</v>
      </c>
      <c r="V812" s="35" t="str">
        <f>VLOOKUP(Tabla1[[#This Row],[PROGRAMA]],Hoja1!A:B,2,FALSE)</f>
        <v>3232. Conservación y mantenimiento centros educación infantil y primaria</v>
      </c>
      <c r="W812" s="56" t="str">
        <f>MID(Tabla1[[#This Row],[Aplicación]],14,2)</f>
        <v>21</v>
      </c>
      <c r="X812" s="56" t="str">
        <f>MID(Tabla1[[#This Row],[Aplicación]],14,6)</f>
        <v>213</v>
      </c>
    </row>
    <row r="813" spans="1:24" x14ac:dyDescent="0.25">
      <c r="A813" s="46">
        <v>220230003255</v>
      </c>
      <c r="B813" s="47" t="s">
        <v>507</v>
      </c>
      <c r="C813" s="52">
        <v>44971</v>
      </c>
      <c r="D813" s="46">
        <v>22023002204</v>
      </c>
      <c r="E813" s="47" t="s">
        <v>1395</v>
      </c>
      <c r="F813" s="53">
        <v>701.8</v>
      </c>
      <c r="G813" s="47" t="s">
        <v>30</v>
      </c>
      <c r="H813" s="47" t="s">
        <v>1955</v>
      </c>
      <c r="I813" s="46" t="s">
        <v>511</v>
      </c>
      <c r="J813" s="47" t="s">
        <v>519</v>
      </c>
      <c r="K813" s="47" t="s">
        <v>519</v>
      </c>
      <c r="L813" s="47" t="s">
        <v>552</v>
      </c>
      <c r="M813" s="47" t="s">
        <v>976</v>
      </c>
      <c r="N813" s="47" t="s">
        <v>839</v>
      </c>
      <c r="O813" s="45" t="s">
        <v>383</v>
      </c>
      <c r="P813" s="44" t="s">
        <v>309</v>
      </c>
      <c r="Q813" s="59" t="str">
        <f>MID(Tabla1[[#This Row],[Aplicación]],14,1)</f>
        <v>2</v>
      </c>
      <c r="R813" s="35" t="s">
        <v>298</v>
      </c>
      <c r="S813" s="59" t="str">
        <f>MID(Tabla1[[#This Row],[Aplicación]],6,2)</f>
        <v>07</v>
      </c>
      <c r="T813" s="35" t="str">
        <f>VLOOKUP(Tabla1[[#This Row],[AREA]],Hoja1!A:B,2,FALSE)</f>
        <v>07. Medio ambiente y desarrollo sostenible</v>
      </c>
      <c r="U813" s="35" t="str">
        <f>MID(Tabla1[[#This Row],[Aplicación]],9,4)</f>
        <v>1721</v>
      </c>
      <c r="V813" s="35" t="str">
        <f>VLOOKUP(Tabla1[[#This Row],[PROGRAMA]],Hoja1!A:B,2,FALSE)</f>
        <v>1721. Protección del medio ambiente</v>
      </c>
      <c r="W813" s="56" t="str">
        <f>MID(Tabla1[[#This Row],[Aplicación]],14,2)</f>
        <v>22</v>
      </c>
      <c r="X813" s="56" t="str">
        <f>MID(Tabla1[[#This Row],[Aplicación]],14,6)</f>
        <v>22112</v>
      </c>
    </row>
    <row r="814" spans="1:24" x14ac:dyDescent="0.25">
      <c r="A814" s="46">
        <v>220230002570</v>
      </c>
      <c r="B814" s="47" t="s">
        <v>507</v>
      </c>
      <c r="C814" s="52">
        <v>44965</v>
      </c>
      <c r="D814" s="46">
        <v>22023000055</v>
      </c>
      <c r="E814" s="47" t="s">
        <v>1376</v>
      </c>
      <c r="F814" s="53">
        <v>149531.79999999999</v>
      </c>
      <c r="G814" s="47" t="s">
        <v>1956</v>
      </c>
      <c r="H814" s="47" t="s">
        <v>1957</v>
      </c>
      <c r="I814" s="46" t="s">
        <v>511</v>
      </c>
      <c r="J814" s="47" t="s">
        <v>1958</v>
      </c>
      <c r="K814" s="47" t="s">
        <v>858</v>
      </c>
      <c r="L814" s="47" t="s">
        <v>552</v>
      </c>
      <c r="M814" s="47" t="s">
        <v>514</v>
      </c>
      <c r="N814" s="47" t="s">
        <v>515</v>
      </c>
      <c r="O814" s="45" t="s">
        <v>371</v>
      </c>
      <c r="P814" s="44" t="s">
        <v>309</v>
      </c>
      <c r="Q814" s="59" t="str">
        <f>MID(Tabla1[[#This Row],[Aplicación]],14,1)</f>
        <v>2</v>
      </c>
      <c r="R814" s="35" t="s">
        <v>298</v>
      </c>
      <c r="S814" s="59" t="str">
        <f>MID(Tabla1[[#This Row],[Aplicación]],6,2)</f>
        <v>11</v>
      </c>
      <c r="T814" s="35" t="str">
        <f>VLOOKUP(Tabla1[[#This Row],[AREA]],Hoja1!A:B,2,FALSE)</f>
        <v>11. Salud pública y seguridad ciudadana</v>
      </c>
      <c r="U814" s="35" t="str">
        <f>MID(Tabla1[[#This Row],[Aplicación]],9,4)</f>
        <v>1321</v>
      </c>
      <c r="V814" s="35" t="str">
        <f>VLOOKUP(Tabla1[[#This Row],[PROGRAMA]],Hoja1!A:B,2,FALSE)</f>
        <v>1321. Policía municipal</v>
      </c>
      <c r="W814" s="56" t="str">
        <f>MID(Tabla1[[#This Row],[Aplicación]],14,2)</f>
        <v>22</v>
      </c>
      <c r="X814" s="56" t="str">
        <f>MID(Tabla1[[#This Row],[Aplicación]],14,6)</f>
        <v>22104</v>
      </c>
    </row>
    <row r="815" spans="1:24" x14ac:dyDescent="0.25">
      <c r="A815" s="46">
        <v>220230002574</v>
      </c>
      <c r="B815" s="47" t="s">
        <v>507</v>
      </c>
      <c r="C815" s="52">
        <v>44965</v>
      </c>
      <c r="D815" s="46">
        <v>22023000059</v>
      </c>
      <c r="E815" s="47" t="s">
        <v>1376</v>
      </c>
      <c r="F815" s="53">
        <v>48400</v>
      </c>
      <c r="G815" s="47" t="s">
        <v>1959</v>
      </c>
      <c r="H815" s="47" t="s">
        <v>1960</v>
      </c>
      <c r="I815" s="46" t="s">
        <v>511</v>
      </c>
      <c r="J815" s="47" t="s">
        <v>1961</v>
      </c>
      <c r="K815" s="47" t="s">
        <v>771</v>
      </c>
      <c r="L815" s="47" t="s">
        <v>552</v>
      </c>
      <c r="M815" s="47" t="s">
        <v>514</v>
      </c>
      <c r="N815" s="47" t="s">
        <v>515</v>
      </c>
      <c r="O815" s="54" t="s">
        <v>371</v>
      </c>
      <c r="P815" s="44" t="s">
        <v>309</v>
      </c>
      <c r="Q815" s="59" t="str">
        <f>MID(Tabla1[[#This Row],[Aplicación]],14,1)</f>
        <v>2</v>
      </c>
      <c r="R815" s="35" t="s">
        <v>298</v>
      </c>
      <c r="S815" s="59" t="str">
        <f>MID(Tabla1[[#This Row],[Aplicación]],6,2)</f>
        <v>11</v>
      </c>
      <c r="T815" s="35" t="str">
        <f>VLOOKUP(Tabla1[[#This Row],[AREA]],Hoja1!A:B,2,FALSE)</f>
        <v>11. Salud pública y seguridad ciudadana</v>
      </c>
      <c r="U815" s="35" t="str">
        <f>MID(Tabla1[[#This Row],[Aplicación]],9,4)</f>
        <v>1321</v>
      </c>
      <c r="V815" s="35" t="str">
        <f>VLOOKUP(Tabla1[[#This Row],[PROGRAMA]],Hoja1!A:B,2,FALSE)</f>
        <v>1321. Policía municipal</v>
      </c>
      <c r="W815" s="56" t="str">
        <f>MID(Tabla1[[#This Row],[Aplicación]],14,2)</f>
        <v>22</v>
      </c>
      <c r="X815" s="56" t="str">
        <f>MID(Tabla1[[#This Row],[Aplicación]],14,6)</f>
        <v>22104</v>
      </c>
    </row>
    <row r="816" spans="1:24" x14ac:dyDescent="0.25">
      <c r="A816" s="46">
        <v>220230002573</v>
      </c>
      <c r="B816" s="47" t="s">
        <v>507</v>
      </c>
      <c r="C816" s="52">
        <v>44965</v>
      </c>
      <c r="D816" s="46">
        <v>22023000058</v>
      </c>
      <c r="E816" s="47" t="s">
        <v>1376</v>
      </c>
      <c r="F816" s="53">
        <v>24835.25</v>
      </c>
      <c r="G816" s="47" t="s">
        <v>68</v>
      </c>
      <c r="H816" s="47" t="s">
        <v>1962</v>
      </c>
      <c r="I816" s="46" t="s">
        <v>511</v>
      </c>
      <c r="J816" s="47" t="s">
        <v>519</v>
      </c>
      <c r="K816" s="47" t="s">
        <v>519</v>
      </c>
      <c r="L816" s="47" t="s">
        <v>552</v>
      </c>
      <c r="M816" s="47" t="s">
        <v>514</v>
      </c>
      <c r="N816" s="47" t="s">
        <v>515</v>
      </c>
      <c r="O816" s="45" t="s">
        <v>371</v>
      </c>
      <c r="P816" s="44" t="s">
        <v>309</v>
      </c>
      <c r="Q816" s="59" t="str">
        <f>MID(Tabla1[[#This Row],[Aplicación]],14,1)</f>
        <v>2</v>
      </c>
      <c r="R816" s="35" t="s">
        <v>298</v>
      </c>
      <c r="S816" s="59" t="str">
        <f>MID(Tabla1[[#This Row],[Aplicación]],6,2)</f>
        <v>11</v>
      </c>
      <c r="T816" s="35" t="str">
        <f>VLOOKUP(Tabla1[[#This Row],[AREA]],Hoja1!A:B,2,FALSE)</f>
        <v>11. Salud pública y seguridad ciudadana</v>
      </c>
      <c r="U816" s="35" t="str">
        <f>MID(Tabla1[[#This Row],[Aplicación]],9,4)</f>
        <v>1321</v>
      </c>
      <c r="V816" s="35" t="str">
        <f>VLOOKUP(Tabla1[[#This Row],[PROGRAMA]],Hoja1!A:B,2,FALSE)</f>
        <v>1321. Policía municipal</v>
      </c>
      <c r="W816" s="56" t="str">
        <f>MID(Tabla1[[#This Row],[Aplicación]],14,2)</f>
        <v>22</v>
      </c>
      <c r="X816" s="56" t="str">
        <f>MID(Tabla1[[#This Row],[Aplicación]],14,6)</f>
        <v>22104</v>
      </c>
    </row>
    <row r="817" spans="1:24" x14ac:dyDescent="0.25">
      <c r="A817" s="46">
        <v>220230002575</v>
      </c>
      <c r="B817" s="47" t="s">
        <v>507</v>
      </c>
      <c r="C817" s="52">
        <v>44965</v>
      </c>
      <c r="D817" s="46">
        <v>22023000061</v>
      </c>
      <c r="E817" s="47" t="s">
        <v>1376</v>
      </c>
      <c r="F817" s="53">
        <v>23080.75</v>
      </c>
      <c r="G817" s="47" t="s">
        <v>1963</v>
      </c>
      <c r="H817" s="47" t="s">
        <v>1964</v>
      </c>
      <c r="I817" s="46" t="s">
        <v>511</v>
      </c>
      <c r="J817" s="47" t="s">
        <v>1003</v>
      </c>
      <c r="K817" s="47" t="s">
        <v>1003</v>
      </c>
      <c r="L817" s="47" t="s">
        <v>552</v>
      </c>
      <c r="M817" s="47" t="s">
        <v>514</v>
      </c>
      <c r="N817" s="47" t="s">
        <v>515</v>
      </c>
      <c r="O817" s="45" t="s">
        <v>371</v>
      </c>
      <c r="P817" s="44" t="s">
        <v>309</v>
      </c>
      <c r="Q817" s="59" t="str">
        <f>MID(Tabla1[[#This Row],[Aplicación]],14,1)</f>
        <v>2</v>
      </c>
      <c r="R817" s="35" t="s">
        <v>298</v>
      </c>
      <c r="S817" s="59" t="str">
        <f>MID(Tabla1[[#This Row],[Aplicación]],6,2)</f>
        <v>11</v>
      </c>
      <c r="T817" s="35" t="str">
        <f>VLOOKUP(Tabla1[[#This Row],[AREA]],Hoja1!A:B,2,FALSE)</f>
        <v>11. Salud pública y seguridad ciudadana</v>
      </c>
      <c r="U817" s="35" t="str">
        <f>MID(Tabla1[[#This Row],[Aplicación]],9,4)</f>
        <v>1321</v>
      </c>
      <c r="V817" s="35" t="str">
        <f>VLOOKUP(Tabla1[[#This Row],[PROGRAMA]],Hoja1!A:B,2,FALSE)</f>
        <v>1321. Policía municipal</v>
      </c>
      <c r="W817" s="56" t="str">
        <f>MID(Tabla1[[#This Row],[Aplicación]],14,2)</f>
        <v>22</v>
      </c>
      <c r="X817" s="56" t="str">
        <f>MID(Tabla1[[#This Row],[Aplicación]],14,6)</f>
        <v>22104</v>
      </c>
    </row>
    <row r="818" spans="1:24" x14ac:dyDescent="0.25">
      <c r="A818" s="46">
        <v>220230002590</v>
      </c>
      <c r="B818" s="47" t="s">
        <v>507</v>
      </c>
      <c r="C818" s="52">
        <v>44965</v>
      </c>
      <c r="D818" s="46">
        <v>22023002167</v>
      </c>
      <c r="E818" s="47" t="s">
        <v>1965</v>
      </c>
      <c r="F818" s="53">
        <v>2904</v>
      </c>
      <c r="G818" s="47" t="s">
        <v>1966</v>
      </c>
      <c r="H818" s="47" t="s">
        <v>1967</v>
      </c>
      <c r="I818" s="46" t="s">
        <v>511</v>
      </c>
      <c r="J818" s="47" t="s">
        <v>1359</v>
      </c>
      <c r="K818" s="47" t="s">
        <v>1359</v>
      </c>
      <c r="L818" s="47" t="s">
        <v>520</v>
      </c>
      <c r="M818" s="47" t="s">
        <v>976</v>
      </c>
      <c r="N818" s="47" t="s">
        <v>839</v>
      </c>
      <c r="O818" s="45" t="s">
        <v>383</v>
      </c>
      <c r="P818" s="44" t="s">
        <v>309</v>
      </c>
      <c r="Q818" s="59" t="str">
        <f>MID(Tabla1[[#This Row],[Aplicación]],14,1)</f>
        <v>2</v>
      </c>
      <c r="R818" s="35" t="s">
        <v>298</v>
      </c>
      <c r="S818" s="59" t="str">
        <f>MID(Tabla1[[#This Row],[Aplicación]],6,2)</f>
        <v>02</v>
      </c>
      <c r="T818" s="35" t="str">
        <f>VLOOKUP(Tabla1[[#This Row],[AREA]],Hoja1!A:B,2,FALSE)</f>
        <v>02. Planeamiento urbanístico y vivienda</v>
      </c>
      <c r="U818" s="35" t="str">
        <f>MID(Tabla1[[#This Row],[Aplicación]],9,4)</f>
        <v>1511</v>
      </c>
      <c r="V818" s="35" t="str">
        <f>VLOOKUP(Tabla1[[#This Row],[PROGRAMA]],Hoja1!A:B,2,FALSE)</f>
        <v>1511. Planficación y gestión del urbanismo</v>
      </c>
      <c r="W818" s="56" t="str">
        <f>MID(Tabla1[[#This Row],[Aplicación]],14,2)</f>
        <v>22</v>
      </c>
      <c r="X818" s="56" t="str">
        <f>MID(Tabla1[[#This Row],[Aplicación]],14,6)</f>
        <v>22706</v>
      </c>
    </row>
    <row r="819" spans="1:24" x14ac:dyDescent="0.25">
      <c r="A819" s="46">
        <v>220230007155</v>
      </c>
      <c r="B819" s="47" t="s">
        <v>507</v>
      </c>
      <c r="C819" s="52">
        <v>44987</v>
      </c>
      <c r="D819" s="46">
        <v>22023002840</v>
      </c>
      <c r="E819" s="47" t="s">
        <v>1150</v>
      </c>
      <c r="F819" s="53">
        <v>27.1</v>
      </c>
      <c r="G819" s="47" t="s">
        <v>39</v>
      </c>
      <c r="H819" s="47" t="s">
        <v>1968</v>
      </c>
      <c r="I819" s="46" t="s">
        <v>511</v>
      </c>
      <c r="J819" s="47" t="s">
        <v>1152</v>
      </c>
      <c r="K819" s="47" t="s">
        <v>771</v>
      </c>
      <c r="L819" s="47" t="s">
        <v>552</v>
      </c>
      <c r="M819" s="47" t="s">
        <v>976</v>
      </c>
      <c r="N819" s="47" t="s">
        <v>839</v>
      </c>
      <c r="O819" s="45" t="s">
        <v>383</v>
      </c>
      <c r="P819" s="44" t="s">
        <v>309</v>
      </c>
      <c r="Q819" s="59" t="str">
        <f>MID(Tabla1[[#This Row],[Aplicación]],14,1)</f>
        <v>2</v>
      </c>
      <c r="R819" s="35" t="s">
        <v>298</v>
      </c>
      <c r="S819" s="59" t="str">
        <f>MID(Tabla1[[#This Row],[Aplicación]],6,2)</f>
        <v>03</v>
      </c>
      <c r="T819" s="35" t="str">
        <f>VLOOKUP(Tabla1[[#This Row],[AREA]],Hoja1!A:B,2,FALSE)</f>
        <v>03. Participación ciudadana y deportes</v>
      </c>
      <c r="U819" s="35" t="str">
        <f>MID(Tabla1[[#This Row],[Aplicación]],9,4)</f>
        <v>9241</v>
      </c>
      <c r="V819" s="35" t="str">
        <f>VLOOKUP(Tabla1[[#This Row],[PROGRAMA]],Hoja1!A:B,2,FALSE)</f>
        <v>9241. Participación ciudadana</v>
      </c>
      <c r="W819" s="56" t="str">
        <f>MID(Tabla1[[#This Row],[Aplicación]],14,2)</f>
        <v>21</v>
      </c>
      <c r="X819" s="56" t="str">
        <f>MID(Tabla1[[#This Row],[Aplicación]],14,6)</f>
        <v>213</v>
      </c>
    </row>
    <row r="820" spans="1:24" x14ac:dyDescent="0.25">
      <c r="A820" s="55">
        <v>220220003951</v>
      </c>
      <c r="B820" s="47" t="s">
        <v>507</v>
      </c>
      <c r="C820" s="52">
        <v>45014</v>
      </c>
      <c r="D820" s="46">
        <v>22022002255</v>
      </c>
      <c r="E820" s="47" t="s">
        <v>1281</v>
      </c>
      <c r="F820" s="53">
        <v>5032.3100000000004</v>
      </c>
      <c r="G820" s="47" t="s">
        <v>67</v>
      </c>
      <c r="H820" s="47" t="s">
        <v>1969</v>
      </c>
      <c r="I820" s="46" t="s">
        <v>511</v>
      </c>
      <c r="J820" s="47" t="s">
        <v>953</v>
      </c>
      <c r="K820" s="47" t="s">
        <v>519</v>
      </c>
      <c r="L820" s="47" t="s">
        <v>520</v>
      </c>
      <c r="M820" s="47" t="s">
        <v>514</v>
      </c>
      <c r="N820" s="47" t="s">
        <v>515</v>
      </c>
      <c r="O820" s="54" t="s">
        <v>382</v>
      </c>
      <c r="P820" s="44" t="s">
        <v>309</v>
      </c>
      <c r="Q820" s="59" t="str">
        <f>MID(Tabla1[[#This Row],[Aplicación]],14,1)</f>
        <v>6</v>
      </c>
      <c r="R820" s="35" t="s">
        <v>299</v>
      </c>
      <c r="S820" s="59" t="str">
        <f>MID(Tabla1[[#This Row],[Aplicación]],6,2)</f>
        <v>08</v>
      </c>
      <c r="T820" s="35" t="str">
        <f>VLOOKUP(Tabla1[[#This Row],[AREA]],Hoja1!A:B,2,FALSE)</f>
        <v>08. Movilidad y espacio urbano</v>
      </c>
      <c r="U820" s="35" t="str">
        <f>MID(Tabla1[[#This Row],[Aplicación]],9,4)</f>
        <v>1532</v>
      </c>
      <c r="V820" s="35" t="str">
        <f>VLOOKUP(Tabla1[[#This Row],[PROGRAMA]],Hoja1!A:B,2,FALSE)</f>
        <v>1532. Pavimentación vias públicas y otros servicios urbanísticos</v>
      </c>
      <c r="W820" s="56" t="str">
        <f>MID(Tabla1[[#This Row],[Aplicación]],14,2)</f>
        <v>62</v>
      </c>
      <c r="X820" s="56" t="str">
        <f>MID(Tabla1[[#This Row],[Aplicación]],14,6)</f>
        <v>622</v>
      </c>
    </row>
    <row r="821" spans="1:24" x14ac:dyDescent="0.25">
      <c r="A821" s="46">
        <v>220230002545</v>
      </c>
      <c r="B821" s="47" t="s">
        <v>1249</v>
      </c>
      <c r="C821" s="52">
        <v>44965</v>
      </c>
      <c r="D821" s="46">
        <v>22023002130</v>
      </c>
      <c r="E821" s="47" t="s">
        <v>1110</v>
      </c>
      <c r="F821" s="53">
        <v>2181.61</v>
      </c>
      <c r="G821" s="47" t="s">
        <v>587</v>
      </c>
      <c r="H821" s="47" t="s">
        <v>1970</v>
      </c>
      <c r="I821" s="46" t="s">
        <v>1251</v>
      </c>
      <c r="J821" s="47" t="s">
        <v>589</v>
      </c>
      <c r="K821" s="47" t="s">
        <v>590</v>
      </c>
      <c r="L821" s="47" t="s">
        <v>552</v>
      </c>
      <c r="M821" s="47" t="s">
        <v>514</v>
      </c>
      <c r="N821" s="47" t="s">
        <v>604</v>
      </c>
      <c r="O821" s="45" t="s">
        <v>371</v>
      </c>
      <c r="P821" s="44" t="s">
        <v>309</v>
      </c>
      <c r="Q821" s="59" t="str">
        <f>MID(Tabla1[[#This Row],[Aplicación]],14,1)</f>
        <v>2</v>
      </c>
      <c r="R821" s="35" t="s">
        <v>298</v>
      </c>
      <c r="S821" s="59" t="str">
        <f>MID(Tabla1[[#This Row],[Aplicación]],6,2)</f>
        <v>06</v>
      </c>
      <c r="T821" s="35" t="str">
        <f>VLOOKUP(Tabla1[[#This Row],[AREA]],Hoja1!A:B,2,FALSE)</f>
        <v>06. Educación, infancia, juventud e igualdad</v>
      </c>
      <c r="U821" s="35" t="str">
        <f>MID(Tabla1[[#This Row],[Aplicación]],9,4)</f>
        <v>2314</v>
      </c>
      <c r="V821" s="35" t="str">
        <f>VLOOKUP(Tabla1[[#This Row],[PROGRAMA]],Hoja1!A:B,2,FALSE)</f>
        <v>2314. Centro de programas juveniles</v>
      </c>
      <c r="W821" s="56" t="str">
        <f>MID(Tabla1[[#This Row],[Aplicación]],14,2)</f>
        <v>22</v>
      </c>
      <c r="X821" s="56" t="str">
        <f>MID(Tabla1[[#This Row],[Aplicación]],14,6)</f>
        <v>22100</v>
      </c>
    </row>
    <row r="822" spans="1:24" x14ac:dyDescent="0.25">
      <c r="A822" s="46">
        <v>220230003451</v>
      </c>
      <c r="B822" s="47" t="s">
        <v>1249</v>
      </c>
      <c r="C822" s="52">
        <v>44972</v>
      </c>
      <c r="D822" s="46">
        <v>22023002292</v>
      </c>
      <c r="E822" s="47" t="s">
        <v>671</v>
      </c>
      <c r="F822" s="53">
        <v>5.58</v>
      </c>
      <c r="G822" s="47" t="s">
        <v>18</v>
      </c>
      <c r="H822" s="47" t="s">
        <v>1971</v>
      </c>
      <c r="I822" s="46" t="s">
        <v>1251</v>
      </c>
      <c r="J822" s="47" t="s">
        <v>519</v>
      </c>
      <c r="K822" s="47" t="s">
        <v>519</v>
      </c>
      <c r="L822" s="47" t="s">
        <v>520</v>
      </c>
      <c r="M822" s="47" t="s">
        <v>514</v>
      </c>
      <c r="N822" s="47" t="s">
        <v>515</v>
      </c>
      <c r="O822" s="45" t="s">
        <v>371</v>
      </c>
      <c r="P822" s="44" t="s">
        <v>309</v>
      </c>
      <c r="Q822" s="59" t="str">
        <f>MID(Tabla1[[#This Row],[Aplicación]],14,1)</f>
        <v>2</v>
      </c>
      <c r="R822" s="35" t="s">
        <v>298</v>
      </c>
      <c r="S822" s="59" t="str">
        <f>MID(Tabla1[[#This Row],[Aplicación]],6,2)</f>
        <v>06</v>
      </c>
      <c r="T822" s="35" t="str">
        <f>VLOOKUP(Tabla1[[#This Row],[AREA]],Hoja1!A:B,2,FALSE)</f>
        <v>06. Educación, infancia, juventud e igualdad</v>
      </c>
      <c r="U822" s="35" t="str">
        <f>MID(Tabla1[[#This Row],[Aplicación]],9,4)</f>
        <v>3321</v>
      </c>
      <c r="V822" s="35" t="str">
        <f>VLOOKUP(Tabla1[[#This Row],[PROGRAMA]],Hoja1!A:B,2,FALSE)</f>
        <v>3321. Bibliotecas públicas</v>
      </c>
      <c r="W822" s="56" t="str">
        <f>MID(Tabla1[[#This Row],[Aplicación]],14,2)</f>
        <v>21</v>
      </c>
      <c r="X822" s="56" t="str">
        <f>MID(Tabla1[[#This Row],[Aplicación]],14,6)</f>
        <v>213</v>
      </c>
    </row>
    <row r="823" spans="1:24" x14ac:dyDescent="0.25">
      <c r="A823" s="46">
        <v>220230002580</v>
      </c>
      <c r="B823" s="47" t="s">
        <v>507</v>
      </c>
      <c r="C823" s="52">
        <v>44965</v>
      </c>
      <c r="D823" s="46">
        <v>22023000113</v>
      </c>
      <c r="E823" s="47" t="s">
        <v>1504</v>
      </c>
      <c r="F823" s="53">
        <v>10333.4</v>
      </c>
      <c r="G823" s="47" t="s">
        <v>1972</v>
      </c>
      <c r="H823" s="47" t="s">
        <v>1973</v>
      </c>
      <c r="I823" s="46" t="s">
        <v>511</v>
      </c>
      <c r="J823" s="47" t="s">
        <v>519</v>
      </c>
      <c r="K823" s="47" t="s">
        <v>519</v>
      </c>
      <c r="L823" s="47" t="s">
        <v>520</v>
      </c>
      <c r="M823" s="47" t="s">
        <v>976</v>
      </c>
      <c r="N823" s="47" t="s">
        <v>839</v>
      </c>
      <c r="O823" s="45" t="s">
        <v>383</v>
      </c>
      <c r="P823" s="44" t="s">
        <v>309</v>
      </c>
      <c r="Q823" s="59" t="str">
        <f>MID(Tabla1[[#This Row],[Aplicación]],14,1)</f>
        <v>2</v>
      </c>
      <c r="R823" s="35" t="s">
        <v>298</v>
      </c>
      <c r="S823" s="59" t="str">
        <f>MID(Tabla1[[#This Row],[Aplicación]],6,2)</f>
        <v>04</v>
      </c>
      <c r="T823" s="35" t="str">
        <f>VLOOKUP(Tabla1[[#This Row],[AREA]],Hoja1!A:B,2,FALSE)</f>
        <v>04. Planificación y recursos</v>
      </c>
      <c r="U823" s="35" t="str">
        <f>MID(Tabla1[[#This Row],[Aplicación]],9,4)</f>
        <v>9321</v>
      </c>
      <c r="V823" s="35" t="str">
        <f>VLOOKUP(Tabla1[[#This Row],[PROGRAMA]],Hoja1!A:B,2,FALSE)</f>
        <v>9321. Gestión de ingresos e inspección</v>
      </c>
      <c r="W823" s="56" t="str">
        <f>MID(Tabla1[[#This Row],[Aplicación]],14,2)</f>
        <v>22</v>
      </c>
      <c r="X823" s="56" t="str">
        <f>MID(Tabla1[[#This Row],[Aplicación]],14,6)</f>
        <v>22799</v>
      </c>
    </row>
    <row r="824" spans="1:24" x14ac:dyDescent="0.25">
      <c r="A824" s="46">
        <v>220230002586</v>
      </c>
      <c r="B824" s="47" t="s">
        <v>507</v>
      </c>
      <c r="C824" s="52">
        <v>44965</v>
      </c>
      <c r="D824" s="46">
        <v>22023001693</v>
      </c>
      <c r="E824" s="47" t="s">
        <v>835</v>
      </c>
      <c r="F824" s="53">
        <v>17666</v>
      </c>
      <c r="G824" s="47" t="s">
        <v>19</v>
      </c>
      <c r="H824" s="47" t="s">
        <v>1974</v>
      </c>
      <c r="I824" s="46" t="s">
        <v>511</v>
      </c>
      <c r="J824" s="47" t="s">
        <v>519</v>
      </c>
      <c r="K824" s="47" t="s">
        <v>519</v>
      </c>
      <c r="L824" s="47" t="s">
        <v>520</v>
      </c>
      <c r="M824" s="47" t="s">
        <v>976</v>
      </c>
      <c r="N824" s="47" t="s">
        <v>839</v>
      </c>
      <c r="O824" s="45" t="s">
        <v>383</v>
      </c>
      <c r="P824" s="44" t="s">
        <v>309</v>
      </c>
      <c r="Q824" s="59" t="str">
        <f>MID(Tabla1[[#This Row],[Aplicación]],14,1)</f>
        <v>2</v>
      </c>
      <c r="R824" s="35" t="s">
        <v>298</v>
      </c>
      <c r="S824" s="59" t="str">
        <f>MID(Tabla1[[#This Row],[Aplicación]],6,2)</f>
        <v>05</v>
      </c>
      <c r="T824" s="35" t="str">
        <f>VLOOKUP(Tabla1[[#This Row],[AREA]],Hoja1!A:B,2,FALSE)</f>
        <v>05. Innovación, desarrollo económico, empleo y comercio</v>
      </c>
      <c r="U824" s="35" t="str">
        <f>MID(Tabla1[[#This Row],[Aplicación]],9,4)</f>
        <v>4331</v>
      </c>
      <c r="V824" s="35" t="str">
        <f>VLOOKUP(Tabla1[[#This Row],[PROGRAMA]],Hoja1!A:B,2,FALSE)</f>
        <v>4331. Desarrollo empresarial</v>
      </c>
      <c r="W824" s="56" t="str">
        <f>MID(Tabla1[[#This Row],[Aplicación]],14,2)</f>
        <v>22</v>
      </c>
      <c r="X824" s="56" t="str">
        <f>MID(Tabla1[[#This Row],[Aplicación]],14,6)</f>
        <v>22799</v>
      </c>
    </row>
    <row r="825" spans="1:24" x14ac:dyDescent="0.25">
      <c r="A825" s="46">
        <v>220230002539</v>
      </c>
      <c r="B825" s="47" t="s">
        <v>1249</v>
      </c>
      <c r="C825" s="52">
        <v>44965</v>
      </c>
      <c r="D825" s="46">
        <v>22023002107</v>
      </c>
      <c r="E825" s="47" t="s">
        <v>669</v>
      </c>
      <c r="F825" s="53">
        <v>1214.44</v>
      </c>
      <c r="G825" s="47" t="s">
        <v>1621</v>
      </c>
      <c r="H825" s="47" t="s">
        <v>1975</v>
      </c>
      <c r="I825" s="46" t="s">
        <v>1251</v>
      </c>
      <c r="J825" s="47" t="s">
        <v>1623</v>
      </c>
      <c r="K825" s="47" t="s">
        <v>1624</v>
      </c>
      <c r="L825" s="47" t="s">
        <v>520</v>
      </c>
      <c r="M825" s="47" t="s">
        <v>976</v>
      </c>
      <c r="N825" s="47" t="s">
        <v>839</v>
      </c>
      <c r="O825" s="45" t="s">
        <v>383</v>
      </c>
      <c r="P825" s="44" t="s">
        <v>309</v>
      </c>
      <c r="Q825" s="59" t="str">
        <f>MID(Tabla1[[#This Row],[Aplicación]],14,1)</f>
        <v>2</v>
      </c>
      <c r="R825" s="35" t="s">
        <v>298</v>
      </c>
      <c r="S825" s="59" t="str">
        <f>MID(Tabla1[[#This Row],[Aplicación]],6,2)</f>
        <v>06</v>
      </c>
      <c r="T825" s="35" t="str">
        <f>VLOOKUP(Tabla1[[#This Row],[AREA]],Hoja1!A:B,2,FALSE)</f>
        <v>06. Educación, infancia, juventud e igualdad</v>
      </c>
      <c r="U825" s="35" t="str">
        <f>MID(Tabla1[[#This Row],[Aplicación]],9,4)</f>
        <v>3232</v>
      </c>
      <c r="V825" s="35" t="str">
        <f>VLOOKUP(Tabla1[[#This Row],[PROGRAMA]],Hoja1!A:B,2,FALSE)</f>
        <v>3232. Conservación y mantenimiento centros educación infantil y primaria</v>
      </c>
      <c r="W825" s="56" t="str">
        <f>MID(Tabla1[[#This Row],[Aplicación]],14,2)</f>
        <v>21</v>
      </c>
      <c r="X825" s="56" t="str">
        <f>MID(Tabla1[[#This Row],[Aplicación]],14,6)</f>
        <v>213</v>
      </c>
    </row>
    <row r="826" spans="1:24" x14ac:dyDescent="0.25">
      <c r="A826" s="46">
        <v>220230003264</v>
      </c>
      <c r="B826" s="47" t="s">
        <v>507</v>
      </c>
      <c r="C826" s="52">
        <v>44971</v>
      </c>
      <c r="D826" s="46">
        <v>22023002377</v>
      </c>
      <c r="E826" s="47" t="s">
        <v>1395</v>
      </c>
      <c r="F826" s="53">
        <v>907.5</v>
      </c>
      <c r="G826" s="47" t="s">
        <v>30</v>
      </c>
      <c r="H826" s="47" t="s">
        <v>1976</v>
      </c>
      <c r="I826" s="46" t="s">
        <v>511</v>
      </c>
      <c r="J826" s="47" t="s">
        <v>519</v>
      </c>
      <c r="K826" s="47" t="s">
        <v>519</v>
      </c>
      <c r="L826" s="47" t="s">
        <v>552</v>
      </c>
      <c r="M826" s="47" t="s">
        <v>976</v>
      </c>
      <c r="N826" s="47" t="s">
        <v>839</v>
      </c>
      <c r="O826" s="45" t="s">
        <v>383</v>
      </c>
      <c r="P826" s="44" t="s">
        <v>309</v>
      </c>
      <c r="Q826" s="59" t="str">
        <f>MID(Tabla1[[#This Row],[Aplicación]],14,1)</f>
        <v>2</v>
      </c>
      <c r="R826" s="35" t="s">
        <v>298</v>
      </c>
      <c r="S826" s="59" t="str">
        <f>MID(Tabla1[[#This Row],[Aplicación]],6,2)</f>
        <v>07</v>
      </c>
      <c r="T826" s="35" t="str">
        <f>VLOOKUP(Tabla1[[#This Row],[AREA]],Hoja1!A:B,2,FALSE)</f>
        <v>07. Medio ambiente y desarrollo sostenible</v>
      </c>
      <c r="U826" s="35" t="str">
        <f>MID(Tabla1[[#This Row],[Aplicación]],9,4)</f>
        <v>1721</v>
      </c>
      <c r="V826" s="35" t="str">
        <f>VLOOKUP(Tabla1[[#This Row],[PROGRAMA]],Hoja1!A:B,2,FALSE)</f>
        <v>1721. Protección del medio ambiente</v>
      </c>
      <c r="W826" s="56" t="str">
        <f>MID(Tabla1[[#This Row],[Aplicación]],14,2)</f>
        <v>22</v>
      </c>
      <c r="X826" s="56" t="str">
        <f>MID(Tabla1[[#This Row],[Aplicación]],14,6)</f>
        <v>22112</v>
      </c>
    </row>
    <row r="827" spans="1:24" x14ac:dyDescent="0.25">
      <c r="A827" s="46">
        <v>220230008476</v>
      </c>
      <c r="B827" s="47" t="s">
        <v>1249</v>
      </c>
      <c r="C827" s="52">
        <v>45000</v>
      </c>
      <c r="D827" s="46">
        <v>22023003001</v>
      </c>
      <c r="E827" s="47" t="s">
        <v>667</v>
      </c>
      <c r="F827" s="53">
        <v>363</v>
      </c>
      <c r="G827" s="47" t="s">
        <v>30</v>
      </c>
      <c r="H827" s="47" t="s">
        <v>1977</v>
      </c>
      <c r="I827" s="46" t="s">
        <v>1251</v>
      </c>
      <c r="J827" s="47" t="s">
        <v>519</v>
      </c>
      <c r="K827" s="47" t="s">
        <v>519</v>
      </c>
      <c r="L827" s="47" t="s">
        <v>652</v>
      </c>
      <c r="M827" s="47" t="s">
        <v>976</v>
      </c>
      <c r="N827" s="47" t="s">
        <v>839</v>
      </c>
      <c r="O827" s="54" t="s">
        <v>383</v>
      </c>
      <c r="P827" s="44" t="s">
        <v>309</v>
      </c>
      <c r="Q827" s="59" t="str">
        <f>MID(Tabla1[[#This Row],[Aplicación]],14,1)</f>
        <v>2</v>
      </c>
      <c r="R827" s="35" t="s">
        <v>298</v>
      </c>
      <c r="S827" s="59" t="str">
        <f>MID(Tabla1[[#This Row],[Aplicación]],6,2)</f>
        <v>03</v>
      </c>
      <c r="T827" s="35" t="str">
        <f>VLOOKUP(Tabla1[[#This Row],[AREA]],Hoja1!A:B,2,FALSE)</f>
        <v>03. Participación ciudadana y deportes</v>
      </c>
      <c r="U827" s="35" t="str">
        <f>MID(Tabla1[[#This Row],[Aplicación]],9,4)</f>
        <v>9241</v>
      </c>
      <c r="V827" s="35" t="str">
        <f>VLOOKUP(Tabla1[[#This Row],[PROGRAMA]],Hoja1!A:B,2,FALSE)</f>
        <v>9241. Participación ciudadana</v>
      </c>
      <c r="W827" s="56" t="str">
        <f>MID(Tabla1[[#This Row],[Aplicación]],14,2)</f>
        <v>20</v>
      </c>
      <c r="X827" s="56" t="str">
        <f>MID(Tabla1[[#This Row],[Aplicación]],14,6)</f>
        <v>203</v>
      </c>
    </row>
    <row r="828" spans="1:24" x14ac:dyDescent="0.25">
      <c r="A828" s="46">
        <v>220230002538</v>
      </c>
      <c r="B828" s="47" t="s">
        <v>1249</v>
      </c>
      <c r="C828" s="52">
        <v>44965</v>
      </c>
      <c r="D828" s="46">
        <v>22023002106</v>
      </c>
      <c r="E828" s="47" t="s">
        <v>1978</v>
      </c>
      <c r="F828" s="53">
        <v>136.51</v>
      </c>
      <c r="G828" s="47" t="s">
        <v>1979</v>
      </c>
      <c r="H828" s="47" t="s">
        <v>1980</v>
      </c>
      <c r="I828" s="46" t="s">
        <v>1251</v>
      </c>
      <c r="J828" s="47" t="s">
        <v>519</v>
      </c>
      <c r="K828" s="47" t="s">
        <v>519</v>
      </c>
      <c r="L828" s="47" t="s">
        <v>552</v>
      </c>
      <c r="M828" s="47" t="s">
        <v>514</v>
      </c>
      <c r="N828" s="47" t="s">
        <v>515</v>
      </c>
      <c r="O828" s="45" t="s">
        <v>382</v>
      </c>
      <c r="P828" s="44" t="s">
        <v>309</v>
      </c>
      <c r="Q828" s="59" t="str">
        <f>MID(Tabla1[[#This Row],[Aplicación]],14,1)</f>
        <v>2</v>
      </c>
      <c r="R828" s="35" t="s">
        <v>298</v>
      </c>
      <c r="S828" s="59" t="str">
        <f>MID(Tabla1[[#This Row],[Aplicación]],6,2)</f>
        <v>05</v>
      </c>
      <c r="T828" s="35" t="str">
        <f>VLOOKUP(Tabla1[[#This Row],[AREA]],Hoja1!A:B,2,FALSE)</f>
        <v>05. Innovación, desarrollo económico, empleo y comercio</v>
      </c>
      <c r="U828" s="35" t="str">
        <f>MID(Tabla1[[#This Row],[Aplicación]],9,4)</f>
        <v>4331</v>
      </c>
      <c r="V828" s="35" t="str">
        <f>VLOOKUP(Tabla1[[#This Row],[PROGRAMA]],Hoja1!A:B,2,FALSE)</f>
        <v>4331. Desarrollo empresarial</v>
      </c>
      <c r="W828" s="56" t="str">
        <f>MID(Tabla1[[#This Row],[Aplicación]],14,2)</f>
        <v>21</v>
      </c>
      <c r="X828" s="56" t="str">
        <f>MID(Tabla1[[#This Row],[Aplicación]],14,6)</f>
        <v>212</v>
      </c>
    </row>
    <row r="829" spans="1:24" x14ac:dyDescent="0.25">
      <c r="A829" s="55">
        <v>220230008965</v>
      </c>
      <c r="B829" s="47" t="s">
        <v>507</v>
      </c>
      <c r="C829" s="52">
        <v>45002</v>
      </c>
      <c r="D829" s="46">
        <v>22023003180</v>
      </c>
      <c r="E829" s="47" t="s">
        <v>1150</v>
      </c>
      <c r="F829" s="53">
        <v>211.75</v>
      </c>
      <c r="G829" s="47" t="s">
        <v>30</v>
      </c>
      <c r="H829" s="47" t="s">
        <v>1981</v>
      </c>
      <c r="I829" s="46" t="s">
        <v>511</v>
      </c>
      <c r="J829" s="47" t="s">
        <v>519</v>
      </c>
      <c r="K829" s="47" t="s">
        <v>519</v>
      </c>
      <c r="L829" s="47" t="s">
        <v>520</v>
      </c>
      <c r="M829" s="47" t="s">
        <v>976</v>
      </c>
      <c r="N829" s="47" t="s">
        <v>839</v>
      </c>
      <c r="O829" s="54" t="s">
        <v>383</v>
      </c>
      <c r="P829" s="44" t="s">
        <v>309</v>
      </c>
      <c r="Q829" s="59" t="str">
        <f>MID(Tabla1[[#This Row],[Aplicación]],14,1)</f>
        <v>2</v>
      </c>
      <c r="R829" s="35" t="s">
        <v>298</v>
      </c>
      <c r="S829" s="59" t="str">
        <f>MID(Tabla1[[#This Row],[Aplicación]],6,2)</f>
        <v>03</v>
      </c>
      <c r="T829" s="35" t="str">
        <f>VLOOKUP(Tabla1[[#This Row],[AREA]],Hoja1!A:B,2,FALSE)</f>
        <v>03. Participación ciudadana y deportes</v>
      </c>
      <c r="U829" s="35" t="str">
        <f>MID(Tabla1[[#This Row],[Aplicación]],9,4)</f>
        <v>9241</v>
      </c>
      <c r="V829" s="35" t="str">
        <f>VLOOKUP(Tabla1[[#This Row],[PROGRAMA]],Hoja1!A:B,2,FALSE)</f>
        <v>9241. Participación ciudadana</v>
      </c>
      <c r="W829" s="56" t="str">
        <f>MID(Tabla1[[#This Row],[Aplicación]],14,2)</f>
        <v>21</v>
      </c>
      <c r="X829" s="56" t="str">
        <f>MID(Tabla1[[#This Row],[Aplicación]],14,6)</f>
        <v>213</v>
      </c>
    </row>
    <row r="830" spans="1:24" x14ac:dyDescent="0.25">
      <c r="A830" s="46">
        <v>220230002524</v>
      </c>
      <c r="B830" s="47" t="s">
        <v>1514</v>
      </c>
      <c r="C830" s="52">
        <v>44965</v>
      </c>
      <c r="D830" s="46">
        <v>22023001956</v>
      </c>
      <c r="E830" s="47" t="s">
        <v>1982</v>
      </c>
      <c r="F830" s="53">
        <v>713.19</v>
      </c>
      <c r="G830" s="47" t="s">
        <v>1983</v>
      </c>
      <c r="H830" s="47" t="s">
        <v>1984</v>
      </c>
      <c r="I830" s="46" t="s">
        <v>1517</v>
      </c>
      <c r="J830" s="47" t="s">
        <v>519</v>
      </c>
      <c r="K830" s="47" t="s">
        <v>519</v>
      </c>
      <c r="L830" s="47" t="s">
        <v>520</v>
      </c>
      <c r="M830" s="47" t="s">
        <v>514</v>
      </c>
      <c r="N830" s="47" t="s">
        <v>515</v>
      </c>
      <c r="O830" s="45" t="s">
        <v>382</v>
      </c>
      <c r="P830" s="44" t="s">
        <v>309</v>
      </c>
      <c r="Q830" s="59" t="str">
        <f>MID(Tabla1[[#This Row],[Aplicación]],14,1)</f>
        <v>2</v>
      </c>
      <c r="R830" s="35" t="s">
        <v>298</v>
      </c>
      <c r="S830" s="59" t="str">
        <f>MID(Tabla1[[#This Row],[Aplicación]],6,2)</f>
        <v>07</v>
      </c>
      <c r="T830" s="35" t="str">
        <f>VLOOKUP(Tabla1[[#This Row],[AREA]],Hoja1!A:B,2,FALSE)</f>
        <v>07. Medio ambiente y desarrollo sostenible</v>
      </c>
      <c r="U830" s="35" t="str">
        <f>MID(Tabla1[[#This Row],[Aplicación]],9,4)</f>
        <v>1711</v>
      </c>
      <c r="V830" s="35" t="str">
        <f>VLOOKUP(Tabla1[[#This Row],[PROGRAMA]],Hoja1!A:B,2,FALSE)</f>
        <v>1711. Parques y jardines</v>
      </c>
      <c r="W830" s="56" t="str">
        <f>MID(Tabla1[[#This Row],[Aplicación]],14,2)</f>
        <v>21</v>
      </c>
      <c r="X830" s="56" t="str">
        <f>MID(Tabla1[[#This Row],[Aplicación]],14,6)</f>
        <v>214</v>
      </c>
    </row>
    <row r="831" spans="1:24" x14ac:dyDescent="0.25">
      <c r="A831" s="46">
        <v>220230002502</v>
      </c>
      <c r="B831" s="47" t="s">
        <v>1514</v>
      </c>
      <c r="C831" s="52">
        <v>44965</v>
      </c>
      <c r="D831" s="46">
        <v>22023001956</v>
      </c>
      <c r="E831" s="47" t="s">
        <v>1982</v>
      </c>
      <c r="F831" s="53">
        <v>2914.68</v>
      </c>
      <c r="G831" s="47" t="s">
        <v>1985</v>
      </c>
      <c r="H831" s="47" t="s">
        <v>1986</v>
      </c>
      <c r="I831" s="46" t="s">
        <v>1517</v>
      </c>
      <c r="J831" s="47" t="s">
        <v>519</v>
      </c>
      <c r="K831" s="47" t="s">
        <v>519</v>
      </c>
      <c r="L831" s="47" t="s">
        <v>520</v>
      </c>
      <c r="M831" s="47" t="s">
        <v>514</v>
      </c>
      <c r="N831" s="47" t="s">
        <v>515</v>
      </c>
      <c r="O831" s="45" t="s">
        <v>382</v>
      </c>
      <c r="P831" s="44" t="s">
        <v>309</v>
      </c>
      <c r="Q831" s="59" t="str">
        <f>MID(Tabla1[[#This Row],[Aplicación]],14,1)</f>
        <v>2</v>
      </c>
      <c r="R831" s="35" t="s">
        <v>298</v>
      </c>
      <c r="S831" s="59" t="str">
        <f>MID(Tabla1[[#This Row],[Aplicación]],6,2)</f>
        <v>07</v>
      </c>
      <c r="T831" s="35" t="str">
        <f>VLOOKUP(Tabla1[[#This Row],[AREA]],Hoja1!A:B,2,FALSE)</f>
        <v>07. Medio ambiente y desarrollo sostenible</v>
      </c>
      <c r="U831" s="35" t="str">
        <f>MID(Tabla1[[#This Row],[Aplicación]],9,4)</f>
        <v>1711</v>
      </c>
      <c r="V831" s="35" t="str">
        <f>VLOOKUP(Tabla1[[#This Row],[PROGRAMA]],Hoja1!A:B,2,FALSE)</f>
        <v>1711. Parques y jardines</v>
      </c>
      <c r="W831" s="56" t="str">
        <f>MID(Tabla1[[#This Row],[Aplicación]],14,2)</f>
        <v>21</v>
      </c>
      <c r="X831" s="56" t="str">
        <f>MID(Tabla1[[#This Row],[Aplicación]],14,6)</f>
        <v>214</v>
      </c>
    </row>
    <row r="832" spans="1:24" x14ac:dyDescent="0.25">
      <c r="A832" s="46">
        <v>220230002548</v>
      </c>
      <c r="B832" s="47" t="s">
        <v>1249</v>
      </c>
      <c r="C832" s="52">
        <v>44965</v>
      </c>
      <c r="D832" s="46">
        <v>22023002137</v>
      </c>
      <c r="E832" s="47" t="s">
        <v>1305</v>
      </c>
      <c r="F832" s="53">
        <v>807.07</v>
      </c>
      <c r="G832" s="47" t="s">
        <v>107</v>
      </c>
      <c r="H832" s="47" t="s">
        <v>1987</v>
      </c>
      <c r="I832" s="46" t="s">
        <v>1251</v>
      </c>
      <c r="J832" s="47" t="s">
        <v>519</v>
      </c>
      <c r="K832" s="47" t="s">
        <v>519</v>
      </c>
      <c r="L832" s="47" t="s">
        <v>552</v>
      </c>
      <c r="M832" s="47" t="s">
        <v>976</v>
      </c>
      <c r="N832" s="47" t="s">
        <v>839</v>
      </c>
      <c r="O832" s="45" t="s">
        <v>383</v>
      </c>
      <c r="P832" s="44" t="s">
        <v>309</v>
      </c>
      <c r="Q832" s="59" t="str">
        <f>MID(Tabla1[[#This Row],[Aplicación]],14,1)</f>
        <v>2</v>
      </c>
      <c r="R832" s="35" t="s">
        <v>298</v>
      </c>
      <c r="S832" s="59" t="str">
        <f>MID(Tabla1[[#This Row],[Aplicación]],6,2)</f>
        <v>06</v>
      </c>
      <c r="T832" s="35" t="str">
        <f>VLOOKUP(Tabla1[[#This Row],[AREA]],Hoja1!A:B,2,FALSE)</f>
        <v>06. Educación, infancia, juventud e igualdad</v>
      </c>
      <c r="U832" s="35" t="str">
        <f>MID(Tabla1[[#This Row],[Aplicación]],9,4)</f>
        <v>3232</v>
      </c>
      <c r="V832" s="35" t="str">
        <f>VLOOKUP(Tabla1[[#This Row],[PROGRAMA]],Hoja1!A:B,2,FALSE)</f>
        <v>3232. Conservación y mantenimiento centros educación infantil y primaria</v>
      </c>
      <c r="W832" s="56" t="str">
        <f>MID(Tabla1[[#This Row],[Aplicación]],14,2)</f>
        <v>21</v>
      </c>
      <c r="X832" s="56" t="str">
        <f>MID(Tabla1[[#This Row],[Aplicación]],14,6)</f>
        <v>212</v>
      </c>
    </row>
    <row r="833" spans="1:24" x14ac:dyDescent="0.25">
      <c r="A833" s="46">
        <v>220230002526</v>
      </c>
      <c r="B833" s="47" t="s">
        <v>1514</v>
      </c>
      <c r="C833" s="52">
        <v>44965</v>
      </c>
      <c r="D833" s="46">
        <v>22023001956</v>
      </c>
      <c r="E833" s="47" t="s">
        <v>1982</v>
      </c>
      <c r="F833" s="53">
        <v>319.95999999999998</v>
      </c>
      <c r="G833" s="47" t="s">
        <v>1985</v>
      </c>
      <c r="H833" s="47" t="s">
        <v>1988</v>
      </c>
      <c r="I833" s="46" t="s">
        <v>1517</v>
      </c>
      <c r="J833" s="47" t="s">
        <v>519</v>
      </c>
      <c r="K833" s="47" t="s">
        <v>519</v>
      </c>
      <c r="L833" s="47" t="s">
        <v>520</v>
      </c>
      <c r="M833" s="47" t="s">
        <v>514</v>
      </c>
      <c r="N833" s="47" t="s">
        <v>515</v>
      </c>
      <c r="O833" s="45" t="s">
        <v>382</v>
      </c>
      <c r="P833" s="44" t="s">
        <v>309</v>
      </c>
      <c r="Q833" s="59" t="str">
        <f>MID(Tabla1[[#This Row],[Aplicación]],14,1)</f>
        <v>2</v>
      </c>
      <c r="R833" s="35" t="s">
        <v>298</v>
      </c>
      <c r="S833" s="59" t="str">
        <f>MID(Tabla1[[#This Row],[Aplicación]],6,2)</f>
        <v>07</v>
      </c>
      <c r="T833" s="35" t="str">
        <f>VLOOKUP(Tabla1[[#This Row],[AREA]],Hoja1!A:B,2,FALSE)</f>
        <v>07. Medio ambiente y desarrollo sostenible</v>
      </c>
      <c r="U833" s="35" t="str">
        <f>MID(Tabla1[[#This Row],[Aplicación]],9,4)</f>
        <v>1711</v>
      </c>
      <c r="V833" s="35" t="str">
        <f>VLOOKUP(Tabla1[[#This Row],[PROGRAMA]],Hoja1!A:B,2,FALSE)</f>
        <v>1711. Parques y jardines</v>
      </c>
      <c r="W833" s="56" t="str">
        <f>MID(Tabla1[[#This Row],[Aplicación]],14,2)</f>
        <v>21</v>
      </c>
      <c r="X833" s="56" t="str">
        <f>MID(Tabla1[[#This Row],[Aplicación]],14,6)</f>
        <v>214</v>
      </c>
    </row>
    <row r="834" spans="1:24" x14ac:dyDescent="0.25">
      <c r="A834" s="46">
        <v>220230002528</v>
      </c>
      <c r="B834" s="47" t="s">
        <v>1514</v>
      </c>
      <c r="C834" s="52">
        <v>44965</v>
      </c>
      <c r="D834" s="46">
        <v>22023001956</v>
      </c>
      <c r="E834" s="47" t="s">
        <v>1982</v>
      </c>
      <c r="F834" s="53">
        <v>217.84</v>
      </c>
      <c r="G834" s="47" t="s">
        <v>1985</v>
      </c>
      <c r="H834" s="47" t="s">
        <v>1989</v>
      </c>
      <c r="I834" s="46" t="s">
        <v>1517</v>
      </c>
      <c r="J834" s="47" t="s">
        <v>519</v>
      </c>
      <c r="K834" s="47" t="s">
        <v>519</v>
      </c>
      <c r="L834" s="47" t="s">
        <v>520</v>
      </c>
      <c r="M834" s="47" t="s">
        <v>514</v>
      </c>
      <c r="N834" s="47" t="s">
        <v>515</v>
      </c>
      <c r="O834" s="45" t="s">
        <v>382</v>
      </c>
      <c r="P834" s="44" t="s">
        <v>309</v>
      </c>
      <c r="Q834" s="59" t="str">
        <f>MID(Tabla1[[#This Row],[Aplicación]],14,1)</f>
        <v>2</v>
      </c>
      <c r="R834" s="35" t="s">
        <v>298</v>
      </c>
      <c r="S834" s="59" t="str">
        <f>MID(Tabla1[[#This Row],[Aplicación]],6,2)</f>
        <v>07</v>
      </c>
      <c r="T834" s="35" t="str">
        <f>VLOOKUP(Tabla1[[#This Row],[AREA]],Hoja1!A:B,2,FALSE)</f>
        <v>07. Medio ambiente y desarrollo sostenible</v>
      </c>
      <c r="U834" s="35" t="str">
        <f>MID(Tabla1[[#This Row],[Aplicación]],9,4)</f>
        <v>1711</v>
      </c>
      <c r="V834" s="35" t="str">
        <f>VLOOKUP(Tabla1[[#This Row],[PROGRAMA]],Hoja1!A:B,2,FALSE)</f>
        <v>1711. Parques y jardines</v>
      </c>
      <c r="W834" s="56" t="str">
        <f>MID(Tabla1[[#This Row],[Aplicación]],14,2)</f>
        <v>21</v>
      </c>
      <c r="X834" s="56" t="str">
        <f>MID(Tabla1[[#This Row],[Aplicación]],14,6)</f>
        <v>214</v>
      </c>
    </row>
    <row r="835" spans="1:24" x14ac:dyDescent="0.25">
      <c r="A835" s="55">
        <v>220230008920</v>
      </c>
      <c r="B835" s="47" t="s">
        <v>507</v>
      </c>
      <c r="C835" s="52">
        <v>45002</v>
      </c>
      <c r="D835" s="46">
        <v>22023003058</v>
      </c>
      <c r="E835" s="47" t="s">
        <v>1112</v>
      </c>
      <c r="F835" s="53">
        <v>393.25</v>
      </c>
      <c r="G835" s="47" t="s">
        <v>30</v>
      </c>
      <c r="H835" s="47" t="s">
        <v>1990</v>
      </c>
      <c r="I835" s="46" t="s">
        <v>511</v>
      </c>
      <c r="J835" s="47" t="s">
        <v>519</v>
      </c>
      <c r="K835" s="47" t="s">
        <v>519</v>
      </c>
      <c r="L835" s="47" t="s">
        <v>520</v>
      </c>
      <c r="M835" s="47" t="s">
        <v>976</v>
      </c>
      <c r="N835" s="47" t="s">
        <v>839</v>
      </c>
      <c r="O835" s="54" t="s">
        <v>383</v>
      </c>
      <c r="P835" s="44" t="s">
        <v>309</v>
      </c>
      <c r="Q835" s="59" t="str">
        <f>MID(Tabla1[[#This Row],[Aplicación]],14,1)</f>
        <v>2</v>
      </c>
      <c r="R835" s="35" t="s">
        <v>298</v>
      </c>
      <c r="S835" s="59" t="str">
        <f>MID(Tabla1[[#This Row],[Aplicación]],6,2)</f>
        <v>06</v>
      </c>
      <c r="T835" s="35" t="str">
        <f>VLOOKUP(Tabla1[[#This Row],[AREA]],Hoja1!A:B,2,FALSE)</f>
        <v>06. Educación, infancia, juventud e igualdad</v>
      </c>
      <c r="U835" s="35" t="str">
        <f>MID(Tabla1[[#This Row],[Aplicación]],9,4)</f>
        <v>2315</v>
      </c>
      <c r="V835" s="35" t="str">
        <f>VLOOKUP(Tabla1[[#This Row],[PROGRAMA]],Hoja1!A:B,2,FALSE)</f>
        <v>2315. Políticas de Igualdad e infancia</v>
      </c>
      <c r="W835" s="56" t="str">
        <f>MID(Tabla1[[#This Row],[Aplicación]],14,2)</f>
        <v>22</v>
      </c>
      <c r="X835" s="56" t="str">
        <f>MID(Tabla1[[#This Row],[Aplicación]],14,6)</f>
        <v>22100</v>
      </c>
    </row>
    <row r="836" spans="1:24" x14ac:dyDescent="0.25">
      <c r="A836" s="46">
        <v>220230002576</v>
      </c>
      <c r="B836" s="47" t="s">
        <v>507</v>
      </c>
      <c r="C836" s="52">
        <v>44965</v>
      </c>
      <c r="D836" s="46">
        <v>22023000065</v>
      </c>
      <c r="E836" s="47" t="s">
        <v>1376</v>
      </c>
      <c r="F836" s="53">
        <v>7260</v>
      </c>
      <c r="G836" s="47" t="s">
        <v>70</v>
      </c>
      <c r="H836" s="47" t="s">
        <v>1991</v>
      </c>
      <c r="I836" s="46" t="s">
        <v>511</v>
      </c>
      <c r="J836" s="47" t="s">
        <v>519</v>
      </c>
      <c r="K836" s="47" t="s">
        <v>519</v>
      </c>
      <c r="L836" s="47" t="s">
        <v>552</v>
      </c>
      <c r="M836" s="47" t="s">
        <v>514</v>
      </c>
      <c r="N836" s="47" t="s">
        <v>515</v>
      </c>
      <c r="O836" s="45" t="s">
        <v>371</v>
      </c>
      <c r="P836" s="44" t="s">
        <v>309</v>
      </c>
      <c r="Q836" s="59" t="str">
        <f>MID(Tabla1[[#This Row],[Aplicación]],14,1)</f>
        <v>2</v>
      </c>
      <c r="R836" s="35" t="s">
        <v>298</v>
      </c>
      <c r="S836" s="59" t="str">
        <f>MID(Tabla1[[#This Row],[Aplicación]],6,2)</f>
        <v>11</v>
      </c>
      <c r="T836" s="35" t="str">
        <f>VLOOKUP(Tabla1[[#This Row],[AREA]],Hoja1!A:B,2,FALSE)</f>
        <v>11. Salud pública y seguridad ciudadana</v>
      </c>
      <c r="U836" s="35" t="str">
        <f>MID(Tabla1[[#This Row],[Aplicación]],9,4)</f>
        <v>1321</v>
      </c>
      <c r="V836" s="35" t="str">
        <f>VLOOKUP(Tabla1[[#This Row],[PROGRAMA]],Hoja1!A:B,2,FALSE)</f>
        <v>1321. Policía municipal</v>
      </c>
      <c r="W836" s="56" t="str">
        <f>MID(Tabla1[[#This Row],[Aplicación]],14,2)</f>
        <v>22</v>
      </c>
      <c r="X836" s="56" t="str">
        <f>MID(Tabla1[[#This Row],[Aplicación]],14,6)</f>
        <v>22104</v>
      </c>
    </row>
    <row r="837" spans="1:24" x14ac:dyDescent="0.25">
      <c r="A837" s="55">
        <v>220230008944</v>
      </c>
      <c r="B837" s="47" t="s">
        <v>507</v>
      </c>
      <c r="C837" s="52">
        <v>45002</v>
      </c>
      <c r="D837" s="46">
        <v>22023003118</v>
      </c>
      <c r="E837" s="47" t="s">
        <v>1395</v>
      </c>
      <c r="F837" s="53">
        <v>713.9</v>
      </c>
      <c r="G837" s="47" t="s">
        <v>30</v>
      </c>
      <c r="H837" s="47" t="s">
        <v>1992</v>
      </c>
      <c r="I837" s="46" t="s">
        <v>511</v>
      </c>
      <c r="J837" s="47" t="s">
        <v>519</v>
      </c>
      <c r="K837" s="47" t="s">
        <v>519</v>
      </c>
      <c r="L837" s="47" t="s">
        <v>552</v>
      </c>
      <c r="M837" s="47" t="s">
        <v>976</v>
      </c>
      <c r="N837" s="47" t="s">
        <v>839</v>
      </c>
      <c r="O837" s="54" t="s">
        <v>383</v>
      </c>
      <c r="P837" s="44" t="s">
        <v>309</v>
      </c>
      <c r="Q837" s="59" t="str">
        <f>MID(Tabla1[[#This Row],[Aplicación]],14,1)</f>
        <v>2</v>
      </c>
      <c r="R837" s="35" t="s">
        <v>298</v>
      </c>
      <c r="S837" s="59" t="str">
        <f>MID(Tabla1[[#This Row],[Aplicación]],6,2)</f>
        <v>07</v>
      </c>
      <c r="T837" s="35" t="str">
        <f>VLOOKUP(Tabla1[[#This Row],[AREA]],Hoja1!A:B,2,FALSE)</f>
        <v>07. Medio ambiente y desarrollo sostenible</v>
      </c>
      <c r="U837" s="35" t="str">
        <f>MID(Tabla1[[#This Row],[Aplicación]],9,4)</f>
        <v>1721</v>
      </c>
      <c r="V837" s="35" t="str">
        <f>VLOOKUP(Tabla1[[#This Row],[PROGRAMA]],Hoja1!A:B,2,FALSE)</f>
        <v>1721. Protección del medio ambiente</v>
      </c>
      <c r="W837" s="56" t="str">
        <f>MID(Tabla1[[#This Row],[Aplicación]],14,2)</f>
        <v>22</v>
      </c>
      <c r="X837" s="56" t="str">
        <f>MID(Tabla1[[#This Row],[Aplicación]],14,6)</f>
        <v>22112</v>
      </c>
    </row>
    <row r="838" spans="1:24" x14ac:dyDescent="0.25">
      <c r="A838" s="46">
        <v>220230002520</v>
      </c>
      <c r="B838" s="47" t="s">
        <v>1514</v>
      </c>
      <c r="C838" s="52">
        <v>44965</v>
      </c>
      <c r="D838" s="46">
        <v>22023001956</v>
      </c>
      <c r="E838" s="47" t="s">
        <v>1982</v>
      </c>
      <c r="F838" s="53">
        <v>441.86</v>
      </c>
      <c r="G838" s="47" t="s">
        <v>1993</v>
      </c>
      <c r="H838" s="47" t="s">
        <v>1994</v>
      </c>
      <c r="I838" s="46" t="s">
        <v>1517</v>
      </c>
      <c r="J838" s="47" t="s">
        <v>519</v>
      </c>
      <c r="K838" s="47" t="s">
        <v>519</v>
      </c>
      <c r="L838" s="47" t="s">
        <v>520</v>
      </c>
      <c r="M838" s="47" t="s">
        <v>514</v>
      </c>
      <c r="N838" s="47" t="s">
        <v>515</v>
      </c>
      <c r="O838" s="45" t="s">
        <v>382</v>
      </c>
      <c r="P838" s="44" t="s">
        <v>309</v>
      </c>
      <c r="Q838" s="59" t="str">
        <f>MID(Tabla1[[#This Row],[Aplicación]],14,1)</f>
        <v>2</v>
      </c>
      <c r="R838" s="35" t="s">
        <v>298</v>
      </c>
      <c r="S838" s="59" t="str">
        <f>MID(Tabla1[[#This Row],[Aplicación]],6,2)</f>
        <v>07</v>
      </c>
      <c r="T838" s="35" t="str">
        <f>VLOOKUP(Tabla1[[#This Row],[AREA]],Hoja1!A:B,2,FALSE)</f>
        <v>07. Medio ambiente y desarrollo sostenible</v>
      </c>
      <c r="U838" s="35" t="str">
        <f>MID(Tabla1[[#This Row],[Aplicación]],9,4)</f>
        <v>1711</v>
      </c>
      <c r="V838" s="35" t="str">
        <f>VLOOKUP(Tabla1[[#This Row],[PROGRAMA]],Hoja1!A:B,2,FALSE)</f>
        <v>1711. Parques y jardines</v>
      </c>
      <c r="W838" s="56" t="str">
        <f>MID(Tabla1[[#This Row],[Aplicación]],14,2)</f>
        <v>21</v>
      </c>
      <c r="X838" s="56" t="str">
        <f>MID(Tabla1[[#This Row],[Aplicación]],14,6)</f>
        <v>214</v>
      </c>
    </row>
    <row r="839" spans="1:24" x14ac:dyDescent="0.25">
      <c r="A839" s="46">
        <v>220230002534</v>
      </c>
      <c r="B839" s="47" t="s">
        <v>1514</v>
      </c>
      <c r="C839" s="52">
        <v>44965</v>
      </c>
      <c r="D839" s="46">
        <v>22023001956</v>
      </c>
      <c r="E839" s="47" t="s">
        <v>1982</v>
      </c>
      <c r="F839" s="53">
        <v>441.86</v>
      </c>
      <c r="G839" s="47" t="s">
        <v>1993</v>
      </c>
      <c r="H839" s="47" t="s">
        <v>1995</v>
      </c>
      <c r="I839" s="46" t="s">
        <v>1517</v>
      </c>
      <c r="J839" s="47" t="s">
        <v>519</v>
      </c>
      <c r="K839" s="47" t="s">
        <v>519</v>
      </c>
      <c r="L839" s="47" t="s">
        <v>520</v>
      </c>
      <c r="M839" s="47" t="s">
        <v>514</v>
      </c>
      <c r="N839" s="47" t="s">
        <v>515</v>
      </c>
      <c r="O839" s="45" t="s">
        <v>382</v>
      </c>
      <c r="P839" s="44" t="s">
        <v>309</v>
      </c>
      <c r="Q839" s="59" t="str">
        <f>MID(Tabla1[[#This Row],[Aplicación]],14,1)</f>
        <v>2</v>
      </c>
      <c r="R839" s="35" t="s">
        <v>298</v>
      </c>
      <c r="S839" s="59" t="str">
        <f>MID(Tabla1[[#This Row],[Aplicación]],6,2)</f>
        <v>07</v>
      </c>
      <c r="T839" s="35" t="str">
        <f>VLOOKUP(Tabla1[[#This Row],[AREA]],Hoja1!A:B,2,FALSE)</f>
        <v>07. Medio ambiente y desarrollo sostenible</v>
      </c>
      <c r="U839" s="35" t="str">
        <f>MID(Tabla1[[#This Row],[Aplicación]],9,4)</f>
        <v>1711</v>
      </c>
      <c r="V839" s="35" t="str">
        <f>VLOOKUP(Tabla1[[#This Row],[PROGRAMA]],Hoja1!A:B,2,FALSE)</f>
        <v>1711. Parques y jardines</v>
      </c>
      <c r="W839" s="56" t="str">
        <f>MID(Tabla1[[#This Row],[Aplicación]],14,2)</f>
        <v>21</v>
      </c>
      <c r="X839" s="56" t="str">
        <f>MID(Tabla1[[#This Row],[Aplicación]],14,6)</f>
        <v>214</v>
      </c>
    </row>
    <row r="840" spans="1:24" x14ac:dyDescent="0.25">
      <c r="A840" s="46">
        <v>220230002532</v>
      </c>
      <c r="B840" s="47" t="s">
        <v>1514</v>
      </c>
      <c r="C840" s="52">
        <v>44965</v>
      </c>
      <c r="D840" s="46">
        <v>22023001956</v>
      </c>
      <c r="E840" s="47" t="s">
        <v>1982</v>
      </c>
      <c r="F840" s="53">
        <v>427.51</v>
      </c>
      <c r="G840" s="47" t="s">
        <v>1993</v>
      </c>
      <c r="H840" s="47" t="s">
        <v>1996</v>
      </c>
      <c r="I840" s="46" t="s">
        <v>1517</v>
      </c>
      <c r="J840" s="47" t="s">
        <v>519</v>
      </c>
      <c r="K840" s="47" t="s">
        <v>519</v>
      </c>
      <c r="L840" s="47" t="s">
        <v>520</v>
      </c>
      <c r="M840" s="47" t="s">
        <v>514</v>
      </c>
      <c r="N840" s="47" t="s">
        <v>515</v>
      </c>
      <c r="O840" s="45" t="s">
        <v>382</v>
      </c>
      <c r="P840" s="44" t="s">
        <v>309</v>
      </c>
      <c r="Q840" s="59" t="str">
        <f>MID(Tabla1[[#This Row],[Aplicación]],14,1)</f>
        <v>2</v>
      </c>
      <c r="R840" s="35" t="s">
        <v>298</v>
      </c>
      <c r="S840" s="59" t="str">
        <f>MID(Tabla1[[#This Row],[Aplicación]],6,2)</f>
        <v>07</v>
      </c>
      <c r="T840" s="35" t="str">
        <f>VLOOKUP(Tabla1[[#This Row],[AREA]],Hoja1!A:B,2,FALSE)</f>
        <v>07. Medio ambiente y desarrollo sostenible</v>
      </c>
      <c r="U840" s="35" t="str">
        <f>MID(Tabla1[[#This Row],[Aplicación]],9,4)</f>
        <v>1711</v>
      </c>
      <c r="V840" s="35" t="str">
        <f>VLOOKUP(Tabla1[[#This Row],[PROGRAMA]],Hoja1!A:B,2,FALSE)</f>
        <v>1711. Parques y jardines</v>
      </c>
      <c r="W840" s="56" t="str">
        <f>MID(Tabla1[[#This Row],[Aplicación]],14,2)</f>
        <v>21</v>
      </c>
      <c r="X840" s="56" t="str">
        <f>MID(Tabla1[[#This Row],[Aplicación]],14,6)</f>
        <v>214</v>
      </c>
    </row>
    <row r="841" spans="1:24" x14ac:dyDescent="0.25">
      <c r="A841" s="46">
        <v>220230002530</v>
      </c>
      <c r="B841" s="47" t="s">
        <v>1514</v>
      </c>
      <c r="C841" s="52">
        <v>44965</v>
      </c>
      <c r="D841" s="46">
        <v>22023001956</v>
      </c>
      <c r="E841" s="47" t="s">
        <v>1982</v>
      </c>
      <c r="F841" s="53">
        <v>385.64</v>
      </c>
      <c r="G841" s="47" t="s">
        <v>1993</v>
      </c>
      <c r="H841" s="47" t="s">
        <v>1997</v>
      </c>
      <c r="I841" s="46" t="s">
        <v>1517</v>
      </c>
      <c r="J841" s="47" t="s">
        <v>519</v>
      </c>
      <c r="K841" s="47" t="s">
        <v>519</v>
      </c>
      <c r="L841" s="47" t="s">
        <v>520</v>
      </c>
      <c r="M841" s="47" t="s">
        <v>514</v>
      </c>
      <c r="N841" s="47" t="s">
        <v>515</v>
      </c>
      <c r="O841" s="45" t="s">
        <v>382</v>
      </c>
      <c r="P841" s="44" t="s">
        <v>309</v>
      </c>
      <c r="Q841" s="59" t="str">
        <f>MID(Tabla1[[#This Row],[Aplicación]],14,1)</f>
        <v>2</v>
      </c>
      <c r="R841" s="35" t="s">
        <v>298</v>
      </c>
      <c r="S841" s="59" t="str">
        <f>MID(Tabla1[[#This Row],[Aplicación]],6,2)</f>
        <v>07</v>
      </c>
      <c r="T841" s="35" t="str">
        <f>VLOOKUP(Tabla1[[#This Row],[AREA]],Hoja1!A:B,2,FALSE)</f>
        <v>07. Medio ambiente y desarrollo sostenible</v>
      </c>
      <c r="U841" s="35" t="str">
        <f>MID(Tabla1[[#This Row],[Aplicación]],9,4)</f>
        <v>1711</v>
      </c>
      <c r="V841" s="35" t="str">
        <f>VLOOKUP(Tabla1[[#This Row],[PROGRAMA]],Hoja1!A:B,2,FALSE)</f>
        <v>1711. Parques y jardines</v>
      </c>
      <c r="W841" s="56" t="str">
        <f>MID(Tabla1[[#This Row],[Aplicación]],14,2)</f>
        <v>21</v>
      </c>
      <c r="X841" s="56" t="str">
        <f>MID(Tabla1[[#This Row],[Aplicación]],14,6)</f>
        <v>214</v>
      </c>
    </row>
    <row r="842" spans="1:24" x14ac:dyDescent="0.25">
      <c r="A842" s="46">
        <v>220230002512</v>
      </c>
      <c r="B842" s="47" t="s">
        <v>1514</v>
      </c>
      <c r="C842" s="52">
        <v>44965</v>
      </c>
      <c r="D842" s="46">
        <v>22023001956</v>
      </c>
      <c r="E842" s="47" t="s">
        <v>1982</v>
      </c>
      <c r="F842" s="53">
        <v>366.62</v>
      </c>
      <c r="G842" s="47" t="s">
        <v>1993</v>
      </c>
      <c r="H842" s="47" t="s">
        <v>1998</v>
      </c>
      <c r="I842" s="46" t="s">
        <v>1517</v>
      </c>
      <c r="J842" s="47" t="s">
        <v>519</v>
      </c>
      <c r="K842" s="47" t="s">
        <v>519</v>
      </c>
      <c r="L842" s="47" t="s">
        <v>520</v>
      </c>
      <c r="M842" s="47" t="s">
        <v>514</v>
      </c>
      <c r="N842" s="47" t="s">
        <v>515</v>
      </c>
      <c r="O842" s="45" t="s">
        <v>382</v>
      </c>
      <c r="P842" s="44" t="s">
        <v>309</v>
      </c>
      <c r="Q842" s="59" t="str">
        <f>MID(Tabla1[[#This Row],[Aplicación]],14,1)</f>
        <v>2</v>
      </c>
      <c r="R842" s="35" t="s">
        <v>298</v>
      </c>
      <c r="S842" s="59" t="str">
        <f>MID(Tabla1[[#This Row],[Aplicación]],6,2)</f>
        <v>07</v>
      </c>
      <c r="T842" s="35" t="str">
        <f>VLOOKUP(Tabla1[[#This Row],[AREA]],Hoja1!A:B,2,FALSE)</f>
        <v>07. Medio ambiente y desarrollo sostenible</v>
      </c>
      <c r="U842" s="35" t="str">
        <f>MID(Tabla1[[#This Row],[Aplicación]],9,4)</f>
        <v>1711</v>
      </c>
      <c r="V842" s="35" t="str">
        <f>VLOOKUP(Tabla1[[#This Row],[PROGRAMA]],Hoja1!A:B,2,FALSE)</f>
        <v>1711. Parques y jardines</v>
      </c>
      <c r="W842" s="56" t="str">
        <f>MID(Tabla1[[#This Row],[Aplicación]],14,2)</f>
        <v>21</v>
      </c>
      <c r="X842" s="56" t="str">
        <f>MID(Tabla1[[#This Row],[Aplicación]],14,6)</f>
        <v>214</v>
      </c>
    </row>
    <row r="843" spans="1:24" x14ac:dyDescent="0.25">
      <c r="A843" s="46">
        <v>220230002508</v>
      </c>
      <c r="B843" s="47" t="s">
        <v>1514</v>
      </c>
      <c r="C843" s="52">
        <v>44965</v>
      </c>
      <c r="D843" s="46">
        <v>22023001956</v>
      </c>
      <c r="E843" s="47" t="s">
        <v>1982</v>
      </c>
      <c r="F843" s="53">
        <v>364.2</v>
      </c>
      <c r="G843" s="47" t="s">
        <v>1993</v>
      </c>
      <c r="H843" s="47" t="s">
        <v>1999</v>
      </c>
      <c r="I843" s="46" t="s">
        <v>1517</v>
      </c>
      <c r="J843" s="47" t="s">
        <v>519</v>
      </c>
      <c r="K843" s="47" t="s">
        <v>519</v>
      </c>
      <c r="L843" s="47" t="s">
        <v>520</v>
      </c>
      <c r="M843" s="47" t="s">
        <v>514</v>
      </c>
      <c r="N843" s="47" t="s">
        <v>515</v>
      </c>
      <c r="O843" s="45" t="s">
        <v>382</v>
      </c>
      <c r="P843" s="44" t="s">
        <v>309</v>
      </c>
      <c r="Q843" s="59" t="str">
        <f>MID(Tabla1[[#This Row],[Aplicación]],14,1)</f>
        <v>2</v>
      </c>
      <c r="R843" s="35" t="s">
        <v>298</v>
      </c>
      <c r="S843" s="59" t="str">
        <f>MID(Tabla1[[#This Row],[Aplicación]],6,2)</f>
        <v>07</v>
      </c>
      <c r="T843" s="35" t="str">
        <f>VLOOKUP(Tabla1[[#This Row],[AREA]],Hoja1!A:B,2,FALSE)</f>
        <v>07. Medio ambiente y desarrollo sostenible</v>
      </c>
      <c r="U843" s="35" t="str">
        <f>MID(Tabla1[[#This Row],[Aplicación]],9,4)</f>
        <v>1711</v>
      </c>
      <c r="V843" s="35" t="str">
        <f>VLOOKUP(Tabla1[[#This Row],[PROGRAMA]],Hoja1!A:B,2,FALSE)</f>
        <v>1711. Parques y jardines</v>
      </c>
      <c r="W843" s="56" t="str">
        <f>MID(Tabla1[[#This Row],[Aplicación]],14,2)</f>
        <v>21</v>
      </c>
      <c r="X843" s="56" t="str">
        <f>MID(Tabla1[[#This Row],[Aplicación]],14,6)</f>
        <v>214</v>
      </c>
    </row>
    <row r="844" spans="1:24" x14ac:dyDescent="0.25">
      <c r="A844" s="46">
        <v>220230002516</v>
      </c>
      <c r="B844" s="47" t="s">
        <v>1514</v>
      </c>
      <c r="C844" s="52">
        <v>44965</v>
      </c>
      <c r="D844" s="46">
        <v>22023001956</v>
      </c>
      <c r="E844" s="47" t="s">
        <v>1982</v>
      </c>
      <c r="F844" s="53">
        <v>338.18</v>
      </c>
      <c r="G844" s="47" t="s">
        <v>1993</v>
      </c>
      <c r="H844" s="47" t="s">
        <v>2000</v>
      </c>
      <c r="I844" s="46" t="s">
        <v>1517</v>
      </c>
      <c r="J844" s="47" t="s">
        <v>519</v>
      </c>
      <c r="K844" s="47" t="s">
        <v>519</v>
      </c>
      <c r="L844" s="47" t="s">
        <v>520</v>
      </c>
      <c r="M844" s="47" t="s">
        <v>514</v>
      </c>
      <c r="N844" s="47" t="s">
        <v>515</v>
      </c>
      <c r="O844" s="45" t="s">
        <v>382</v>
      </c>
      <c r="P844" s="44" t="s">
        <v>309</v>
      </c>
      <c r="Q844" s="59" t="str">
        <f>MID(Tabla1[[#This Row],[Aplicación]],14,1)</f>
        <v>2</v>
      </c>
      <c r="R844" s="35" t="s">
        <v>298</v>
      </c>
      <c r="S844" s="59" t="str">
        <f>MID(Tabla1[[#This Row],[Aplicación]],6,2)</f>
        <v>07</v>
      </c>
      <c r="T844" s="35" t="str">
        <f>VLOOKUP(Tabla1[[#This Row],[AREA]],Hoja1!A:B,2,FALSE)</f>
        <v>07. Medio ambiente y desarrollo sostenible</v>
      </c>
      <c r="U844" s="35" t="str">
        <f>MID(Tabla1[[#This Row],[Aplicación]],9,4)</f>
        <v>1711</v>
      </c>
      <c r="V844" s="35" t="str">
        <f>VLOOKUP(Tabla1[[#This Row],[PROGRAMA]],Hoja1!A:B,2,FALSE)</f>
        <v>1711. Parques y jardines</v>
      </c>
      <c r="W844" s="56" t="str">
        <f>MID(Tabla1[[#This Row],[Aplicación]],14,2)</f>
        <v>21</v>
      </c>
      <c r="X844" s="56" t="str">
        <f>MID(Tabla1[[#This Row],[Aplicación]],14,6)</f>
        <v>214</v>
      </c>
    </row>
    <row r="845" spans="1:24" x14ac:dyDescent="0.25">
      <c r="A845" s="46">
        <v>220230002514</v>
      </c>
      <c r="B845" s="47" t="s">
        <v>1514</v>
      </c>
      <c r="C845" s="52">
        <v>44965</v>
      </c>
      <c r="D845" s="46">
        <v>22023001956</v>
      </c>
      <c r="E845" s="47" t="s">
        <v>1982</v>
      </c>
      <c r="F845" s="53">
        <v>306.77</v>
      </c>
      <c r="G845" s="47" t="s">
        <v>1993</v>
      </c>
      <c r="H845" s="47" t="s">
        <v>2001</v>
      </c>
      <c r="I845" s="46" t="s">
        <v>1517</v>
      </c>
      <c r="J845" s="47" t="s">
        <v>519</v>
      </c>
      <c r="K845" s="47" t="s">
        <v>519</v>
      </c>
      <c r="L845" s="47" t="s">
        <v>520</v>
      </c>
      <c r="M845" s="47" t="s">
        <v>514</v>
      </c>
      <c r="N845" s="47" t="s">
        <v>515</v>
      </c>
      <c r="O845" s="45" t="s">
        <v>382</v>
      </c>
      <c r="P845" s="44" t="s">
        <v>309</v>
      </c>
      <c r="Q845" s="59" t="str">
        <f>MID(Tabla1[[#This Row],[Aplicación]],14,1)</f>
        <v>2</v>
      </c>
      <c r="R845" s="35" t="s">
        <v>298</v>
      </c>
      <c r="S845" s="59" t="str">
        <f>MID(Tabla1[[#This Row],[Aplicación]],6,2)</f>
        <v>07</v>
      </c>
      <c r="T845" s="35" t="str">
        <f>VLOOKUP(Tabla1[[#This Row],[AREA]],Hoja1!A:B,2,FALSE)</f>
        <v>07. Medio ambiente y desarrollo sostenible</v>
      </c>
      <c r="U845" s="35" t="str">
        <f>MID(Tabla1[[#This Row],[Aplicación]],9,4)</f>
        <v>1711</v>
      </c>
      <c r="V845" s="35" t="str">
        <f>VLOOKUP(Tabla1[[#This Row],[PROGRAMA]],Hoja1!A:B,2,FALSE)</f>
        <v>1711. Parques y jardines</v>
      </c>
      <c r="W845" s="56" t="str">
        <f>MID(Tabla1[[#This Row],[Aplicación]],14,2)</f>
        <v>21</v>
      </c>
      <c r="X845" s="56" t="str">
        <f>MID(Tabla1[[#This Row],[Aplicación]],14,6)</f>
        <v>214</v>
      </c>
    </row>
    <row r="846" spans="1:24" x14ac:dyDescent="0.25">
      <c r="A846" s="46">
        <v>220230002506</v>
      </c>
      <c r="B846" s="47" t="s">
        <v>1514</v>
      </c>
      <c r="C846" s="52">
        <v>44965</v>
      </c>
      <c r="D846" s="46">
        <v>22023001956</v>
      </c>
      <c r="E846" s="47" t="s">
        <v>1982</v>
      </c>
      <c r="F846" s="53">
        <v>249.26</v>
      </c>
      <c r="G846" s="47" t="s">
        <v>1993</v>
      </c>
      <c r="H846" s="47" t="s">
        <v>2002</v>
      </c>
      <c r="I846" s="46" t="s">
        <v>1517</v>
      </c>
      <c r="J846" s="47" t="s">
        <v>519</v>
      </c>
      <c r="K846" s="47" t="s">
        <v>519</v>
      </c>
      <c r="L846" s="47" t="s">
        <v>520</v>
      </c>
      <c r="M846" s="47" t="s">
        <v>514</v>
      </c>
      <c r="N846" s="47" t="s">
        <v>515</v>
      </c>
      <c r="O846" s="45" t="s">
        <v>382</v>
      </c>
      <c r="P846" s="44" t="s">
        <v>309</v>
      </c>
      <c r="Q846" s="59" t="str">
        <f>MID(Tabla1[[#This Row],[Aplicación]],14,1)</f>
        <v>2</v>
      </c>
      <c r="R846" s="35" t="s">
        <v>298</v>
      </c>
      <c r="S846" s="59" t="str">
        <f>MID(Tabla1[[#This Row],[Aplicación]],6,2)</f>
        <v>07</v>
      </c>
      <c r="T846" s="35" t="str">
        <f>VLOOKUP(Tabla1[[#This Row],[AREA]],Hoja1!A:B,2,FALSE)</f>
        <v>07. Medio ambiente y desarrollo sostenible</v>
      </c>
      <c r="U846" s="35" t="str">
        <f>MID(Tabla1[[#This Row],[Aplicación]],9,4)</f>
        <v>1711</v>
      </c>
      <c r="V846" s="35" t="str">
        <f>VLOOKUP(Tabla1[[#This Row],[PROGRAMA]],Hoja1!A:B,2,FALSE)</f>
        <v>1711. Parques y jardines</v>
      </c>
      <c r="W846" s="56" t="str">
        <f>MID(Tabla1[[#This Row],[Aplicación]],14,2)</f>
        <v>21</v>
      </c>
      <c r="X846" s="56" t="str">
        <f>MID(Tabla1[[#This Row],[Aplicación]],14,6)</f>
        <v>214</v>
      </c>
    </row>
    <row r="847" spans="1:24" x14ac:dyDescent="0.25">
      <c r="A847" s="46">
        <v>220230002510</v>
      </c>
      <c r="B847" s="47" t="s">
        <v>1514</v>
      </c>
      <c r="C847" s="52">
        <v>44965</v>
      </c>
      <c r="D847" s="46">
        <v>22023001956</v>
      </c>
      <c r="E847" s="47" t="s">
        <v>1982</v>
      </c>
      <c r="F847" s="53">
        <v>249.26</v>
      </c>
      <c r="G847" s="47" t="s">
        <v>1993</v>
      </c>
      <c r="H847" s="47" t="s">
        <v>2003</v>
      </c>
      <c r="I847" s="46" t="s">
        <v>1517</v>
      </c>
      <c r="J847" s="47" t="s">
        <v>519</v>
      </c>
      <c r="K847" s="47" t="s">
        <v>519</v>
      </c>
      <c r="L847" s="47" t="s">
        <v>520</v>
      </c>
      <c r="M847" s="47" t="s">
        <v>514</v>
      </c>
      <c r="N847" s="47" t="s">
        <v>515</v>
      </c>
      <c r="O847" s="45" t="s">
        <v>382</v>
      </c>
      <c r="P847" s="44" t="s">
        <v>309</v>
      </c>
      <c r="Q847" s="59" t="str">
        <f>MID(Tabla1[[#This Row],[Aplicación]],14,1)</f>
        <v>2</v>
      </c>
      <c r="R847" s="35" t="s">
        <v>298</v>
      </c>
      <c r="S847" s="59" t="str">
        <f>MID(Tabla1[[#This Row],[Aplicación]],6,2)</f>
        <v>07</v>
      </c>
      <c r="T847" s="35" t="str">
        <f>VLOOKUP(Tabla1[[#This Row],[AREA]],Hoja1!A:B,2,FALSE)</f>
        <v>07. Medio ambiente y desarrollo sostenible</v>
      </c>
      <c r="U847" s="35" t="str">
        <f>MID(Tabla1[[#This Row],[Aplicación]],9,4)</f>
        <v>1711</v>
      </c>
      <c r="V847" s="35" t="str">
        <f>VLOOKUP(Tabla1[[#This Row],[PROGRAMA]],Hoja1!A:B,2,FALSE)</f>
        <v>1711. Parques y jardines</v>
      </c>
      <c r="W847" s="56" t="str">
        <f>MID(Tabla1[[#This Row],[Aplicación]],14,2)</f>
        <v>21</v>
      </c>
      <c r="X847" s="56" t="str">
        <f>MID(Tabla1[[#This Row],[Aplicación]],14,6)</f>
        <v>214</v>
      </c>
    </row>
    <row r="848" spans="1:24" x14ac:dyDescent="0.25">
      <c r="A848" s="46">
        <v>220230002536</v>
      </c>
      <c r="B848" s="47" t="s">
        <v>1514</v>
      </c>
      <c r="C848" s="52">
        <v>44965</v>
      </c>
      <c r="D848" s="46">
        <v>22023001956</v>
      </c>
      <c r="E848" s="47" t="s">
        <v>1982</v>
      </c>
      <c r="F848" s="53">
        <v>249.26</v>
      </c>
      <c r="G848" s="47" t="s">
        <v>1993</v>
      </c>
      <c r="H848" s="47" t="s">
        <v>2004</v>
      </c>
      <c r="I848" s="46" t="s">
        <v>1517</v>
      </c>
      <c r="J848" s="47" t="s">
        <v>519</v>
      </c>
      <c r="K848" s="47" t="s">
        <v>519</v>
      </c>
      <c r="L848" s="47" t="s">
        <v>520</v>
      </c>
      <c r="M848" s="47" t="s">
        <v>514</v>
      </c>
      <c r="N848" s="47" t="s">
        <v>515</v>
      </c>
      <c r="O848" s="45" t="s">
        <v>382</v>
      </c>
      <c r="P848" s="44" t="s">
        <v>309</v>
      </c>
      <c r="Q848" s="59" t="str">
        <f>MID(Tabla1[[#This Row],[Aplicación]],14,1)</f>
        <v>2</v>
      </c>
      <c r="R848" s="35" t="s">
        <v>298</v>
      </c>
      <c r="S848" s="59" t="str">
        <f>MID(Tabla1[[#This Row],[Aplicación]],6,2)</f>
        <v>07</v>
      </c>
      <c r="T848" s="35" t="str">
        <f>VLOOKUP(Tabla1[[#This Row],[AREA]],Hoja1!A:B,2,FALSE)</f>
        <v>07. Medio ambiente y desarrollo sostenible</v>
      </c>
      <c r="U848" s="35" t="str">
        <f>MID(Tabla1[[#This Row],[Aplicación]],9,4)</f>
        <v>1711</v>
      </c>
      <c r="V848" s="35" t="str">
        <f>VLOOKUP(Tabla1[[#This Row],[PROGRAMA]],Hoja1!A:B,2,FALSE)</f>
        <v>1711. Parques y jardines</v>
      </c>
      <c r="W848" s="56" t="str">
        <f>MID(Tabla1[[#This Row],[Aplicación]],14,2)</f>
        <v>21</v>
      </c>
      <c r="X848" s="56" t="str">
        <f>MID(Tabla1[[#This Row],[Aplicación]],14,6)</f>
        <v>214</v>
      </c>
    </row>
    <row r="849" spans="1:24" x14ac:dyDescent="0.25">
      <c r="A849" s="46">
        <v>220230002518</v>
      </c>
      <c r="B849" s="47" t="s">
        <v>1514</v>
      </c>
      <c r="C849" s="52">
        <v>44965</v>
      </c>
      <c r="D849" s="46">
        <v>22023001956</v>
      </c>
      <c r="E849" s="47" t="s">
        <v>1982</v>
      </c>
      <c r="F849" s="53">
        <v>93.17</v>
      </c>
      <c r="G849" s="47" t="s">
        <v>1993</v>
      </c>
      <c r="H849" s="47" t="s">
        <v>2005</v>
      </c>
      <c r="I849" s="46" t="s">
        <v>1517</v>
      </c>
      <c r="J849" s="47" t="s">
        <v>519</v>
      </c>
      <c r="K849" s="47" t="s">
        <v>519</v>
      </c>
      <c r="L849" s="47" t="s">
        <v>520</v>
      </c>
      <c r="M849" s="47" t="s">
        <v>514</v>
      </c>
      <c r="N849" s="47" t="s">
        <v>515</v>
      </c>
      <c r="O849" s="45" t="s">
        <v>382</v>
      </c>
      <c r="P849" s="44" t="s">
        <v>309</v>
      </c>
      <c r="Q849" s="59" t="str">
        <f>MID(Tabla1[[#This Row],[Aplicación]],14,1)</f>
        <v>2</v>
      </c>
      <c r="R849" s="35" t="s">
        <v>298</v>
      </c>
      <c r="S849" s="59" t="str">
        <f>MID(Tabla1[[#This Row],[Aplicación]],6,2)</f>
        <v>07</v>
      </c>
      <c r="T849" s="35" t="str">
        <f>VLOOKUP(Tabla1[[#This Row],[AREA]],Hoja1!A:B,2,FALSE)</f>
        <v>07. Medio ambiente y desarrollo sostenible</v>
      </c>
      <c r="U849" s="35" t="str">
        <f>MID(Tabla1[[#This Row],[Aplicación]],9,4)</f>
        <v>1711</v>
      </c>
      <c r="V849" s="35" t="str">
        <f>VLOOKUP(Tabla1[[#This Row],[PROGRAMA]],Hoja1!A:B,2,FALSE)</f>
        <v>1711. Parques y jardines</v>
      </c>
      <c r="W849" s="56" t="str">
        <f>MID(Tabla1[[#This Row],[Aplicación]],14,2)</f>
        <v>21</v>
      </c>
      <c r="X849" s="56" t="str">
        <f>MID(Tabla1[[#This Row],[Aplicación]],14,6)</f>
        <v>214</v>
      </c>
    </row>
    <row r="850" spans="1:24" x14ac:dyDescent="0.25">
      <c r="A850" s="46">
        <v>220230002497</v>
      </c>
      <c r="B850" s="47" t="s">
        <v>1249</v>
      </c>
      <c r="C850" s="52">
        <v>44965</v>
      </c>
      <c r="D850" s="46">
        <v>22023002049</v>
      </c>
      <c r="E850" s="47" t="s">
        <v>2006</v>
      </c>
      <c r="F850" s="53">
        <v>2286.9</v>
      </c>
      <c r="G850" s="47" t="s">
        <v>29</v>
      </c>
      <c r="H850" s="47" t="s">
        <v>2007</v>
      </c>
      <c r="I850" s="46" t="s">
        <v>1251</v>
      </c>
      <c r="J850" s="47" t="s">
        <v>519</v>
      </c>
      <c r="K850" s="47" t="s">
        <v>519</v>
      </c>
      <c r="L850" s="47" t="s">
        <v>520</v>
      </c>
      <c r="M850" s="47" t="s">
        <v>514</v>
      </c>
      <c r="N850" s="47" t="s">
        <v>515</v>
      </c>
      <c r="O850" s="45" t="s">
        <v>382</v>
      </c>
      <c r="P850" s="44" t="s">
        <v>309</v>
      </c>
      <c r="Q850" s="59" t="str">
        <f>MID(Tabla1[[#This Row],[Aplicación]],14,1)</f>
        <v>2</v>
      </c>
      <c r="R850" s="35" t="s">
        <v>298</v>
      </c>
      <c r="S850" s="59" t="str">
        <f>MID(Tabla1[[#This Row],[Aplicación]],6,2)</f>
        <v>08</v>
      </c>
      <c r="T850" s="35" t="str">
        <f>VLOOKUP(Tabla1[[#This Row],[AREA]],Hoja1!A:B,2,FALSE)</f>
        <v>08. Movilidad y espacio urbano</v>
      </c>
      <c r="U850" s="56" t="str">
        <f>MID(Tabla1[[#This Row],[Aplicación]],9,4)</f>
        <v>1341</v>
      </c>
      <c r="V850" s="35" t="str">
        <f>VLOOKUP(Tabla1[[#This Row],[PROGRAMA]],Hoja1!A:B,2,FALSE)</f>
        <v>1341. Movilidad</v>
      </c>
      <c r="W850" s="56" t="str">
        <f>MID(Tabla1[[#This Row],[Aplicación]],14,2)</f>
        <v>22</v>
      </c>
      <c r="X850" s="56" t="str">
        <f>MID(Tabla1[[#This Row],[Aplicación]],14,6)</f>
        <v>22602</v>
      </c>
    </row>
    <row r="851" spans="1:24" x14ac:dyDescent="0.25">
      <c r="A851" s="46">
        <v>220230002585</v>
      </c>
      <c r="B851" s="47" t="s">
        <v>507</v>
      </c>
      <c r="C851" s="52">
        <v>44965</v>
      </c>
      <c r="D851" s="46">
        <v>22023001676</v>
      </c>
      <c r="E851" s="47" t="s">
        <v>1719</v>
      </c>
      <c r="F851" s="53">
        <v>11526</v>
      </c>
      <c r="G851" s="47" t="s">
        <v>29</v>
      </c>
      <c r="H851" s="47" t="s">
        <v>2008</v>
      </c>
      <c r="I851" s="46" t="s">
        <v>511</v>
      </c>
      <c r="J851" s="47" t="s">
        <v>519</v>
      </c>
      <c r="K851" s="47" t="s">
        <v>519</v>
      </c>
      <c r="L851" s="47" t="s">
        <v>552</v>
      </c>
      <c r="M851" s="47" t="s">
        <v>976</v>
      </c>
      <c r="N851" s="47" t="s">
        <v>839</v>
      </c>
      <c r="O851" s="45" t="s">
        <v>383</v>
      </c>
      <c r="P851" s="44" t="s">
        <v>309</v>
      </c>
      <c r="Q851" s="59" t="str">
        <f>MID(Tabla1[[#This Row],[Aplicación]],14,1)</f>
        <v>2</v>
      </c>
      <c r="R851" s="35" t="s">
        <v>298</v>
      </c>
      <c r="S851" s="59" t="str">
        <f>MID(Tabla1[[#This Row],[Aplicación]],6,2)</f>
        <v>01</v>
      </c>
      <c r="T851" s="35" t="str">
        <f>VLOOKUP(Tabla1[[#This Row],[AREA]],Hoja1!A:B,2,FALSE)</f>
        <v>01. Alcaldía</v>
      </c>
      <c r="U851" s="35" t="str">
        <f>MID(Tabla1[[#This Row],[Aplicación]],9,4)</f>
        <v>9206</v>
      </c>
      <c r="V851" s="35" t="str">
        <f>VLOOKUP(Tabla1[[#This Row],[PROGRAMA]],Hoja1!A:B,2,FALSE)</f>
        <v>9206. Archivo municipal</v>
      </c>
      <c r="W851" s="56" t="str">
        <f>MID(Tabla1[[#This Row],[Aplicación]],14,2)</f>
        <v>22</v>
      </c>
      <c r="X851" s="56" t="str">
        <f>MID(Tabla1[[#This Row],[Aplicación]],14,6)</f>
        <v>22001</v>
      </c>
    </row>
    <row r="852" spans="1:24" x14ac:dyDescent="0.25">
      <c r="A852" s="46">
        <v>220230002504</v>
      </c>
      <c r="B852" s="47" t="s">
        <v>1514</v>
      </c>
      <c r="C852" s="52">
        <v>44965</v>
      </c>
      <c r="D852" s="46">
        <v>22023001956</v>
      </c>
      <c r="E852" s="47" t="s">
        <v>1982</v>
      </c>
      <c r="F852" s="53">
        <v>546.63</v>
      </c>
      <c r="G852" s="47" t="s">
        <v>2009</v>
      </c>
      <c r="H852" s="47" t="s">
        <v>2010</v>
      </c>
      <c r="I852" s="46" t="s">
        <v>1517</v>
      </c>
      <c r="J852" s="47" t="s">
        <v>519</v>
      </c>
      <c r="K852" s="47" t="s">
        <v>519</v>
      </c>
      <c r="L852" s="47" t="s">
        <v>520</v>
      </c>
      <c r="M852" s="47" t="s">
        <v>514</v>
      </c>
      <c r="N852" s="47" t="s">
        <v>515</v>
      </c>
      <c r="O852" s="45" t="s">
        <v>382</v>
      </c>
      <c r="P852" s="44" t="s">
        <v>309</v>
      </c>
      <c r="Q852" s="59" t="str">
        <f>MID(Tabla1[[#This Row],[Aplicación]],14,1)</f>
        <v>2</v>
      </c>
      <c r="R852" s="35" t="s">
        <v>298</v>
      </c>
      <c r="S852" s="59" t="str">
        <f>MID(Tabla1[[#This Row],[Aplicación]],6,2)</f>
        <v>07</v>
      </c>
      <c r="T852" s="35" t="str">
        <f>VLOOKUP(Tabla1[[#This Row],[AREA]],Hoja1!A:B,2,FALSE)</f>
        <v>07. Medio ambiente y desarrollo sostenible</v>
      </c>
      <c r="U852" s="35" t="str">
        <f>MID(Tabla1[[#This Row],[Aplicación]],9,4)</f>
        <v>1711</v>
      </c>
      <c r="V852" s="35" t="str">
        <f>VLOOKUP(Tabla1[[#This Row],[PROGRAMA]],Hoja1!A:B,2,FALSE)</f>
        <v>1711. Parques y jardines</v>
      </c>
      <c r="W852" s="56" t="str">
        <f>MID(Tabla1[[#This Row],[Aplicación]],14,2)</f>
        <v>21</v>
      </c>
      <c r="X852" s="56" t="str">
        <f>MID(Tabla1[[#This Row],[Aplicación]],14,6)</f>
        <v>214</v>
      </c>
    </row>
    <row r="853" spans="1:24" x14ac:dyDescent="0.25">
      <c r="A853" s="46">
        <v>220230002522</v>
      </c>
      <c r="B853" s="47" t="s">
        <v>1514</v>
      </c>
      <c r="C853" s="52">
        <v>44965</v>
      </c>
      <c r="D853" s="46">
        <v>22023001956</v>
      </c>
      <c r="E853" s="47" t="s">
        <v>1982</v>
      </c>
      <c r="F853" s="53">
        <v>227.37</v>
      </c>
      <c r="G853" s="47" t="s">
        <v>2009</v>
      </c>
      <c r="H853" s="47" t="s">
        <v>2011</v>
      </c>
      <c r="I853" s="46" t="s">
        <v>1517</v>
      </c>
      <c r="J853" s="47" t="s">
        <v>519</v>
      </c>
      <c r="K853" s="47" t="s">
        <v>519</v>
      </c>
      <c r="L853" s="47" t="s">
        <v>520</v>
      </c>
      <c r="M853" s="47" t="s">
        <v>514</v>
      </c>
      <c r="N853" s="47" t="s">
        <v>515</v>
      </c>
      <c r="O853" s="45" t="s">
        <v>382</v>
      </c>
      <c r="P853" s="44" t="s">
        <v>309</v>
      </c>
      <c r="Q853" s="59" t="str">
        <f>MID(Tabla1[[#This Row],[Aplicación]],14,1)</f>
        <v>2</v>
      </c>
      <c r="R853" s="35" t="s">
        <v>298</v>
      </c>
      <c r="S853" s="59" t="str">
        <f>MID(Tabla1[[#This Row],[Aplicación]],6,2)</f>
        <v>07</v>
      </c>
      <c r="T853" s="35" t="str">
        <f>VLOOKUP(Tabla1[[#This Row],[AREA]],Hoja1!A:B,2,FALSE)</f>
        <v>07. Medio ambiente y desarrollo sostenible</v>
      </c>
      <c r="U853" s="35" t="str">
        <f>MID(Tabla1[[#This Row],[Aplicación]],9,4)</f>
        <v>1711</v>
      </c>
      <c r="V853" s="35" t="str">
        <f>VLOOKUP(Tabla1[[#This Row],[PROGRAMA]],Hoja1!A:B,2,FALSE)</f>
        <v>1711. Parques y jardines</v>
      </c>
      <c r="W853" s="56" t="str">
        <f>MID(Tabla1[[#This Row],[Aplicación]],14,2)</f>
        <v>21</v>
      </c>
      <c r="X853" s="56" t="str">
        <f>MID(Tabla1[[#This Row],[Aplicación]],14,6)</f>
        <v>214</v>
      </c>
    </row>
    <row r="854" spans="1:24" x14ac:dyDescent="0.25">
      <c r="A854" s="55">
        <v>220230010307</v>
      </c>
      <c r="B854" s="47" t="s">
        <v>507</v>
      </c>
      <c r="C854" s="52">
        <v>45008</v>
      </c>
      <c r="D854" s="46">
        <v>22023003459</v>
      </c>
      <c r="E854" s="47" t="s">
        <v>1490</v>
      </c>
      <c r="F854" s="53">
        <v>393.25</v>
      </c>
      <c r="G854" s="47" t="s">
        <v>30</v>
      </c>
      <c r="H854" s="47" t="s">
        <v>2012</v>
      </c>
      <c r="I854" s="46" t="s">
        <v>511</v>
      </c>
      <c r="J854" s="47" t="s">
        <v>519</v>
      </c>
      <c r="K854" s="47" t="s">
        <v>519</v>
      </c>
      <c r="L854" s="47" t="s">
        <v>520</v>
      </c>
      <c r="M854" s="47" t="s">
        <v>976</v>
      </c>
      <c r="N854" s="47" t="s">
        <v>839</v>
      </c>
      <c r="O854" s="54" t="s">
        <v>383</v>
      </c>
      <c r="P854" s="44" t="s">
        <v>309</v>
      </c>
      <c r="Q854" s="59" t="str">
        <f>MID(Tabla1[[#This Row],[Aplicación]],14,1)</f>
        <v>2</v>
      </c>
      <c r="R854" s="35" t="s">
        <v>298</v>
      </c>
      <c r="S854" s="59" t="str">
        <f>MID(Tabla1[[#This Row],[Aplicación]],6,2)</f>
        <v>06</v>
      </c>
      <c r="T854" s="35" t="str">
        <f>VLOOKUP(Tabla1[[#This Row],[AREA]],Hoja1!A:B,2,FALSE)</f>
        <v>06. Educación, infancia, juventud e igualdad</v>
      </c>
      <c r="U854" s="35" t="str">
        <f>MID(Tabla1[[#This Row],[Aplicación]],9,4)</f>
        <v>2314</v>
      </c>
      <c r="V854" s="35" t="str">
        <f>VLOOKUP(Tabla1[[#This Row],[PROGRAMA]],Hoja1!A:B,2,FALSE)</f>
        <v>2314. Centro de programas juveniles</v>
      </c>
      <c r="W854" s="56" t="str">
        <f>MID(Tabla1[[#This Row],[Aplicación]],14,2)</f>
        <v>22</v>
      </c>
      <c r="X854" s="56" t="str">
        <f>MID(Tabla1[[#This Row],[Aplicación]],14,6)</f>
        <v>22613</v>
      </c>
    </row>
    <row r="855" spans="1:24" x14ac:dyDescent="0.25">
      <c r="A855" s="55">
        <v>220230009477</v>
      </c>
      <c r="B855" s="47" t="s">
        <v>507</v>
      </c>
      <c r="C855" s="52">
        <v>45006</v>
      </c>
      <c r="D855" s="46">
        <v>22023003421</v>
      </c>
      <c r="E855" s="47" t="s">
        <v>709</v>
      </c>
      <c r="F855" s="53">
        <v>5324</v>
      </c>
      <c r="G855" s="47" t="s">
        <v>2013</v>
      </c>
      <c r="H855" s="47" t="s">
        <v>2014</v>
      </c>
      <c r="I855" s="46" t="s">
        <v>511</v>
      </c>
      <c r="J855" s="47" t="s">
        <v>953</v>
      </c>
      <c r="K855" s="47" t="s">
        <v>519</v>
      </c>
      <c r="L855" s="47" t="s">
        <v>520</v>
      </c>
      <c r="M855" s="47" t="s">
        <v>976</v>
      </c>
      <c r="N855" s="47" t="s">
        <v>839</v>
      </c>
      <c r="O855" s="54" t="s">
        <v>383</v>
      </c>
      <c r="P855" s="44" t="s">
        <v>309</v>
      </c>
      <c r="Q855" s="59" t="str">
        <f>MID(Tabla1[[#This Row],[Aplicación]],14,1)</f>
        <v>2</v>
      </c>
      <c r="R855" s="35" t="s">
        <v>298</v>
      </c>
      <c r="S855" s="59" t="str">
        <f>MID(Tabla1[[#This Row],[Aplicación]],6,2)</f>
        <v>07</v>
      </c>
      <c r="T855" s="35" t="str">
        <f>VLOOKUP(Tabla1[[#This Row],[AREA]],Hoja1!A:B,2,FALSE)</f>
        <v>07. Medio ambiente y desarrollo sostenible</v>
      </c>
      <c r="U855" s="35" t="str">
        <f>MID(Tabla1[[#This Row],[Aplicación]],9,4)</f>
        <v>1711</v>
      </c>
      <c r="V855" s="35" t="str">
        <f>VLOOKUP(Tabla1[[#This Row],[PROGRAMA]],Hoja1!A:B,2,FALSE)</f>
        <v>1711. Parques y jardines</v>
      </c>
      <c r="W855" s="56" t="str">
        <f>MID(Tabla1[[#This Row],[Aplicación]],14,2)</f>
        <v>22</v>
      </c>
      <c r="X855" s="56" t="str">
        <f>MID(Tabla1[[#This Row],[Aplicación]],14,6)</f>
        <v>22799</v>
      </c>
    </row>
    <row r="856" spans="1:24" x14ac:dyDescent="0.25">
      <c r="A856" s="46">
        <v>220230002498</v>
      </c>
      <c r="B856" s="47" t="s">
        <v>1514</v>
      </c>
      <c r="C856" s="52">
        <v>44965</v>
      </c>
      <c r="D856" s="46">
        <v>22023001956</v>
      </c>
      <c r="E856" s="47" t="s">
        <v>1982</v>
      </c>
      <c r="F856" s="53">
        <v>39.049999999999997</v>
      </c>
      <c r="G856" s="47" t="s">
        <v>2009</v>
      </c>
      <c r="H856" s="47" t="s">
        <v>2015</v>
      </c>
      <c r="I856" s="46" t="s">
        <v>1517</v>
      </c>
      <c r="J856" s="47" t="s">
        <v>519</v>
      </c>
      <c r="K856" s="47" t="s">
        <v>519</v>
      </c>
      <c r="L856" s="47" t="s">
        <v>520</v>
      </c>
      <c r="M856" s="47" t="s">
        <v>514</v>
      </c>
      <c r="N856" s="47" t="s">
        <v>515</v>
      </c>
      <c r="O856" s="45" t="s">
        <v>382</v>
      </c>
      <c r="P856" s="44" t="s">
        <v>309</v>
      </c>
      <c r="Q856" s="59" t="str">
        <f>MID(Tabla1[[#This Row],[Aplicación]],14,1)</f>
        <v>2</v>
      </c>
      <c r="R856" s="35" t="s">
        <v>298</v>
      </c>
      <c r="S856" s="59" t="str">
        <f>MID(Tabla1[[#This Row],[Aplicación]],6,2)</f>
        <v>07</v>
      </c>
      <c r="T856" s="35" t="str">
        <f>VLOOKUP(Tabla1[[#This Row],[AREA]],Hoja1!A:B,2,FALSE)</f>
        <v>07. Medio ambiente y desarrollo sostenible</v>
      </c>
      <c r="U856" s="35" t="str">
        <f>MID(Tabla1[[#This Row],[Aplicación]],9,4)</f>
        <v>1711</v>
      </c>
      <c r="V856" s="35" t="str">
        <f>VLOOKUP(Tabla1[[#This Row],[PROGRAMA]],Hoja1!A:B,2,FALSE)</f>
        <v>1711. Parques y jardines</v>
      </c>
      <c r="W856" s="56" t="str">
        <f>MID(Tabla1[[#This Row],[Aplicación]],14,2)</f>
        <v>21</v>
      </c>
      <c r="X856" s="56" t="str">
        <f>MID(Tabla1[[#This Row],[Aplicación]],14,6)</f>
        <v>214</v>
      </c>
    </row>
    <row r="857" spans="1:24" x14ac:dyDescent="0.25">
      <c r="A857" s="55">
        <v>220220059334</v>
      </c>
      <c r="B857" s="47" t="s">
        <v>507</v>
      </c>
      <c r="C857" s="52">
        <v>45014</v>
      </c>
      <c r="D857" s="46">
        <v>22022007274</v>
      </c>
      <c r="E857" s="47" t="s">
        <v>546</v>
      </c>
      <c r="F857" s="53">
        <v>3074.44</v>
      </c>
      <c r="G857" s="47" t="s">
        <v>400</v>
      </c>
      <c r="H857" s="47" t="s">
        <v>2016</v>
      </c>
      <c r="I857" s="46" t="s">
        <v>511</v>
      </c>
      <c r="J857" s="47" t="s">
        <v>519</v>
      </c>
      <c r="K857" s="47" t="s">
        <v>519</v>
      </c>
      <c r="L857" s="47" t="s">
        <v>520</v>
      </c>
      <c r="M857" s="47" t="s">
        <v>514</v>
      </c>
      <c r="N857" s="47" t="s">
        <v>515</v>
      </c>
      <c r="O857" s="54" t="s">
        <v>382</v>
      </c>
      <c r="P857" s="44" t="s">
        <v>309</v>
      </c>
      <c r="Q857" s="59" t="str">
        <f>MID(Tabla1[[#This Row],[Aplicación]],14,1)</f>
        <v>6</v>
      </c>
      <c r="R857" s="35" t="s">
        <v>299</v>
      </c>
      <c r="S857" s="59" t="str">
        <f>MID(Tabla1[[#This Row],[Aplicación]],6,2)</f>
        <v>08</v>
      </c>
      <c r="T857" s="35" t="str">
        <f>VLOOKUP(Tabla1[[#This Row],[AREA]],Hoja1!A:B,2,FALSE)</f>
        <v>08. Movilidad y espacio urbano</v>
      </c>
      <c r="U857" s="35" t="str">
        <f>MID(Tabla1[[#This Row],[Aplicación]],9,4)</f>
        <v>1532</v>
      </c>
      <c r="V857" s="35" t="str">
        <f>VLOOKUP(Tabla1[[#This Row],[PROGRAMA]],Hoja1!A:B,2,FALSE)</f>
        <v>1532. Pavimentación vias públicas y otros servicios urbanísticos</v>
      </c>
      <c r="W857" s="56" t="str">
        <f>MID(Tabla1[[#This Row],[Aplicación]],14,2)</f>
        <v>61</v>
      </c>
      <c r="X857" s="56" t="str">
        <f>MID(Tabla1[[#This Row],[Aplicación]],14,6)</f>
        <v>619</v>
      </c>
    </row>
    <row r="858" spans="1:24" x14ac:dyDescent="0.25">
      <c r="A858" s="55">
        <v>220220062118</v>
      </c>
      <c r="B858" s="47" t="s">
        <v>507</v>
      </c>
      <c r="C858" s="52">
        <v>45014</v>
      </c>
      <c r="D858" s="46">
        <v>22022007489</v>
      </c>
      <c r="E858" s="47" t="s">
        <v>561</v>
      </c>
      <c r="F858" s="53">
        <v>691.52</v>
      </c>
      <c r="G858" s="47" t="s">
        <v>400</v>
      </c>
      <c r="H858" s="47" t="s">
        <v>2017</v>
      </c>
      <c r="I858" s="46" t="s">
        <v>511</v>
      </c>
      <c r="J858" s="47" t="s">
        <v>519</v>
      </c>
      <c r="K858" s="47" t="s">
        <v>519</v>
      </c>
      <c r="L858" s="47" t="s">
        <v>527</v>
      </c>
      <c r="M858" s="47" t="s">
        <v>514</v>
      </c>
      <c r="N858" s="47" t="s">
        <v>515</v>
      </c>
      <c r="O858" s="54" t="s">
        <v>382</v>
      </c>
      <c r="P858" s="44" t="s">
        <v>309</v>
      </c>
      <c r="Q858" s="59">
        <v>6</v>
      </c>
      <c r="R858" s="35" t="s">
        <v>299</v>
      </c>
      <c r="S858" s="59" t="str">
        <f>MID(Tabla1[[#This Row],[Aplicación]],6,2)</f>
        <v>08</v>
      </c>
      <c r="T858" s="35" t="str">
        <f>VLOOKUP(Tabla1[[#This Row],[AREA]],Hoja1!A:B,2,FALSE)</f>
        <v>08. Movilidad y espacio urbano</v>
      </c>
      <c r="U858" s="56">
        <v>1341</v>
      </c>
      <c r="V858" s="35" t="str">
        <f>VLOOKUP(Tabla1[[#This Row],[PROGRAMA]],Hoja1!A:B,2,FALSE)</f>
        <v>1341. Movilidad</v>
      </c>
      <c r="W858" s="56">
        <v>60</v>
      </c>
      <c r="X858" s="56">
        <v>609</v>
      </c>
    </row>
    <row r="859" spans="1:24" x14ac:dyDescent="0.25">
      <c r="A859" s="55">
        <v>220220062119</v>
      </c>
      <c r="B859" s="47" t="s">
        <v>507</v>
      </c>
      <c r="C859" s="52">
        <v>45014</v>
      </c>
      <c r="D859" s="46">
        <v>22022007492</v>
      </c>
      <c r="E859" s="47" t="s">
        <v>561</v>
      </c>
      <c r="F859" s="53">
        <v>1129.0999999999999</v>
      </c>
      <c r="G859" s="47" t="s">
        <v>400</v>
      </c>
      <c r="H859" s="47" t="s">
        <v>2018</v>
      </c>
      <c r="I859" s="46" t="s">
        <v>511</v>
      </c>
      <c r="J859" s="47" t="s">
        <v>519</v>
      </c>
      <c r="K859" s="47" t="s">
        <v>519</v>
      </c>
      <c r="L859" s="47" t="s">
        <v>527</v>
      </c>
      <c r="M859" s="47" t="s">
        <v>514</v>
      </c>
      <c r="N859" s="47" t="s">
        <v>515</v>
      </c>
      <c r="O859" s="54" t="s">
        <v>382</v>
      </c>
      <c r="P859" s="44" t="s">
        <v>309</v>
      </c>
      <c r="Q859" s="59">
        <v>6</v>
      </c>
      <c r="R859" s="35" t="s">
        <v>299</v>
      </c>
      <c r="S859" s="59" t="str">
        <f>MID(Tabla1[[#This Row],[Aplicación]],6,2)</f>
        <v>08</v>
      </c>
      <c r="T859" s="35" t="str">
        <f>VLOOKUP(Tabla1[[#This Row],[AREA]],Hoja1!A:B,2,FALSE)</f>
        <v>08. Movilidad y espacio urbano</v>
      </c>
      <c r="U859" s="56">
        <v>1341</v>
      </c>
      <c r="V859" s="35" t="str">
        <f>VLOOKUP(Tabla1[[#This Row],[PROGRAMA]],Hoja1!A:B,2,FALSE)</f>
        <v>1341. Movilidad</v>
      </c>
      <c r="W859" s="56">
        <v>60</v>
      </c>
      <c r="X859" s="56">
        <v>609</v>
      </c>
    </row>
    <row r="860" spans="1:24" x14ac:dyDescent="0.25">
      <c r="A860" s="46">
        <v>220230006405</v>
      </c>
      <c r="B860" s="47" t="s">
        <v>507</v>
      </c>
      <c r="C860" s="52">
        <v>44985</v>
      </c>
      <c r="D860" s="46">
        <v>22023002542</v>
      </c>
      <c r="E860" s="47" t="s">
        <v>2019</v>
      </c>
      <c r="F860" s="53">
        <v>2149.46</v>
      </c>
      <c r="G860" s="47" t="s">
        <v>438</v>
      </c>
      <c r="H860" s="47" t="s">
        <v>2020</v>
      </c>
      <c r="I860" s="46" t="s">
        <v>511</v>
      </c>
      <c r="J860" s="47" t="s">
        <v>512</v>
      </c>
      <c r="K860" s="47" t="s">
        <v>512</v>
      </c>
      <c r="L860" s="47" t="s">
        <v>520</v>
      </c>
      <c r="M860" s="47" t="s">
        <v>976</v>
      </c>
      <c r="N860" s="47" t="s">
        <v>839</v>
      </c>
      <c r="O860" s="45" t="s">
        <v>383</v>
      </c>
      <c r="P860" s="44" t="s">
        <v>309</v>
      </c>
      <c r="Q860" s="59" t="str">
        <f>MID(Tabla1[[#This Row],[Aplicación]],14,1)</f>
        <v>2</v>
      </c>
      <c r="R860" s="35" t="s">
        <v>298</v>
      </c>
      <c r="S860" s="59" t="str">
        <f>MID(Tabla1[[#This Row],[Aplicación]],6,2)</f>
        <v>11</v>
      </c>
      <c r="T860" s="35" t="str">
        <f>VLOOKUP(Tabla1[[#This Row],[AREA]],Hoja1!A:B,2,FALSE)</f>
        <v>11. Salud pública y seguridad ciudadana</v>
      </c>
      <c r="U860" s="35" t="str">
        <f>MID(Tabla1[[#This Row],[Aplicación]],9,4)</f>
        <v>1361</v>
      </c>
      <c r="V860" s="35" t="str">
        <f>VLOOKUP(Tabla1[[#This Row],[PROGRAMA]],Hoja1!A:B,2,FALSE)</f>
        <v>1361. Prevención y extinción de incencios</v>
      </c>
      <c r="W860" s="56" t="str">
        <f>MID(Tabla1[[#This Row],[Aplicación]],14,2)</f>
        <v>21</v>
      </c>
      <c r="X860" s="56" t="str">
        <f>MID(Tabla1[[#This Row],[Aplicación]],14,6)</f>
        <v>214</v>
      </c>
    </row>
    <row r="861" spans="1:24" x14ac:dyDescent="0.25">
      <c r="A861" s="46">
        <v>220230003644</v>
      </c>
      <c r="B861" s="47" t="s">
        <v>507</v>
      </c>
      <c r="C861" s="52">
        <v>44973</v>
      </c>
      <c r="D861" s="46">
        <v>22023000004</v>
      </c>
      <c r="E861" s="47" t="s">
        <v>1344</v>
      </c>
      <c r="F861" s="53">
        <v>6600</v>
      </c>
      <c r="G861" s="47" t="s">
        <v>1881</v>
      </c>
      <c r="H861" s="47" t="s">
        <v>2021</v>
      </c>
      <c r="I861" s="46" t="s">
        <v>511</v>
      </c>
      <c r="J861" s="47" t="s">
        <v>519</v>
      </c>
      <c r="K861" s="47" t="s">
        <v>519</v>
      </c>
      <c r="L861" s="47" t="s">
        <v>520</v>
      </c>
      <c r="M861" s="47" t="s">
        <v>514</v>
      </c>
      <c r="N861" s="47" t="s">
        <v>515</v>
      </c>
      <c r="O861" s="45" t="s">
        <v>371</v>
      </c>
      <c r="P861" s="44" t="s">
        <v>309</v>
      </c>
      <c r="Q861" s="59" t="str">
        <f>MID(Tabla1[[#This Row],[Aplicación]],14,1)</f>
        <v>2</v>
      </c>
      <c r="R861" s="35" t="s">
        <v>298</v>
      </c>
      <c r="S861" s="59" t="str">
        <f>MID(Tabla1[[#This Row],[Aplicación]],6,2)</f>
        <v>10</v>
      </c>
      <c r="T861" s="35" t="str">
        <f>VLOOKUP(Tabla1[[#This Row],[AREA]],Hoja1!A:B,2,FALSE)</f>
        <v>10. Servicios sociales y mediación comunitaria</v>
      </c>
      <c r="U861" s="35" t="str">
        <f>MID(Tabla1[[#This Row],[Aplicación]],9,4)</f>
        <v>2312</v>
      </c>
      <c r="V861" s="35" t="str">
        <f>VLOOKUP(Tabla1[[#This Row],[PROGRAMA]],Hoja1!A:B,2,FALSE)</f>
        <v>2312. Iniciativas sociales</v>
      </c>
      <c r="W861" s="56" t="str">
        <f>MID(Tabla1[[#This Row],[Aplicación]],14,2)</f>
        <v>22</v>
      </c>
      <c r="X861" s="56" t="str">
        <f>MID(Tabla1[[#This Row],[Aplicación]],14,6)</f>
        <v>22606</v>
      </c>
    </row>
    <row r="862" spans="1:24" x14ac:dyDescent="0.25">
      <c r="A862" s="46">
        <v>220230001783</v>
      </c>
      <c r="B862" s="47" t="s">
        <v>507</v>
      </c>
      <c r="C862" s="52">
        <v>44960</v>
      </c>
      <c r="D862" s="46">
        <v>22023000039</v>
      </c>
      <c r="E862" s="47" t="s">
        <v>613</v>
      </c>
      <c r="F862" s="53">
        <v>242</v>
      </c>
      <c r="G862" s="47" t="s">
        <v>2022</v>
      </c>
      <c r="H862" s="47" t="s">
        <v>2023</v>
      </c>
      <c r="I862" s="46" t="s">
        <v>511</v>
      </c>
      <c r="J862" s="47" t="s">
        <v>519</v>
      </c>
      <c r="K862" s="47" t="s">
        <v>519</v>
      </c>
      <c r="L862" s="47" t="s">
        <v>520</v>
      </c>
      <c r="M862" s="47" t="s">
        <v>976</v>
      </c>
      <c r="N862" s="47" t="s">
        <v>839</v>
      </c>
      <c r="O862" s="45" t="s">
        <v>383</v>
      </c>
      <c r="P862" s="44" t="s">
        <v>309</v>
      </c>
      <c r="Q862" s="59" t="str">
        <f>MID(Tabla1[[#This Row],[Aplicación]],14,1)</f>
        <v>2</v>
      </c>
      <c r="R862" s="35" t="s">
        <v>298</v>
      </c>
      <c r="S862" s="59" t="str">
        <f>MID(Tabla1[[#This Row],[Aplicación]],6,2)</f>
        <v>10</v>
      </c>
      <c r="T862" s="35" t="str">
        <f>VLOOKUP(Tabla1[[#This Row],[AREA]],Hoja1!A:B,2,FALSE)</f>
        <v>10. Servicios sociales y mediación comunitaria</v>
      </c>
      <c r="U862" s="35" t="str">
        <f>MID(Tabla1[[#This Row],[Aplicación]],9,4)</f>
        <v>2312</v>
      </c>
      <c r="V862" s="35" t="str">
        <f>VLOOKUP(Tabla1[[#This Row],[PROGRAMA]],Hoja1!A:B,2,FALSE)</f>
        <v>2312. Iniciativas sociales</v>
      </c>
      <c r="W862" s="56" t="str">
        <f>MID(Tabla1[[#This Row],[Aplicación]],14,2)</f>
        <v>21</v>
      </c>
      <c r="X862" s="56" t="str">
        <f>MID(Tabla1[[#This Row],[Aplicación]],14,6)</f>
        <v>213</v>
      </c>
    </row>
    <row r="863" spans="1:24" x14ac:dyDescent="0.25">
      <c r="A863" s="46">
        <v>220230000063</v>
      </c>
      <c r="B863" s="47" t="s">
        <v>507</v>
      </c>
      <c r="C863" s="52">
        <v>44927</v>
      </c>
      <c r="D863" s="46">
        <v>22023000564</v>
      </c>
      <c r="E863" s="47" t="s">
        <v>583</v>
      </c>
      <c r="F863" s="53">
        <v>26141.9</v>
      </c>
      <c r="G863" s="47" t="s">
        <v>67</v>
      </c>
      <c r="H863" s="47" t="s">
        <v>2024</v>
      </c>
      <c r="I863" s="46" t="s">
        <v>511</v>
      </c>
      <c r="J863" s="47" t="s">
        <v>953</v>
      </c>
      <c r="K863" s="47" t="s">
        <v>519</v>
      </c>
      <c r="L863" s="47" t="s">
        <v>520</v>
      </c>
      <c r="M863" s="47" t="s">
        <v>514</v>
      </c>
      <c r="N863" s="47" t="s">
        <v>515</v>
      </c>
      <c r="O863" s="54" t="s">
        <v>382</v>
      </c>
      <c r="P863" s="44" t="s">
        <v>309</v>
      </c>
      <c r="Q863" s="59" t="str">
        <f>MID(Tabla1[[#This Row],[Aplicación]],14,1)</f>
        <v>6</v>
      </c>
      <c r="R863" s="35" t="s">
        <v>299</v>
      </c>
      <c r="S863" s="59" t="str">
        <f>MID(Tabla1[[#This Row],[Aplicación]],6,2)</f>
        <v>02</v>
      </c>
      <c r="T863" s="35" t="str">
        <f>VLOOKUP(Tabla1[[#This Row],[AREA]],Hoja1!A:B,2,FALSE)</f>
        <v>02. Planeamiento urbanístico y vivienda</v>
      </c>
      <c r="U863" s="35" t="str">
        <f>MID(Tabla1[[#This Row],[Aplicación]],9,4)</f>
        <v>1511</v>
      </c>
      <c r="V863" s="35" t="str">
        <f>VLOOKUP(Tabla1[[#This Row],[PROGRAMA]],Hoja1!A:B,2,FALSE)</f>
        <v>1511. Planficación y gestión del urbanismo</v>
      </c>
      <c r="W863" s="56" t="str">
        <f>MID(Tabla1[[#This Row],[Aplicación]],14,2)</f>
        <v>60</v>
      </c>
      <c r="X863" s="56" t="str">
        <f>MID(Tabla1[[#This Row],[Aplicación]],14,6)</f>
        <v>609</v>
      </c>
    </row>
    <row r="864" spans="1:24" x14ac:dyDescent="0.25">
      <c r="A864" s="46">
        <v>220230002500</v>
      </c>
      <c r="B864" s="47" t="s">
        <v>1514</v>
      </c>
      <c r="C864" s="52">
        <v>44965</v>
      </c>
      <c r="D864" s="46">
        <v>22023001956</v>
      </c>
      <c r="E864" s="47" t="s">
        <v>1982</v>
      </c>
      <c r="F864" s="53">
        <v>20</v>
      </c>
      <c r="G864" s="47" t="s">
        <v>2025</v>
      </c>
      <c r="H864" s="47" t="s">
        <v>2026</v>
      </c>
      <c r="I864" s="46" t="s">
        <v>1517</v>
      </c>
      <c r="J864" s="47" t="s">
        <v>519</v>
      </c>
      <c r="K864" s="47" t="s">
        <v>519</v>
      </c>
      <c r="L864" s="47" t="s">
        <v>520</v>
      </c>
      <c r="M864" s="47" t="s">
        <v>514</v>
      </c>
      <c r="N864" s="47" t="s">
        <v>515</v>
      </c>
      <c r="O864" s="45" t="s">
        <v>382</v>
      </c>
      <c r="P864" s="44" t="s">
        <v>309</v>
      </c>
      <c r="Q864" s="59" t="str">
        <f>MID(Tabla1[[#This Row],[Aplicación]],14,1)</f>
        <v>2</v>
      </c>
      <c r="R864" s="35" t="s">
        <v>298</v>
      </c>
      <c r="S864" s="59" t="str">
        <f>MID(Tabla1[[#This Row],[Aplicación]],6,2)</f>
        <v>07</v>
      </c>
      <c r="T864" s="35" t="str">
        <f>VLOOKUP(Tabla1[[#This Row],[AREA]],Hoja1!A:B,2,FALSE)</f>
        <v>07. Medio ambiente y desarrollo sostenible</v>
      </c>
      <c r="U864" s="35" t="str">
        <f>MID(Tabla1[[#This Row],[Aplicación]],9,4)</f>
        <v>1711</v>
      </c>
      <c r="V864" s="35" t="str">
        <f>VLOOKUP(Tabla1[[#This Row],[PROGRAMA]],Hoja1!A:B,2,FALSE)</f>
        <v>1711. Parques y jardines</v>
      </c>
      <c r="W864" s="56" t="str">
        <f>MID(Tabla1[[#This Row],[Aplicación]],14,2)</f>
        <v>21</v>
      </c>
      <c r="X864" s="56" t="str">
        <f>MID(Tabla1[[#This Row],[Aplicación]],14,6)</f>
        <v>214</v>
      </c>
    </row>
    <row r="865" spans="1:24" x14ac:dyDescent="0.25">
      <c r="A865" s="46">
        <v>220230001785</v>
      </c>
      <c r="B865" s="47" t="s">
        <v>507</v>
      </c>
      <c r="C865" s="52">
        <v>44960</v>
      </c>
      <c r="D865" s="46">
        <v>22023000042</v>
      </c>
      <c r="E865" s="47" t="s">
        <v>613</v>
      </c>
      <c r="F865" s="53">
        <v>229.9</v>
      </c>
      <c r="G865" s="47" t="s">
        <v>2022</v>
      </c>
      <c r="H865" s="47" t="s">
        <v>2027</v>
      </c>
      <c r="I865" s="46" t="s">
        <v>511</v>
      </c>
      <c r="J865" s="47" t="s">
        <v>519</v>
      </c>
      <c r="K865" s="47" t="s">
        <v>519</v>
      </c>
      <c r="L865" s="47" t="s">
        <v>520</v>
      </c>
      <c r="M865" s="47" t="s">
        <v>976</v>
      </c>
      <c r="N865" s="47" t="s">
        <v>839</v>
      </c>
      <c r="O865" s="45" t="s">
        <v>383</v>
      </c>
      <c r="P865" s="44" t="s">
        <v>309</v>
      </c>
      <c r="Q865" s="59" t="str">
        <f>MID(Tabla1[[#This Row],[Aplicación]],14,1)</f>
        <v>2</v>
      </c>
      <c r="R865" s="35" t="s">
        <v>298</v>
      </c>
      <c r="S865" s="59" t="str">
        <f>MID(Tabla1[[#This Row],[Aplicación]],6,2)</f>
        <v>10</v>
      </c>
      <c r="T865" s="35" t="str">
        <f>VLOOKUP(Tabla1[[#This Row],[AREA]],Hoja1!A:B,2,FALSE)</f>
        <v>10. Servicios sociales y mediación comunitaria</v>
      </c>
      <c r="U865" s="35" t="str">
        <f>MID(Tabla1[[#This Row],[Aplicación]],9,4)</f>
        <v>2312</v>
      </c>
      <c r="V865" s="35" t="str">
        <f>VLOOKUP(Tabla1[[#This Row],[PROGRAMA]],Hoja1!A:B,2,FALSE)</f>
        <v>2312. Iniciativas sociales</v>
      </c>
      <c r="W865" s="56" t="str">
        <f>MID(Tabla1[[#This Row],[Aplicación]],14,2)</f>
        <v>21</v>
      </c>
      <c r="X865" s="56" t="str">
        <f>MID(Tabla1[[#This Row],[Aplicación]],14,6)</f>
        <v>213</v>
      </c>
    </row>
    <row r="866" spans="1:24" x14ac:dyDescent="0.25">
      <c r="A866" s="46">
        <v>220229000409</v>
      </c>
      <c r="B866" s="47" t="s">
        <v>507</v>
      </c>
      <c r="C866" s="52">
        <v>44927</v>
      </c>
      <c r="D866" s="46">
        <v>22023001179</v>
      </c>
      <c r="E866" s="47" t="s">
        <v>2028</v>
      </c>
      <c r="F866" s="53">
        <v>598.95000000000005</v>
      </c>
      <c r="G866" s="47" t="s">
        <v>20</v>
      </c>
      <c r="H866" s="47" t="s">
        <v>2029</v>
      </c>
      <c r="I866" s="46" t="s">
        <v>511</v>
      </c>
      <c r="J866" s="47" t="s">
        <v>519</v>
      </c>
      <c r="K866" s="47" t="s">
        <v>519</v>
      </c>
      <c r="L866" s="47" t="s">
        <v>520</v>
      </c>
      <c r="M866" s="47" t="s">
        <v>976</v>
      </c>
      <c r="N866" s="47" t="s">
        <v>839</v>
      </c>
      <c r="O866" s="45" t="s">
        <v>383</v>
      </c>
      <c r="P866" s="44" t="s">
        <v>309</v>
      </c>
      <c r="Q866" s="59" t="str">
        <f>MID(Tabla1[[#This Row],[Aplicación]],14,1)</f>
        <v>2</v>
      </c>
      <c r="R866" s="35" t="s">
        <v>298</v>
      </c>
      <c r="S866" s="59" t="str">
        <f>MID(Tabla1[[#This Row],[Aplicación]],6,2)</f>
        <v>09</v>
      </c>
      <c r="T866" s="35" t="str">
        <f>VLOOKUP(Tabla1[[#This Row],[AREA]],Hoja1!A:B,2,FALSE)</f>
        <v>09. Cultura y turismo</v>
      </c>
      <c r="U866" s="35" t="str">
        <f>MID(Tabla1[[#This Row],[Aplicación]],9,4)</f>
        <v>4321</v>
      </c>
      <c r="V866" s="35" t="str">
        <f>VLOOKUP(Tabla1[[#This Row],[PROGRAMA]],Hoja1!A:B,2,FALSE)</f>
        <v>4321. Turismo</v>
      </c>
      <c r="W866" s="56" t="str">
        <f>MID(Tabla1[[#This Row],[Aplicación]],14,2)</f>
        <v>22</v>
      </c>
      <c r="X866" s="56" t="str">
        <f>MID(Tabla1[[#This Row],[Aplicación]],14,6)</f>
        <v>22701</v>
      </c>
    </row>
    <row r="867" spans="1:24" x14ac:dyDescent="0.25">
      <c r="A867" s="46">
        <v>220229000408</v>
      </c>
      <c r="B867" s="47" t="s">
        <v>507</v>
      </c>
      <c r="C867" s="52">
        <v>44927</v>
      </c>
      <c r="D867" s="46">
        <v>22023001178</v>
      </c>
      <c r="E867" s="47" t="s">
        <v>2030</v>
      </c>
      <c r="F867" s="53">
        <v>1187.9100000000001</v>
      </c>
      <c r="G867" s="47" t="s">
        <v>20</v>
      </c>
      <c r="H867" s="47" t="s">
        <v>2031</v>
      </c>
      <c r="I867" s="46" t="s">
        <v>511</v>
      </c>
      <c r="J867" s="47" t="s">
        <v>519</v>
      </c>
      <c r="K867" s="47" t="s">
        <v>519</v>
      </c>
      <c r="L867" s="47" t="s">
        <v>520</v>
      </c>
      <c r="M867" s="47" t="s">
        <v>976</v>
      </c>
      <c r="N867" s="47" t="s">
        <v>839</v>
      </c>
      <c r="O867" s="45" t="s">
        <v>383</v>
      </c>
      <c r="P867" s="44" t="s">
        <v>309</v>
      </c>
      <c r="Q867" s="59" t="str">
        <f>MID(Tabla1[[#This Row],[Aplicación]],14,1)</f>
        <v>2</v>
      </c>
      <c r="R867" s="35" t="s">
        <v>298</v>
      </c>
      <c r="S867" s="59" t="str">
        <f>MID(Tabla1[[#This Row],[Aplicación]],6,2)</f>
        <v>09</v>
      </c>
      <c r="T867" s="35" t="str">
        <f>VLOOKUP(Tabla1[[#This Row],[AREA]],Hoja1!A:B,2,FALSE)</f>
        <v>09. Cultura y turismo</v>
      </c>
      <c r="U867" s="35" t="str">
        <f>MID(Tabla1[[#This Row],[Aplicación]],9,4)</f>
        <v>3341</v>
      </c>
      <c r="V867" s="35" t="str">
        <f>VLOOKUP(Tabla1[[#This Row],[PROGRAMA]],Hoja1!A:B,2,FALSE)</f>
        <v>3341. Coordinación de políticas culturales</v>
      </c>
      <c r="W867" s="56" t="str">
        <f>MID(Tabla1[[#This Row],[Aplicación]],14,2)</f>
        <v>22</v>
      </c>
      <c r="X867" s="56" t="str">
        <f>MID(Tabla1[[#This Row],[Aplicación]],14,6)</f>
        <v>22701</v>
      </c>
    </row>
    <row r="868" spans="1:24" x14ac:dyDescent="0.25">
      <c r="A868" s="46">
        <v>220229000710</v>
      </c>
      <c r="B868" s="47" t="s">
        <v>507</v>
      </c>
      <c r="C868" s="52">
        <v>44927</v>
      </c>
      <c r="D868" s="46">
        <v>22023001294</v>
      </c>
      <c r="E868" s="47" t="s">
        <v>613</v>
      </c>
      <c r="F868" s="53">
        <v>1822.91</v>
      </c>
      <c r="G868" s="47" t="s">
        <v>20</v>
      </c>
      <c r="H868" s="47" t="s">
        <v>2032</v>
      </c>
      <c r="I868" s="46" t="s">
        <v>511</v>
      </c>
      <c r="J868" s="47" t="s">
        <v>519</v>
      </c>
      <c r="K868" s="47" t="s">
        <v>519</v>
      </c>
      <c r="L868" s="47" t="s">
        <v>520</v>
      </c>
      <c r="M868" s="47" t="s">
        <v>976</v>
      </c>
      <c r="N868" s="47" t="s">
        <v>839</v>
      </c>
      <c r="O868" s="45" t="s">
        <v>383</v>
      </c>
      <c r="P868" s="44" t="s">
        <v>309</v>
      </c>
      <c r="Q868" s="59" t="str">
        <f>MID(Tabla1[[#This Row],[Aplicación]],14,1)</f>
        <v>2</v>
      </c>
      <c r="R868" s="35" t="s">
        <v>298</v>
      </c>
      <c r="S868" s="59" t="str">
        <f>MID(Tabla1[[#This Row],[Aplicación]],6,2)</f>
        <v>10</v>
      </c>
      <c r="T868" s="35" t="str">
        <f>VLOOKUP(Tabla1[[#This Row],[AREA]],Hoja1!A:B,2,FALSE)</f>
        <v>10. Servicios sociales y mediación comunitaria</v>
      </c>
      <c r="U868" s="35" t="str">
        <f>MID(Tabla1[[#This Row],[Aplicación]],9,4)</f>
        <v>2312</v>
      </c>
      <c r="V868" s="35" t="str">
        <f>VLOOKUP(Tabla1[[#This Row],[PROGRAMA]],Hoja1!A:B,2,FALSE)</f>
        <v>2312. Iniciativas sociales</v>
      </c>
      <c r="W868" s="56" t="str">
        <f>MID(Tabla1[[#This Row],[Aplicación]],14,2)</f>
        <v>21</v>
      </c>
      <c r="X868" s="56" t="str">
        <f>MID(Tabla1[[#This Row],[Aplicación]],14,6)</f>
        <v>213</v>
      </c>
    </row>
    <row r="869" spans="1:24" x14ac:dyDescent="0.25">
      <c r="A869" s="46">
        <v>220229000711</v>
      </c>
      <c r="B869" s="47" t="s">
        <v>507</v>
      </c>
      <c r="C869" s="52">
        <v>44927</v>
      </c>
      <c r="D869" s="46">
        <v>22023001295</v>
      </c>
      <c r="E869" s="47" t="s">
        <v>613</v>
      </c>
      <c r="F869" s="53">
        <v>2598.0100000000002</v>
      </c>
      <c r="G869" s="47" t="s">
        <v>20</v>
      </c>
      <c r="H869" s="47" t="s">
        <v>2033</v>
      </c>
      <c r="I869" s="46" t="s">
        <v>511</v>
      </c>
      <c r="J869" s="47" t="s">
        <v>519</v>
      </c>
      <c r="K869" s="47" t="s">
        <v>519</v>
      </c>
      <c r="L869" s="47" t="s">
        <v>520</v>
      </c>
      <c r="M869" s="47" t="s">
        <v>976</v>
      </c>
      <c r="N869" s="47" t="s">
        <v>839</v>
      </c>
      <c r="O869" s="45" t="s">
        <v>383</v>
      </c>
      <c r="P869" s="44" t="s">
        <v>309</v>
      </c>
      <c r="Q869" s="59" t="str">
        <f>MID(Tabla1[[#This Row],[Aplicación]],14,1)</f>
        <v>2</v>
      </c>
      <c r="R869" s="35" t="s">
        <v>298</v>
      </c>
      <c r="S869" s="59" t="str">
        <f>MID(Tabla1[[#This Row],[Aplicación]],6,2)</f>
        <v>10</v>
      </c>
      <c r="T869" s="35" t="str">
        <f>VLOOKUP(Tabla1[[#This Row],[AREA]],Hoja1!A:B,2,FALSE)</f>
        <v>10. Servicios sociales y mediación comunitaria</v>
      </c>
      <c r="U869" s="35" t="str">
        <f>MID(Tabla1[[#This Row],[Aplicación]],9,4)</f>
        <v>2312</v>
      </c>
      <c r="V869" s="35" t="str">
        <f>VLOOKUP(Tabla1[[#This Row],[PROGRAMA]],Hoja1!A:B,2,FALSE)</f>
        <v>2312. Iniciativas sociales</v>
      </c>
      <c r="W869" s="56" t="str">
        <f>MID(Tabla1[[#This Row],[Aplicación]],14,2)</f>
        <v>21</v>
      </c>
      <c r="X869" s="56" t="str">
        <f>MID(Tabla1[[#This Row],[Aplicación]],14,6)</f>
        <v>213</v>
      </c>
    </row>
    <row r="870" spans="1:24" x14ac:dyDescent="0.25">
      <c r="A870" s="46">
        <v>220230002488</v>
      </c>
      <c r="B870" s="47" t="s">
        <v>1249</v>
      </c>
      <c r="C870" s="52">
        <v>44965</v>
      </c>
      <c r="D870" s="46">
        <v>22023002009</v>
      </c>
      <c r="E870" s="47" t="s">
        <v>1260</v>
      </c>
      <c r="F870" s="53">
        <v>1656.73</v>
      </c>
      <c r="G870" s="47" t="s">
        <v>2034</v>
      </c>
      <c r="H870" s="47" t="s">
        <v>2035</v>
      </c>
      <c r="I870" s="46" t="s">
        <v>1251</v>
      </c>
      <c r="J870" s="47" t="s">
        <v>2036</v>
      </c>
      <c r="K870" s="47" t="s">
        <v>512</v>
      </c>
      <c r="L870" s="47" t="s">
        <v>520</v>
      </c>
      <c r="M870" s="47" t="s">
        <v>514</v>
      </c>
      <c r="N870" s="47" t="s">
        <v>515</v>
      </c>
      <c r="O870" s="45" t="s">
        <v>382</v>
      </c>
      <c r="P870" s="44" t="s">
        <v>309</v>
      </c>
      <c r="Q870" s="59" t="str">
        <f>MID(Tabla1[[#This Row],[Aplicación]],14,1)</f>
        <v>2</v>
      </c>
      <c r="R870" s="35" t="s">
        <v>298</v>
      </c>
      <c r="S870" s="59" t="str">
        <f>MID(Tabla1[[#This Row],[Aplicación]],6,2)</f>
        <v>03</v>
      </c>
      <c r="T870" s="35" t="str">
        <f>VLOOKUP(Tabla1[[#This Row],[AREA]],Hoja1!A:B,2,FALSE)</f>
        <v>03. Participación ciudadana y deportes</v>
      </c>
      <c r="U870" s="35" t="str">
        <f>MID(Tabla1[[#This Row],[Aplicación]],9,4)</f>
        <v>9241</v>
      </c>
      <c r="V870" s="35" t="str">
        <f>VLOOKUP(Tabla1[[#This Row],[PROGRAMA]],Hoja1!A:B,2,FALSE)</f>
        <v>9241. Participación ciudadana</v>
      </c>
      <c r="W870" s="56" t="str">
        <f>MID(Tabla1[[#This Row],[Aplicación]],14,2)</f>
        <v>22</v>
      </c>
      <c r="X870" s="56" t="str">
        <f>MID(Tabla1[[#This Row],[Aplicación]],14,6)</f>
        <v>22602</v>
      </c>
    </row>
    <row r="871" spans="1:24" x14ac:dyDescent="0.25">
      <c r="A871" s="46">
        <v>220230002487</v>
      </c>
      <c r="B871" s="47" t="s">
        <v>1249</v>
      </c>
      <c r="C871" s="52">
        <v>44965</v>
      </c>
      <c r="D871" s="46">
        <v>22023002008</v>
      </c>
      <c r="E871" s="47" t="s">
        <v>1260</v>
      </c>
      <c r="F871" s="53">
        <v>763.27</v>
      </c>
      <c r="G871" s="47" t="s">
        <v>2034</v>
      </c>
      <c r="H871" s="47" t="s">
        <v>2037</v>
      </c>
      <c r="I871" s="46" t="s">
        <v>1251</v>
      </c>
      <c r="J871" s="47" t="s">
        <v>2036</v>
      </c>
      <c r="K871" s="47" t="s">
        <v>512</v>
      </c>
      <c r="L871" s="47" t="s">
        <v>520</v>
      </c>
      <c r="M871" s="47" t="s">
        <v>514</v>
      </c>
      <c r="N871" s="47" t="s">
        <v>515</v>
      </c>
      <c r="O871" s="45" t="s">
        <v>382</v>
      </c>
      <c r="P871" s="44" t="s">
        <v>309</v>
      </c>
      <c r="Q871" s="59" t="str">
        <f>MID(Tabla1[[#This Row],[Aplicación]],14,1)</f>
        <v>2</v>
      </c>
      <c r="R871" s="35" t="s">
        <v>298</v>
      </c>
      <c r="S871" s="59" t="str">
        <f>MID(Tabla1[[#This Row],[Aplicación]],6,2)</f>
        <v>03</v>
      </c>
      <c r="T871" s="35" t="str">
        <f>VLOOKUP(Tabla1[[#This Row],[AREA]],Hoja1!A:B,2,FALSE)</f>
        <v>03. Participación ciudadana y deportes</v>
      </c>
      <c r="U871" s="35" t="str">
        <f>MID(Tabla1[[#This Row],[Aplicación]],9,4)</f>
        <v>9241</v>
      </c>
      <c r="V871" s="35" t="str">
        <f>VLOOKUP(Tabla1[[#This Row],[PROGRAMA]],Hoja1!A:B,2,FALSE)</f>
        <v>9241. Participación ciudadana</v>
      </c>
      <c r="W871" s="56" t="str">
        <f>MID(Tabla1[[#This Row],[Aplicación]],14,2)</f>
        <v>22</v>
      </c>
      <c r="X871" s="56" t="str">
        <f>MID(Tabla1[[#This Row],[Aplicación]],14,6)</f>
        <v>22602</v>
      </c>
    </row>
    <row r="872" spans="1:24" x14ac:dyDescent="0.25">
      <c r="A872" s="46">
        <v>220229000674</v>
      </c>
      <c r="B872" s="47" t="s">
        <v>507</v>
      </c>
      <c r="C872" s="52">
        <v>44927</v>
      </c>
      <c r="D872" s="46">
        <v>22023001277</v>
      </c>
      <c r="E872" s="47" t="s">
        <v>1155</v>
      </c>
      <c r="F872" s="53">
        <v>4096.38</v>
      </c>
      <c r="G872" s="47" t="s">
        <v>20</v>
      </c>
      <c r="H872" s="47" t="s">
        <v>2038</v>
      </c>
      <c r="I872" s="46" t="s">
        <v>511</v>
      </c>
      <c r="J872" s="47" t="s">
        <v>519</v>
      </c>
      <c r="K872" s="47" t="s">
        <v>519</v>
      </c>
      <c r="L872" s="47" t="s">
        <v>520</v>
      </c>
      <c r="M872" s="47" t="s">
        <v>976</v>
      </c>
      <c r="N872" s="47" t="s">
        <v>839</v>
      </c>
      <c r="O872" s="45" t="s">
        <v>383</v>
      </c>
      <c r="P872" s="44" t="s">
        <v>309</v>
      </c>
      <c r="Q872" s="59" t="str">
        <f>MID(Tabla1[[#This Row],[Aplicación]],14,1)</f>
        <v>2</v>
      </c>
      <c r="R872" s="35" t="s">
        <v>298</v>
      </c>
      <c r="S872" s="59" t="str">
        <f>MID(Tabla1[[#This Row],[Aplicación]],6,2)</f>
        <v>06</v>
      </c>
      <c r="T872" s="35" t="str">
        <f>VLOOKUP(Tabla1[[#This Row],[AREA]],Hoja1!A:B,2,FALSE)</f>
        <v>06. Educación, infancia, juventud e igualdad</v>
      </c>
      <c r="U872" s="35" t="str">
        <f>MID(Tabla1[[#This Row],[Aplicación]],9,4)</f>
        <v>2314</v>
      </c>
      <c r="V872" s="35" t="str">
        <f>VLOOKUP(Tabla1[[#This Row],[PROGRAMA]],Hoja1!A:B,2,FALSE)</f>
        <v>2314. Centro de programas juveniles</v>
      </c>
      <c r="W872" s="56" t="str">
        <f>MID(Tabla1[[#This Row],[Aplicación]],14,2)</f>
        <v>21</v>
      </c>
      <c r="X872" s="56" t="str">
        <f>MID(Tabla1[[#This Row],[Aplicación]],14,6)</f>
        <v>213</v>
      </c>
    </row>
    <row r="873" spans="1:24" x14ac:dyDescent="0.25">
      <c r="A873" s="46">
        <v>220230002650</v>
      </c>
      <c r="B873" s="47" t="s">
        <v>507</v>
      </c>
      <c r="C873" s="52">
        <v>44966</v>
      </c>
      <c r="D873" s="46">
        <v>22023002324</v>
      </c>
      <c r="E873" s="47" t="s">
        <v>1305</v>
      </c>
      <c r="F873" s="53">
        <v>1815</v>
      </c>
      <c r="G873" s="47" t="s">
        <v>1658</v>
      </c>
      <c r="H873" s="47" t="s">
        <v>2039</v>
      </c>
      <c r="I873" s="46" t="s">
        <v>511</v>
      </c>
      <c r="J873" s="47" t="s">
        <v>519</v>
      </c>
      <c r="K873" s="47" t="s">
        <v>519</v>
      </c>
      <c r="L873" s="47" t="s">
        <v>520</v>
      </c>
      <c r="M873" s="47" t="s">
        <v>976</v>
      </c>
      <c r="N873" s="47" t="s">
        <v>839</v>
      </c>
      <c r="O873" s="45" t="s">
        <v>383</v>
      </c>
      <c r="P873" s="44" t="s">
        <v>309</v>
      </c>
      <c r="Q873" s="59" t="str">
        <f>MID(Tabla1[[#This Row],[Aplicación]],14,1)</f>
        <v>2</v>
      </c>
      <c r="R873" s="35" t="s">
        <v>298</v>
      </c>
      <c r="S873" s="59" t="str">
        <f>MID(Tabla1[[#This Row],[Aplicación]],6,2)</f>
        <v>06</v>
      </c>
      <c r="T873" s="35" t="str">
        <f>VLOOKUP(Tabla1[[#This Row],[AREA]],Hoja1!A:B,2,FALSE)</f>
        <v>06. Educación, infancia, juventud e igualdad</v>
      </c>
      <c r="U873" s="35" t="str">
        <f>MID(Tabla1[[#This Row],[Aplicación]],9,4)</f>
        <v>3232</v>
      </c>
      <c r="V873" s="35" t="str">
        <f>VLOOKUP(Tabla1[[#This Row],[PROGRAMA]],Hoja1!A:B,2,FALSE)</f>
        <v>3232. Conservación y mantenimiento centros educación infantil y primaria</v>
      </c>
      <c r="W873" s="56" t="str">
        <f>MID(Tabla1[[#This Row],[Aplicación]],14,2)</f>
        <v>21</v>
      </c>
      <c r="X873" s="56" t="str">
        <f>MID(Tabla1[[#This Row],[Aplicación]],14,6)</f>
        <v>212</v>
      </c>
    </row>
    <row r="874" spans="1:24" x14ac:dyDescent="0.25">
      <c r="A874" s="46">
        <v>220230002635</v>
      </c>
      <c r="B874" s="47" t="s">
        <v>507</v>
      </c>
      <c r="C874" s="52">
        <v>44966</v>
      </c>
      <c r="D874" s="46">
        <v>22023002155</v>
      </c>
      <c r="E874" s="47" t="s">
        <v>1299</v>
      </c>
      <c r="F874" s="53">
        <v>196</v>
      </c>
      <c r="G874" s="47" t="s">
        <v>342</v>
      </c>
      <c r="H874" s="47" t="s">
        <v>2040</v>
      </c>
      <c r="I874" s="46" t="s">
        <v>511</v>
      </c>
      <c r="J874" s="47" t="s">
        <v>837</v>
      </c>
      <c r="K874" s="47" t="s">
        <v>837</v>
      </c>
      <c r="L874" s="47" t="s">
        <v>552</v>
      </c>
      <c r="M874" s="47" t="s">
        <v>976</v>
      </c>
      <c r="N874" s="47" t="s">
        <v>839</v>
      </c>
      <c r="O874" s="45" t="s">
        <v>383</v>
      </c>
      <c r="P874" s="44" t="s">
        <v>309</v>
      </c>
      <c r="Q874" s="59" t="str">
        <f>MID(Tabla1[[#This Row],[Aplicación]],14,1)</f>
        <v>2</v>
      </c>
      <c r="R874" s="35" t="s">
        <v>298</v>
      </c>
      <c r="S874" s="59" t="str">
        <f>MID(Tabla1[[#This Row],[Aplicación]],6,2)</f>
        <v>06</v>
      </c>
      <c r="T874" s="35" t="str">
        <f>VLOOKUP(Tabla1[[#This Row],[AREA]],Hoja1!A:B,2,FALSE)</f>
        <v>06. Educación, infancia, juventud e igualdad</v>
      </c>
      <c r="U874" s="35" t="str">
        <f>MID(Tabla1[[#This Row],[Aplicación]],9,4)</f>
        <v>3321</v>
      </c>
      <c r="V874" s="35" t="str">
        <f>VLOOKUP(Tabla1[[#This Row],[PROGRAMA]],Hoja1!A:B,2,FALSE)</f>
        <v>3321. Bibliotecas públicas</v>
      </c>
      <c r="W874" s="56" t="str">
        <f>MID(Tabla1[[#This Row],[Aplicación]],14,2)</f>
        <v>22</v>
      </c>
      <c r="X874" s="56" t="str">
        <f>MID(Tabla1[[#This Row],[Aplicación]],14,6)</f>
        <v>22001</v>
      </c>
    </row>
    <row r="875" spans="1:24" x14ac:dyDescent="0.25">
      <c r="A875" s="46">
        <v>220230002643</v>
      </c>
      <c r="B875" s="47" t="s">
        <v>507</v>
      </c>
      <c r="C875" s="52">
        <v>44966</v>
      </c>
      <c r="D875" s="46">
        <v>22023002193</v>
      </c>
      <c r="E875" s="47" t="s">
        <v>1299</v>
      </c>
      <c r="F875" s="53">
        <v>401</v>
      </c>
      <c r="G875" s="47" t="s">
        <v>460</v>
      </c>
      <c r="H875" s="47" t="s">
        <v>2041</v>
      </c>
      <c r="I875" s="46" t="s">
        <v>511</v>
      </c>
      <c r="J875" s="47" t="s">
        <v>512</v>
      </c>
      <c r="K875" s="47" t="s">
        <v>512</v>
      </c>
      <c r="L875" s="47" t="s">
        <v>552</v>
      </c>
      <c r="M875" s="47" t="s">
        <v>976</v>
      </c>
      <c r="N875" s="47" t="s">
        <v>839</v>
      </c>
      <c r="O875" s="45" t="s">
        <v>383</v>
      </c>
      <c r="P875" s="44" t="s">
        <v>309</v>
      </c>
      <c r="Q875" s="59" t="str">
        <f>MID(Tabla1[[#This Row],[Aplicación]],14,1)</f>
        <v>2</v>
      </c>
      <c r="R875" s="35" t="s">
        <v>298</v>
      </c>
      <c r="S875" s="59" t="str">
        <f>MID(Tabla1[[#This Row],[Aplicación]],6,2)</f>
        <v>06</v>
      </c>
      <c r="T875" s="35" t="str">
        <f>VLOOKUP(Tabla1[[#This Row],[AREA]],Hoja1!A:B,2,FALSE)</f>
        <v>06. Educación, infancia, juventud e igualdad</v>
      </c>
      <c r="U875" s="35" t="str">
        <f>MID(Tabla1[[#This Row],[Aplicación]],9,4)</f>
        <v>3321</v>
      </c>
      <c r="V875" s="35" t="str">
        <f>VLOOKUP(Tabla1[[#This Row],[PROGRAMA]],Hoja1!A:B,2,FALSE)</f>
        <v>3321. Bibliotecas públicas</v>
      </c>
      <c r="W875" s="56" t="str">
        <f>MID(Tabla1[[#This Row],[Aplicación]],14,2)</f>
        <v>22</v>
      </c>
      <c r="X875" s="56" t="str">
        <f>MID(Tabla1[[#This Row],[Aplicación]],14,6)</f>
        <v>22001</v>
      </c>
    </row>
    <row r="876" spans="1:24" x14ac:dyDescent="0.25">
      <c r="A876" s="46">
        <v>220230002631</v>
      </c>
      <c r="B876" s="47" t="s">
        <v>507</v>
      </c>
      <c r="C876" s="52">
        <v>44966</v>
      </c>
      <c r="D876" s="46">
        <v>22023002093</v>
      </c>
      <c r="E876" s="47" t="s">
        <v>732</v>
      </c>
      <c r="F876" s="53">
        <v>2025</v>
      </c>
      <c r="G876" s="47" t="s">
        <v>2042</v>
      </c>
      <c r="H876" s="47" t="s">
        <v>2043</v>
      </c>
      <c r="I876" s="46" t="s">
        <v>511</v>
      </c>
      <c r="J876" s="47" t="s">
        <v>519</v>
      </c>
      <c r="K876" s="51" t="s">
        <v>519</v>
      </c>
      <c r="L876" s="47" t="s">
        <v>520</v>
      </c>
      <c r="M876" s="47" t="s">
        <v>976</v>
      </c>
      <c r="N876" s="47" t="s">
        <v>839</v>
      </c>
      <c r="O876" s="45" t="s">
        <v>383</v>
      </c>
      <c r="P876" s="44" t="s">
        <v>309</v>
      </c>
      <c r="Q876" s="59" t="str">
        <f>MID(Tabla1[[#This Row],[Aplicación]],14,1)</f>
        <v>2</v>
      </c>
      <c r="R876" s="35" t="s">
        <v>298</v>
      </c>
      <c r="S876" s="59" t="str">
        <f>MID(Tabla1[[#This Row],[Aplicación]],6,2)</f>
        <v>06</v>
      </c>
      <c r="T876" s="35" t="str">
        <f>VLOOKUP(Tabla1[[#This Row],[AREA]],Hoja1!A:B,2,FALSE)</f>
        <v>06. Educación, infancia, juventud e igualdad</v>
      </c>
      <c r="U876" s="35" t="str">
        <f>MID(Tabla1[[#This Row],[Aplicación]],9,4)</f>
        <v>3321</v>
      </c>
      <c r="V876" s="35" t="str">
        <f>VLOOKUP(Tabla1[[#This Row],[PROGRAMA]],Hoja1!A:B,2,FALSE)</f>
        <v>3321. Bibliotecas públicas</v>
      </c>
      <c r="W876" s="56" t="str">
        <f>MID(Tabla1[[#This Row],[Aplicación]],14,2)</f>
        <v>22</v>
      </c>
      <c r="X876" s="56" t="str">
        <f>MID(Tabla1[[#This Row],[Aplicación]],14,6)</f>
        <v>22799</v>
      </c>
    </row>
    <row r="877" spans="1:24" x14ac:dyDescent="0.25">
      <c r="A877" s="46">
        <v>220230002649</v>
      </c>
      <c r="B877" s="47" t="s">
        <v>507</v>
      </c>
      <c r="C877" s="52">
        <v>44966</v>
      </c>
      <c r="D877" s="46">
        <v>22023002317</v>
      </c>
      <c r="E877" s="47" t="s">
        <v>669</v>
      </c>
      <c r="F877" s="53">
        <v>3630</v>
      </c>
      <c r="G877" s="47" t="s">
        <v>99</v>
      </c>
      <c r="H877" s="47" t="s">
        <v>2044</v>
      </c>
      <c r="I877" s="46" t="s">
        <v>511</v>
      </c>
      <c r="J877" s="47" t="s">
        <v>2045</v>
      </c>
      <c r="K877" s="47" t="s">
        <v>519</v>
      </c>
      <c r="L877" s="47" t="s">
        <v>520</v>
      </c>
      <c r="M877" s="47" t="s">
        <v>976</v>
      </c>
      <c r="N877" s="47" t="s">
        <v>839</v>
      </c>
      <c r="O877" s="45" t="s">
        <v>383</v>
      </c>
      <c r="P877" s="44" t="s">
        <v>309</v>
      </c>
      <c r="Q877" s="59" t="str">
        <f>MID(Tabla1[[#This Row],[Aplicación]],14,1)</f>
        <v>2</v>
      </c>
      <c r="R877" s="35" t="s">
        <v>298</v>
      </c>
      <c r="S877" s="59" t="str">
        <f>MID(Tabla1[[#This Row],[Aplicación]],6,2)</f>
        <v>06</v>
      </c>
      <c r="T877" s="35" t="str">
        <f>VLOOKUP(Tabla1[[#This Row],[AREA]],Hoja1!A:B,2,FALSE)</f>
        <v>06. Educación, infancia, juventud e igualdad</v>
      </c>
      <c r="U877" s="35" t="str">
        <f>MID(Tabla1[[#This Row],[Aplicación]],9,4)</f>
        <v>3232</v>
      </c>
      <c r="V877" s="35" t="str">
        <f>VLOOKUP(Tabla1[[#This Row],[PROGRAMA]],Hoja1!A:B,2,FALSE)</f>
        <v>3232. Conservación y mantenimiento centros educación infantil y primaria</v>
      </c>
      <c r="W877" s="56" t="str">
        <f>MID(Tabla1[[#This Row],[Aplicación]],14,2)</f>
        <v>21</v>
      </c>
      <c r="X877" s="56" t="str">
        <f>MID(Tabla1[[#This Row],[Aplicación]],14,6)</f>
        <v>213</v>
      </c>
    </row>
    <row r="878" spans="1:24" x14ac:dyDescent="0.25">
      <c r="A878" s="46">
        <v>220230002627</v>
      </c>
      <c r="B878" s="47" t="s">
        <v>507</v>
      </c>
      <c r="C878" s="52">
        <v>44966</v>
      </c>
      <c r="D878" s="46">
        <v>22023002085</v>
      </c>
      <c r="E878" s="47" t="s">
        <v>2046</v>
      </c>
      <c r="F878" s="53">
        <v>482.79</v>
      </c>
      <c r="G878" s="47" t="s">
        <v>78</v>
      </c>
      <c r="H878" s="47" t="s">
        <v>2047</v>
      </c>
      <c r="I878" s="46" t="s">
        <v>511</v>
      </c>
      <c r="J878" s="47" t="s">
        <v>519</v>
      </c>
      <c r="K878" s="47" t="s">
        <v>519</v>
      </c>
      <c r="L878" s="47" t="s">
        <v>552</v>
      </c>
      <c r="M878" s="47" t="s">
        <v>976</v>
      </c>
      <c r="N878" s="47" t="s">
        <v>839</v>
      </c>
      <c r="O878" s="45" t="s">
        <v>383</v>
      </c>
      <c r="P878" s="44" t="s">
        <v>309</v>
      </c>
      <c r="Q878" s="59" t="str">
        <f>MID(Tabla1[[#This Row],[Aplicación]],14,1)</f>
        <v>2</v>
      </c>
      <c r="R878" s="35" t="s">
        <v>298</v>
      </c>
      <c r="S878" s="59" t="str">
        <f>MID(Tabla1[[#This Row],[Aplicación]],6,2)</f>
        <v>06</v>
      </c>
      <c r="T878" s="35" t="str">
        <f>VLOOKUP(Tabla1[[#This Row],[AREA]],Hoja1!A:B,2,FALSE)</f>
        <v>06. Educación, infancia, juventud e igualdad</v>
      </c>
      <c r="U878" s="35" t="str">
        <f>MID(Tabla1[[#This Row],[Aplicación]],9,4)</f>
        <v>3321</v>
      </c>
      <c r="V878" s="35" t="str">
        <f>VLOOKUP(Tabla1[[#This Row],[PROGRAMA]],Hoja1!A:B,2,FALSE)</f>
        <v>3321. Bibliotecas públicas</v>
      </c>
      <c r="W878" s="56" t="str">
        <f>MID(Tabla1[[#This Row],[Aplicación]],14,2)</f>
        <v>22</v>
      </c>
      <c r="X878" s="56" t="str">
        <f>MID(Tabla1[[#This Row],[Aplicación]],14,6)</f>
        <v>22199</v>
      </c>
    </row>
    <row r="879" spans="1:24" x14ac:dyDescent="0.25">
      <c r="A879" s="46">
        <v>220230003090</v>
      </c>
      <c r="B879" s="47" t="s">
        <v>1249</v>
      </c>
      <c r="C879" s="52">
        <v>44970</v>
      </c>
      <c r="D879" s="46">
        <v>22023002367</v>
      </c>
      <c r="E879" s="47" t="s">
        <v>1241</v>
      </c>
      <c r="F879" s="53">
        <v>76.41</v>
      </c>
      <c r="G879" s="47" t="s">
        <v>18</v>
      </c>
      <c r="H879" s="47" t="s">
        <v>2048</v>
      </c>
      <c r="I879" s="46" t="s">
        <v>1251</v>
      </c>
      <c r="J879" s="47" t="s">
        <v>519</v>
      </c>
      <c r="K879" s="47" t="s">
        <v>519</v>
      </c>
      <c r="L879" s="47" t="s">
        <v>520</v>
      </c>
      <c r="M879" s="47" t="s">
        <v>514</v>
      </c>
      <c r="N879" s="47" t="s">
        <v>515</v>
      </c>
      <c r="O879" s="45" t="s">
        <v>371</v>
      </c>
      <c r="P879" s="44" t="s">
        <v>309</v>
      </c>
      <c r="Q879" s="59" t="str">
        <f>MID(Tabla1[[#This Row],[Aplicación]],14,1)</f>
        <v>2</v>
      </c>
      <c r="R879" s="35" t="s">
        <v>298</v>
      </c>
      <c r="S879" s="59" t="str">
        <f>MID(Tabla1[[#This Row],[Aplicación]],6,2)</f>
        <v>06</v>
      </c>
      <c r="T879" s="35" t="str">
        <f>VLOOKUP(Tabla1[[#This Row],[AREA]],Hoja1!A:B,2,FALSE)</f>
        <v>06. Educación, infancia, juventud e igualdad</v>
      </c>
      <c r="U879" s="35" t="str">
        <f>MID(Tabla1[[#This Row],[Aplicación]],9,4)</f>
        <v>3231</v>
      </c>
      <c r="V879" s="35" t="str">
        <f>VLOOKUP(Tabla1[[#This Row],[PROGRAMA]],Hoja1!A:B,2,FALSE)</f>
        <v>3231. Escuelas infantiles</v>
      </c>
      <c r="W879" s="56" t="str">
        <f>MID(Tabla1[[#This Row],[Aplicación]],14,2)</f>
        <v>21</v>
      </c>
      <c r="X879" s="56" t="str">
        <f>MID(Tabla1[[#This Row],[Aplicación]],14,6)</f>
        <v>213</v>
      </c>
    </row>
    <row r="880" spans="1:24" x14ac:dyDescent="0.25">
      <c r="A880" s="46">
        <v>220230002847</v>
      </c>
      <c r="B880" s="47" t="s">
        <v>1249</v>
      </c>
      <c r="C880" s="52">
        <v>44966</v>
      </c>
      <c r="D880" s="46">
        <v>22023002122</v>
      </c>
      <c r="E880" s="47" t="s">
        <v>1252</v>
      </c>
      <c r="F880" s="53">
        <v>1201.0899999999999</v>
      </c>
      <c r="G880" s="47" t="s">
        <v>53</v>
      </c>
      <c r="H880" s="47" t="s">
        <v>2049</v>
      </c>
      <c r="I880" s="46" t="s">
        <v>1251</v>
      </c>
      <c r="J880" s="47" t="s">
        <v>519</v>
      </c>
      <c r="K880" s="47" t="s">
        <v>519</v>
      </c>
      <c r="L880" s="47" t="s">
        <v>520</v>
      </c>
      <c r="M880" s="47" t="s">
        <v>514</v>
      </c>
      <c r="N880" s="47" t="s">
        <v>515</v>
      </c>
      <c r="O880" s="45" t="s">
        <v>371</v>
      </c>
      <c r="P880" s="44" t="s">
        <v>309</v>
      </c>
      <c r="Q880" s="59" t="str">
        <f>MID(Tabla1[[#This Row],[Aplicación]],14,1)</f>
        <v>2</v>
      </c>
      <c r="R880" s="35" t="s">
        <v>298</v>
      </c>
      <c r="S880" s="59" t="str">
        <f>MID(Tabla1[[#This Row],[Aplicación]],6,2)</f>
        <v>06</v>
      </c>
      <c r="T880" s="35" t="str">
        <f>VLOOKUP(Tabla1[[#This Row],[AREA]],Hoja1!A:B,2,FALSE)</f>
        <v>06. Educación, infancia, juventud e igualdad</v>
      </c>
      <c r="U880" s="35" t="str">
        <f>MID(Tabla1[[#This Row],[Aplicación]],9,4)</f>
        <v>2315</v>
      </c>
      <c r="V880" s="35" t="str">
        <f>VLOOKUP(Tabla1[[#This Row],[PROGRAMA]],Hoja1!A:B,2,FALSE)</f>
        <v>2315. Políticas de Igualdad e infancia</v>
      </c>
      <c r="W880" s="56" t="str">
        <f>MID(Tabla1[[#This Row],[Aplicación]],14,2)</f>
        <v>22</v>
      </c>
      <c r="X880" s="56" t="str">
        <f>MID(Tabla1[[#This Row],[Aplicación]],14,6)</f>
        <v>22799</v>
      </c>
    </row>
    <row r="881" spans="1:24" x14ac:dyDescent="0.25">
      <c r="A881" s="46">
        <v>220229000702</v>
      </c>
      <c r="B881" s="47" t="s">
        <v>507</v>
      </c>
      <c r="C881" s="52">
        <v>44927</v>
      </c>
      <c r="D881" s="46">
        <v>22023001287</v>
      </c>
      <c r="E881" s="47" t="s">
        <v>1241</v>
      </c>
      <c r="F881" s="53">
        <v>7253.95</v>
      </c>
      <c r="G881" s="47" t="s">
        <v>20</v>
      </c>
      <c r="H881" s="47" t="s">
        <v>2050</v>
      </c>
      <c r="I881" s="46" t="s">
        <v>511</v>
      </c>
      <c r="J881" s="47" t="s">
        <v>519</v>
      </c>
      <c r="K881" s="47" t="s">
        <v>519</v>
      </c>
      <c r="L881" s="47" t="s">
        <v>520</v>
      </c>
      <c r="M881" s="47" t="s">
        <v>976</v>
      </c>
      <c r="N881" s="47" t="s">
        <v>839</v>
      </c>
      <c r="O881" s="45" t="s">
        <v>383</v>
      </c>
      <c r="P881" s="44" t="s">
        <v>309</v>
      </c>
      <c r="Q881" s="59" t="str">
        <f>MID(Tabla1[[#This Row],[Aplicación]],14,1)</f>
        <v>2</v>
      </c>
      <c r="R881" s="35" t="s">
        <v>298</v>
      </c>
      <c r="S881" s="59" t="str">
        <f>MID(Tabla1[[#This Row],[Aplicación]],6,2)</f>
        <v>06</v>
      </c>
      <c r="T881" s="35" t="str">
        <f>VLOOKUP(Tabla1[[#This Row],[AREA]],Hoja1!A:B,2,FALSE)</f>
        <v>06. Educación, infancia, juventud e igualdad</v>
      </c>
      <c r="U881" s="35" t="str">
        <f>MID(Tabla1[[#This Row],[Aplicación]],9,4)</f>
        <v>3231</v>
      </c>
      <c r="V881" s="35" t="str">
        <f>VLOOKUP(Tabla1[[#This Row],[PROGRAMA]],Hoja1!A:B,2,FALSE)</f>
        <v>3231. Escuelas infantiles</v>
      </c>
      <c r="W881" s="56" t="str">
        <f>MID(Tabla1[[#This Row],[Aplicación]],14,2)</f>
        <v>21</v>
      </c>
      <c r="X881" s="56" t="str">
        <f>MID(Tabla1[[#This Row],[Aplicación]],14,6)</f>
        <v>213</v>
      </c>
    </row>
    <row r="882" spans="1:24" x14ac:dyDescent="0.25">
      <c r="A882" s="46">
        <v>220230001929</v>
      </c>
      <c r="B882" s="47" t="s">
        <v>507</v>
      </c>
      <c r="C882" s="52">
        <v>44960</v>
      </c>
      <c r="D882" s="46">
        <v>22023000701</v>
      </c>
      <c r="E882" s="47" t="s">
        <v>613</v>
      </c>
      <c r="F882" s="53">
        <v>149.51</v>
      </c>
      <c r="G882" s="47" t="s">
        <v>20</v>
      </c>
      <c r="H882" s="47" t="s">
        <v>2051</v>
      </c>
      <c r="I882" s="46" t="s">
        <v>511</v>
      </c>
      <c r="J882" s="47" t="s">
        <v>519</v>
      </c>
      <c r="K882" s="47" t="s">
        <v>519</v>
      </c>
      <c r="L882" s="47" t="s">
        <v>520</v>
      </c>
      <c r="M882" s="47" t="s">
        <v>976</v>
      </c>
      <c r="N882" s="47" t="s">
        <v>839</v>
      </c>
      <c r="O882" s="45" t="s">
        <v>383</v>
      </c>
      <c r="P882" s="44" t="s">
        <v>309</v>
      </c>
      <c r="Q882" s="59" t="str">
        <f>MID(Tabla1[[#This Row],[Aplicación]],14,1)</f>
        <v>2</v>
      </c>
      <c r="R882" s="35" t="s">
        <v>298</v>
      </c>
      <c r="S882" s="59" t="str">
        <f>MID(Tabla1[[#This Row],[Aplicación]],6,2)</f>
        <v>10</v>
      </c>
      <c r="T882" s="35" t="str">
        <f>VLOOKUP(Tabla1[[#This Row],[AREA]],Hoja1!A:B,2,FALSE)</f>
        <v>10. Servicios sociales y mediación comunitaria</v>
      </c>
      <c r="U882" s="35" t="str">
        <f>MID(Tabla1[[#This Row],[Aplicación]],9,4)</f>
        <v>2312</v>
      </c>
      <c r="V882" s="35" t="str">
        <f>VLOOKUP(Tabla1[[#This Row],[PROGRAMA]],Hoja1!A:B,2,FALSE)</f>
        <v>2312. Iniciativas sociales</v>
      </c>
      <c r="W882" s="56" t="str">
        <f>MID(Tabla1[[#This Row],[Aplicación]],14,2)</f>
        <v>21</v>
      </c>
      <c r="X882" s="56" t="str">
        <f>MID(Tabla1[[#This Row],[Aplicación]],14,6)</f>
        <v>213</v>
      </c>
    </row>
    <row r="883" spans="1:24" x14ac:dyDescent="0.25">
      <c r="A883" s="46">
        <v>220230002037</v>
      </c>
      <c r="B883" s="47" t="s">
        <v>507</v>
      </c>
      <c r="C883" s="52">
        <v>44960</v>
      </c>
      <c r="D883" s="46">
        <v>22023001810</v>
      </c>
      <c r="E883" s="47" t="s">
        <v>1403</v>
      </c>
      <c r="F883" s="53">
        <v>824.24</v>
      </c>
      <c r="G883" s="47" t="s">
        <v>20</v>
      </c>
      <c r="H883" s="47" t="s">
        <v>2052</v>
      </c>
      <c r="I883" s="46" t="s">
        <v>511</v>
      </c>
      <c r="J883" s="47" t="s">
        <v>519</v>
      </c>
      <c r="K883" s="47" t="s">
        <v>519</v>
      </c>
      <c r="L883" s="47" t="s">
        <v>520</v>
      </c>
      <c r="M883" s="47" t="s">
        <v>976</v>
      </c>
      <c r="N883" s="47" t="s">
        <v>839</v>
      </c>
      <c r="O883" s="45" t="s">
        <v>383</v>
      </c>
      <c r="P883" s="44" t="s">
        <v>309</v>
      </c>
      <c r="Q883" s="59" t="str">
        <f>MID(Tabla1[[#This Row],[Aplicación]],14,1)</f>
        <v>2</v>
      </c>
      <c r="R883" s="35" t="s">
        <v>298</v>
      </c>
      <c r="S883" s="59" t="str">
        <f>MID(Tabla1[[#This Row],[Aplicación]],6,2)</f>
        <v>07</v>
      </c>
      <c r="T883" s="35" t="str">
        <f>VLOOKUP(Tabla1[[#This Row],[AREA]],Hoja1!A:B,2,FALSE)</f>
        <v>07. Medio ambiente y desarrollo sostenible</v>
      </c>
      <c r="U883" s="35" t="str">
        <f>MID(Tabla1[[#This Row],[Aplicación]],9,4)</f>
        <v>1721</v>
      </c>
      <c r="V883" s="35" t="str">
        <f>VLOOKUP(Tabla1[[#This Row],[PROGRAMA]],Hoja1!A:B,2,FALSE)</f>
        <v>1721. Protección del medio ambiente</v>
      </c>
      <c r="W883" s="56" t="str">
        <f>MID(Tabla1[[#This Row],[Aplicación]],14,2)</f>
        <v>21</v>
      </c>
      <c r="X883" s="56" t="str">
        <f>MID(Tabla1[[#This Row],[Aplicación]],14,6)</f>
        <v>213</v>
      </c>
    </row>
    <row r="884" spans="1:24" x14ac:dyDescent="0.25">
      <c r="A884" s="46">
        <v>220230002924</v>
      </c>
      <c r="B884" s="47" t="s">
        <v>1249</v>
      </c>
      <c r="C884" s="52">
        <v>44966</v>
      </c>
      <c r="D884" s="46">
        <v>22023002356</v>
      </c>
      <c r="E884" s="47" t="s">
        <v>2053</v>
      </c>
      <c r="F884" s="53">
        <v>596.38</v>
      </c>
      <c r="G884" s="47" t="s">
        <v>476</v>
      </c>
      <c r="H884" s="47" t="s">
        <v>2054</v>
      </c>
      <c r="I884" s="46" t="s">
        <v>1251</v>
      </c>
      <c r="J884" s="47" t="s">
        <v>947</v>
      </c>
      <c r="K884" s="47" t="s">
        <v>947</v>
      </c>
      <c r="L884" s="47" t="s">
        <v>520</v>
      </c>
      <c r="M884" s="47" t="s">
        <v>514</v>
      </c>
      <c r="N884" s="47" t="s">
        <v>515</v>
      </c>
      <c r="O884" s="45" t="s">
        <v>382</v>
      </c>
      <c r="P884" s="44" t="s">
        <v>309</v>
      </c>
      <c r="Q884" s="59" t="str">
        <f>MID(Tabla1[[#This Row],[Aplicación]],14,1)</f>
        <v>2</v>
      </c>
      <c r="R884" s="35" t="s">
        <v>298</v>
      </c>
      <c r="S884" s="59" t="str">
        <f>MID(Tabla1[[#This Row],[Aplicación]],6,2)</f>
        <v>08</v>
      </c>
      <c r="T884" s="35" t="str">
        <f>VLOOKUP(Tabla1[[#This Row],[AREA]],Hoja1!A:B,2,FALSE)</f>
        <v>08. Movilidad y espacio urbano</v>
      </c>
      <c r="U884" s="35" t="str">
        <f>MID(Tabla1[[#This Row],[Aplicación]],9,4)</f>
        <v>1301</v>
      </c>
      <c r="V884" s="35" t="str">
        <f>VLOOKUP(Tabla1[[#This Row],[PROGRAMA]],Hoja1!A:B,2,FALSE)</f>
        <v>1301. Dirección del área de seguridad</v>
      </c>
      <c r="W884" s="56" t="str">
        <f>MID(Tabla1[[#This Row],[Aplicación]],14,2)</f>
        <v>22</v>
      </c>
      <c r="X884" s="56" t="str">
        <f>MID(Tabla1[[#This Row],[Aplicación]],14,6)</f>
        <v>22706</v>
      </c>
    </row>
    <row r="885" spans="1:24" x14ac:dyDescent="0.25">
      <c r="A885" s="46">
        <v>220230001933</v>
      </c>
      <c r="B885" s="47" t="s">
        <v>507</v>
      </c>
      <c r="C885" s="52">
        <v>44960</v>
      </c>
      <c r="D885" s="46">
        <v>22023001340</v>
      </c>
      <c r="E885" s="47" t="s">
        <v>659</v>
      </c>
      <c r="F885" s="53">
        <v>6466.56</v>
      </c>
      <c r="G885" s="47" t="s">
        <v>20</v>
      </c>
      <c r="H885" s="47" t="s">
        <v>2055</v>
      </c>
      <c r="I885" s="46" t="s">
        <v>511</v>
      </c>
      <c r="J885" s="47" t="s">
        <v>519</v>
      </c>
      <c r="K885" s="47" t="s">
        <v>519</v>
      </c>
      <c r="L885" s="47" t="s">
        <v>520</v>
      </c>
      <c r="M885" s="47" t="s">
        <v>976</v>
      </c>
      <c r="N885" s="47" t="s">
        <v>839</v>
      </c>
      <c r="O885" s="45" t="s">
        <v>383</v>
      </c>
      <c r="P885" s="44" t="s">
        <v>309</v>
      </c>
      <c r="Q885" s="59" t="str">
        <f>MID(Tabla1[[#This Row],[Aplicación]],14,1)</f>
        <v>2</v>
      </c>
      <c r="R885" s="35" t="s">
        <v>298</v>
      </c>
      <c r="S885" s="59" t="str">
        <f>MID(Tabla1[[#This Row],[Aplicación]],6,2)</f>
        <v>11</v>
      </c>
      <c r="T885" s="35" t="str">
        <f>VLOOKUP(Tabla1[[#This Row],[AREA]],Hoja1!A:B,2,FALSE)</f>
        <v>11. Salud pública y seguridad ciudadana</v>
      </c>
      <c r="U885" s="35" t="str">
        <f>MID(Tabla1[[#This Row],[Aplicación]],9,4)</f>
        <v>1321</v>
      </c>
      <c r="V885" s="35" t="str">
        <f>VLOOKUP(Tabla1[[#This Row],[PROGRAMA]],Hoja1!A:B,2,FALSE)</f>
        <v>1321. Policía municipal</v>
      </c>
      <c r="W885" s="56" t="str">
        <f>MID(Tabla1[[#This Row],[Aplicación]],14,2)</f>
        <v>21</v>
      </c>
      <c r="X885" s="56" t="str">
        <f>MID(Tabla1[[#This Row],[Aplicación]],14,6)</f>
        <v>213</v>
      </c>
    </row>
    <row r="886" spans="1:24" x14ac:dyDescent="0.25">
      <c r="A886" s="46">
        <v>220230002634</v>
      </c>
      <c r="B886" s="47" t="s">
        <v>507</v>
      </c>
      <c r="C886" s="52">
        <v>44966</v>
      </c>
      <c r="D886" s="46">
        <v>22023002141</v>
      </c>
      <c r="E886" s="47" t="s">
        <v>1299</v>
      </c>
      <c r="F886" s="53">
        <v>4005</v>
      </c>
      <c r="G886" s="47" t="s">
        <v>2056</v>
      </c>
      <c r="H886" s="47" t="s">
        <v>2057</v>
      </c>
      <c r="I886" s="46" t="s">
        <v>511</v>
      </c>
      <c r="J886" s="47" t="s">
        <v>512</v>
      </c>
      <c r="K886" s="47" t="s">
        <v>512</v>
      </c>
      <c r="L886" s="47" t="s">
        <v>552</v>
      </c>
      <c r="M886" s="47" t="s">
        <v>976</v>
      </c>
      <c r="N886" s="47" t="s">
        <v>839</v>
      </c>
      <c r="O886" s="45" t="s">
        <v>383</v>
      </c>
      <c r="P886" s="44" t="s">
        <v>309</v>
      </c>
      <c r="Q886" s="59" t="str">
        <f>MID(Tabla1[[#This Row],[Aplicación]],14,1)</f>
        <v>2</v>
      </c>
      <c r="R886" s="35" t="s">
        <v>298</v>
      </c>
      <c r="S886" s="59" t="str">
        <f>MID(Tabla1[[#This Row],[Aplicación]],6,2)</f>
        <v>06</v>
      </c>
      <c r="T886" s="35" t="str">
        <f>VLOOKUP(Tabla1[[#This Row],[AREA]],Hoja1!A:B,2,FALSE)</f>
        <v>06. Educación, infancia, juventud e igualdad</v>
      </c>
      <c r="U886" s="35" t="str">
        <f>MID(Tabla1[[#This Row],[Aplicación]],9,4)</f>
        <v>3321</v>
      </c>
      <c r="V886" s="35" t="str">
        <f>VLOOKUP(Tabla1[[#This Row],[PROGRAMA]],Hoja1!A:B,2,FALSE)</f>
        <v>3321. Bibliotecas públicas</v>
      </c>
      <c r="W886" s="56" t="str">
        <f>MID(Tabla1[[#This Row],[Aplicación]],14,2)</f>
        <v>22</v>
      </c>
      <c r="X886" s="56" t="str">
        <f>MID(Tabla1[[#This Row],[Aplicación]],14,6)</f>
        <v>22001</v>
      </c>
    </row>
    <row r="887" spans="1:24" x14ac:dyDescent="0.25">
      <c r="A887" s="46">
        <v>220230002597</v>
      </c>
      <c r="B887" s="47" t="s">
        <v>507</v>
      </c>
      <c r="C887" s="52">
        <v>44965</v>
      </c>
      <c r="D887" s="46">
        <v>22023002131</v>
      </c>
      <c r="E887" s="47" t="s">
        <v>1558</v>
      </c>
      <c r="F887" s="53">
        <v>312.85000000000002</v>
      </c>
      <c r="G887" s="47" t="s">
        <v>20</v>
      </c>
      <c r="H887" s="47" t="s">
        <v>2058</v>
      </c>
      <c r="I887" s="46" t="s">
        <v>511</v>
      </c>
      <c r="J887" s="47" t="s">
        <v>519</v>
      </c>
      <c r="K887" s="47" t="s">
        <v>519</v>
      </c>
      <c r="L887" s="47" t="s">
        <v>520</v>
      </c>
      <c r="M887" s="47" t="s">
        <v>976</v>
      </c>
      <c r="N887" s="47" t="s">
        <v>839</v>
      </c>
      <c r="O887" s="45" t="s">
        <v>383</v>
      </c>
      <c r="P887" s="44" t="s">
        <v>309</v>
      </c>
      <c r="Q887" s="59" t="str">
        <f>MID(Tabla1[[#This Row],[Aplicación]],14,1)</f>
        <v>2</v>
      </c>
      <c r="R887" s="35" t="s">
        <v>298</v>
      </c>
      <c r="S887" s="59" t="str">
        <f>MID(Tabla1[[#This Row],[Aplicación]],6,2)</f>
        <v>11</v>
      </c>
      <c r="T887" s="35" t="str">
        <f>VLOOKUP(Tabla1[[#This Row],[AREA]],Hoja1!A:B,2,FALSE)</f>
        <v>11. Salud pública y seguridad ciudadana</v>
      </c>
      <c r="U887" s="35" t="str">
        <f>MID(Tabla1[[#This Row],[Aplicación]],9,4)</f>
        <v>3111</v>
      </c>
      <c r="V887" s="35" t="str">
        <f>VLOOKUP(Tabla1[[#This Row],[PROGRAMA]],Hoja1!A:B,2,FALSE)</f>
        <v>3111. Protección de la salubridad pública</v>
      </c>
      <c r="W887" s="56" t="str">
        <f>MID(Tabla1[[#This Row],[Aplicación]],14,2)</f>
        <v>21</v>
      </c>
      <c r="X887" s="56" t="str">
        <f>MID(Tabla1[[#This Row],[Aplicación]],14,6)</f>
        <v>213</v>
      </c>
    </row>
    <row r="888" spans="1:24" x14ac:dyDescent="0.25">
      <c r="A888" s="46">
        <v>220230002952</v>
      </c>
      <c r="B888" s="47" t="s">
        <v>507</v>
      </c>
      <c r="C888" s="52">
        <v>44967</v>
      </c>
      <c r="D888" s="46">
        <v>22023002215</v>
      </c>
      <c r="E888" s="47" t="s">
        <v>659</v>
      </c>
      <c r="F888" s="53">
        <v>1000</v>
      </c>
      <c r="G888" s="47" t="s">
        <v>20</v>
      </c>
      <c r="H888" s="47" t="s">
        <v>2059</v>
      </c>
      <c r="I888" s="46" t="s">
        <v>511</v>
      </c>
      <c r="J888" s="47" t="s">
        <v>519</v>
      </c>
      <c r="K888" s="47" t="s">
        <v>519</v>
      </c>
      <c r="L888" s="47" t="s">
        <v>520</v>
      </c>
      <c r="M888" s="47" t="s">
        <v>976</v>
      </c>
      <c r="N888" s="47" t="s">
        <v>839</v>
      </c>
      <c r="O888" s="45" t="s">
        <v>383</v>
      </c>
      <c r="P888" s="44" t="s">
        <v>309</v>
      </c>
      <c r="Q888" s="59" t="str">
        <f>MID(Tabla1[[#This Row],[Aplicación]],14,1)</f>
        <v>2</v>
      </c>
      <c r="R888" s="35" t="s">
        <v>298</v>
      </c>
      <c r="S888" s="59" t="str">
        <f>MID(Tabla1[[#This Row],[Aplicación]],6,2)</f>
        <v>11</v>
      </c>
      <c r="T888" s="35" t="str">
        <f>VLOOKUP(Tabla1[[#This Row],[AREA]],Hoja1!A:B,2,FALSE)</f>
        <v>11. Salud pública y seguridad ciudadana</v>
      </c>
      <c r="U888" s="35" t="str">
        <f>MID(Tabla1[[#This Row],[Aplicación]],9,4)</f>
        <v>1321</v>
      </c>
      <c r="V888" s="35" t="str">
        <f>VLOOKUP(Tabla1[[#This Row],[PROGRAMA]],Hoja1!A:B,2,FALSE)</f>
        <v>1321. Policía municipal</v>
      </c>
      <c r="W888" s="56" t="str">
        <f>MID(Tabla1[[#This Row],[Aplicación]],14,2)</f>
        <v>21</v>
      </c>
      <c r="X888" s="56" t="str">
        <f>MID(Tabla1[[#This Row],[Aplicación]],14,6)</f>
        <v>213</v>
      </c>
    </row>
    <row r="889" spans="1:24" x14ac:dyDescent="0.25">
      <c r="A889" s="46">
        <v>220230003228</v>
      </c>
      <c r="B889" s="47" t="s">
        <v>507</v>
      </c>
      <c r="C889" s="52">
        <v>44971</v>
      </c>
      <c r="D889" s="46">
        <v>22023001983</v>
      </c>
      <c r="E889" s="47" t="s">
        <v>1561</v>
      </c>
      <c r="F889" s="53">
        <v>2885.81</v>
      </c>
      <c r="G889" s="47" t="s">
        <v>20</v>
      </c>
      <c r="H889" s="47" t="s">
        <v>2060</v>
      </c>
      <c r="I889" s="46" t="s">
        <v>511</v>
      </c>
      <c r="J889" s="47" t="s">
        <v>519</v>
      </c>
      <c r="K889" s="47" t="s">
        <v>519</v>
      </c>
      <c r="L889" s="47" t="s">
        <v>520</v>
      </c>
      <c r="M889" s="47" t="s">
        <v>976</v>
      </c>
      <c r="N889" s="47" t="s">
        <v>839</v>
      </c>
      <c r="O889" s="45" t="s">
        <v>383</v>
      </c>
      <c r="P889" s="44" t="s">
        <v>309</v>
      </c>
      <c r="Q889" s="59" t="str">
        <f>MID(Tabla1[[#This Row],[Aplicación]],14,1)</f>
        <v>2</v>
      </c>
      <c r="R889" s="35" t="s">
        <v>298</v>
      </c>
      <c r="S889" s="59" t="str">
        <f>MID(Tabla1[[#This Row],[Aplicación]],6,2)</f>
        <v>07</v>
      </c>
      <c r="T889" s="35" t="str">
        <f>VLOOKUP(Tabla1[[#This Row],[AREA]],Hoja1!A:B,2,FALSE)</f>
        <v>07. Medio ambiente y desarrollo sostenible</v>
      </c>
      <c r="U889" s="35" t="str">
        <f>MID(Tabla1[[#This Row],[Aplicación]],9,4)</f>
        <v>1701</v>
      </c>
      <c r="V889" s="35" t="str">
        <f>VLOOKUP(Tabla1[[#This Row],[PROGRAMA]],Hoja1!A:B,2,FALSE)</f>
        <v>1701. Dirección del área de medio ambiente</v>
      </c>
      <c r="W889" s="56" t="str">
        <f>MID(Tabla1[[#This Row],[Aplicación]],14,2)</f>
        <v>21</v>
      </c>
      <c r="X889" s="56" t="str">
        <f>MID(Tabla1[[#This Row],[Aplicación]],14,6)</f>
        <v>213</v>
      </c>
    </row>
    <row r="890" spans="1:24" x14ac:dyDescent="0.25">
      <c r="A890" s="46">
        <v>220230003922</v>
      </c>
      <c r="B890" s="47" t="s">
        <v>1337</v>
      </c>
      <c r="C890" s="52">
        <v>44974</v>
      </c>
      <c r="D890" s="46">
        <v>22023001287</v>
      </c>
      <c r="E890" s="47" t="s">
        <v>1241</v>
      </c>
      <c r="F890" s="53">
        <v>-7253.95</v>
      </c>
      <c r="G890" s="47" t="s">
        <v>20</v>
      </c>
      <c r="H890" s="47" t="s">
        <v>2061</v>
      </c>
      <c r="I890" s="46" t="s">
        <v>511</v>
      </c>
      <c r="J890" s="47" t="s">
        <v>519</v>
      </c>
      <c r="K890" s="47" t="s">
        <v>519</v>
      </c>
      <c r="L890" s="47" t="s">
        <v>520</v>
      </c>
      <c r="M890" s="47" t="s">
        <v>976</v>
      </c>
      <c r="N890" s="47" t="s">
        <v>839</v>
      </c>
      <c r="O890" s="54" t="s">
        <v>383</v>
      </c>
      <c r="P890" s="44" t="s">
        <v>309</v>
      </c>
      <c r="Q890" s="59" t="str">
        <f>MID(Tabla1[[#This Row],[Aplicación]],14,1)</f>
        <v>2</v>
      </c>
      <c r="R890" s="35" t="s">
        <v>298</v>
      </c>
      <c r="S890" s="59" t="str">
        <f>MID(Tabla1[[#This Row],[Aplicación]],6,2)</f>
        <v>06</v>
      </c>
      <c r="T890" s="35" t="str">
        <f>VLOOKUP(Tabla1[[#This Row],[AREA]],Hoja1!A:B,2,FALSE)</f>
        <v>06. Educación, infancia, juventud e igualdad</v>
      </c>
      <c r="U890" s="35" t="str">
        <f>MID(Tabla1[[#This Row],[Aplicación]],9,4)</f>
        <v>3231</v>
      </c>
      <c r="V890" s="35" t="str">
        <f>VLOOKUP(Tabla1[[#This Row],[PROGRAMA]],Hoja1!A:B,2,FALSE)</f>
        <v>3231. Escuelas infantiles</v>
      </c>
      <c r="W890" s="56" t="str">
        <f>MID(Tabla1[[#This Row],[Aplicación]],14,2)</f>
        <v>21</v>
      </c>
      <c r="X890" s="56" t="str">
        <f>MID(Tabla1[[#This Row],[Aplicación]],14,6)</f>
        <v>213</v>
      </c>
    </row>
    <row r="891" spans="1:24" x14ac:dyDescent="0.25">
      <c r="A891" s="46">
        <v>220230003923</v>
      </c>
      <c r="B891" s="47" t="s">
        <v>507</v>
      </c>
      <c r="C891" s="52">
        <v>44974</v>
      </c>
      <c r="D891" s="46">
        <v>22023002328</v>
      </c>
      <c r="E891" s="47" t="s">
        <v>1241</v>
      </c>
      <c r="F891" s="53">
        <v>1823.16</v>
      </c>
      <c r="G891" s="47" t="s">
        <v>20</v>
      </c>
      <c r="H891" s="47" t="s">
        <v>2062</v>
      </c>
      <c r="I891" s="46" t="s">
        <v>511</v>
      </c>
      <c r="J891" s="47" t="s">
        <v>519</v>
      </c>
      <c r="K891" s="47" t="s">
        <v>519</v>
      </c>
      <c r="L891" s="47" t="s">
        <v>520</v>
      </c>
      <c r="M891" s="47" t="s">
        <v>514</v>
      </c>
      <c r="N891" s="47" t="s">
        <v>515</v>
      </c>
      <c r="O891" s="45" t="s">
        <v>371</v>
      </c>
      <c r="P891" s="44" t="s">
        <v>309</v>
      </c>
      <c r="Q891" s="59" t="str">
        <f>MID(Tabla1[[#This Row],[Aplicación]],14,1)</f>
        <v>2</v>
      </c>
      <c r="R891" s="35" t="s">
        <v>298</v>
      </c>
      <c r="S891" s="59" t="str">
        <f>MID(Tabla1[[#This Row],[Aplicación]],6,2)</f>
        <v>06</v>
      </c>
      <c r="T891" s="35" t="str">
        <f>VLOOKUP(Tabla1[[#This Row],[AREA]],Hoja1!A:B,2,FALSE)</f>
        <v>06. Educación, infancia, juventud e igualdad</v>
      </c>
      <c r="U891" s="35" t="str">
        <f>MID(Tabla1[[#This Row],[Aplicación]],9,4)</f>
        <v>3231</v>
      </c>
      <c r="V891" s="35" t="str">
        <f>VLOOKUP(Tabla1[[#This Row],[PROGRAMA]],Hoja1!A:B,2,FALSE)</f>
        <v>3231. Escuelas infantiles</v>
      </c>
      <c r="W891" s="56" t="str">
        <f>MID(Tabla1[[#This Row],[Aplicación]],14,2)</f>
        <v>21</v>
      </c>
      <c r="X891" s="56" t="str">
        <f>MID(Tabla1[[#This Row],[Aplicación]],14,6)</f>
        <v>213</v>
      </c>
    </row>
    <row r="892" spans="1:24" x14ac:dyDescent="0.25">
      <c r="A892" s="46">
        <v>220230003923</v>
      </c>
      <c r="B892" s="47" t="s">
        <v>507</v>
      </c>
      <c r="C892" s="52">
        <v>44974</v>
      </c>
      <c r="D892" s="46">
        <v>22023002329</v>
      </c>
      <c r="E892" s="47" t="s">
        <v>1241</v>
      </c>
      <c r="F892" s="53">
        <v>5430.79</v>
      </c>
      <c r="G892" s="47" t="s">
        <v>20</v>
      </c>
      <c r="H892" s="47" t="s">
        <v>2062</v>
      </c>
      <c r="I892" s="46" t="s">
        <v>511</v>
      </c>
      <c r="J892" s="47" t="s">
        <v>519</v>
      </c>
      <c r="K892" s="47" t="s">
        <v>519</v>
      </c>
      <c r="L892" s="47" t="s">
        <v>520</v>
      </c>
      <c r="M892" s="47" t="s">
        <v>514</v>
      </c>
      <c r="N892" s="47" t="s">
        <v>515</v>
      </c>
      <c r="O892" s="45" t="s">
        <v>371</v>
      </c>
      <c r="P892" s="44" t="s">
        <v>309</v>
      </c>
      <c r="Q892" s="59" t="str">
        <f>MID(Tabla1[[#This Row],[Aplicación]],14,1)</f>
        <v>2</v>
      </c>
      <c r="R892" s="35" t="s">
        <v>298</v>
      </c>
      <c r="S892" s="59" t="str">
        <f>MID(Tabla1[[#This Row],[Aplicación]],6,2)</f>
        <v>06</v>
      </c>
      <c r="T892" s="35" t="str">
        <f>VLOOKUP(Tabla1[[#This Row],[AREA]],Hoja1!A:B,2,FALSE)</f>
        <v>06. Educación, infancia, juventud e igualdad</v>
      </c>
      <c r="U892" s="35" t="str">
        <f>MID(Tabla1[[#This Row],[Aplicación]],9,4)</f>
        <v>3231</v>
      </c>
      <c r="V892" s="35" t="str">
        <f>VLOOKUP(Tabla1[[#This Row],[PROGRAMA]],Hoja1!A:B,2,FALSE)</f>
        <v>3231. Escuelas infantiles</v>
      </c>
      <c r="W892" s="56" t="str">
        <f>MID(Tabla1[[#This Row],[Aplicación]],14,2)</f>
        <v>21</v>
      </c>
      <c r="X892" s="56" t="str">
        <f>MID(Tabla1[[#This Row],[Aplicación]],14,6)</f>
        <v>213</v>
      </c>
    </row>
    <row r="893" spans="1:24" x14ac:dyDescent="0.25">
      <c r="A893" s="46">
        <v>220230005424</v>
      </c>
      <c r="B893" s="47" t="s">
        <v>507</v>
      </c>
      <c r="C893" s="52">
        <v>44979</v>
      </c>
      <c r="D893" s="46">
        <v>22023002684</v>
      </c>
      <c r="E893" s="47" t="s">
        <v>1153</v>
      </c>
      <c r="F893" s="53">
        <v>624.36</v>
      </c>
      <c r="G893" s="47" t="s">
        <v>20</v>
      </c>
      <c r="H893" s="47" t="s">
        <v>2063</v>
      </c>
      <c r="I893" s="46" t="s">
        <v>511</v>
      </c>
      <c r="J893" s="47" t="s">
        <v>519</v>
      </c>
      <c r="K893" s="47" t="s">
        <v>519</v>
      </c>
      <c r="L893" s="47" t="s">
        <v>520</v>
      </c>
      <c r="M893" s="47" t="s">
        <v>976</v>
      </c>
      <c r="N893" s="47" t="s">
        <v>839</v>
      </c>
      <c r="O893" s="45" t="s">
        <v>383</v>
      </c>
      <c r="P893" s="44" t="s">
        <v>309</v>
      </c>
      <c r="Q893" s="59" t="str">
        <f>MID(Tabla1[[#This Row],[Aplicación]],14,1)</f>
        <v>2</v>
      </c>
      <c r="R893" s="35" t="s">
        <v>298</v>
      </c>
      <c r="S893" s="59" t="str">
        <f>MID(Tabla1[[#This Row],[Aplicación]],6,2)</f>
        <v>06</v>
      </c>
      <c r="T893" s="35" t="str">
        <f>VLOOKUP(Tabla1[[#This Row],[AREA]],Hoja1!A:B,2,FALSE)</f>
        <v>06. Educación, infancia, juventud e igualdad</v>
      </c>
      <c r="U893" s="35" t="str">
        <f>MID(Tabla1[[#This Row],[Aplicación]],9,4)</f>
        <v>3261</v>
      </c>
      <c r="V893" s="35" t="str">
        <f>VLOOKUP(Tabla1[[#This Row],[PROGRAMA]],Hoja1!A:B,2,FALSE)</f>
        <v>3261. Servicios complementarios de educación</v>
      </c>
      <c r="W893" s="56" t="str">
        <f>MID(Tabla1[[#This Row],[Aplicación]],14,2)</f>
        <v>21</v>
      </c>
      <c r="X893" s="56" t="str">
        <f>MID(Tabla1[[#This Row],[Aplicación]],14,6)</f>
        <v>213</v>
      </c>
    </row>
    <row r="894" spans="1:24" x14ac:dyDescent="0.25">
      <c r="A894" s="46">
        <v>220230001798</v>
      </c>
      <c r="B894" s="47" t="s">
        <v>507</v>
      </c>
      <c r="C894" s="52">
        <v>44960</v>
      </c>
      <c r="D894" s="46">
        <v>22023000278</v>
      </c>
      <c r="E894" s="47" t="s">
        <v>1303</v>
      </c>
      <c r="F894" s="53">
        <v>257.77999999999997</v>
      </c>
      <c r="G894" s="47" t="s">
        <v>89</v>
      </c>
      <c r="H894" s="47" t="s">
        <v>2064</v>
      </c>
      <c r="I894" s="46" t="s">
        <v>511</v>
      </c>
      <c r="J894" s="47" t="s">
        <v>837</v>
      </c>
      <c r="K894" s="47" t="s">
        <v>837</v>
      </c>
      <c r="L894" s="47" t="s">
        <v>552</v>
      </c>
      <c r="M894" s="47" t="s">
        <v>976</v>
      </c>
      <c r="N894" s="47" t="s">
        <v>839</v>
      </c>
      <c r="O894" s="45" t="s">
        <v>383</v>
      </c>
      <c r="P894" s="44" t="s">
        <v>309</v>
      </c>
      <c r="Q894" s="59" t="str">
        <f>MID(Tabla1[[#This Row],[Aplicación]],14,1)</f>
        <v>2</v>
      </c>
      <c r="R894" s="35" t="s">
        <v>298</v>
      </c>
      <c r="S894" s="59" t="str">
        <f>MID(Tabla1[[#This Row],[Aplicación]],6,2)</f>
        <v>11</v>
      </c>
      <c r="T894" s="35" t="str">
        <f>VLOOKUP(Tabla1[[#This Row],[AREA]],Hoja1!A:B,2,FALSE)</f>
        <v>11. Salud pública y seguridad ciudadana</v>
      </c>
      <c r="U894" s="35" t="str">
        <f>MID(Tabla1[[#This Row],[Aplicación]],9,4)</f>
        <v>1321</v>
      </c>
      <c r="V894" s="35" t="str">
        <f>VLOOKUP(Tabla1[[#This Row],[PROGRAMA]],Hoja1!A:B,2,FALSE)</f>
        <v>1321. Policía municipal</v>
      </c>
      <c r="W894" s="56" t="str">
        <f>MID(Tabla1[[#This Row],[Aplicación]],14,2)</f>
        <v>22</v>
      </c>
      <c r="X894" s="56" t="str">
        <f>MID(Tabla1[[#This Row],[Aplicación]],14,6)</f>
        <v>22699</v>
      </c>
    </row>
    <row r="895" spans="1:24" x14ac:dyDescent="0.25">
      <c r="A895" s="46">
        <v>220229000348</v>
      </c>
      <c r="B895" s="47" t="s">
        <v>507</v>
      </c>
      <c r="C895" s="52">
        <v>44927</v>
      </c>
      <c r="D895" s="46">
        <v>22023000449</v>
      </c>
      <c r="E895" s="47" t="s">
        <v>524</v>
      </c>
      <c r="F895" s="53">
        <v>1941.55</v>
      </c>
      <c r="G895" s="47" t="s">
        <v>400</v>
      </c>
      <c r="H895" s="47" t="s">
        <v>2065</v>
      </c>
      <c r="I895" s="46" t="s">
        <v>511</v>
      </c>
      <c r="J895" s="47" t="s">
        <v>519</v>
      </c>
      <c r="K895" s="47" t="s">
        <v>519</v>
      </c>
      <c r="L895" s="47" t="s">
        <v>520</v>
      </c>
      <c r="M895" s="47" t="s">
        <v>514</v>
      </c>
      <c r="N895" s="47" t="s">
        <v>515</v>
      </c>
      <c r="O895" s="54" t="s">
        <v>382</v>
      </c>
      <c r="P895" s="44" t="s">
        <v>309</v>
      </c>
      <c r="Q895" s="59" t="str">
        <f>MID(Tabla1[[#This Row],[Aplicación]],14,1)</f>
        <v>6</v>
      </c>
      <c r="R895" s="35" t="s">
        <v>299</v>
      </c>
      <c r="S895" s="59" t="str">
        <f>MID(Tabla1[[#This Row],[Aplicación]],6,2)</f>
        <v>02</v>
      </c>
      <c r="T895" s="35" t="str">
        <f>VLOOKUP(Tabla1[[#This Row],[AREA]],Hoja1!A:B,2,FALSE)</f>
        <v>02. Planeamiento urbanístico y vivienda</v>
      </c>
      <c r="U895" s="35" t="str">
        <f>MID(Tabla1[[#This Row],[Aplicación]],9,4)</f>
        <v>1511</v>
      </c>
      <c r="V895" s="35" t="str">
        <f>VLOOKUP(Tabla1[[#This Row],[PROGRAMA]],Hoja1!A:B,2,FALSE)</f>
        <v>1511. Planficación y gestión del urbanismo</v>
      </c>
      <c r="W895" s="56" t="str">
        <f>MID(Tabla1[[#This Row],[Aplicación]],14,2)</f>
        <v>61</v>
      </c>
      <c r="X895" s="56" t="str">
        <f>MID(Tabla1[[#This Row],[Aplicación]],14,6)</f>
        <v>619</v>
      </c>
    </row>
    <row r="896" spans="1:24" x14ac:dyDescent="0.25">
      <c r="A896" s="46">
        <v>220229000603</v>
      </c>
      <c r="B896" s="47" t="s">
        <v>507</v>
      </c>
      <c r="C896" s="52">
        <v>44927</v>
      </c>
      <c r="D896" s="46">
        <v>22023000469</v>
      </c>
      <c r="E896" s="47" t="s">
        <v>1376</v>
      </c>
      <c r="F896" s="53">
        <v>11616</v>
      </c>
      <c r="G896" s="47" t="s">
        <v>1956</v>
      </c>
      <c r="H896" s="47" t="s">
        <v>2066</v>
      </c>
      <c r="I896" s="46" t="s">
        <v>511</v>
      </c>
      <c r="J896" s="47" t="s">
        <v>1958</v>
      </c>
      <c r="K896" s="47" t="s">
        <v>858</v>
      </c>
      <c r="L896" s="47" t="s">
        <v>552</v>
      </c>
      <c r="M896" s="47" t="s">
        <v>514</v>
      </c>
      <c r="N896" s="47" t="s">
        <v>515</v>
      </c>
      <c r="O896" s="45" t="s">
        <v>371</v>
      </c>
      <c r="P896" s="44" t="s">
        <v>309</v>
      </c>
      <c r="Q896" s="59" t="str">
        <f>MID(Tabla1[[#This Row],[Aplicación]],14,1)</f>
        <v>2</v>
      </c>
      <c r="R896" s="35" t="s">
        <v>298</v>
      </c>
      <c r="S896" s="59" t="str">
        <f>MID(Tabla1[[#This Row],[Aplicación]],6,2)</f>
        <v>11</v>
      </c>
      <c r="T896" s="35" t="str">
        <f>VLOOKUP(Tabla1[[#This Row],[AREA]],Hoja1!A:B,2,FALSE)</f>
        <v>11. Salud pública y seguridad ciudadana</v>
      </c>
      <c r="U896" s="35" t="str">
        <f>MID(Tabla1[[#This Row],[Aplicación]],9,4)</f>
        <v>1321</v>
      </c>
      <c r="V896" s="35" t="str">
        <f>VLOOKUP(Tabla1[[#This Row],[PROGRAMA]],Hoja1!A:B,2,FALSE)</f>
        <v>1321. Policía municipal</v>
      </c>
      <c r="W896" s="56" t="str">
        <f>MID(Tabla1[[#This Row],[Aplicación]],14,2)</f>
        <v>22</v>
      </c>
      <c r="X896" s="56" t="str">
        <f>MID(Tabla1[[#This Row],[Aplicación]],14,6)</f>
        <v>22104</v>
      </c>
    </row>
    <row r="897" spans="1:24" x14ac:dyDescent="0.25">
      <c r="A897" s="55">
        <v>220219000678</v>
      </c>
      <c r="B897" s="47" t="s">
        <v>507</v>
      </c>
      <c r="C897" s="52">
        <v>45014</v>
      </c>
      <c r="D897" s="46">
        <v>22022002216</v>
      </c>
      <c r="E897" s="47" t="s">
        <v>583</v>
      </c>
      <c r="F897" s="53">
        <v>33091.18</v>
      </c>
      <c r="G897" s="47" t="s">
        <v>67</v>
      </c>
      <c r="H897" s="47" t="s">
        <v>2024</v>
      </c>
      <c r="I897" s="46" t="s">
        <v>511</v>
      </c>
      <c r="J897" s="47" t="s">
        <v>953</v>
      </c>
      <c r="K897" s="47" t="s">
        <v>519</v>
      </c>
      <c r="L897" s="47" t="s">
        <v>520</v>
      </c>
      <c r="M897" s="47" t="s">
        <v>514</v>
      </c>
      <c r="N897" s="47" t="s">
        <v>515</v>
      </c>
      <c r="O897" s="54" t="s">
        <v>382</v>
      </c>
      <c r="P897" s="44" t="s">
        <v>309</v>
      </c>
      <c r="Q897" s="59" t="str">
        <f>MID(Tabla1[[#This Row],[Aplicación]],14,1)</f>
        <v>6</v>
      </c>
      <c r="R897" s="35" t="s">
        <v>299</v>
      </c>
      <c r="S897" s="59" t="str">
        <f>MID(Tabla1[[#This Row],[Aplicación]],6,2)</f>
        <v>02</v>
      </c>
      <c r="T897" s="35" t="str">
        <f>VLOOKUP(Tabla1[[#This Row],[AREA]],Hoja1!A:B,2,FALSE)</f>
        <v>02. Planeamiento urbanístico y vivienda</v>
      </c>
      <c r="U897" s="35" t="str">
        <f>MID(Tabla1[[#This Row],[Aplicación]],9,4)</f>
        <v>1511</v>
      </c>
      <c r="V897" s="35" t="str">
        <f>VLOOKUP(Tabla1[[#This Row],[PROGRAMA]],Hoja1!A:B,2,FALSE)</f>
        <v>1511. Planficación y gestión del urbanismo</v>
      </c>
      <c r="W897" s="56" t="str">
        <f>MID(Tabla1[[#This Row],[Aplicación]],14,2)</f>
        <v>60</v>
      </c>
      <c r="X897" s="56" t="str">
        <f>MID(Tabla1[[#This Row],[Aplicación]],14,6)</f>
        <v>609</v>
      </c>
    </row>
    <row r="898" spans="1:24" x14ac:dyDescent="0.25">
      <c r="A898" s="55">
        <v>220200016733</v>
      </c>
      <c r="B898" s="47" t="s">
        <v>507</v>
      </c>
      <c r="C898" s="52">
        <v>45014</v>
      </c>
      <c r="D898" s="46">
        <v>22020002100</v>
      </c>
      <c r="E898" s="47" t="s">
        <v>583</v>
      </c>
      <c r="F898" s="53">
        <v>3210.43</v>
      </c>
      <c r="G898" s="47" t="s">
        <v>67</v>
      </c>
      <c r="H898" s="47" t="s">
        <v>2067</v>
      </c>
      <c r="I898" s="46" t="s">
        <v>511</v>
      </c>
      <c r="J898" s="47" t="s">
        <v>953</v>
      </c>
      <c r="K898" s="47" t="s">
        <v>519</v>
      </c>
      <c r="L898" s="47" t="s">
        <v>520</v>
      </c>
      <c r="M898" s="47" t="s">
        <v>514</v>
      </c>
      <c r="N898" s="47" t="s">
        <v>515</v>
      </c>
      <c r="O898" s="54" t="s">
        <v>382</v>
      </c>
      <c r="P898" s="44" t="s">
        <v>309</v>
      </c>
      <c r="Q898" s="59" t="str">
        <f>MID(Tabla1[[#This Row],[Aplicación]],14,1)</f>
        <v>6</v>
      </c>
      <c r="R898" s="35" t="s">
        <v>299</v>
      </c>
      <c r="S898" s="59" t="str">
        <f>MID(Tabla1[[#This Row],[Aplicación]],6,2)</f>
        <v>02</v>
      </c>
      <c r="T898" s="35" t="str">
        <f>VLOOKUP(Tabla1[[#This Row],[AREA]],Hoja1!A:B,2,FALSE)</f>
        <v>02. Planeamiento urbanístico y vivienda</v>
      </c>
      <c r="U898" s="35" t="str">
        <f>MID(Tabla1[[#This Row],[Aplicación]],9,4)</f>
        <v>1511</v>
      </c>
      <c r="V898" s="35" t="str">
        <f>VLOOKUP(Tabla1[[#This Row],[PROGRAMA]],Hoja1!A:B,2,FALSE)</f>
        <v>1511. Planficación y gestión del urbanismo</v>
      </c>
      <c r="W898" s="56" t="str">
        <f>MID(Tabla1[[#This Row],[Aplicación]],14,2)</f>
        <v>60</v>
      </c>
      <c r="X898" s="56" t="str">
        <f>MID(Tabla1[[#This Row],[Aplicación]],14,6)</f>
        <v>609</v>
      </c>
    </row>
    <row r="899" spans="1:24" x14ac:dyDescent="0.25">
      <c r="A899" s="55">
        <v>220230008940</v>
      </c>
      <c r="B899" s="47" t="s">
        <v>507</v>
      </c>
      <c r="C899" s="52">
        <v>45002</v>
      </c>
      <c r="D899" s="46">
        <v>22023003121</v>
      </c>
      <c r="E899" s="47" t="s">
        <v>2068</v>
      </c>
      <c r="F899" s="53">
        <v>121</v>
      </c>
      <c r="G899" s="47" t="s">
        <v>20</v>
      </c>
      <c r="H899" s="47" t="s">
        <v>2069</v>
      </c>
      <c r="I899" s="46" t="s">
        <v>511</v>
      </c>
      <c r="J899" s="47" t="s">
        <v>519</v>
      </c>
      <c r="K899" s="47" t="s">
        <v>519</v>
      </c>
      <c r="L899" s="47" t="s">
        <v>520</v>
      </c>
      <c r="M899" s="47" t="s">
        <v>976</v>
      </c>
      <c r="N899" s="47" t="s">
        <v>839</v>
      </c>
      <c r="O899" s="54" t="s">
        <v>383</v>
      </c>
      <c r="P899" s="44" t="s">
        <v>309</v>
      </c>
      <c r="Q899" s="59" t="str">
        <f>MID(Tabla1[[#This Row],[Aplicación]],14,1)</f>
        <v>2</v>
      </c>
      <c r="R899" s="35" t="s">
        <v>298</v>
      </c>
      <c r="S899" s="59" t="str">
        <f>MID(Tabla1[[#This Row],[Aplicación]],6,2)</f>
        <v>05</v>
      </c>
      <c r="T899" s="35" t="str">
        <f>VLOOKUP(Tabla1[[#This Row],[AREA]],Hoja1!A:B,2,FALSE)</f>
        <v>05. Innovación, desarrollo económico, empleo y comercio</v>
      </c>
      <c r="U899" s="35" t="str">
        <f>MID(Tabla1[[#This Row],[Aplicación]],9,4)</f>
        <v>4331</v>
      </c>
      <c r="V899" s="35" t="str">
        <f>VLOOKUP(Tabla1[[#This Row],[PROGRAMA]],Hoja1!A:B,2,FALSE)</f>
        <v>4331. Desarrollo empresarial</v>
      </c>
      <c r="W899" s="56" t="str">
        <f>MID(Tabla1[[#This Row],[Aplicación]],14,2)</f>
        <v>20</v>
      </c>
      <c r="X899" s="56" t="str">
        <f>MID(Tabla1[[#This Row],[Aplicación]],14,6)</f>
        <v>206</v>
      </c>
    </row>
    <row r="900" spans="1:24" x14ac:dyDescent="0.25">
      <c r="A900" s="55">
        <v>220230009482</v>
      </c>
      <c r="B900" s="47" t="s">
        <v>507</v>
      </c>
      <c r="C900" s="52">
        <v>45006</v>
      </c>
      <c r="D900" s="46">
        <v>22023003447</v>
      </c>
      <c r="E900" s="47" t="s">
        <v>671</v>
      </c>
      <c r="F900" s="53">
        <v>750.85</v>
      </c>
      <c r="G900" s="47" t="s">
        <v>20</v>
      </c>
      <c r="H900" s="47" t="s">
        <v>2070</v>
      </c>
      <c r="I900" s="46" t="s">
        <v>511</v>
      </c>
      <c r="J900" s="47" t="s">
        <v>519</v>
      </c>
      <c r="K900" s="47" t="s">
        <v>519</v>
      </c>
      <c r="L900" s="47" t="s">
        <v>520</v>
      </c>
      <c r="M900" s="47" t="s">
        <v>976</v>
      </c>
      <c r="N900" s="47" t="s">
        <v>839</v>
      </c>
      <c r="O900" s="54" t="s">
        <v>383</v>
      </c>
      <c r="P900" s="44" t="s">
        <v>309</v>
      </c>
      <c r="Q900" s="59" t="str">
        <f>MID(Tabla1[[#This Row],[Aplicación]],14,1)</f>
        <v>2</v>
      </c>
      <c r="R900" s="35" t="s">
        <v>298</v>
      </c>
      <c r="S900" s="59" t="str">
        <f>MID(Tabla1[[#This Row],[Aplicación]],6,2)</f>
        <v>06</v>
      </c>
      <c r="T900" s="35" t="str">
        <f>VLOOKUP(Tabla1[[#This Row],[AREA]],Hoja1!A:B,2,FALSE)</f>
        <v>06. Educación, infancia, juventud e igualdad</v>
      </c>
      <c r="U900" s="35" t="str">
        <f>MID(Tabla1[[#This Row],[Aplicación]],9,4)</f>
        <v>3321</v>
      </c>
      <c r="V900" s="35" t="str">
        <f>VLOOKUP(Tabla1[[#This Row],[PROGRAMA]],Hoja1!A:B,2,FALSE)</f>
        <v>3321. Bibliotecas públicas</v>
      </c>
      <c r="W900" s="56" t="str">
        <f>MID(Tabla1[[#This Row],[Aplicación]],14,2)</f>
        <v>21</v>
      </c>
      <c r="X900" s="56" t="str">
        <f>MID(Tabla1[[#This Row],[Aplicación]],14,6)</f>
        <v>213</v>
      </c>
    </row>
    <row r="901" spans="1:24" x14ac:dyDescent="0.25">
      <c r="A901" s="55">
        <v>220230010314</v>
      </c>
      <c r="B901" s="47" t="s">
        <v>507</v>
      </c>
      <c r="C901" s="52">
        <v>45008</v>
      </c>
      <c r="D901" s="46">
        <v>22023003497</v>
      </c>
      <c r="E901" s="47" t="s">
        <v>1241</v>
      </c>
      <c r="F901" s="53">
        <v>358.16</v>
      </c>
      <c r="G901" s="47" t="s">
        <v>20</v>
      </c>
      <c r="H901" s="47" t="s">
        <v>2071</v>
      </c>
      <c r="I901" s="46" t="s">
        <v>511</v>
      </c>
      <c r="J901" s="47" t="s">
        <v>519</v>
      </c>
      <c r="K901" s="47" t="s">
        <v>519</v>
      </c>
      <c r="L901" s="47" t="s">
        <v>520</v>
      </c>
      <c r="M901" s="47" t="s">
        <v>976</v>
      </c>
      <c r="N901" s="47" t="s">
        <v>839</v>
      </c>
      <c r="O901" s="54" t="s">
        <v>383</v>
      </c>
      <c r="P901" s="44" t="s">
        <v>309</v>
      </c>
      <c r="Q901" s="59" t="str">
        <f>MID(Tabla1[[#This Row],[Aplicación]],14,1)</f>
        <v>2</v>
      </c>
      <c r="R901" s="35" t="s">
        <v>298</v>
      </c>
      <c r="S901" s="59" t="str">
        <f>MID(Tabla1[[#This Row],[Aplicación]],6,2)</f>
        <v>06</v>
      </c>
      <c r="T901" s="35" t="str">
        <f>VLOOKUP(Tabla1[[#This Row],[AREA]],Hoja1!A:B,2,FALSE)</f>
        <v>06. Educación, infancia, juventud e igualdad</v>
      </c>
      <c r="U901" s="35" t="str">
        <f>MID(Tabla1[[#This Row],[Aplicación]],9,4)</f>
        <v>3231</v>
      </c>
      <c r="V901" s="35" t="str">
        <f>VLOOKUP(Tabla1[[#This Row],[PROGRAMA]],Hoja1!A:B,2,FALSE)</f>
        <v>3231. Escuelas infantiles</v>
      </c>
      <c r="W901" s="56" t="str">
        <f>MID(Tabla1[[#This Row],[Aplicación]],14,2)</f>
        <v>21</v>
      </c>
      <c r="X901" s="56" t="str">
        <f>MID(Tabla1[[#This Row],[Aplicación]],14,6)</f>
        <v>213</v>
      </c>
    </row>
    <row r="902" spans="1:24" x14ac:dyDescent="0.25">
      <c r="A902" s="55">
        <v>220230011717</v>
      </c>
      <c r="B902" s="47" t="s">
        <v>507</v>
      </c>
      <c r="C902" s="52">
        <v>45014</v>
      </c>
      <c r="D902" s="46">
        <v>22023003540</v>
      </c>
      <c r="E902" s="47" t="s">
        <v>1150</v>
      </c>
      <c r="F902" s="53">
        <v>29.23</v>
      </c>
      <c r="G902" s="47" t="s">
        <v>20</v>
      </c>
      <c r="H902" s="47" t="s">
        <v>2072</v>
      </c>
      <c r="I902" s="46" t="s">
        <v>511</v>
      </c>
      <c r="J902" s="47" t="s">
        <v>519</v>
      </c>
      <c r="K902" s="47" t="s">
        <v>519</v>
      </c>
      <c r="L902" s="47" t="s">
        <v>552</v>
      </c>
      <c r="M902" s="47" t="s">
        <v>976</v>
      </c>
      <c r="N902" s="47" t="s">
        <v>839</v>
      </c>
      <c r="O902" s="54" t="s">
        <v>383</v>
      </c>
      <c r="P902" s="44" t="s">
        <v>309</v>
      </c>
      <c r="Q902" s="59" t="str">
        <f>MID(Tabla1[[#This Row],[Aplicación]],14,1)</f>
        <v>2</v>
      </c>
      <c r="R902" s="35" t="s">
        <v>298</v>
      </c>
      <c r="S902" s="59" t="str">
        <f>MID(Tabla1[[#This Row],[Aplicación]],6,2)</f>
        <v>03</v>
      </c>
      <c r="T902" s="35" t="str">
        <f>VLOOKUP(Tabla1[[#This Row],[AREA]],Hoja1!A:B,2,FALSE)</f>
        <v>03. Participación ciudadana y deportes</v>
      </c>
      <c r="U902" s="35" t="str">
        <f>MID(Tabla1[[#This Row],[Aplicación]],9,4)</f>
        <v>9241</v>
      </c>
      <c r="V902" s="35" t="str">
        <f>VLOOKUP(Tabla1[[#This Row],[PROGRAMA]],Hoja1!A:B,2,FALSE)</f>
        <v>9241. Participación ciudadana</v>
      </c>
      <c r="W902" s="56" t="str">
        <f>MID(Tabla1[[#This Row],[Aplicación]],14,2)</f>
        <v>21</v>
      </c>
      <c r="X902" s="56" t="str">
        <f>MID(Tabla1[[#This Row],[Aplicación]],14,6)</f>
        <v>213</v>
      </c>
    </row>
    <row r="903" spans="1:24" x14ac:dyDescent="0.25">
      <c r="A903" s="55">
        <v>220230011739</v>
      </c>
      <c r="B903" s="47" t="s">
        <v>507</v>
      </c>
      <c r="C903" s="52">
        <v>45014</v>
      </c>
      <c r="D903" s="46">
        <v>22023003546</v>
      </c>
      <c r="E903" s="47" t="s">
        <v>2073</v>
      </c>
      <c r="F903" s="53">
        <v>33.82</v>
      </c>
      <c r="G903" s="47" t="s">
        <v>20</v>
      </c>
      <c r="H903" s="47" t="s">
        <v>2074</v>
      </c>
      <c r="I903" s="46" t="s">
        <v>511</v>
      </c>
      <c r="J903" s="47" t="s">
        <v>519</v>
      </c>
      <c r="K903" s="47" t="s">
        <v>519</v>
      </c>
      <c r="L903" s="47" t="s">
        <v>552</v>
      </c>
      <c r="M903" s="47" t="s">
        <v>976</v>
      </c>
      <c r="N903" s="47" t="s">
        <v>839</v>
      </c>
      <c r="O903" s="54" t="s">
        <v>383</v>
      </c>
      <c r="P903" s="44" t="s">
        <v>309</v>
      </c>
      <c r="Q903" s="59" t="str">
        <f>MID(Tabla1[[#This Row],[Aplicación]],14,1)</f>
        <v>2</v>
      </c>
      <c r="R903" s="35" t="s">
        <v>298</v>
      </c>
      <c r="S903" s="59" t="str">
        <f>MID(Tabla1[[#This Row],[Aplicación]],6,2)</f>
        <v>06</v>
      </c>
      <c r="T903" s="35" t="str">
        <f>VLOOKUP(Tabla1[[#This Row],[AREA]],Hoja1!A:B,2,FALSE)</f>
        <v>06. Educación, infancia, juventud e igualdad</v>
      </c>
      <c r="U903" s="35" t="str">
        <f>MID(Tabla1[[#This Row],[Aplicación]],9,4)</f>
        <v>3231</v>
      </c>
      <c r="V903" s="35" t="str">
        <f>VLOOKUP(Tabla1[[#This Row],[PROGRAMA]],Hoja1!A:B,2,FALSE)</f>
        <v>3231. Escuelas infantiles</v>
      </c>
      <c r="W903" s="56" t="str">
        <f>MID(Tabla1[[#This Row],[Aplicación]],14,2)</f>
        <v>22</v>
      </c>
      <c r="X903" s="56" t="str">
        <f>MID(Tabla1[[#This Row],[Aplicación]],14,6)</f>
        <v>22199</v>
      </c>
    </row>
    <row r="904" spans="1:24" x14ac:dyDescent="0.25">
      <c r="A904" s="46">
        <v>220230002937</v>
      </c>
      <c r="B904" s="47" t="s">
        <v>507</v>
      </c>
      <c r="C904" s="52">
        <v>44967</v>
      </c>
      <c r="D904" s="46">
        <v>22023001665</v>
      </c>
      <c r="E904" s="47" t="s">
        <v>2075</v>
      </c>
      <c r="F904" s="53">
        <v>309156.2</v>
      </c>
      <c r="G904" s="47" t="s">
        <v>2076</v>
      </c>
      <c r="H904" s="47" t="s">
        <v>2077</v>
      </c>
      <c r="I904" s="46" t="s">
        <v>511</v>
      </c>
      <c r="J904" s="47" t="s">
        <v>565</v>
      </c>
      <c r="K904" s="47" t="s">
        <v>565</v>
      </c>
      <c r="L904" s="47" t="s">
        <v>552</v>
      </c>
      <c r="M904" s="47" t="s">
        <v>514</v>
      </c>
      <c r="N904" s="47" t="s">
        <v>515</v>
      </c>
      <c r="O904" s="54" t="s">
        <v>371</v>
      </c>
      <c r="P904" s="44" t="s">
        <v>309</v>
      </c>
      <c r="Q904" s="59" t="str">
        <f>MID(Tabla1[[#This Row],[Aplicación]],14,1)</f>
        <v>6</v>
      </c>
      <c r="R904" s="35" t="s">
        <v>299</v>
      </c>
      <c r="S904" s="59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35" t="str">
        <f>MID(Tabla1[[#This Row],[Aplicación]],9,4)</f>
        <v>3321</v>
      </c>
      <c r="V904" s="35" t="str">
        <f>VLOOKUP(Tabla1[[#This Row],[PROGRAMA]],Hoja1!A:B,2,FALSE)</f>
        <v>3321. Bibliotecas públicas</v>
      </c>
      <c r="W904" s="56" t="str">
        <f>MID(Tabla1[[#This Row],[Aplicación]],14,2)</f>
        <v>62</v>
      </c>
      <c r="X904" s="56" t="str">
        <f>MID(Tabla1[[#This Row],[Aplicación]],14,6)</f>
        <v>625</v>
      </c>
    </row>
    <row r="905" spans="1:24" x14ac:dyDescent="0.25">
      <c r="A905" s="46">
        <v>220230002948</v>
      </c>
      <c r="B905" s="47" t="s">
        <v>507</v>
      </c>
      <c r="C905" s="52">
        <v>44967</v>
      </c>
      <c r="D905" s="46">
        <v>22023002405</v>
      </c>
      <c r="E905" s="47" t="s">
        <v>1066</v>
      </c>
      <c r="F905" s="53">
        <v>529.98</v>
      </c>
      <c r="G905" s="47" t="s">
        <v>328</v>
      </c>
      <c r="H905" s="47" t="s">
        <v>2078</v>
      </c>
      <c r="I905" s="46" t="s">
        <v>511</v>
      </c>
      <c r="J905" s="47" t="s">
        <v>1068</v>
      </c>
      <c r="K905" s="47" t="s">
        <v>729</v>
      </c>
      <c r="L905" s="47" t="s">
        <v>552</v>
      </c>
      <c r="M905" s="47" t="s">
        <v>976</v>
      </c>
      <c r="N905" s="47" t="s">
        <v>839</v>
      </c>
      <c r="O905" s="45" t="s">
        <v>383</v>
      </c>
      <c r="P905" s="44" t="s">
        <v>309</v>
      </c>
      <c r="Q905" s="59" t="str">
        <f>MID(Tabla1[[#This Row],[Aplicación]],14,1)</f>
        <v>2</v>
      </c>
      <c r="R905" s="35" t="s">
        <v>298</v>
      </c>
      <c r="S905" s="59" t="str">
        <f>MID(Tabla1[[#This Row],[Aplicación]],6,2)</f>
        <v>08</v>
      </c>
      <c r="T905" s="35" t="str">
        <f>VLOOKUP(Tabla1[[#This Row],[AREA]],Hoja1!A:B,2,FALSE)</f>
        <v>08. Movilidad y espacio urbano</v>
      </c>
      <c r="U905" s="35" t="str">
        <f>MID(Tabla1[[#This Row],[Aplicación]],9,4)</f>
        <v>1301</v>
      </c>
      <c r="V905" s="35" t="str">
        <f>VLOOKUP(Tabla1[[#This Row],[PROGRAMA]],Hoja1!A:B,2,FALSE)</f>
        <v>1301. Dirección del área de seguridad</v>
      </c>
      <c r="W905" s="56" t="str">
        <f>MID(Tabla1[[#This Row],[Aplicación]],14,2)</f>
        <v>22</v>
      </c>
      <c r="X905" s="56" t="str">
        <f>MID(Tabla1[[#This Row],[Aplicación]],14,6)</f>
        <v>22699</v>
      </c>
    </row>
    <row r="906" spans="1:24" x14ac:dyDescent="0.25">
      <c r="A906" s="46">
        <v>220230002953</v>
      </c>
      <c r="B906" s="47" t="s">
        <v>507</v>
      </c>
      <c r="C906" s="52">
        <v>44967</v>
      </c>
      <c r="D906" s="46">
        <v>22023002289</v>
      </c>
      <c r="E906" s="47" t="s">
        <v>1290</v>
      </c>
      <c r="F906" s="53">
        <v>3000</v>
      </c>
      <c r="G906" s="47" t="s">
        <v>37</v>
      </c>
      <c r="H906" s="47" t="s">
        <v>2079</v>
      </c>
      <c r="I906" s="46" t="s">
        <v>511</v>
      </c>
      <c r="J906" s="47" t="s">
        <v>519</v>
      </c>
      <c r="K906" s="47" t="s">
        <v>519</v>
      </c>
      <c r="L906" s="47" t="s">
        <v>520</v>
      </c>
      <c r="M906" s="47" t="s">
        <v>976</v>
      </c>
      <c r="N906" s="47" t="s">
        <v>839</v>
      </c>
      <c r="O906" s="45" t="s">
        <v>383</v>
      </c>
      <c r="P906" s="44" t="s">
        <v>309</v>
      </c>
      <c r="Q906" s="59" t="str">
        <f>MID(Tabla1[[#This Row],[Aplicación]],14,1)</f>
        <v>2</v>
      </c>
      <c r="R906" s="35" t="s">
        <v>298</v>
      </c>
      <c r="S906" s="59" t="str">
        <f>MID(Tabla1[[#This Row],[Aplicación]],6,2)</f>
        <v>11</v>
      </c>
      <c r="T906" s="35" t="str">
        <f>VLOOKUP(Tabla1[[#This Row],[AREA]],Hoja1!A:B,2,FALSE)</f>
        <v>11. Salud pública y seguridad ciudadana</v>
      </c>
      <c r="U906" s="35" t="str">
        <f>MID(Tabla1[[#This Row],[Aplicación]],9,4)</f>
        <v>1621</v>
      </c>
      <c r="V906" s="35" t="str">
        <f>VLOOKUP(Tabla1[[#This Row],[PROGRAMA]],Hoja1!A:B,2,FALSE)</f>
        <v>1621. Servicio de limpieza</v>
      </c>
      <c r="W906" s="56" t="str">
        <f>MID(Tabla1[[#This Row],[Aplicación]],14,2)</f>
        <v>21</v>
      </c>
      <c r="X906" s="56" t="str">
        <f>MID(Tabla1[[#This Row],[Aplicación]],14,6)</f>
        <v>214</v>
      </c>
    </row>
    <row r="907" spans="1:24" x14ac:dyDescent="0.25">
      <c r="A907" s="46">
        <v>220230002934</v>
      </c>
      <c r="B907" s="47" t="s">
        <v>507</v>
      </c>
      <c r="C907" s="52">
        <v>44967</v>
      </c>
      <c r="D907" s="46">
        <v>22023002223</v>
      </c>
      <c r="E907" s="47" t="s">
        <v>1532</v>
      </c>
      <c r="F907" s="53">
        <v>110.55</v>
      </c>
      <c r="G907" s="47" t="s">
        <v>394</v>
      </c>
      <c r="H907" s="47" t="s">
        <v>2080</v>
      </c>
      <c r="I907" s="46" t="s">
        <v>511</v>
      </c>
      <c r="J907" s="47" t="s">
        <v>519</v>
      </c>
      <c r="K907" s="47" t="s">
        <v>519</v>
      </c>
      <c r="L907" s="47" t="s">
        <v>552</v>
      </c>
      <c r="M907" s="47" t="s">
        <v>976</v>
      </c>
      <c r="N907" s="47" t="s">
        <v>839</v>
      </c>
      <c r="O907" s="45" t="s">
        <v>383</v>
      </c>
      <c r="P907" s="44" t="s">
        <v>309</v>
      </c>
      <c r="Q907" s="59" t="str">
        <f>MID(Tabla1[[#This Row],[Aplicación]],14,1)</f>
        <v>2</v>
      </c>
      <c r="R907" s="35" t="s">
        <v>298</v>
      </c>
      <c r="S907" s="59" t="str">
        <f>MID(Tabla1[[#This Row],[Aplicación]],6,2)</f>
        <v>09</v>
      </c>
      <c r="T907" s="35" t="str">
        <f>VLOOKUP(Tabla1[[#This Row],[AREA]],Hoja1!A:B,2,FALSE)</f>
        <v>09. Cultura y turismo</v>
      </c>
      <c r="U907" s="35" t="str">
        <f>MID(Tabla1[[#This Row],[Aplicación]],9,4)</f>
        <v>3341</v>
      </c>
      <c r="V907" s="35" t="str">
        <f>VLOOKUP(Tabla1[[#This Row],[PROGRAMA]],Hoja1!A:B,2,FALSE)</f>
        <v>3341. Coordinación de políticas culturales</v>
      </c>
      <c r="W907" s="56" t="str">
        <f>MID(Tabla1[[#This Row],[Aplicación]],14,2)</f>
        <v>22</v>
      </c>
      <c r="X907" s="56" t="str">
        <f>MID(Tabla1[[#This Row],[Aplicación]],14,6)</f>
        <v>22699</v>
      </c>
    </row>
    <row r="908" spans="1:24" x14ac:dyDescent="0.25">
      <c r="A908" s="55">
        <v>220230012874</v>
      </c>
      <c r="B908" s="47" t="s">
        <v>507</v>
      </c>
      <c r="C908" s="52">
        <v>45016</v>
      </c>
      <c r="D908" s="46">
        <v>22023003712</v>
      </c>
      <c r="E908" s="47" t="s">
        <v>709</v>
      </c>
      <c r="F908" s="53">
        <v>1400</v>
      </c>
      <c r="G908" s="47" t="s">
        <v>20</v>
      </c>
      <c r="H908" s="47" t="s">
        <v>2081</v>
      </c>
      <c r="I908" s="46" t="s">
        <v>511</v>
      </c>
      <c r="J908" s="47" t="s">
        <v>519</v>
      </c>
      <c r="K908" s="47" t="s">
        <v>519</v>
      </c>
      <c r="L908" s="47" t="s">
        <v>520</v>
      </c>
      <c r="M908" s="47" t="s">
        <v>976</v>
      </c>
      <c r="N908" s="47" t="s">
        <v>839</v>
      </c>
      <c r="O908" s="54" t="s">
        <v>383</v>
      </c>
      <c r="P908" s="44" t="s">
        <v>309</v>
      </c>
      <c r="Q908" s="59" t="str">
        <f>MID(Tabla1[[#This Row],[Aplicación]],14,1)</f>
        <v>2</v>
      </c>
      <c r="R908" s="35" t="s">
        <v>298</v>
      </c>
      <c r="S908" s="59" t="str">
        <f>MID(Tabla1[[#This Row],[Aplicación]],6,2)</f>
        <v>07</v>
      </c>
      <c r="T908" s="35" t="str">
        <f>VLOOKUP(Tabla1[[#This Row],[AREA]],Hoja1!A:B,2,FALSE)</f>
        <v>07. Medio ambiente y desarrollo sostenible</v>
      </c>
      <c r="U908" s="35" t="str">
        <f>MID(Tabla1[[#This Row],[Aplicación]],9,4)</f>
        <v>1711</v>
      </c>
      <c r="V908" s="35" t="str">
        <f>VLOOKUP(Tabla1[[#This Row],[PROGRAMA]],Hoja1!A:B,2,FALSE)</f>
        <v>1711. Parques y jardines</v>
      </c>
      <c r="W908" s="56" t="str">
        <f>MID(Tabla1[[#This Row],[Aplicación]],14,2)</f>
        <v>22</v>
      </c>
      <c r="X908" s="56" t="str">
        <f>MID(Tabla1[[#This Row],[Aplicación]],14,6)</f>
        <v>22799</v>
      </c>
    </row>
    <row r="909" spans="1:24" x14ac:dyDescent="0.25">
      <c r="A909" s="46">
        <v>220219000232</v>
      </c>
      <c r="B909" s="47" t="s">
        <v>507</v>
      </c>
      <c r="C909" s="52">
        <v>44927</v>
      </c>
      <c r="D909" s="46">
        <v>22023000530</v>
      </c>
      <c r="E909" s="47" t="s">
        <v>772</v>
      </c>
      <c r="F909" s="53">
        <v>1688.95</v>
      </c>
      <c r="G909" s="47" t="s">
        <v>2082</v>
      </c>
      <c r="H909" s="47" t="s">
        <v>2083</v>
      </c>
      <c r="I909" s="46" t="s">
        <v>511</v>
      </c>
      <c r="J909" s="47" t="s">
        <v>519</v>
      </c>
      <c r="K909" s="47" t="s">
        <v>519</v>
      </c>
      <c r="L909" s="47" t="s">
        <v>520</v>
      </c>
      <c r="M909" s="47" t="s">
        <v>514</v>
      </c>
      <c r="N909" s="47" t="s">
        <v>515</v>
      </c>
      <c r="O909" s="45" t="s">
        <v>371</v>
      </c>
      <c r="P909" s="44" t="s">
        <v>309</v>
      </c>
      <c r="Q909" s="59" t="str">
        <f>MID(Tabla1[[#This Row],[Aplicación]],14,1)</f>
        <v>2</v>
      </c>
      <c r="R909" s="35" t="s">
        <v>298</v>
      </c>
      <c r="S909" s="59" t="str">
        <f>MID(Tabla1[[#This Row],[Aplicación]],6,2)</f>
        <v>06</v>
      </c>
      <c r="T909" s="35" t="str">
        <f>VLOOKUP(Tabla1[[#This Row],[AREA]],Hoja1!A:B,2,FALSE)</f>
        <v>06. Educación, infancia, juventud e igualdad</v>
      </c>
      <c r="U909" s="35" t="str">
        <f>MID(Tabla1[[#This Row],[Aplicación]],9,4)</f>
        <v>2314</v>
      </c>
      <c r="V909" s="35" t="str">
        <f>VLOOKUP(Tabla1[[#This Row],[PROGRAMA]],Hoja1!A:B,2,FALSE)</f>
        <v>2314. Centro de programas juveniles</v>
      </c>
      <c r="W909" s="56" t="str">
        <f>MID(Tabla1[[#This Row],[Aplicación]],14,2)</f>
        <v>22</v>
      </c>
      <c r="X909" s="56" t="str">
        <f>MID(Tabla1[[#This Row],[Aplicación]],14,6)</f>
        <v>22799</v>
      </c>
    </row>
    <row r="910" spans="1:24" x14ac:dyDescent="0.25">
      <c r="A910" s="46">
        <v>220230002945</v>
      </c>
      <c r="B910" s="47" t="s">
        <v>507</v>
      </c>
      <c r="C910" s="52">
        <v>44967</v>
      </c>
      <c r="D910" s="46">
        <v>22023002341</v>
      </c>
      <c r="E910" s="47" t="s">
        <v>1506</v>
      </c>
      <c r="F910" s="53">
        <v>163.79</v>
      </c>
      <c r="G910" s="47" t="s">
        <v>1915</v>
      </c>
      <c r="H910" s="47" t="s">
        <v>2084</v>
      </c>
      <c r="I910" s="46" t="s">
        <v>511</v>
      </c>
      <c r="J910" s="47" t="s">
        <v>953</v>
      </c>
      <c r="K910" s="47" t="s">
        <v>519</v>
      </c>
      <c r="L910" s="47" t="s">
        <v>552</v>
      </c>
      <c r="M910" s="47" t="s">
        <v>976</v>
      </c>
      <c r="N910" s="47" t="s">
        <v>839</v>
      </c>
      <c r="O910" s="45" t="s">
        <v>383</v>
      </c>
      <c r="P910" s="44" t="s">
        <v>309</v>
      </c>
      <c r="Q910" s="59" t="str">
        <f>MID(Tabla1[[#This Row],[Aplicación]],14,1)</f>
        <v>2</v>
      </c>
      <c r="R910" s="35" t="s">
        <v>298</v>
      </c>
      <c r="S910" s="59" t="str">
        <f>MID(Tabla1[[#This Row],[Aplicación]],6,2)</f>
        <v>03</v>
      </c>
      <c r="T910" s="35" t="str">
        <f>VLOOKUP(Tabla1[[#This Row],[AREA]],Hoja1!A:B,2,FALSE)</f>
        <v>03. Participación ciudadana y deportes</v>
      </c>
      <c r="U910" s="35" t="str">
        <f>MID(Tabla1[[#This Row],[Aplicación]],9,4)</f>
        <v>9241</v>
      </c>
      <c r="V910" s="35" t="str">
        <f>VLOOKUP(Tabla1[[#This Row],[PROGRAMA]],Hoja1!A:B,2,FALSE)</f>
        <v>9241. Participación ciudadana</v>
      </c>
      <c r="W910" s="56" t="str">
        <f>MID(Tabla1[[#This Row],[Aplicación]],14,2)</f>
        <v>21</v>
      </c>
      <c r="X910" s="56" t="str">
        <f>MID(Tabla1[[#This Row],[Aplicación]],14,6)</f>
        <v>212</v>
      </c>
    </row>
    <row r="911" spans="1:24" x14ac:dyDescent="0.25">
      <c r="A911" s="46">
        <v>220229000754</v>
      </c>
      <c r="B911" s="47" t="s">
        <v>507</v>
      </c>
      <c r="C911" s="52">
        <v>44927</v>
      </c>
      <c r="D911" s="46">
        <v>22023000752</v>
      </c>
      <c r="E911" s="47" t="s">
        <v>2085</v>
      </c>
      <c r="F911" s="53">
        <v>4461.2700000000004</v>
      </c>
      <c r="G911" s="47" t="s">
        <v>914</v>
      </c>
      <c r="H911" s="47" t="s">
        <v>2086</v>
      </c>
      <c r="I911" s="46" t="s">
        <v>511</v>
      </c>
      <c r="J911" s="47" t="s">
        <v>716</v>
      </c>
      <c r="K911" s="47" t="s">
        <v>717</v>
      </c>
      <c r="L911" s="47" t="s">
        <v>520</v>
      </c>
      <c r="M911" s="47" t="s">
        <v>514</v>
      </c>
      <c r="N911" s="47" t="s">
        <v>515</v>
      </c>
      <c r="O911" s="45" t="s">
        <v>371</v>
      </c>
      <c r="P911" s="44" t="s">
        <v>309</v>
      </c>
      <c r="Q911" s="59" t="str">
        <f>MID(Tabla1[[#This Row],[Aplicación]],14,1)</f>
        <v>2</v>
      </c>
      <c r="R911" s="35" t="s">
        <v>298</v>
      </c>
      <c r="S911" s="59" t="str">
        <f>MID(Tabla1[[#This Row],[Aplicación]],6,2)</f>
        <v>05</v>
      </c>
      <c r="T911" s="35" t="str">
        <f>VLOOKUP(Tabla1[[#This Row],[AREA]],Hoja1!A:B,2,FALSE)</f>
        <v>05. Innovación, desarrollo económico, empleo y comercio</v>
      </c>
      <c r="U911" s="35" t="str">
        <f>MID(Tabla1[[#This Row],[Aplicación]],9,4)</f>
        <v>4312</v>
      </c>
      <c r="V911" s="35" t="str">
        <f>VLOOKUP(Tabla1[[#This Row],[PROGRAMA]],Hoja1!A:B,2,FALSE)</f>
        <v>4312. Mercados, abastos y lonjas</v>
      </c>
      <c r="W911" s="56" t="str">
        <f>MID(Tabla1[[#This Row],[Aplicación]],14,2)</f>
        <v>22</v>
      </c>
      <c r="X911" s="56" t="str">
        <f>MID(Tabla1[[#This Row],[Aplicación]],14,6)</f>
        <v>22700</v>
      </c>
    </row>
    <row r="912" spans="1:24" x14ac:dyDescent="0.25">
      <c r="A912" s="46">
        <v>220229000349</v>
      </c>
      <c r="B912" s="47" t="s">
        <v>507</v>
      </c>
      <c r="C912" s="52">
        <v>44927</v>
      </c>
      <c r="D912" s="46">
        <v>22023000450</v>
      </c>
      <c r="E912" s="47" t="s">
        <v>2087</v>
      </c>
      <c r="F912" s="53">
        <v>18135.48</v>
      </c>
      <c r="G912" s="47" t="s">
        <v>67</v>
      </c>
      <c r="H912" s="47" t="s">
        <v>2088</v>
      </c>
      <c r="I912" s="46" t="s">
        <v>511</v>
      </c>
      <c r="J912" s="47" t="s">
        <v>953</v>
      </c>
      <c r="K912" s="47" t="s">
        <v>519</v>
      </c>
      <c r="L912" s="47" t="s">
        <v>520</v>
      </c>
      <c r="M912" s="47" t="s">
        <v>514</v>
      </c>
      <c r="N912" s="47" t="s">
        <v>604</v>
      </c>
      <c r="O912" s="54" t="s">
        <v>382</v>
      </c>
      <c r="P912" s="44" t="s">
        <v>309</v>
      </c>
      <c r="Q912" s="59" t="str">
        <f>MID(Tabla1[[#This Row],[Aplicación]],14,1)</f>
        <v>2</v>
      </c>
      <c r="R912" s="35" t="s">
        <v>298</v>
      </c>
      <c r="S912" s="59" t="str">
        <f>MID(Tabla1[[#This Row],[Aplicación]],6,2)</f>
        <v>03</v>
      </c>
      <c r="T912" s="35" t="str">
        <f>VLOOKUP(Tabla1[[#This Row],[AREA]],Hoja1!A:B,2,FALSE)</f>
        <v>03. Participación ciudadana y deportes</v>
      </c>
      <c r="U912" s="35" t="str">
        <f>MID(Tabla1[[#This Row],[Aplicación]],9,4)</f>
        <v>9241</v>
      </c>
      <c r="V912" s="35" t="str">
        <f>VLOOKUP(Tabla1[[#This Row],[PROGRAMA]],Hoja1!A:B,2,FALSE)</f>
        <v>9241. Participación ciudadana</v>
      </c>
      <c r="W912" s="56" t="str">
        <f>MID(Tabla1[[#This Row],[Aplicación]],14,2)</f>
        <v>22</v>
      </c>
      <c r="X912" s="56" t="str">
        <f>MID(Tabla1[[#This Row],[Aplicación]],14,6)</f>
        <v>22706</v>
      </c>
    </row>
    <row r="913" spans="1:24" x14ac:dyDescent="0.25">
      <c r="A913" s="46">
        <v>220229000078</v>
      </c>
      <c r="B913" s="47" t="s">
        <v>507</v>
      </c>
      <c r="C913" s="52">
        <v>44927</v>
      </c>
      <c r="D913" s="46">
        <v>22023000880</v>
      </c>
      <c r="E913" s="47" t="s">
        <v>559</v>
      </c>
      <c r="F913" s="53">
        <v>8478.1299999999992</v>
      </c>
      <c r="G913" s="47" t="s">
        <v>67</v>
      </c>
      <c r="H913" s="47" t="s">
        <v>2089</v>
      </c>
      <c r="I913" s="46" t="s">
        <v>511</v>
      </c>
      <c r="J913" s="47" t="s">
        <v>953</v>
      </c>
      <c r="K913" s="47" t="s">
        <v>519</v>
      </c>
      <c r="L913" s="47" t="s">
        <v>520</v>
      </c>
      <c r="M913" s="47" t="s">
        <v>514</v>
      </c>
      <c r="N913" s="47" t="s">
        <v>515</v>
      </c>
      <c r="O913" s="54" t="s">
        <v>382</v>
      </c>
      <c r="P913" s="44" t="s">
        <v>309</v>
      </c>
      <c r="Q913" s="59" t="str">
        <f>MID(Tabla1[[#This Row],[Aplicación]],14,1)</f>
        <v>6</v>
      </c>
      <c r="R913" s="35" t="s">
        <v>299</v>
      </c>
      <c r="S913" s="59" t="str">
        <f>MID(Tabla1[[#This Row],[Aplicación]],6,2)</f>
        <v>08</v>
      </c>
      <c r="T913" s="35" t="str">
        <f>VLOOKUP(Tabla1[[#This Row],[AREA]],Hoja1!A:B,2,FALSE)</f>
        <v>08. Movilidad y espacio urbano</v>
      </c>
      <c r="U913" s="35" t="str">
        <f>MID(Tabla1[[#This Row],[Aplicación]],9,4)</f>
        <v>1651</v>
      </c>
      <c r="V913" s="35" t="str">
        <f>VLOOKUP(Tabla1[[#This Row],[PROGRAMA]],Hoja1!A:B,2,FALSE)</f>
        <v>1651. Alumbrado público</v>
      </c>
      <c r="W913" s="56" t="str">
        <f>MID(Tabla1[[#This Row],[Aplicación]],14,2)</f>
        <v>61</v>
      </c>
      <c r="X913" s="56" t="str">
        <f>MID(Tabla1[[#This Row],[Aplicación]],14,6)</f>
        <v>619</v>
      </c>
    </row>
    <row r="914" spans="1:24" x14ac:dyDescent="0.25">
      <c r="A914" s="55">
        <v>220220055607</v>
      </c>
      <c r="B914" s="47" t="s">
        <v>507</v>
      </c>
      <c r="C914" s="52">
        <v>45014</v>
      </c>
      <c r="D914" s="46">
        <v>22022003141</v>
      </c>
      <c r="E914" s="47" t="s">
        <v>583</v>
      </c>
      <c r="F914" s="53">
        <v>475.02</v>
      </c>
      <c r="G914" s="47" t="s">
        <v>67</v>
      </c>
      <c r="H914" s="47" t="s">
        <v>2090</v>
      </c>
      <c r="I914" s="46" t="s">
        <v>511</v>
      </c>
      <c r="J914" s="47" t="s">
        <v>953</v>
      </c>
      <c r="K914" s="47" t="s">
        <v>519</v>
      </c>
      <c r="L914" s="47" t="s">
        <v>520</v>
      </c>
      <c r="M914" s="47" t="s">
        <v>514</v>
      </c>
      <c r="N914" s="47" t="s">
        <v>515</v>
      </c>
      <c r="O914" s="54" t="s">
        <v>382</v>
      </c>
      <c r="P914" s="44" t="s">
        <v>309</v>
      </c>
      <c r="Q914" s="59" t="str">
        <f>MID(Tabla1[[#This Row],[Aplicación]],14,1)</f>
        <v>6</v>
      </c>
      <c r="R914" s="35" t="s">
        <v>299</v>
      </c>
      <c r="S914" s="59" t="str">
        <f>MID(Tabla1[[#This Row],[Aplicación]],6,2)</f>
        <v>02</v>
      </c>
      <c r="T914" s="35" t="str">
        <f>VLOOKUP(Tabla1[[#This Row],[AREA]],Hoja1!A:B,2,FALSE)</f>
        <v>02. Planeamiento urbanístico y vivienda</v>
      </c>
      <c r="U914" s="35" t="str">
        <f>MID(Tabla1[[#This Row],[Aplicación]],9,4)</f>
        <v>1511</v>
      </c>
      <c r="V914" s="35" t="str">
        <f>VLOOKUP(Tabla1[[#This Row],[PROGRAMA]],Hoja1!A:B,2,FALSE)</f>
        <v>1511. Planficación y gestión del urbanismo</v>
      </c>
      <c r="W914" s="56" t="str">
        <f>MID(Tabla1[[#This Row],[Aplicación]],14,2)</f>
        <v>60</v>
      </c>
      <c r="X914" s="56" t="str">
        <f>MID(Tabla1[[#This Row],[Aplicación]],14,6)</f>
        <v>609</v>
      </c>
    </row>
    <row r="915" spans="1:24" x14ac:dyDescent="0.25">
      <c r="A915" s="55">
        <v>220220012379</v>
      </c>
      <c r="B915" s="47" t="s">
        <v>507</v>
      </c>
      <c r="C915" s="52">
        <v>45014</v>
      </c>
      <c r="D915" s="46">
        <v>22022002144</v>
      </c>
      <c r="E915" s="47" t="s">
        <v>1277</v>
      </c>
      <c r="F915" s="53">
        <v>3974.47</v>
      </c>
      <c r="G915" s="47" t="s">
        <v>346</v>
      </c>
      <c r="H915" s="47" t="s">
        <v>1278</v>
      </c>
      <c r="I915" s="46" t="s">
        <v>511</v>
      </c>
      <c r="J915" s="47" t="s">
        <v>519</v>
      </c>
      <c r="K915" s="47" t="s">
        <v>519</v>
      </c>
      <c r="L915" s="47" t="s">
        <v>527</v>
      </c>
      <c r="M915" s="47" t="s">
        <v>514</v>
      </c>
      <c r="N915" s="47" t="s">
        <v>515</v>
      </c>
      <c r="O915" s="54" t="s">
        <v>371</v>
      </c>
      <c r="P915" s="44" t="s">
        <v>309</v>
      </c>
      <c r="Q915" s="59">
        <v>6</v>
      </c>
      <c r="R915" s="35" t="s">
        <v>299</v>
      </c>
      <c r="S915" s="59" t="str">
        <f>MID(Tabla1[[#This Row],[Aplicación]],6,2)</f>
        <v>05</v>
      </c>
      <c r="T915" s="35" t="str">
        <f>VLOOKUP(Tabla1[[#This Row],[AREA]],Hoja1!A:B,2,FALSE)</f>
        <v>05. Innovación, desarrollo económico, empleo y comercio</v>
      </c>
      <c r="U915" s="35">
        <v>4312</v>
      </c>
      <c r="V915" s="35" t="str">
        <f>VLOOKUP(Tabla1[[#This Row],[PROGRAMA]],Hoja1!A:B,2,FALSE)</f>
        <v>4312. Mercados, abastos y lonjas</v>
      </c>
      <c r="W915" s="56">
        <v>63</v>
      </c>
      <c r="X915" s="56">
        <v>632</v>
      </c>
    </row>
    <row r="916" spans="1:24" x14ac:dyDescent="0.25">
      <c r="A916" s="55">
        <v>220210025551</v>
      </c>
      <c r="B916" s="47" t="s">
        <v>507</v>
      </c>
      <c r="C916" s="52">
        <v>45014</v>
      </c>
      <c r="D916" s="46">
        <v>22021002980</v>
      </c>
      <c r="E916" s="47" t="s">
        <v>1272</v>
      </c>
      <c r="F916" s="53">
        <v>61.98</v>
      </c>
      <c r="G916" s="47" t="s">
        <v>67</v>
      </c>
      <c r="H916" s="47" t="s">
        <v>2092</v>
      </c>
      <c r="I916" s="46" t="s">
        <v>511</v>
      </c>
      <c r="J916" s="47" t="s">
        <v>953</v>
      </c>
      <c r="K916" s="47" t="s">
        <v>519</v>
      </c>
      <c r="L916" s="47" t="s">
        <v>520</v>
      </c>
      <c r="M916" s="47" t="s">
        <v>514</v>
      </c>
      <c r="N916" s="47" t="s">
        <v>515</v>
      </c>
      <c r="O916" s="54" t="s">
        <v>382</v>
      </c>
      <c r="P916" s="44" t="s">
        <v>309</v>
      </c>
      <c r="Q916" s="59" t="str">
        <f>MID(Tabla1[[#This Row],[Aplicación]],14,1)</f>
        <v>6</v>
      </c>
      <c r="R916" s="35" t="s">
        <v>299</v>
      </c>
      <c r="S916" s="59" t="str">
        <f>MID(Tabla1[[#This Row],[Aplicación]],6,2)</f>
        <v>02</v>
      </c>
      <c r="T916" s="35" t="str">
        <f>VLOOKUP(Tabla1[[#This Row],[AREA]],Hoja1!A:B,2,FALSE)</f>
        <v>02. Planeamiento urbanístico y vivienda</v>
      </c>
      <c r="U916" s="35" t="str">
        <f>MID(Tabla1[[#This Row],[Aplicación]],9,4)</f>
        <v>9332</v>
      </c>
      <c r="V916" s="35" t="str">
        <f>VLOOKUP(Tabla1[[#This Row],[PROGRAMA]],Hoja1!A:B,2,FALSE)</f>
        <v>9332. Mantenimiento de edificios e instalaciones municipales</v>
      </c>
      <c r="W916" s="56" t="str">
        <f>MID(Tabla1[[#This Row],[Aplicación]],14,2)</f>
        <v>63</v>
      </c>
      <c r="X916" s="56" t="str">
        <f>MID(Tabla1[[#This Row],[Aplicación]],14,6)</f>
        <v>632</v>
      </c>
    </row>
    <row r="917" spans="1:24" x14ac:dyDescent="0.25">
      <c r="A917" s="46">
        <v>220229000682</v>
      </c>
      <c r="B917" s="47" t="s">
        <v>507</v>
      </c>
      <c r="C917" s="52">
        <v>44927</v>
      </c>
      <c r="D917" s="46">
        <v>22023001285</v>
      </c>
      <c r="E917" s="47" t="s">
        <v>817</v>
      </c>
      <c r="F917" s="53">
        <v>276.47000000000003</v>
      </c>
      <c r="G917" s="47" t="s">
        <v>400</v>
      </c>
      <c r="H917" s="47" t="s">
        <v>2093</v>
      </c>
      <c r="I917" s="46" t="s">
        <v>511</v>
      </c>
      <c r="J917" s="47" t="s">
        <v>519</v>
      </c>
      <c r="K917" s="47" t="s">
        <v>519</v>
      </c>
      <c r="L917" s="47" t="s">
        <v>520</v>
      </c>
      <c r="M917" s="47" t="s">
        <v>514</v>
      </c>
      <c r="N917" s="47" t="s">
        <v>515</v>
      </c>
      <c r="O917" s="54" t="s">
        <v>382</v>
      </c>
      <c r="P917" s="44" t="s">
        <v>309</v>
      </c>
      <c r="Q917" s="59" t="str">
        <f>MID(Tabla1[[#This Row],[Aplicación]],14,1)</f>
        <v>6</v>
      </c>
      <c r="R917" s="35" t="s">
        <v>299</v>
      </c>
      <c r="S917" s="59" t="str">
        <f>MID(Tabla1[[#This Row],[Aplicación]],6,2)</f>
        <v>05</v>
      </c>
      <c r="T917" s="35" t="str">
        <f>VLOOKUP(Tabla1[[#This Row],[AREA]],Hoja1!A:B,2,FALSE)</f>
        <v>05. Innovación, desarrollo económico, empleo y comercio</v>
      </c>
      <c r="U917" s="35" t="str">
        <f>MID(Tabla1[[#This Row],[Aplicación]],9,4)</f>
        <v>4331</v>
      </c>
      <c r="V917" s="35" t="str">
        <f>VLOOKUP(Tabla1[[#This Row],[PROGRAMA]],Hoja1!A:B,2,FALSE)</f>
        <v>4331. Desarrollo empresarial</v>
      </c>
      <c r="W917" s="56" t="str">
        <f>MID(Tabla1[[#This Row],[Aplicación]],14,2)</f>
        <v>60</v>
      </c>
      <c r="X917" s="56" t="str">
        <f>MID(Tabla1[[#This Row],[Aplicación]],14,6)</f>
        <v>609</v>
      </c>
    </row>
    <row r="918" spans="1:24" x14ac:dyDescent="0.25">
      <c r="A918" s="46">
        <v>220229000614</v>
      </c>
      <c r="B918" s="47" t="s">
        <v>507</v>
      </c>
      <c r="C918" s="52">
        <v>44927</v>
      </c>
      <c r="D918" s="46">
        <v>22023001231</v>
      </c>
      <c r="E918" s="47" t="s">
        <v>524</v>
      </c>
      <c r="F918" s="53">
        <v>5843.09</v>
      </c>
      <c r="G918" s="47" t="s">
        <v>400</v>
      </c>
      <c r="H918" s="47" t="s">
        <v>2094</v>
      </c>
      <c r="I918" s="46" t="s">
        <v>511</v>
      </c>
      <c r="J918" s="47" t="s">
        <v>519</v>
      </c>
      <c r="K918" s="47" t="s">
        <v>519</v>
      </c>
      <c r="L918" s="47" t="s">
        <v>520</v>
      </c>
      <c r="M918" s="47" t="s">
        <v>514</v>
      </c>
      <c r="N918" s="47" t="s">
        <v>515</v>
      </c>
      <c r="O918" s="54" t="s">
        <v>382</v>
      </c>
      <c r="P918" s="44" t="s">
        <v>309</v>
      </c>
      <c r="Q918" s="59" t="str">
        <f>MID(Tabla1[[#This Row],[Aplicación]],14,1)</f>
        <v>6</v>
      </c>
      <c r="R918" s="35" t="s">
        <v>299</v>
      </c>
      <c r="S918" s="59" t="str">
        <f>MID(Tabla1[[#This Row],[Aplicación]],6,2)</f>
        <v>02</v>
      </c>
      <c r="T918" s="35" t="str">
        <f>VLOOKUP(Tabla1[[#This Row],[AREA]],Hoja1!A:B,2,FALSE)</f>
        <v>02. Planeamiento urbanístico y vivienda</v>
      </c>
      <c r="U918" s="35" t="str">
        <f>MID(Tabla1[[#This Row],[Aplicación]],9,4)</f>
        <v>1511</v>
      </c>
      <c r="V918" s="35" t="str">
        <f>VLOOKUP(Tabla1[[#This Row],[PROGRAMA]],Hoja1!A:B,2,FALSE)</f>
        <v>1511. Planficación y gestión del urbanismo</v>
      </c>
      <c r="W918" s="56" t="str">
        <f>MID(Tabla1[[#This Row],[Aplicación]],14,2)</f>
        <v>61</v>
      </c>
      <c r="X918" s="56" t="str">
        <f>MID(Tabla1[[#This Row],[Aplicación]],14,6)</f>
        <v>619</v>
      </c>
    </row>
    <row r="919" spans="1:24" x14ac:dyDescent="0.25">
      <c r="A919" s="55">
        <v>220210016150</v>
      </c>
      <c r="B919" s="47" t="s">
        <v>507</v>
      </c>
      <c r="C919" s="52">
        <v>45014</v>
      </c>
      <c r="D919" s="46">
        <v>22021003527</v>
      </c>
      <c r="E919" s="47" t="s">
        <v>583</v>
      </c>
      <c r="F919" s="53">
        <v>7047.23</v>
      </c>
      <c r="G919" s="47" t="s">
        <v>67</v>
      </c>
      <c r="H919" s="47" t="s">
        <v>2095</v>
      </c>
      <c r="I919" s="46" t="s">
        <v>511</v>
      </c>
      <c r="J919" s="47" t="s">
        <v>953</v>
      </c>
      <c r="K919" s="47" t="s">
        <v>519</v>
      </c>
      <c r="L919" s="47" t="s">
        <v>520</v>
      </c>
      <c r="M919" s="47" t="s">
        <v>514</v>
      </c>
      <c r="N919" s="47" t="s">
        <v>515</v>
      </c>
      <c r="O919" s="54" t="s">
        <v>382</v>
      </c>
      <c r="P919" s="44" t="s">
        <v>309</v>
      </c>
      <c r="Q919" s="59" t="str">
        <f>MID(Tabla1[[#This Row],[Aplicación]],14,1)</f>
        <v>6</v>
      </c>
      <c r="R919" s="35" t="s">
        <v>299</v>
      </c>
      <c r="S919" s="59" t="str">
        <f>MID(Tabla1[[#This Row],[Aplicación]],6,2)</f>
        <v>02</v>
      </c>
      <c r="T919" s="35" t="str">
        <f>VLOOKUP(Tabla1[[#This Row],[AREA]],Hoja1!A:B,2,FALSE)</f>
        <v>02. Planeamiento urbanístico y vivienda</v>
      </c>
      <c r="U919" s="35" t="str">
        <f>MID(Tabla1[[#This Row],[Aplicación]],9,4)</f>
        <v>1511</v>
      </c>
      <c r="V919" s="35" t="str">
        <f>VLOOKUP(Tabla1[[#This Row],[PROGRAMA]],Hoja1!A:B,2,FALSE)</f>
        <v>1511. Planficación y gestión del urbanismo</v>
      </c>
      <c r="W919" s="56" t="str">
        <f>MID(Tabla1[[#This Row],[Aplicación]],14,2)</f>
        <v>60</v>
      </c>
      <c r="X919" s="56" t="str">
        <f>MID(Tabla1[[#This Row],[Aplicación]],14,6)</f>
        <v>609</v>
      </c>
    </row>
    <row r="920" spans="1:24" x14ac:dyDescent="0.25">
      <c r="A920" s="46">
        <v>220230006796</v>
      </c>
      <c r="B920" s="47" t="s">
        <v>507</v>
      </c>
      <c r="C920" s="52">
        <v>44986</v>
      </c>
      <c r="D920" s="46">
        <v>22023002862</v>
      </c>
      <c r="E920" s="47" t="s">
        <v>546</v>
      </c>
      <c r="F920" s="53">
        <v>337.54</v>
      </c>
      <c r="G920" s="47" t="s">
        <v>400</v>
      </c>
      <c r="H920" s="47" t="s">
        <v>2096</v>
      </c>
      <c r="I920" s="46" t="s">
        <v>511</v>
      </c>
      <c r="J920" s="47" t="s">
        <v>519</v>
      </c>
      <c r="K920" s="47" t="s">
        <v>519</v>
      </c>
      <c r="L920" s="47" t="s">
        <v>520</v>
      </c>
      <c r="M920" s="47" t="s">
        <v>514</v>
      </c>
      <c r="N920" s="47" t="s">
        <v>515</v>
      </c>
      <c r="O920" s="54" t="s">
        <v>382</v>
      </c>
      <c r="P920" s="44" t="s">
        <v>309</v>
      </c>
      <c r="Q920" s="59" t="str">
        <f>MID(Tabla1[[#This Row],[Aplicación]],14,1)</f>
        <v>6</v>
      </c>
      <c r="R920" s="35" t="s">
        <v>299</v>
      </c>
      <c r="S920" s="59" t="str">
        <f>MID(Tabla1[[#This Row],[Aplicación]],6,2)</f>
        <v>08</v>
      </c>
      <c r="T920" s="35" t="str">
        <f>VLOOKUP(Tabla1[[#This Row],[AREA]],Hoja1!A:B,2,FALSE)</f>
        <v>08. Movilidad y espacio urbano</v>
      </c>
      <c r="U920" s="35" t="str">
        <f>MID(Tabla1[[#This Row],[Aplicación]],9,4)</f>
        <v>1532</v>
      </c>
      <c r="V920" s="35" t="str">
        <f>VLOOKUP(Tabla1[[#This Row],[PROGRAMA]],Hoja1!A:B,2,FALSE)</f>
        <v>1532. Pavimentación vias públicas y otros servicios urbanísticos</v>
      </c>
      <c r="W920" s="56" t="str">
        <f>MID(Tabla1[[#This Row],[Aplicación]],14,2)</f>
        <v>61</v>
      </c>
      <c r="X920" s="56" t="str">
        <f>MID(Tabla1[[#This Row],[Aplicación]],14,6)</f>
        <v>619</v>
      </c>
    </row>
    <row r="921" spans="1:24" x14ac:dyDescent="0.25">
      <c r="A921" s="46">
        <v>220230003420</v>
      </c>
      <c r="B921" s="47" t="s">
        <v>507</v>
      </c>
      <c r="C921" s="52">
        <v>44971</v>
      </c>
      <c r="D921" s="46">
        <v>22023002147</v>
      </c>
      <c r="E921" s="47" t="s">
        <v>2053</v>
      </c>
      <c r="F921" s="53">
        <v>2329.86</v>
      </c>
      <c r="G921" s="47" t="s">
        <v>67</v>
      </c>
      <c r="H921" s="47" t="s">
        <v>2097</v>
      </c>
      <c r="I921" s="46" t="s">
        <v>511</v>
      </c>
      <c r="J921" s="47" t="s">
        <v>953</v>
      </c>
      <c r="K921" s="47" t="s">
        <v>519</v>
      </c>
      <c r="L921" s="47" t="s">
        <v>520</v>
      </c>
      <c r="M921" s="47" t="s">
        <v>514</v>
      </c>
      <c r="N921" s="47" t="s">
        <v>515</v>
      </c>
      <c r="O921" s="54" t="s">
        <v>382</v>
      </c>
      <c r="P921" s="44" t="s">
        <v>309</v>
      </c>
      <c r="Q921" s="59" t="str">
        <f>MID(Tabla1[[#This Row],[Aplicación]],14,1)</f>
        <v>2</v>
      </c>
      <c r="R921" s="35" t="s">
        <v>298</v>
      </c>
      <c r="S921" s="59" t="str">
        <f>MID(Tabla1[[#This Row],[Aplicación]],6,2)</f>
        <v>08</v>
      </c>
      <c r="T921" s="35" t="str">
        <f>VLOOKUP(Tabla1[[#This Row],[AREA]],Hoja1!A:B,2,FALSE)</f>
        <v>08. Movilidad y espacio urbano</v>
      </c>
      <c r="U921" s="35" t="str">
        <f>MID(Tabla1[[#This Row],[Aplicación]],9,4)</f>
        <v>1301</v>
      </c>
      <c r="V921" s="35" t="str">
        <f>VLOOKUP(Tabla1[[#This Row],[PROGRAMA]],Hoja1!A:B,2,FALSE)</f>
        <v>1301. Dirección del área de seguridad</v>
      </c>
      <c r="W921" s="56" t="str">
        <f>MID(Tabla1[[#This Row],[Aplicación]],14,2)</f>
        <v>22</v>
      </c>
      <c r="X921" s="56" t="str">
        <f>MID(Tabla1[[#This Row],[Aplicación]],14,6)</f>
        <v>22706</v>
      </c>
    </row>
    <row r="922" spans="1:24" x14ac:dyDescent="0.25">
      <c r="A922" s="55">
        <v>220230009036</v>
      </c>
      <c r="B922" s="47" t="s">
        <v>507</v>
      </c>
      <c r="C922" s="52">
        <v>45005</v>
      </c>
      <c r="D922" s="46">
        <v>22023003181</v>
      </c>
      <c r="E922" s="47" t="s">
        <v>2053</v>
      </c>
      <c r="F922" s="53">
        <v>4453.1899999999996</v>
      </c>
      <c r="G922" s="47" t="s">
        <v>67</v>
      </c>
      <c r="H922" s="47" t="s">
        <v>2097</v>
      </c>
      <c r="I922" s="46" t="s">
        <v>511</v>
      </c>
      <c r="J922" s="47" t="s">
        <v>953</v>
      </c>
      <c r="K922" s="47" t="s">
        <v>519</v>
      </c>
      <c r="L922" s="47" t="s">
        <v>520</v>
      </c>
      <c r="M922" s="47" t="s">
        <v>514</v>
      </c>
      <c r="N922" s="47" t="s">
        <v>604</v>
      </c>
      <c r="O922" s="54" t="s">
        <v>382</v>
      </c>
      <c r="P922" s="44" t="s">
        <v>309</v>
      </c>
      <c r="Q922" s="59" t="str">
        <f>MID(Tabla1[[#This Row],[Aplicación]],14,1)</f>
        <v>2</v>
      </c>
      <c r="R922" s="35" t="s">
        <v>298</v>
      </c>
      <c r="S922" s="59" t="str">
        <f>MID(Tabla1[[#This Row],[Aplicación]],6,2)</f>
        <v>08</v>
      </c>
      <c r="T922" s="35" t="str">
        <f>VLOOKUP(Tabla1[[#This Row],[AREA]],Hoja1!A:B,2,FALSE)</f>
        <v>08. Movilidad y espacio urbano</v>
      </c>
      <c r="U922" s="35" t="str">
        <f>MID(Tabla1[[#This Row],[Aplicación]],9,4)</f>
        <v>1301</v>
      </c>
      <c r="V922" s="35" t="str">
        <f>VLOOKUP(Tabla1[[#This Row],[PROGRAMA]],Hoja1!A:B,2,FALSE)</f>
        <v>1301. Dirección del área de seguridad</v>
      </c>
      <c r="W922" s="56" t="str">
        <f>MID(Tabla1[[#This Row],[Aplicación]],14,2)</f>
        <v>22</v>
      </c>
      <c r="X922" s="56" t="str">
        <f>MID(Tabla1[[#This Row],[Aplicación]],14,6)</f>
        <v>22706</v>
      </c>
    </row>
    <row r="923" spans="1:24" x14ac:dyDescent="0.25">
      <c r="A923" s="46">
        <v>220229000029</v>
      </c>
      <c r="B923" s="47" t="s">
        <v>507</v>
      </c>
      <c r="C923" s="52">
        <v>44927</v>
      </c>
      <c r="D923" s="46">
        <v>22023000868</v>
      </c>
      <c r="E923" s="47" t="s">
        <v>2098</v>
      </c>
      <c r="F923" s="53">
        <v>1066.3900000000001</v>
      </c>
      <c r="G923" s="47" t="s">
        <v>2099</v>
      </c>
      <c r="H923" s="47" t="s">
        <v>2100</v>
      </c>
      <c r="I923" s="46" t="s">
        <v>511</v>
      </c>
      <c r="J923" s="47" t="s">
        <v>512</v>
      </c>
      <c r="K923" s="47" t="s">
        <v>512</v>
      </c>
      <c r="L923" s="47" t="s">
        <v>520</v>
      </c>
      <c r="M923" s="47" t="s">
        <v>514</v>
      </c>
      <c r="N923" s="47" t="s">
        <v>515</v>
      </c>
      <c r="O923" s="45" t="s">
        <v>371</v>
      </c>
      <c r="P923" s="44" t="s">
        <v>309</v>
      </c>
      <c r="Q923" s="59" t="str">
        <f>MID(Tabla1[[#This Row],[Aplicación]],14,1)</f>
        <v>2</v>
      </c>
      <c r="R923" s="35" t="s">
        <v>298</v>
      </c>
      <c r="S923" s="59" t="str">
        <f>MID(Tabla1[[#This Row],[Aplicación]],6,2)</f>
        <v>10</v>
      </c>
      <c r="T923" s="35" t="str">
        <f>VLOOKUP(Tabla1[[#This Row],[AREA]],Hoja1!A:B,2,FALSE)</f>
        <v>10. Servicios sociales y mediación comunitaria</v>
      </c>
      <c r="U923" s="35" t="str">
        <f>MID(Tabla1[[#This Row],[Aplicación]],9,4)</f>
        <v>2312</v>
      </c>
      <c r="V923" s="35" t="str">
        <f>VLOOKUP(Tabla1[[#This Row],[PROGRAMA]],Hoja1!A:B,2,FALSE)</f>
        <v>2312. Iniciativas sociales</v>
      </c>
      <c r="W923" s="56" t="str">
        <f>MID(Tabla1[[#This Row],[Aplicación]],14,2)</f>
        <v>21</v>
      </c>
      <c r="X923" s="56" t="str">
        <f>MID(Tabla1[[#This Row],[Aplicación]],14,6)</f>
        <v>216</v>
      </c>
    </row>
    <row r="924" spans="1:24" x14ac:dyDescent="0.25">
      <c r="A924" s="46">
        <v>220230003004</v>
      </c>
      <c r="B924" s="47" t="s">
        <v>507</v>
      </c>
      <c r="C924" s="52">
        <v>44970</v>
      </c>
      <c r="D924" s="46">
        <v>22023001585</v>
      </c>
      <c r="E924" s="47" t="s">
        <v>1055</v>
      </c>
      <c r="F924" s="53">
        <v>2770.9</v>
      </c>
      <c r="G924" s="47" t="s">
        <v>392</v>
      </c>
      <c r="H924" s="47" t="s">
        <v>2101</v>
      </c>
      <c r="I924" s="46" t="s">
        <v>511</v>
      </c>
      <c r="J924" s="47" t="s">
        <v>519</v>
      </c>
      <c r="K924" s="47" t="s">
        <v>519</v>
      </c>
      <c r="L924" s="47" t="s">
        <v>520</v>
      </c>
      <c r="M924" s="47" t="s">
        <v>976</v>
      </c>
      <c r="N924" s="47" t="s">
        <v>839</v>
      </c>
      <c r="O924" s="45" t="s">
        <v>383</v>
      </c>
      <c r="P924" s="44" t="s">
        <v>309</v>
      </c>
      <c r="Q924" s="59" t="str">
        <f>MID(Tabla1[[#This Row],[Aplicación]],14,1)</f>
        <v>2</v>
      </c>
      <c r="R924" s="35" t="s">
        <v>298</v>
      </c>
      <c r="S924" s="59" t="str">
        <f>MID(Tabla1[[#This Row],[Aplicación]],6,2)</f>
        <v>02</v>
      </c>
      <c r="T924" s="35" t="str">
        <f>VLOOKUP(Tabla1[[#This Row],[AREA]],Hoja1!A:B,2,FALSE)</f>
        <v>02. Planeamiento urbanístico y vivienda</v>
      </c>
      <c r="U924" s="35" t="str">
        <f>MID(Tabla1[[#This Row],[Aplicación]],9,4)</f>
        <v>9332</v>
      </c>
      <c r="V924" s="35" t="str">
        <f>VLOOKUP(Tabla1[[#This Row],[PROGRAMA]],Hoja1!A:B,2,FALSE)</f>
        <v>9332. Mantenimiento de edificios e instalaciones municipales</v>
      </c>
      <c r="W924" s="56" t="str">
        <f>MID(Tabla1[[#This Row],[Aplicación]],14,2)</f>
        <v>21</v>
      </c>
      <c r="X924" s="56" t="str">
        <f>MID(Tabla1[[#This Row],[Aplicación]],14,6)</f>
        <v>213</v>
      </c>
    </row>
    <row r="925" spans="1:24" x14ac:dyDescent="0.25">
      <c r="A925" s="46">
        <v>220230003786</v>
      </c>
      <c r="B925" s="47" t="s">
        <v>507</v>
      </c>
      <c r="C925" s="52">
        <v>44974</v>
      </c>
      <c r="D925" s="46">
        <v>22023002465</v>
      </c>
      <c r="E925" s="47" t="s">
        <v>669</v>
      </c>
      <c r="F925" s="53">
        <v>7260</v>
      </c>
      <c r="G925" s="47" t="s">
        <v>18</v>
      </c>
      <c r="H925" s="47" t="s">
        <v>2102</v>
      </c>
      <c r="I925" s="46" t="s">
        <v>511</v>
      </c>
      <c r="J925" s="47" t="s">
        <v>519</v>
      </c>
      <c r="K925" s="47" t="s">
        <v>519</v>
      </c>
      <c r="L925" s="47" t="s">
        <v>520</v>
      </c>
      <c r="M925" s="47" t="s">
        <v>976</v>
      </c>
      <c r="N925" s="47" t="s">
        <v>839</v>
      </c>
      <c r="O925" s="45" t="s">
        <v>383</v>
      </c>
      <c r="P925" s="44" t="s">
        <v>309</v>
      </c>
      <c r="Q925" s="59" t="str">
        <f>MID(Tabla1[[#This Row],[Aplicación]],14,1)</f>
        <v>2</v>
      </c>
      <c r="R925" s="35" t="s">
        <v>298</v>
      </c>
      <c r="S925" s="59" t="str">
        <f>MID(Tabla1[[#This Row],[Aplicación]],6,2)</f>
        <v>06</v>
      </c>
      <c r="T925" s="35" t="str">
        <f>VLOOKUP(Tabla1[[#This Row],[AREA]],Hoja1!A:B,2,FALSE)</f>
        <v>06. Educación, infancia, juventud e igualdad</v>
      </c>
      <c r="U925" s="35" t="str">
        <f>MID(Tabla1[[#This Row],[Aplicación]],9,4)</f>
        <v>3232</v>
      </c>
      <c r="V925" s="35" t="str">
        <f>VLOOKUP(Tabla1[[#This Row],[PROGRAMA]],Hoja1!A:B,2,FALSE)</f>
        <v>3232. Conservación y mantenimiento centros educación infantil y primaria</v>
      </c>
      <c r="W925" s="56" t="str">
        <f>MID(Tabla1[[#This Row],[Aplicación]],14,2)</f>
        <v>21</v>
      </c>
      <c r="X925" s="56" t="str">
        <f>MID(Tabla1[[#This Row],[Aplicación]],14,6)</f>
        <v>213</v>
      </c>
    </row>
    <row r="926" spans="1:24" x14ac:dyDescent="0.25">
      <c r="A926" s="46">
        <v>220230003020</v>
      </c>
      <c r="B926" s="47" t="s">
        <v>1249</v>
      </c>
      <c r="C926" s="52">
        <v>44970</v>
      </c>
      <c r="D926" s="46">
        <v>22023002168</v>
      </c>
      <c r="E926" s="47" t="s">
        <v>1132</v>
      </c>
      <c r="F926" s="53">
        <v>20.61</v>
      </c>
      <c r="G926" s="47" t="s">
        <v>2103</v>
      </c>
      <c r="H926" s="47" t="s">
        <v>2104</v>
      </c>
      <c r="I926" s="46" t="s">
        <v>1251</v>
      </c>
      <c r="J926" s="47" t="s">
        <v>589</v>
      </c>
      <c r="K926" s="47" t="s">
        <v>590</v>
      </c>
      <c r="L926" s="47" t="s">
        <v>652</v>
      </c>
      <c r="M926" s="47" t="s">
        <v>976</v>
      </c>
      <c r="N926" s="47" t="s">
        <v>515</v>
      </c>
      <c r="O926" s="45" t="s">
        <v>383</v>
      </c>
      <c r="P926" s="44" t="s">
        <v>309</v>
      </c>
      <c r="Q926" s="59" t="str">
        <f>MID(Tabla1[[#This Row],[Aplicación]],14,1)</f>
        <v>2</v>
      </c>
      <c r="R926" s="35" t="s">
        <v>298</v>
      </c>
      <c r="S926" s="59" t="str">
        <f>MID(Tabla1[[#This Row],[Aplicación]],6,2)</f>
        <v>07</v>
      </c>
      <c r="T926" s="35" t="str">
        <f>VLOOKUP(Tabla1[[#This Row],[AREA]],Hoja1!A:B,2,FALSE)</f>
        <v>07. Medio ambiente y desarrollo sostenible</v>
      </c>
      <c r="U926" s="35" t="str">
        <f>MID(Tabla1[[#This Row],[Aplicación]],9,4)</f>
        <v>1721</v>
      </c>
      <c r="V926" s="35" t="str">
        <f>VLOOKUP(Tabla1[[#This Row],[PROGRAMA]],Hoja1!A:B,2,FALSE)</f>
        <v>1721. Protección del medio ambiente</v>
      </c>
      <c r="W926" s="56" t="str">
        <f>MID(Tabla1[[#This Row],[Aplicación]],14,2)</f>
        <v>22</v>
      </c>
      <c r="X926" s="56" t="str">
        <f>MID(Tabla1[[#This Row],[Aplicación]],14,6)</f>
        <v>22100</v>
      </c>
    </row>
    <row r="927" spans="1:24" x14ac:dyDescent="0.25">
      <c r="A927" s="46">
        <v>220229000030</v>
      </c>
      <c r="B927" s="47" t="s">
        <v>507</v>
      </c>
      <c r="C927" s="52">
        <v>44927</v>
      </c>
      <c r="D927" s="46">
        <v>22023000869</v>
      </c>
      <c r="E927" s="47" t="s">
        <v>2098</v>
      </c>
      <c r="F927" s="53">
        <v>266.58999999999997</v>
      </c>
      <c r="G927" s="47" t="s">
        <v>2099</v>
      </c>
      <c r="H927" s="47" t="s">
        <v>2105</v>
      </c>
      <c r="I927" s="46" t="s">
        <v>511</v>
      </c>
      <c r="J927" s="47" t="s">
        <v>512</v>
      </c>
      <c r="K927" s="47" t="s">
        <v>512</v>
      </c>
      <c r="L927" s="47" t="s">
        <v>520</v>
      </c>
      <c r="M927" s="47" t="s">
        <v>514</v>
      </c>
      <c r="N927" s="47" t="s">
        <v>515</v>
      </c>
      <c r="O927" s="45" t="s">
        <v>371</v>
      </c>
      <c r="P927" s="44" t="s">
        <v>309</v>
      </c>
      <c r="Q927" s="59" t="str">
        <f>MID(Tabla1[[#This Row],[Aplicación]],14,1)</f>
        <v>2</v>
      </c>
      <c r="R927" s="35" t="s">
        <v>298</v>
      </c>
      <c r="S927" s="59" t="str">
        <f>MID(Tabla1[[#This Row],[Aplicación]],6,2)</f>
        <v>10</v>
      </c>
      <c r="T927" s="35" t="str">
        <f>VLOOKUP(Tabla1[[#This Row],[AREA]],Hoja1!A:B,2,FALSE)</f>
        <v>10. Servicios sociales y mediación comunitaria</v>
      </c>
      <c r="U927" s="35" t="str">
        <f>MID(Tabla1[[#This Row],[Aplicación]],9,4)</f>
        <v>2312</v>
      </c>
      <c r="V927" s="35" t="str">
        <f>VLOOKUP(Tabla1[[#This Row],[PROGRAMA]],Hoja1!A:B,2,FALSE)</f>
        <v>2312. Iniciativas sociales</v>
      </c>
      <c r="W927" s="56" t="str">
        <f>MID(Tabla1[[#This Row],[Aplicación]],14,2)</f>
        <v>21</v>
      </c>
      <c r="X927" s="56" t="str">
        <f>MID(Tabla1[[#This Row],[Aplicación]],14,6)</f>
        <v>216</v>
      </c>
    </row>
    <row r="928" spans="1:24" x14ac:dyDescent="0.25">
      <c r="A928" s="46">
        <v>220230003012</v>
      </c>
      <c r="B928" s="47" t="s">
        <v>1514</v>
      </c>
      <c r="C928" s="52">
        <v>44970</v>
      </c>
      <c r="D928" s="46">
        <v>22023001963</v>
      </c>
      <c r="E928" s="47" t="s">
        <v>546</v>
      </c>
      <c r="F928" s="53">
        <v>2741.28</v>
      </c>
      <c r="G928" s="47" t="s">
        <v>476</v>
      </c>
      <c r="H928" s="47" t="s">
        <v>2106</v>
      </c>
      <c r="I928" s="46" t="s">
        <v>1517</v>
      </c>
      <c r="J928" s="47" t="s">
        <v>947</v>
      </c>
      <c r="K928" s="47" t="s">
        <v>947</v>
      </c>
      <c r="L928" s="47" t="s">
        <v>520</v>
      </c>
      <c r="M928" s="47" t="s">
        <v>514</v>
      </c>
      <c r="N928" s="47" t="s">
        <v>515</v>
      </c>
      <c r="O928" s="54" t="s">
        <v>382</v>
      </c>
      <c r="P928" s="44" t="s">
        <v>309</v>
      </c>
      <c r="Q928" s="59" t="str">
        <f>MID(Tabla1[[#This Row],[Aplicación]],14,1)</f>
        <v>6</v>
      </c>
      <c r="R928" s="35" t="s">
        <v>299</v>
      </c>
      <c r="S928" s="59" t="str">
        <f>MID(Tabla1[[#This Row],[Aplicación]],6,2)</f>
        <v>08</v>
      </c>
      <c r="T928" s="35" t="str">
        <f>VLOOKUP(Tabla1[[#This Row],[AREA]],Hoja1!A:B,2,FALSE)</f>
        <v>08. Movilidad y espacio urbano</v>
      </c>
      <c r="U928" s="35" t="str">
        <f>MID(Tabla1[[#This Row],[Aplicación]],9,4)</f>
        <v>1532</v>
      </c>
      <c r="V928" s="35" t="str">
        <f>VLOOKUP(Tabla1[[#This Row],[PROGRAMA]],Hoja1!A:B,2,FALSE)</f>
        <v>1532. Pavimentación vias públicas y otros servicios urbanísticos</v>
      </c>
      <c r="W928" s="56" t="str">
        <f>MID(Tabla1[[#This Row],[Aplicación]],14,2)</f>
        <v>61</v>
      </c>
      <c r="X928" s="56" t="str">
        <f>MID(Tabla1[[#This Row],[Aplicación]],14,6)</f>
        <v>619</v>
      </c>
    </row>
    <row r="929" spans="1:24" x14ac:dyDescent="0.25">
      <c r="A929" s="46">
        <v>220230003033</v>
      </c>
      <c r="B929" s="47" t="s">
        <v>1514</v>
      </c>
      <c r="C929" s="52">
        <v>44970</v>
      </c>
      <c r="D929" s="46">
        <v>22023002053</v>
      </c>
      <c r="E929" s="47" t="s">
        <v>2107</v>
      </c>
      <c r="F929" s="53">
        <v>2023.73</v>
      </c>
      <c r="G929" s="47" t="s">
        <v>2108</v>
      </c>
      <c r="H929" s="47" t="s">
        <v>2109</v>
      </c>
      <c r="I929" s="46" t="s">
        <v>1517</v>
      </c>
      <c r="J929" s="47" t="s">
        <v>519</v>
      </c>
      <c r="K929" s="47" t="s">
        <v>519</v>
      </c>
      <c r="L929" s="47" t="s">
        <v>520</v>
      </c>
      <c r="M929" s="47" t="s">
        <v>514</v>
      </c>
      <c r="N929" s="47" t="s">
        <v>515</v>
      </c>
      <c r="O929" s="45" t="s">
        <v>382</v>
      </c>
      <c r="P929" s="44" t="s">
        <v>309</v>
      </c>
      <c r="Q929" s="59" t="str">
        <f>MID(Tabla1[[#This Row],[Aplicación]],14,1)</f>
        <v>2</v>
      </c>
      <c r="R929" s="35" t="s">
        <v>298</v>
      </c>
      <c r="S929" s="59" t="str">
        <f>MID(Tabla1[[#This Row],[Aplicación]],6,2)</f>
        <v>07</v>
      </c>
      <c r="T929" s="35" t="str">
        <f>VLOOKUP(Tabla1[[#This Row],[AREA]],Hoja1!A:B,2,FALSE)</f>
        <v>07. Medio ambiente y desarrollo sostenible</v>
      </c>
      <c r="U929" s="35" t="str">
        <f>MID(Tabla1[[#This Row],[Aplicación]],9,4)</f>
        <v>1711</v>
      </c>
      <c r="V929" s="35" t="str">
        <f>VLOOKUP(Tabla1[[#This Row],[PROGRAMA]],Hoja1!A:B,2,FALSE)</f>
        <v>1711. Parques y jardines</v>
      </c>
      <c r="W929" s="56" t="str">
        <f>MID(Tabla1[[#This Row],[Aplicación]],14,2)</f>
        <v>21</v>
      </c>
      <c r="X929" s="56" t="str">
        <f>MID(Tabla1[[#This Row],[Aplicación]],14,6)</f>
        <v>213</v>
      </c>
    </row>
    <row r="930" spans="1:24" x14ac:dyDescent="0.25">
      <c r="A930" s="46">
        <v>220230003025</v>
      </c>
      <c r="B930" s="47" t="s">
        <v>1514</v>
      </c>
      <c r="C930" s="52">
        <v>44970</v>
      </c>
      <c r="D930" s="46">
        <v>22023002053</v>
      </c>
      <c r="E930" s="47" t="s">
        <v>2107</v>
      </c>
      <c r="F930" s="53">
        <v>1968.5</v>
      </c>
      <c r="G930" s="47" t="s">
        <v>2108</v>
      </c>
      <c r="H930" s="47" t="s">
        <v>2110</v>
      </c>
      <c r="I930" s="46" t="s">
        <v>1517</v>
      </c>
      <c r="J930" s="47" t="s">
        <v>519</v>
      </c>
      <c r="K930" s="47" t="s">
        <v>519</v>
      </c>
      <c r="L930" s="47" t="s">
        <v>520</v>
      </c>
      <c r="M930" s="47" t="s">
        <v>514</v>
      </c>
      <c r="N930" s="47" t="s">
        <v>515</v>
      </c>
      <c r="O930" s="45" t="s">
        <v>382</v>
      </c>
      <c r="P930" s="44" t="s">
        <v>309</v>
      </c>
      <c r="Q930" s="59" t="str">
        <f>MID(Tabla1[[#This Row],[Aplicación]],14,1)</f>
        <v>2</v>
      </c>
      <c r="R930" s="35" t="s">
        <v>298</v>
      </c>
      <c r="S930" s="59" t="str">
        <f>MID(Tabla1[[#This Row],[Aplicación]],6,2)</f>
        <v>07</v>
      </c>
      <c r="T930" s="35" t="str">
        <f>VLOOKUP(Tabla1[[#This Row],[AREA]],Hoja1!A:B,2,FALSE)</f>
        <v>07. Medio ambiente y desarrollo sostenible</v>
      </c>
      <c r="U930" s="35" t="str">
        <f>MID(Tabla1[[#This Row],[Aplicación]],9,4)</f>
        <v>1711</v>
      </c>
      <c r="V930" s="35" t="str">
        <f>VLOOKUP(Tabla1[[#This Row],[PROGRAMA]],Hoja1!A:B,2,FALSE)</f>
        <v>1711. Parques y jardines</v>
      </c>
      <c r="W930" s="56" t="str">
        <f>MID(Tabla1[[#This Row],[Aplicación]],14,2)</f>
        <v>21</v>
      </c>
      <c r="X930" s="56" t="str">
        <f>MID(Tabla1[[#This Row],[Aplicación]],14,6)</f>
        <v>213</v>
      </c>
    </row>
    <row r="931" spans="1:24" x14ac:dyDescent="0.25">
      <c r="A931" s="46">
        <v>220230003031</v>
      </c>
      <c r="B931" s="47" t="s">
        <v>1514</v>
      </c>
      <c r="C931" s="52">
        <v>44970</v>
      </c>
      <c r="D931" s="46">
        <v>22023002053</v>
      </c>
      <c r="E931" s="47" t="s">
        <v>2107</v>
      </c>
      <c r="F931" s="53">
        <v>293.13</v>
      </c>
      <c r="G931" s="47" t="s">
        <v>2108</v>
      </c>
      <c r="H931" s="47" t="s">
        <v>2111</v>
      </c>
      <c r="I931" s="46" t="s">
        <v>1517</v>
      </c>
      <c r="J931" s="47" t="s">
        <v>519</v>
      </c>
      <c r="K931" s="47" t="s">
        <v>519</v>
      </c>
      <c r="L931" s="47" t="s">
        <v>520</v>
      </c>
      <c r="M931" s="47" t="s">
        <v>514</v>
      </c>
      <c r="N931" s="47" t="s">
        <v>515</v>
      </c>
      <c r="O931" s="45" t="s">
        <v>382</v>
      </c>
      <c r="P931" s="44" t="s">
        <v>309</v>
      </c>
      <c r="Q931" s="59" t="str">
        <f>MID(Tabla1[[#This Row],[Aplicación]],14,1)</f>
        <v>2</v>
      </c>
      <c r="R931" s="35" t="s">
        <v>298</v>
      </c>
      <c r="S931" s="59" t="str">
        <f>MID(Tabla1[[#This Row],[Aplicación]],6,2)</f>
        <v>07</v>
      </c>
      <c r="T931" s="35" t="str">
        <f>VLOOKUP(Tabla1[[#This Row],[AREA]],Hoja1!A:B,2,FALSE)</f>
        <v>07. Medio ambiente y desarrollo sostenible</v>
      </c>
      <c r="U931" s="35" t="str">
        <f>MID(Tabla1[[#This Row],[Aplicación]],9,4)</f>
        <v>1711</v>
      </c>
      <c r="V931" s="35" t="str">
        <f>VLOOKUP(Tabla1[[#This Row],[PROGRAMA]],Hoja1!A:B,2,FALSE)</f>
        <v>1711. Parques y jardines</v>
      </c>
      <c r="W931" s="56" t="str">
        <f>MID(Tabla1[[#This Row],[Aplicación]],14,2)</f>
        <v>21</v>
      </c>
      <c r="X931" s="56" t="str">
        <f>MID(Tabla1[[#This Row],[Aplicación]],14,6)</f>
        <v>213</v>
      </c>
    </row>
    <row r="932" spans="1:24" x14ac:dyDescent="0.25">
      <c r="A932" s="46">
        <v>220230003010</v>
      </c>
      <c r="B932" s="47" t="s">
        <v>507</v>
      </c>
      <c r="C932" s="52">
        <v>44970</v>
      </c>
      <c r="D932" s="46">
        <v>22023002364</v>
      </c>
      <c r="E932" s="47" t="s">
        <v>1386</v>
      </c>
      <c r="F932" s="53">
        <v>1456</v>
      </c>
      <c r="G932" s="47" t="s">
        <v>29</v>
      </c>
      <c r="H932" s="47" t="s">
        <v>2112</v>
      </c>
      <c r="I932" s="46" t="s">
        <v>511</v>
      </c>
      <c r="J932" s="47" t="s">
        <v>519</v>
      </c>
      <c r="K932" s="47" t="s">
        <v>519</v>
      </c>
      <c r="L932" s="47" t="s">
        <v>552</v>
      </c>
      <c r="M932" s="47" t="s">
        <v>976</v>
      </c>
      <c r="N932" s="47" t="s">
        <v>839</v>
      </c>
      <c r="O932" s="45" t="s">
        <v>383</v>
      </c>
      <c r="P932" s="44" t="s">
        <v>309</v>
      </c>
      <c r="Q932" s="59" t="str">
        <f>MID(Tabla1[[#This Row],[Aplicación]],14,1)</f>
        <v>2</v>
      </c>
      <c r="R932" s="35" t="s">
        <v>298</v>
      </c>
      <c r="S932" s="59" t="str">
        <f>MID(Tabla1[[#This Row],[Aplicación]],6,2)</f>
        <v>01</v>
      </c>
      <c r="T932" s="35" t="str">
        <f>VLOOKUP(Tabla1[[#This Row],[AREA]],Hoja1!A:B,2,FALSE)</f>
        <v>01. Alcaldía</v>
      </c>
      <c r="U932" s="35" t="str">
        <f>MID(Tabla1[[#This Row],[Aplicación]],9,4)</f>
        <v>9207</v>
      </c>
      <c r="V932" s="35" t="str">
        <f>VLOOKUP(Tabla1[[#This Row],[PROGRAMA]],Hoja1!A:B,2,FALSE)</f>
        <v>9207. Gobierno y relaciones</v>
      </c>
      <c r="W932" s="56" t="str">
        <f>MID(Tabla1[[#This Row],[Aplicación]],14,2)</f>
        <v>22</v>
      </c>
      <c r="X932" s="56" t="str">
        <f>MID(Tabla1[[#This Row],[Aplicación]],14,6)</f>
        <v>22001</v>
      </c>
    </row>
    <row r="933" spans="1:24" x14ac:dyDescent="0.25">
      <c r="A933" s="46">
        <v>220229000150</v>
      </c>
      <c r="B933" s="47" t="s">
        <v>507</v>
      </c>
      <c r="C933" s="52">
        <v>44927</v>
      </c>
      <c r="D933" s="46">
        <v>22023000906</v>
      </c>
      <c r="E933" s="47" t="s">
        <v>583</v>
      </c>
      <c r="F933" s="53">
        <v>5345.78</v>
      </c>
      <c r="G933" s="47" t="s">
        <v>400</v>
      </c>
      <c r="H933" s="47" t="s">
        <v>2113</v>
      </c>
      <c r="I933" s="46" t="s">
        <v>511</v>
      </c>
      <c r="J933" s="47" t="s">
        <v>519</v>
      </c>
      <c r="K933" s="47" t="s">
        <v>519</v>
      </c>
      <c r="L933" s="47" t="s">
        <v>520</v>
      </c>
      <c r="M933" s="47" t="s">
        <v>514</v>
      </c>
      <c r="N933" s="47" t="s">
        <v>515</v>
      </c>
      <c r="O933" s="54" t="s">
        <v>382</v>
      </c>
      <c r="P933" s="44" t="s">
        <v>309</v>
      </c>
      <c r="Q933" s="59" t="str">
        <f>MID(Tabla1[[#This Row],[Aplicación]],14,1)</f>
        <v>6</v>
      </c>
      <c r="R933" s="35" t="s">
        <v>299</v>
      </c>
      <c r="S933" s="59" t="str">
        <f>MID(Tabla1[[#This Row],[Aplicación]],6,2)</f>
        <v>02</v>
      </c>
      <c r="T933" s="35" t="str">
        <f>VLOOKUP(Tabla1[[#This Row],[AREA]],Hoja1!A:B,2,FALSE)</f>
        <v>02. Planeamiento urbanístico y vivienda</v>
      </c>
      <c r="U933" s="35" t="str">
        <f>MID(Tabla1[[#This Row],[Aplicación]],9,4)</f>
        <v>1511</v>
      </c>
      <c r="V933" s="35" t="str">
        <f>VLOOKUP(Tabla1[[#This Row],[PROGRAMA]],Hoja1!A:B,2,FALSE)</f>
        <v>1511. Planficación y gestión del urbanismo</v>
      </c>
      <c r="W933" s="56" t="str">
        <f>MID(Tabla1[[#This Row],[Aplicación]],14,2)</f>
        <v>60</v>
      </c>
      <c r="X933" s="56" t="str">
        <f>MID(Tabla1[[#This Row],[Aplicación]],14,6)</f>
        <v>609</v>
      </c>
    </row>
    <row r="934" spans="1:24" x14ac:dyDescent="0.25">
      <c r="A934" s="46">
        <v>220229000197</v>
      </c>
      <c r="B934" s="47" t="s">
        <v>507</v>
      </c>
      <c r="C934" s="52">
        <v>44927</v>
      </c>
      <c r="D934" s="46">
        <v>22023000929</v>
      </c>
      <c r="E934" s="47" t="s">
        <v>516</v>
      </c>
      <c r="F934" s="53">
        <v>4000</v>
      </c>
      <c r="G934" s="47" t="s">
        <v>941</v>
      </c>
      <c r="H934" s="47" t="s">
        <v>2114</v>
      </c>
      <c r="I934" s="46" t="s">
        <v>511</v>
      </c>
      <c r="J934" s="47" t="s">
        <v>519</v>
      </c>
      <c r="K934" s="47" t="s">
        <v>519</v>
      </c>
      <c r="L934" s="47" t="s">
        <v>520</v>
      </c>
      <c r="M934" s="47" t="s">
        <v>514</v>
      </c>
      <c r="N934" s="47" t="s">
        <v>515</v>
      </c>
      <c r="O934" s="45" t="s">
        <v>371</v>
      </c>
      <c r="P934" s="44" t="s">
        <v>309</v>
      </c>
      <c r="Q934" s="59" t="str">
        <f>MID(Tabla1[[#This Row],[Aplicación]],14,1)</f>
        <v>2</v>
      </c>
      <c r="R934" s="35" t="s">
        <v>298</v>
      </c>
      <c r="S934" s="59" t="str">
        <f>MID(Tabla1[[#This Row],[Aplicación]],6,2)</f>
        <v>10</v>
      </c>
      <c r="T934" s="35" t="str">
        <f>VLOOKUP(Tabla1[[#This Row],[AREA]],Hoja1!A:B,2,FALSE)</f>
        <v>10. Servicios sociales y mediación comunitaria</v>
      </c>
      <c r="U934" s="35" t="str">
        <f>MID(Tabla1[[#This Row],[Aplicación]],9,4)</f>
        <v>2311</v>
      </c>
      <c r="V934" s="35" t="str">
        <f>VLOOKUP(Tabla1[[#This Row],[PROGRAMA]],Hoja1!A:B,2,FALSE)</f>
        <v>2311. Intervención social</v>
      </c>
      <c r="W934" s="56" t="str">
        <f>MID(Tabla1[[#This Row],[Aplicación]],14,2)</f>
        <v>22</v>
      </c>
      <c r="X934" s="56" t="str">
        <f>MID(Tabla1[[#This Row],[Aplicación]],14,6)</f>
        <v>22799</v>
      </c>
    </row>
    <row r="935" spans="1:24" x14ac:dyDescent="0.25">
      <c r="A935" s="46">
        <v>220230003035</v>
      </c>
      <c r="B935" s="47" t="s">
        <v>1514</v>
      </c>
      <c r="C935" s="52">
        <v>44970</v>
      </c>
      <c r="D935" s="46">
        <v>22023002053</v>
      </c>
      <c r="E935" s="47" t="s">
        <v>2107</v>
      </c>
      <c r="F935" s="53">
        <v>4341.71</v>
      </c>
      <c r="G935" s="47" t="s">
        <v>2115</v>
      </c>
      <c r="H935" s="47" t="s">
        <v>2116</v>
      </c>
      <c r="I935" s="46" t="s">
        <v>1517</v>
      </c>
      <c r="J935" s="47" t="s">
        <v>519</v>
      </c>
      <c r="K935" s="47" t="s">
        <v>519</v>
      </c>
      <c r="L935" s="47" t="s">
        <v>520</v>
      </c>
      <c r="M935" s="47" t="s">
        <v>514</v>
      </c>
      <c r="N935" s="47" t="s">
        <v>515</v>
      </c>
      <c r="O935" s="45" t="s">
        <v>382</v>
      </c>
      <c r="P935" s="44" t="s">
        <v>309</v>
      </c>
      <c r="Q935" s="59" t="str">
        <f>MID(Tabla1[[#This Row],[Aplicación]],14,1)</f>
        <v>2</v>
      </c>
      <c r="R935" s="35" t="s">
        <v>298</v>
      </c>
      <c r="S935" s="59" t="str">
        <f>MID(Tabla1[[#This Row],[Aplicación]],6,2)</f>
        <v>07</v>
      </c>
      <c r="T935" s="35" t="str">
        <f>VLOOKUP(Tabla1[[#This Row],[AREA]],Hoja1!A:B,2,FALSE)</f>
        <v>07. Medio ambiente y desarrollo sostenible</v>
      </c>
      <c r="U935" s="35" t="str">
        <f>MID(Tabla1[[#This Row],[Aplicación]],9,4)</f>
        <v>1711</v>
      </c>
      <c r="V935" s="35" t="str">
        <f>VLOOKUP(Tabla1[[#This Row],[PROGRAMA]],Hoja1!A:B,2,FALSE)</f>
        <v>1711. Parques y jardines</v>
      </c>
      <c r="W935" s="56" t="str">
        <f>MID(Tabla1[[#This Row],[Aplicación]],14,2)</f>
        <v>21</v>
      </c>
      <c r="X935" s="56" t="str">
        <f>MID(Tabla1[[#This Row],[Aplicación]],14,6)</f>
        <v>213</v>
      </c>
    </row>
    <row r="936" spans="1:24" x14ac:dyDescent="0.25">
      <c r="A936" s="46">
        <v>220230003037</v>
      </c>
      <c r="B936" s="47" t="s">
        <v>1514</v>
      </c>
      <c r="C936" s="52">
        <v>44970</v>
      </c>
      <c r="D936" s="46">
        <v>22023002053</v>
      </c>
      <c r="E936" s="47" t="s">
        <v>2107</v>
      </c>
      <c r="F936" s="53">
        <v>3442.67</v>
      </c>
      <c r="G936" s="47" t="s">
        <v>2115</v>
      </c>
      <c r="H936" s="47" t="s">
        <v>2117</v>
      </c>
      <c r="I936" s="46" t="s">
        <v>1517</v>
      </c>
      <c r="J936" s="47" t="s">
        <v>519</v>
      </c>
      <c r="K936" s="47" t="s">
        <v>519</v>
      </c>
      <c r="L936" s="47" t="s">
        <v>552</v>
      </c>
      <c r="M936" s="47" t="s">
        <v>514</v>
      </c>
      <c r="N936" s="47" t="s">
        <v>515</v>
      </c>
      <c r="O936" s="45" t="s">
        <v>382</v>
      </c>
      <c r="P936" s="44" t="s">
        <v>309</v>
      </c>
      <c r="Q936" s="59" t="str">
        <f>MID(Tabla1[[#This Row],[Aplicación]],14,1)</f>
        <v>2</v>
      </c>
      <c r="R936" s="35" t="s">
        <v>298</v>
      </c>
      <c r="S936" s="59" t="str">
        <f>MID(Tabla1[[#This Row],[Aplicación]],6,2)</f>
        <v>07</v>
      </c>
      <c r="T936" s="35" t="str">
        <f>VLOOKUP(Tabla1[[#This Row],[AREA]],Hoja1!A:B,2,FALSE)</f>
        <v>07. Medio ambiente y desarrollo sostenible</v>
      </c>
      <c r="U936" s="35" t="str">
        <f>MID(Tabla1[[#This Row],[Aplicación]],9,4)</f>
        <v>1711</v>
      </c>
      <c r="V936" s="35" t="str">
        <f>VLOOKUP(Tabla1[[#This Row],[PROGRAMA]],Hoja1!A:B,2,FALSE)</f>
        <v>1711. Parques y jardines</v>
      </c>
      <c r="W936" s="56" t="str">
        <f>MID(Tabla1[[#This Row],[Aplicación]],14,2)</f>
        <v>21</v>
      </c>
      <c r="X936" s="56" t="str">
        <f>MID(Tabla1[[#This Row],[Aplicación]],14,6)</f>
        <v>213</v>
      </c>
    </row>
    <row r="937" spans="1:24" x14ac:dyDescent="0.25">
      <c r="A937" s="46">
        <v>220230003023</v>
      </c>
      <c r="B937" s="47" t="s">
        <v>1514</v>
      </c>
      <c r="C937" s="52">
        <v>44970</v>
      </c>
      <c r="D937" s="46">
        <v>22023002053</v>
      </c>
      <c r="E937" s="47" t="s">
        <v>2107</v>
      </c>
      <c r="F937" s="53">
        <v>810.1</v>
      </c>
      <c r="G937" s="47" t="s">
        <v>2115</v>
      </c>
      <c r="H937" s="47" t="s">
        <v>2118</v>
      </c>
      <c r="I937" s="46" t="s">
        <v>1517</v>
      </c>
      <c r="J937" s="47" t="s">
        <v>519</v>
      </c>
      <c r="K937" s="47" t="s">
        <v>519</v>
      </c>
      <c r="L937" s="47" t="s">
        <v>520</v>
      </c>
      <c r="M937" s="47" t="s">
        <v>514</v>
      </c>
      <c r="N937" s="47" t="s">
        <v>515</v>
      </c>
      <c r="O937" s="45" t="s">
        <v>382</v>
      </c>
      <c r="P937" s="44" t="s">
        <v>309</v>
      </c>
      <c r="Q937" s="59" t="str">
        <f>MID(Tabla1[[#This Row],[Aplicación]],14,1)</f>
        <v>2</v>
      </c>
      <c r="R937" s="35" t="s">
        <v>298</v>
      </c>
      <c r="S937" s="59" t="str">
        <f>MID(Tabla1[[#This Row],[Aplicación]],6,2)</f>
        <v>07</v>
      </c>
      <c r="T937" s="35" t="str">
        <f>VLOOKUP(Tabla1[[#This Row],[AREA]],Hoja1!A:B,2,FALSE)</f>
        <v>07. Medio ambiente y desarrollo sostenible</v>
      </c>
      <c r="U937" s="35" t="str">
        <f>MID(Tabla1[[#This Row],[Aplicación]],9,4)</f>
        <v>1711</v>
      </c>
      <c r="V937" s="35" t="str">
        <f>VLOOKUP(Tabla1[[#This Row],[PROGRAMA]],Hoja1!A:B,2,FALSE)</f>
        <v>1711. Parques y jardines</v>
      </c>
      <c r="W937" s="56" t="str">
        <f>MID(Tabla1[[#This Row],[Aplicación]],14,2)</f>
        <v>21</v>
      </c>
      <c r="X937" s="56" t="str">
        <f>MID(Tabla1[[#This Row],[Aplicación]],14,6)</f>
        <v>213</v>
      </c>
    </row>
    <row r="938" spans="1:24" x14ac:dyDescent="0.25">
      <c r="A938" s="46">
        <v>220230003021</v>
      </c>
      <c r="B938" s="47" t="s">
        <v>1514</v>
      </c>
      <c r="C938" s="52">
        <v>44970</v>
      </c>
      <c r="D938" s="46">
        <v>22023002053</v>
      </c>
      <c r="E938" s="47" t="s">
        <v>2107</v>
      </c>
      <c r="F938" s="53">
        <v>39.99</v>
      </c>
      <c r="G938" s="47" t="s">
        <v>2115</v>
      </c>
      <c r="H938" s="47" t="s">
        <v>2119</v>
      </c>
      <c r="I938" s="46" t="s">
        <v>1517</v>
      </c>
      <c r="J938" s="47" t="s">
        <v>519</v>
      </c>
      <c r="K938" s="47" t="s">
        <v>519</v>
      </c>
      <c r="L938" s="47" t="s">
        <v>552</v>
      </c>
      <c r="M938" s="47" t="s">
        <v>514</v>
      </c>
      <c r="N938" s="47" t="s">
        <v>515</v>
      </c>
      <c r="O938" s="45" t="s">
        <v>382</v>
      </c>
      <c r="P938" s="44" t="s">
        <v>309</v>
      </c>
      <c r="Q938" s="59" t="str">
        <f>MID(Tabla1[[#This Row],[Aplicación]],14,1)</f>
        <v>2</v>
      </c>
      <c r="R938" s="35" t="s">
        <v>298</v>
      </c>
      <c r="S938" s="59" t="str">
        <f>MID(Tabla1[[#This Row],[Aplicación]],6,2)</f>
        <v>07</v>
      </c>
      <c r="T938" s="35" t="str">
        <f>VLOOKUP(Tabla1[[#This Row],[AREA]],Hoja1!A:B,2,FALSE)</f>
        <v>07. Medio ambiente y desarrollo sostenible</v>
      </c>
      <c r="U938" s="35" t="str">
        <f>MID(Tabla1[[#This Row],[Aplicación]],9,4)</f>
        <v>1711</v>
      </c>
      <c r="V938" s="35" t="str">
        <f>VLOOKUP(Tabla1[[#This Row],[PROGRAMA]],Hoja1!A:B,2,FALSE)</f>
        <v>1711. Parques y jardines</v>
      </c>
      <c r="W938" s="56" t="str">
        <f>MID(Tabla1[[#This Row],[Aplicación]],14,2)</f>
        <v>21</v>
      </c>
      <c r="X938" s="56" t="str">
        <f>MID(Tabla1[[#This Row],[Aplicación]],14,6)</f>
        <v>213</v>
      </c>
    </row>
    <row r="939" spans="1:24" x14ac:dyDescent="0.25">
      <c r="A939" s="46">
        <v>220230003029</v>
      </c>
      <c r="B939" s="47" t="s">
        <v>1514</v>
      </c>
      <c r="C939" s="52">
        <v>44970</v>
      </c>
      <c r="D939" s="46">
        <v>22023002053</v>
      </c>
      <c r="E939" s="47" t="s">
        <v>2107</v>
      </c>
      <c r="F939" s="53">
        <v>493.41</v>
      </c>
      <c r="G939" s="47" t="s">
        <v>2120</v>
      </c>
      <c r="H939" s="47" t="s">
        <v>2121</v>
      </c>
      <c r="I939" s="46" t="s">
        <v>1517</v>
      </c>
      <c r="J939" s="47" t="s">
        <v>519</v>
      </c>
      <c r="K939" s="47" t="s">
        <v>519</v>
      </c>
      <c r="L939" s="47" t="s">
        <v>520</v>
      </c>
      <c r="M939" s="47" t="s">
        <v>514</v>
      </c>
      <c r="N939" s="47" t="s">
        <v>515</v>
      </c>
      <c r="O939" s="45" t="s">
        <v>382</v>
      </c>
      <c r="P939" s="44" t="s">
        <v>309</v>
      </c>
      <c r="Q939" s="59" t="str">
        <f>MID(Tabla1[[#This Row],[Aplicación]],14,1)</f>
        <v>2</v>
      </c>
      <c r="R939" s="35" t="s">
        <v>298</v>
      </c>
      <c r="S939" s="59" t="str">
        <f>MID(Tabla1[[#This Row],[Aplicación]],6,2)</f>
        <v>07</v>
      </c>
      <c r="T939" s="35" t="str">
        <f>VLOOKUP(Tabla1[[#This Row],[AREA]],Hoja1!A:B,2,FALSE)</f>
        <v>07. Medio ambiente y desarrollo sostenible</v>
      </c>
      <c r="U939" s="35" t="str">
        <f>MID(Tabla1[[#This Row],[Aplicación]],9,4)</f>
        <v>1711</v>
      </c>
      <c r="V939" s="35" t="str">
        <f>VLOOKUP(Tabla1[[#This Row],[PROGRAMA]],Hoja1!A:B,2,FALSE)</f>
        <v>1711. Parques y jardines</v>
      </c>
      <c r="W939" s="56" t="str">
        <f>MID(Tabla1[[#This Row],[Aplicación]],14,2)</f>
        <v>21</v>
      </c>
      <c r="X939" s="56" t="str">
        <f>MID(Tabla1[[#This Row],[Aplicación]],14,6)</f>
        <v>213</v>
      </c>
    </row>
    <row r="940" spans="1:24" x14ac:dyDescent="0.25">
      <c r="A940" s="46">
        <v>220230003027</v>
      </c>
      <c r="B940" s="47" t="s">
        <v>1514</v>
      </c>
      <c r="C940" s="52">
        <v>44970</v>
      </c>
      <c r="D940" s="46">
        <v>22023002053</v>
      </c>
      <c r="E940" s="47" t="s">
        <v>2107</v>
      </c>
      <c r="F940" s="53">
        <v>340.32</v>
      </c>
      <c r="G940" s="47" t="s">
        <v>2120</v>
      </c>
      <c r="H940" s="47" t="s">
        <v>2122</v>
      </c>
      <c r="I940" s="46" t="s">
        <v>1517</v>
      </c>
      <c r="J940" s="47" t="s">
        <v>519</v>
      </c>
      <c r="K940" s="47" t="s">
        <v>519</v>
      </c>
      <c r="L940" s="47" t="s">
        <v>520</v>
      </c>
      <c r="M940" s="47" t="s">
        <v>514</v>
      </c>
      <c r="N940" s="47" t="s">
        <v>515</v>
      </c>
      <c r="O940" s="45" t="s">
        <v>382</v>
      </c>
      <c r="P940" s="44" t="s">
        <v>309</v>
      </c>
      <c r="Q940" s="59" t="str">
        <f>MID(Tabla1[[#This Row],[Aplicación]],14,1)</f>
        <v>2</v>
      </c>
      <c r="R940" s="35" t="s">
        <v>298</v>
      </c>
      <c r="S940" s="59" t="str">
        <f>MID(Tabla1[[#This Row],[Aplicación]],6,2)</f>
        <v>07</v>
      </c>
      <c r="T940" s="35" t="str">
        <f>VLOOKUP(Tabla1[[#This Row],[AREA]],Hoja1!A:B,2,FALSE)</f>
        <v>07. Medio ambiente y desarrollo sostenible</v>
      </c>
      <c r="U940" s="35" t="str">
        <f>MID(Tabla1[[#This Row],[Aplicación]],9,4)</f>
        <v>1711</v>
      </c>
      <c r="V940" s="35" t="str">
        <f>VLOOKUP(Tabla1[[#This Row],[PROGRAMA]],Hoja1!A:B,2,FALSE)</f>
        <v>1711. Parques y jardines</v>
      </c>
      <c r="W940" s="56" t="str">
        <f>MID(Tabla1[[#This Row],[Aplicación]],14,2)</f>
        <v>21</v>
      </c>
      <c r="X940" s="56" t="str">
        <f>MID(Tabla1[[#This Row],[Aplicación]],14,6)</f>
        <v>213</v>
      </c>
    </row>
    <row r="941" spans="1:24" x14ac:dyDescent="0.25">
      <c r="A941" s="46">
        <v>220229000312</v>
      </c>
      <c r="B941" s="47" t="s">
        <v>507</v>
      </c>
      <c r="C941" s="52">
        <v>44927</v>
      </c>
      <c r="D941" s="46">
        <v>22023001143</v>
      </c>
      <c r="E941" s="47" t="s">
        <v>583</v>
      </c>
      <c r="F941" s="53">
        <v>981.98</v>
      </c>
      <c r="G941" s="47" t="s">
        <v>400</v>
      </c>
      <c r="H941" s="47" t="s">
        <v>2123</v>
      </c>
      <c r="I941" s="46" t="s">
        <v>511</v>
      </c>
      <c r="J941" s="47" t="s">
        <v>519</v>
      </c>
      <c r="K941" s="47" t="s">
        <v>519</v>
      </c>
      <c r="L941" s="47" t="s">
        <v>520</v>
      </c>
      <c r="M941" s="47" t="s">
        <v>514</v>
      </c>
      <c r="N941" s="47" t="s">
        <v>515</v>
      </c>
      <c r="O941" s="54" t="s">
        <v>382</v>
      </c>
      <c r="P941" s="44" t="s">
        <v>309</v>
      </c>
      <c r="Q941" s="59" t="str">
        <f>MID(Tabla1[[#This Row],[Aplicación]],14,1)</f>
        <v>6</v>
      </c>
      <c r="R941" s="35" t="s">
        <v>299</v>
      </c>
      <c r="S941" s="59" t="str">
        <f>MID(Tabla1[[#This Row],[Aplicación]],6,2)</f>
        <v>02</v>
      </c>
      <c r="T941" s="35" t="str">
        <f>VLOOKUP(Tabla1[[#This Row],[AREA]],Hoja1!A:B,2,FALSE)</f>
        <v>02. Planeamiento urbanístico y vivienda</v>
      </c>
      <c r="U941" s="35" t="str">
        <f>MID(Tabla1[[#This Row],[Aplicación]],9,4)</f>
        <v>1511</v>
      </c>
      <c r="V941" s="35" t="str">
        <f>VLOOKUP(Tabla1[[#This Row],[PROGRAMA]],Hoja1!A:B,2,FALSE)</f>
        <v>1511. Planficación y gestión del urbanismo</v>
      </c>
      <c r="W941" s="56" t="str">
        <f>MID(Tabla1[[#This Row],[Aplicación]],14,2)</f>
        <v>60</v>
      </c>
      <c r="X941" s="56" t="str">
        <f>MID(Tabla1[[#This Row],[Aplicación]],14,6)</f>
        <v>609</v>
      </c>
    </row>
    <row r="942" spans="1:24" x14ac:dyDescent="0.25">
      <c r="A942" s="46">
        <v>220229000395</v>
      </c>
      <c r="B942" s="47" t="s">
        <v>507</v>
      </c>
      <c r="C942" s="52">
        <v>44927</v>
      </c>
      <c r="D942" s="46">
        <v>22023001171</v>
      </c>
      <c r="E942" s="47" t="s">
        <v>533</v>
      </c>
      <c r="F942" s="53">
        <v>1277.8</v>
      </c>
      <c r="G942" s="47" t="s">
        <v>400</v>
      </c>
      <c r="H942" s="47" t="s">
        <v>2124</v>
      </c>
      <c r="I942" s="46" t="s">
        <v>511</v>
      </c>
      <c r="J942" s="47" t="s">
        <v>519</v>
      </c>
      <c r="K942" s="47" t="s">
        <v>519</v>
      </c>
      <c r="L942" s="47" t="s">
        <v>527</v>
      </c>
      <c r="M942" s="47" t="s">
        <v>514</v>
      </c>
      <c r="N942" s="47" t="s">
        <v>515</v>
      </c>
      <c r="O942" s="54" t="s">
        <v>382</v>
      </c>
      <c r="P942" s="44" t="s">
        <v>309</v>
      </c>
      <c r="Q942" s="59" t="str">
        <f>MID(Tabla1[[#This Row],[Aplicación]],14,1)</f>
        <v>6</v>
      </c>
      <c r="R942" s="35" t="s">
        <v>299</v>
      </c>
      <c r="S942" s="59" t="str">
        <f>MID(Tabla1[[#This Row],[Aplicación]],6,2)</f>
        <v>08</v>
      </c>
      <c r="T942" s="35" t="str">
        <f>VLOOKUP(Tabla1[[#This Row],[AREA]],Hoja1!A:B,2,FALSE)</f>
        <v>08. Movilidad y espacio urbano</v>
      </c>
      <c r="U942" s="56" t="str">
        <f>MID(Tabla1[[#This Row],[Aplicación]],9,4)</f>
        <v>1341</v>
      </c>
      <c r="V942" s="35" t="str">
        <f>VLOOKUP(Tabla1[[#This Row],[PROGRAMA]],Hoja1!A:B,2,FALSE)</f>
        <v>1341. Movilidad</v>
      </c>
      <c r="W942" s="56" t="str">
        <f>MID(Tabla1[[#This Row],[Aplicación]],14,2)</f>
        <v>61</v>
      </c>
      <c r="X942" s="56" t="str">
        <f>MID(Tabla1[[#This Row],[Aplicación]],14,6)</f>
        <v>619</v>
      </c>
    </row>
    <row r="943" spans="1:24" x14ac:dyDescent="0.25">
      <c r="A943" s="55">
        <v>220220068103</v>
      </c>
      <c r="B943" s="47" t="s">
        <v>507</v>
      </c>
      <c r="C943" s="52">
        <v>45014</v>
      </c>
      <c r="D943" s="46">
        <v>22022006965</v>
      </c>
      <c r="E943" s="47" t="s">
        <v>524</v>
      </c>
      <c r="F943" s="53">
        <v>1947.7</v>
      </c>
      <c r="G943" s="47" t="s">
        <v>400</v>
      </c>
      <c r="H943" s="47" t="s">
        <v>2125</v>
      </c>
      <c r="I943" s="46" t="s">
        <v>511</v>
      </c>
      <c r="J943" s="47" t="s">
        <v>519</v>
      </c>
      <c r="K943" s="47" t="s">
        <v>519</v>
      </c>
      <c r="L943" s="47" t="s">
        <v>520</v>
      </c>
      <c r="M943" s="47" t="s">
        <v>514</v>
      </c>
      <c r="N943" s="47" t="s">
        <v>515</v>
      </c>
      <c r="O943" s="54" t="s">
        <v>382</v>
      </c>
      <c r="P943" s="44" t="s">
        <v>309</v>
      </c>
      <c r="Q943" s="59" t="str">
        <f>MID(Tabla1[[#This Row],[Aplicación]],14,1)</f>
        <v>6</v>
      </c>
      <c r="R943" s="35" t="s">
        <v>299</v>
      </c>
      <c r="S943" s="59" t="str">
        <f>MID(Tabla1[[#This Row],[Aplicación]],6,2)</f>
        <v>02</v>
      </c>
      <c r="T943" s="35" t="str">
        <f>VLOOKUP(Tabla1[[#This Row],[AREA]],Hoja1!A:B,2,FALSE)</f>
        <v>02. Planeamiento urbanístico y vivienda</v>
      </c>
      <c r="U943" s="35" t="str">
        <f>MID(Tabla1[[#This Row],[Aplicación]],9,4)</f>
        <v>1511</v>
      </c>
      <c r="V943" s="35" t="str">
        <f>VLOOKUP(Tabla1[[#This Row],[PROGRAMA]],Hoja1!A:B,2,FALSE)</f>
        <v>1511. Planficación y gestión del urbanismo</v>
      </c>
      <c r="W943" s="56" t="str">
        <f>MID(Tabla1[[#This Row],[Aplicación]],14,2)</f>
        <v>61</v>
      </c>
      <c r="X943" s="56" t="str">
        <f>MID(Tabla1[[#This Row],[Aplicación]],14,6)</f>
        <v>619</v>
      </c>
    </row>
    <row r="944" spans="1:24" x14ac:dyDescent="0.25">
      <c r="A944" s="46">
        <v>220230003435</v>
      </c>
      <c r="B944" s="47" t="s">
        <v>507</v>
      </c>
      <c r="C944" s="52">
        <v>44971</v>
      </c>
      <c r="D944" s="46">
        <v>22023001682</v>
      </c>
      <c r="E944" s="47" t="s">
        <v>808</v>
      </c>
      <c r="F944" s="53">
        <v>57141.89</v>
      </c>
      <c r="G944" s="47" t="s">
        <v>809</v>
      </c>
      <c r="H944" s="47" t="s">
        <v>2126</v>
      </c>
      <c r="I944" s="46" t="s">
        <v>511</v>
      </c>
      <c r="J944" s="47" t="s">
        <v>811</v>
      </c>
      <c r="K944" s="47" t="s">
        <v>812</v>
      </c>
      <c r="L944" s="47" t="s">
        <v>527</v>
      </c>
      <c r="M944" s="47" t="s">
        <v>514</v>
      </c>
      <c r="N944" s="47" t="s">
        <v>515</v>
      </c>
      <c r="O944" s="54" t="s">
        <v>371</v>
      </c>
      <c r="P944" s="44" t="s">
        <v>309</v>
      </c>
      <c r="Q944" s="59" t="str">
        <f>MID(Tabla1[[#This Row],[Aplicación]],14,1)</f>
        <v>6</v>
      </c>
      <c r="R944" s="35" t="s">
        <v>299</v>
      </c>
      <c r="S944" s="59" t="str">
        <f>MID(Tabla1[[#This Row],[Aplicación]],6,2)</f>
        <v>03</v>
      </c>
      <c r="T944" s="35" t="str">
        <f>VLOOKUP(Tabla1[[#This Row],[AREA]],Hoja1!A:B,2,FALSE)</f>
        <v>03. Participación ciudadana y deportes</v>
      </c>
      <c r="U944" s="35" t="str">
        <f>MID(Tabla1[[#This Row],[Aplicación]],9,4)</f>
        <v>9241</v>
      </c>
      <c r="V944" s="35" t="str">
        <f>VLOOKUP(Tabla1[[#This Row],[PROGRAMA]],Hoja1!A:B,2,FALSE)</f>
        <v>9241. Participación ciudadana</v>
      </c>
      <c r="W944" s="56" t="str">
        <f>MID(Tabla1[[#This Row],[Aplicación]],14,2)</f>
        <v>63</v>
      </c>
      <c r="X944" s="56" t="str">
        <f>MID(Tabla1[[#This Row],[Aplicación]],14,6)</f>
        <v>632</v>
      </c>
    </row>
    <row r="945" spans="1:24" x14ac:dyDescent="0.25">
      <c r="A945" s="46">
        <v>220230003241</v>
      </c>
      <c r="B945" s="47" t="s">
        <v>507</v>
      </c>
      <c r="C945" s="52">
        <v>44971</v>
      </c>
      <c r="D945" s="46">
        <v>22023002418</v>
      </c>
      <c r="E945" s="47" t="s">
        <v>2127</v>
      </c>
      <c r="F945" s="53">
        <v>845</v>
      </c>
      <c r="G945" s="47" t="s">
        <v>328</v>
      </c>
      <c r="H945" s="47" t="s">
        <v>2128</v>
      </c>
      <c r="I945" s="46" t="s">
        <v>511</v>
      </c>
      <c r="J945" s="47" t="s">
        <v>1068</v>
      </c>
      <c r="K945" s="47" t="s">
        <v>729</v>
      </c>
      <c r="L945" s="47" t="s">
        <v>520</v>
      </c>
      <c r="M945" s="47" t="s">
        <v>976</v>
      </c>
      <c r="N945" s="47" t="s">
        <v>839</v>
      </c>
      <c r="O945" s="45" t="s">
        <v>383</v>
      </c>
      <c r="P945" s="44" t="s">
        <v>309</v>
      </c>
      <c r="Q945" s="59" t="str">
        <f>MID(Tabla1[[#This Row],[Aplicación]],14,1)</f>
        <v>2</v>
      </c>
      <c r="R945" s="35" t="s">
        <v>298</v>
      </c>
      <c r="S945" s="59" t="str">
        <f>MID(Tabla1[[#This Row],[Aplicación]],6,2)</f>
        <v>11</v>
      </c>
      <c r="T945" s="35" t="str">
        <f>VLOOKUP(Tabla1[[#This Row],[AREA]],Hoja1!A:B,2,FALSE)</f>
        <v>11. Salud pública y seguridad ciudadana</v>
      </c>
      <c r="U945" s="35" t="str">
        <f>MID(Tabla1[[#This Row],[Aplicación]],9,4)</f>
        <v>1621</v>
      </c>
      <c r="V945" s="35" t="str">
        <f>VLOOKUP(Tabla1[[#This Row],[PROGRAMA]],Hoja1!A:B,2,FALSE)</f>
        <v>1621. Servicio de limpieza</v>
      </c>
      <c r="W945" s="56" t="str">
        <f>MID(Tabla1[[#This Row],[Aplicación]],14,2)</f>
        <v>20</v>
      </c>
      <c r="X945" s="56" t="str">
        <f>MID(Tabla1[[#This Row],[Aplicación]],14,6)</f>
        <v>203</v>
      </c>
    </row>
    <row r="946" spans="1:24" x14ac:dyDescent="0.25">
      <c r="A946" s="46">
        <v>220230003423</v>
      </c>
      <c r="B946" s="47" t="s">
        <v>507</v>
      </c>
      <c r="C946" s="52">
        <v>44971</v>
      </c>
      <c r="D946" s="46">
        <v>22023002411</v>
      </c>
      <c r="E946" s="47" t="s">
        <v>627</v>
      </c>
      <c r="F946" s="53">
        <v>477.71</v>
      </c>
      <c r="G946" s="47" t="s">
        <v>51</v>
      </c>
      <c r="H946" s="47" t="s">
        <v>2129</v>
      </c>
      <c r="I946" s="46" t="s">
        <v>511</v>
      </c>
      <c r="J946" s="47" t="s">
        <v>512</v>
      </c>
      <c r="K946" s="47" t="s">
        <v>512</v>
      </c>
      <c r="L946" s="47" t="s">
        <v>552</v>
      </c>
      <c r="M946" s="47" t="s">
        <v>976</v>
      </c>
      <c r="N946" s="47" t="s">
        <v>839</v>
      </c>
      <c r="O946" s="45" t="s">
        <v>383</v>
      </c>
      <c r="P946" s="44" t="s">
        <v>309</v>
      </c>
      <c r="Q946" s="59" t="str">
        <f>MID(Tabla1[[#This Row],[Aplicación]],14,1)</f>
        <v>2</v>
      </c>
      <c r="R946" s="35" t="s">
        <v>298</v>
      </c>
      <c r="S946" s="59" t="str">
        <f>MID(Tabla1[[#This Row],[Aplicación]],6,2)</f>
        <v>05</v>
      </c>
      <c r="T946" s="35" t="str">
        <f>VLOOKUP(Tabla1[[#This Row],[AREA]],Hoja1!A:B,2,FALSE)</f>
        <v>05. Innovación, desarrollo económico, empleo y comercio</v>
      </c>
      <c r="U946" s="35" t="str">
        <f>MID(Tabla1[[#This Row],[Aplicación]],9,4)</f>
        <v>4331</v>
      </c>
      <c r="V946" s="35" t="str">
        <f>VLOOKUP(Tabla1[[#This Row],[PROGRAMA]],Hoja1!A:B,2,FALSE)</f>
        <v>4331. Desarrollo empresarial</v>
      </c>
      <c r="W946" s="56" t="str">
        <f>MID(Tabla1[[#This Row],[Aplicación]],14,2)</f>
        <v>20</v>
      </c>
      <c r="X946" s="56" t="str">
        <f>MID(Tabla1[[#This Row],[Aplicación]],14,6)</f>
        <v>203</v>
      </c>
    </row>
    <row r="947" spans="1:24" x14ac:dyDescent="0.25">
      <c r="A947" s="46">
        <v>220230003231</v>
      </c>
      <c r="B947" s="47" t="s">
        <v>507</v>
      </c>
      <c r="C947" s="52">
        <v>44971</v>
      </c>
      <c r="D947" s="46">
        <v>22023002117</v>
      </c>
      <c r="E947" s="47" t="s">
        <v>1512</v>
      </c>
      <c r="F947" s="53">
        <v>187.68</v>
      </c>
      <c r="G947" s="47" t="s">
        <v>104</v>
      </c>
      <c r="H947" s="47" t="s">
        <v>2130</v>
      </c>
      <c r="I947" s="46" t="s">
        <v>511</v>
      </c>
      <c r="J947" s="47" t="s">
        <v>519</v>
      </c>
      <c r="K947" s="47" t="s">
        <v>519</v>
      </c>
      <c r="L947" s="47" t="s">
        <v>552</v>
      </c>
      <c r="M947" s="47" t="s">
        <v>976</v>
      </c>
      <c r="N947" s="47" t="s">
        <v>839</v>
      </c>
      <c r="O947" s="45" t="s">
        <v>383</v>
      </c>
      <c r="P947" s="44" t="s">
        <v>309</v>
      </c>
      <c r="Q947" s="59" t="str">
        <f>MID(Tabla1[[#This Row],[Aplicación]],14,1)</f>
        <v>2</v>
      </c>
      <c r="R947" s="35" t="s">
        <v>298</v>
      </c>
      <c r="S947" s="59" t="str">
        <f>MID(Tabla1[[#This Row],[Aplicación]],6,2)</f>
        <v>10</v>
      </c>
      <c r="T947" s="35" t="str">
        <f>VLOOKUP(Tabla1[[#This Row],[AREA]],Hoja1!A:B,2,FALSE)</f>
        <v>10. Servicios sociales y mediación comunitaria</v>
      </c>
      <c r="U947" s="35" t="str">
        <f>MID(Tabla1[[#This Row],[Aplicación]],9,4)</f>
        <v>2312</v>
      </c>
      <c r="V947" s="35" t="str">
        <f>VLOOKUP(Tabla1[[#This Row],[PROGRAMA]],Hoja1!A:B,2,FALSE)</f>
        <v>2312. Iniciativas sociales</v>
      </c>
      <c r="W947" s="56" t="str">
        <f>MID(Tabla1[[#This Row],[Aplicación]],14,2)</f>
        <v>21</v>
      </c>
      <c r="X947" s="56" t="str">
        <f>MID(Tabla1[[#This Row],[Aplicación]],14,6)</f>
        <v>212</v>
      </c>
    </row>
    <row r="948" spans="1:24" x14ac:dyDescent="0.25">
      <c r="A948" s="46">
        <v>220230003251</v>
      </c>
      <c r="B948" s="47" t="s">
        <v>507</v>
      </c>
      <c r="C948" s="52">
        <v>44971</v>
      </c>
      <c r="D948" s="46">
        <v>22023002200</v>
      </c>
      <c r="E948" s="47" t="s">
        <v>1390</v>
      </c>
      <c r="F948" s="53">
        <v>1028.5</v>
      </c>
      <c r="G948" s="47" t="s">
        <v>348</v>
      </c>
      <c r="H948" s="47" t="s">
        <v>2131</v>
      </c>
      <c r="I948" s="46" t="s">
        <v>511</v>
      </c>
      <c r="J948" s="47" t="s">
        <v>1771</v>
      </c>
      <c r="K948" s="47" t="s">
        <v>519</v>
      </c>
      <c r="L948" s="47" t="s">
        <v>520</v>
      </c>
      <c r="M948" s="47" t="s">
        <v>976</v>
      </c>
      <c r="N948" s="47" t="s">
        <v>839</v>
      </c>
      <c r="O948" s="45" t="s">
        <v>383</v>
      </c>
      <c r="P948" s="44" t="s">
        <v>309</v>
      </c>
      <c r="Q948" s="59" t="str">
        <f>MID(Tabla1[[#This Row],[Aplicación]],14,1)</f>
        <v>2</v>
      </c>
      <c r="R948" s="35" t="s">
        <v>298</v>
      </c>
      <c r="S948" s="59" t="str">
        <f>MID(Tabla1[[#This Row],[Aplicación]],6,2)</f>
        <v>07</v>
      </c>
      <c r="T948" s="35" t="str">
        <f>VLOOKUP(Tabla1[[#This Row],[AREA]],Hoja1!A:B,2,FALSE)</f>
        <v>07. Medio ambiente y desarrollo sostenible</v>
      </c>
      <c r="U948" s="35" t="str">
        <f>MID(Tabla1[[#This Row],[Aplicación]],9,4)</f>
        <v>1721</v>
      </c>
      <c r="V948" s="35" t="str">
        <f>VLOOKUP(Tabla1[[#This Row],[PROGRAMA]],Hoja1!A:B,2,FALSE)</f>
        <v>1721. Protección del medio ambiente</v>
      </c>
      <c r="W948" s="56" t="str">
        <f>MID(Tabla1[[#This Row],[Aplicación]],14,2)</f>
        <v>22</v>
      </c>
      <c r="X948" s="56" t="str">
        <f>MID(Tabla1[[#This Row],[Aplicación]],14,6)</f>
        <v>22799</v>
      </c>
    </row>
    <row r="949" spans="1:24" x14ac:dyDescent="0.25">
      <c r="A949" s="46">
        <v>220230003233</v>
      </c>
      <c r="B949" s="47" t="s">
        <v>507</v>
      </c>
      <c r="C949" s="52">
        <v>44971</v>
      </c>
      <c r="D949" s="46">
        <v>22023002247</v>
      </c>
      <c r="E949" s="47" t="s">
        <v>2107</v>
      </c>
      <c r="F949" s="53">
        <v>1500</v>
      </c>
      <c r="G949" s="47" t="s">
        <v>102</v>
      </c>
      <c r="H949" s="47" t="s">
        <v>2132</v>
      </c>
      <c r="I949" s="46" t="s">
        <v>511</v>
      </c>
      <c r="J949" s="47" t="s">
        <v>519</v>
      </c>
      <c r="K949" s="47" t="s">
        <v>519</v>
      </c>
      <c r="L949" s="47" t="s">
        <v>520</v>
      </c>
      <c r="M949" s="47" t="s">
        <v>976</v>
      </c>
      <c r="N949" s="47" t="s">
        <v>839</v>
      </c>
      <c r="O949" s="45" t="s">
        <v>383</v>
      </c>
      <c r="P949" s="44" t="s">
        <v>309</v>
      </c>
      <c r="Q949" s="59" t="str">
        <f>MID(Tabla1[[#This Row],[Aplicación]],14,1)</f>
        <v>2</v>
      </c>
      <c r="R949" s="35" t="s">
        <v>298</v>
      </c>
      <c r="S949" s="59" t="str">
        <f>MID(Tabla1[[#This Row],[Aplicación]],6,2)</f>
        <v>07</v>
      </c>
      <c r="T949" s="35" t="str">
        <f>VLOOKUP(Tabla1[[#This Row],[AREA]],Hoja1!A:B,2,FALSE)</f>
        <v>07. Medio ambiente y desarrollo sostenible</v>
      </c>
      <c r="U949" s="35" t="str">
        <f>MID(Tabla1[[#This Row],[Aplicación]],9,4)</f>
        <v>1711</v>
      </c>
      <c r="V949" s="35" t="str">
        <f>VLOOKUP(Tabla1[[#This Row],[PROGRAMA]],Hoja1!A:B,2,FALSE)</f>
        <v>1711. Parques y jardines</v>
      </c>
      <c r="W949" s="56" t="str">
        <f>MID(Tabla1[[#This Row],[Aplicación]],14,2)</f>
        <v>21</v>
      </c>
      <c r="X949" s="56" t="str">
        <f>MID(Tabla1[[#This Row],[Aplicación]],14,6)</f>
        <v>213</v>
      </c>
    </row>
    <row r="950" spans="1:24" x14ac:dyDescent="0.25">
      <c r="A950" s="46">
        <v>220230003432</v>
      </c>
      <c r="B950" s="47" t="s">
        <v>507</v>
      </c>
      <c r="C950" s="52">
        <v>44971</v>
      </c>
      <c r="D950" s="46">
        <v>22023002376</v>
      </c>
      <c r="E950" s="47" t="s">
        <v>1657</v>
      </c>
      <c r="F950" s="53">
        <v>249.99</v>
      </c>
      <c r="G950" s="47" t="s">
        <v>45</v>
      </c>
      <c r="H950" s="47" t="s">
        <v>2133</v>
      </c>
      <c r="I950" s="46" t="s">
        <v>511</v>
      </c>
      <c r="J950" s="47" t="s">
        <v>519</v>
      </c>
      <c r="K950" s="47" t="s">
        <v>519</v>
      </c>
      <c r="L950" s="47" t="s">
        <v>520</v>
      </c>
      <c r="M950" s="47" t="s">
        <v>976</v>
      </c>
      <c r="N950" s="47" t="s">
        <v>839</v>
      </c>
      <c r="O950" s="45" t="s">
        <v>383</v>
      </c>
      <c r="P950" s="44" t="s">
        <v>309</v>
      </c>
      <c r="Q950" s="59" t="str">
        <f>MID(Tabla1[[#This Row],[Aplicación]],14,1)</f>
        <v>2</v>
      </c>
      <c r="R950" s="35" t="s">
        <v>298</v>
      </c>
      <c r="S950" s="59" t="str">
        <f>MID(Tabla1[[#This Row],[Aplicación]],6,2)</f>
        <v>10</v>
      </c>
      <c r="T950" s="35" t="str">
        <f>VLOOKUP(Tabla1[[#This Row],[AREA]],Hoja1!A:B,2,FALSE)</f>
        <v>10. Servicios sociales y mediación comunitaria</v>
      </c>
      <c r="U950" s="35" t="str">
        <f>MID(Tabla1[[#This Row],[Aplicación]],9,4)</f>
        <v>2412</v>
      </c>
      <c r="V950" s="35" t="str">
        <f>VLOOKUP(Tabla1[[#This Row],[PROGRAMA]],Hoja1!A:B,2,FALSE)</f>
        <v>2412. Formación para el empleo</v>
      </c>
      <c r="W950" s="56" t="str">
        <f>MID(Tabla1[[#This Row],[Aplicación]],14,2)</f>
        <v>21</v>
      </c>
      <c r="X950" s="56" t="str">
        <f>MID(Tabla1[[#This Row],[Aplicación]],14,6)</f>
        <v>212</v>
      </c>
    </row>
    <row r="951" spans="1:24" x14ac:dyDescent="0.25">
      <c r="A951" s="46">
        <v>220230003432</v>
      </c>
      <c r="B951" s="47" t="s">
        <v>507</v>
      </c>
      <c r="C951" s="52">
        <v>44971</v>
      </c>
      <c r="D951" s="46">
        <v>22023002373</v>
      </c>
      <c r="E951" s="47" t="s">
        <v>616</v>
      </c>
      <c r="F951" s="53">
        <v>267.86</v>
      </c>
      <c r="G951" s="47" t="s">
        <v>45</v>
      </c>
      <c r="H951" s="47" t="s">
        <v>2133</v>
      </c>
      <c r="I951" s="46" t="s">
        <v>511</v>
      </c>
      <c r="J951" s="47" t="s">
        <v>519</v>
      </c>
      <c r="K951" s="47" t="s">
        <v>519</v>
      </c>
      <c r="L951" s="47" t="s">
        <v>520</v>
      </c>
      <c r="M951" s="47" t="s">
        <v>976</v>
      </c>
      <c r="N951" s="47" t="s">
        <v>839</v>
      </c>
      <c r="O951" s="45" t="s">
        <v>383</v>
      </c>
      <c r="P951" s="44" t="s">
        <v>309</v>
      </c>
      <c r="Q951" s="59" t="str">
        <f>MID(Tabla1[[#This Row],[Aplicación]],14,1)</f>
        <v>2</v>
      </c>
      <c r="R951" s="35" t="s">
        <v>298</v>
      </c>
      <c r="S951" s="59" t="str">
        <f>MID(Tabla1[[#This Row],[Aplicación]],6,2)</f>
        <v>10</v>
      </c>
      <c r="T951" s="35" t="str">
        <f>VLOOKUP(Tabla1[[#This Row],[AREA]],Hoja1!A:B,2,FALSE)</f>
        <v>10. Servicios sociales y mediación comunitaria</v>
      </c>
      <c r="U951" s="35" t="str">
        <f>MID(Tabla1[[#This Row],[Aplicación]],9,4)</f>
        <v>2412</v>
      </c>
      <c r="V951" s="35" t="str">
        <f>VLOOKUP(Tabla1[[#This Row],[PROGRAMA]],Hoja1!A:B,2,FALSE)</f>
        <v>2412. Formación para el empleo</v>
      </c>
      <c r="W951" s="56" t="str">
        <f>MID(Tabla1[[#This Row],[Aplicación]],14,2)</f>
        <v>21</v>
      </c>
      <c r="X951" s="56" t="str">
        <f>MID(Tabla1[[#This Row],[Aplicación]],14,6)</f>
        <v>213</v>
      </c>
    </row>
    <row r="952" spans="1:24" x14ac:dyDescent="0.25">
      <c r="A952" s="46">
        <v>220230003432</v>
      </c>
      <c r="B952" s="47" t="s">
        <v>507</v>
      </c>
      <c r="C952" s="52">
        <v>44971</v>
      </c>
      <c r="D952" s="46">
        <v>22023002374</v>
      </c>
      <c r="E952" s="47" t="s">
        <v>616</v>
      </c>
      <c r="F952" s="53">
        <v>380.96</v>
      </c>
      <c r="G952" s="47" t="s">
        <v>45</v>
      </c>
      <c r="H952" s="47" t="s">
        <v>2133</v>
      </c>
      <c r="I952" s="46" t="s">
        <v>511</v>
      </c>
      <c r="J952" s="47" t="s">
        <v>519</v>
      </c>
      <c r="K952" s="47" t="s">
        <v>519</v>
      </c>
      <c r="L952" s="47" t="s">
        <v>520</v>
      </c>
      <c r="M952" s="47" t="s">
        <v>976</v>
      </c>
      <c r="N952" s="47" t="s">
        <v>839</v>
      </c>
      <c r="O952" s="45" t="s">
        <v>383</v>
      </c>
      <c r="P952" s="44" t="s">
        <v>309</v>
      </c>
      <c r="Q952" s="59" t="str">
        <f>MID(Tabla1[[#This Row],[Aplicación]],14,1)</f>
        <v>2</v>
      </c>
      <c r="R952" s="35" t="s">
        <v>298</v>
      </c>
      <c r="S952" s="59" t="str">
        <f>MID(Tabla1[[#This Row],[Aplicación]],6,2)</f>
        <v>10</v>
      </c>
      <c r="T952" s="35" t="str">
        <f>VLOOKUP(Tabla1[[#This Row],[AREA]],Hoja1!A:B,2,FALSE)</f>
        <v>10. Servicios sociales y mediación comunitaria</v>
      </c>
      <c r="U952" s="35" t="str">
        <f>MID(Tabla1[[#This Row],[Aplicación]],9,4)</f>
        <v>2412</v>
      </c>
      <c r="V952" s="35" t="str">
        <f>VLOOKUP(Tabla1[[#This Row],[PROGRAMA]],Hoja1!A:B,2,FALSE)</f>
        <v>2412. Formación para el empleo</v>
      </c>
      <c r="W952" s="56" t="str">
        <f>MID(Tabla1[[#This Row],[Aplicación]],14,2)</f>
        <v>21</v>
      </c>
      <c r="X952" s="56" t="str">
        <f>MID(Tabla1[[#This Row],[Aplicación]],14,6)</f>
        <v>213</v>
      </c>
    </row>
    <row r="953" spans="1:24" x14ac:dyDescent="0.25">
      <c r="A953" s="46">
        <v>220230003432</v>
      </c>
      <c r="B953" s="47" t="s">
        <v>507</v>
      </c>
      <c r="C953" s="52">
        <v>44971</v>
      </c>
      <c r="D953" s="46">
        <v>22023002375</v>
      </c>
      <c r="E953" s="47" t="s">
        <v>616</v>
      </c>
      <c r="F953" s="53">
        <v>601.19000000000005</v>
      </c>
      <c r="G953" s="47" t="s">
        <v>45</v>
      </c>
      <c r="H953" s="47" t="s">
        <v>2133</v>
      </c>
      <c r="I953" s="46" t="s">
        <v>511</v>
      </c>
      <c r="J953" s="47" t="s">
        <v>519</v>
      </c>
      <c r="K953" s="47" t="s">
        <v>519</v>
      </c>
      <c r="L953" s="47" t="s">
        <v>520</v>
      </c>
      <c r="M953" s="47" t="s">
        <v>976</v>
      </c>
      <c r="N953" s="47" t="s">
        <v>839</v>
      </c>
      <c r="O953" s="45" t="s">
        <v>383</v>
      </c>
      <c r="P953" s="44" t="s">
        <v>309</v>
      </c>
      <c r="Q953" s="59" t="str">
        <f>MID(Tabla1[[#This Row],[Aplicación]],14,1)</f>
        <v>2</v>
      </c>
      <c r="R953" s="35" t="s">
        <v>298</v>
      </c>
      <c r="S953" s="59" t="str">
        <f>MID(Tabla1[[#This Row],[Aplicación]],6,2)</f>
        <v>10</v>
      </c>
      <c r="T953" s="35" t="str">
        <f>VLOOKUP(Tabla1[[#This Row],[AREA]],Hoja1!A:B,2,FALSE)</f>
        <v>10. Servicios sociales y mediación comunitaria</v>
      </c>
      <c r="U953" s="35" t="str">
        <f>MID(Tabla1[[#This Row],[Aplicación]],9,4)</f>
        <v>2412</v>
      </c>
      <c r="V953" s="35" t="str">
        <f>VLOOKUP(Tabla1[[#This Row],[PROGRAMA]],Hoja1!A:B,2,FALSE)</f>
        <v>2412. Formación para el empleo</v>
      </c>
      <c r="W953" s="56" t="str">
        <f>MID(Tabla1[[#This Row],[Aplicación]],14,2)</f>
        <v>21</v>
      </c>
      <c r="X953" s="56" t="str">
        <f>MID(Tabla1[[#This Row],[Aplicación]],14,6)</f>
        <v>213</v>
      </c>
    </row>
    <row r="954" spans="1:24" x14ac:dyDescent="0.25">
      <c r="A954" s="46">
        <v>220230003232</v>
      </c>
      <c r="B954" s="47" t="s">
        <v>507</v>
      </c>
      <c r="C954" s="52">
        <v>44971</v>
      </c>
      <c r="D954" s="46">
        <v>22023002187</v>
      </c>
      <c r="E954" s="47" t="s">
        <v>2107</v>
      </c>
      <c r="F954" s="53">
        <v>4000</v>
      </c>
      <c r="G954" s="47" t="s">
        <v>99</v>
      </c>
      <c r="H954" s="47" t="s">
        <v>2134</v>
      </c>
      <c r="I954" s="46" t="s">
        <v>511</v>
      </c>
      <c r="J954" s="47" t="s">
        <v>2045</v>
      </c>
      <c r="K954" s="47" t="s">
        <v>519</v>
      </c>
      <c r="L954" s="47" t="s">
        <v>520</v>
      </c>
      <c r="M954" s="47" t="s">
        <v>976</v>
      </c>
      <c r="N954" s="47" t="s">
        <v>515</v>
      </c>
      <c r="O954" s="45" t="s">
        <v>383</v>
      </c>
      <c r="P954" s="44" t="s">
        <v>309</v>
      </c>
      <c r="Q954" s="59" t="str">
        <f>MID(Tabla1[[#This Row],[Aplicación]],14,1)</f>
        <v>2</v>
      </c>
      <c r="R954" s="35" t="s">
        <v>298</v>
      </c>
      <c r="S954" s="59" t="str">
        <f>MID(Tabla1[[#This Row],[Aplicación]],6,2)</f>
        <v>07</v>
      </c>
      <c r="T954" s="35" t="str">
        <f>VLOOKUP(Tabla1[[#This Row],[AREA]],Hoja1!A:B,2,FALSE)</f>
        <v>07. Medio ambiente y desarrollo sostenible</v>
      </c>
      <c r="U954" s="35" t="str">
        <f>MID(Tabla1[[#This Row],[Aplicación]],9,4)</f>
        <v>1711</v>
      </c>
      <c r="V954" s="35" t="str">
        <f>VLOOKUP(Tabla1[[#This Row],[PROGRAMA]],Hoja1!A:B,2,FALSE)</f>
        <v>1711. Parques y jardines</v>
      </c>
      <c r="W954" s="56" t="str">
        <f>MID(Tabla1[[#This Row],[Aplicación]],14,2)</f>
        <v>21</v>
      </c>
      <c r="X954" s="56" t="str">
        <f>MID(Tabla1[[#This Row],[Aplicación]],14,6)</f>
        <v>213</v>
      </c>
    </row>
    <row r="955" spans="1:24" x14ac:dyDescent="0.25">
      <c r="A955" s="46">
        <v>220230003230</v>
      </c>
      <c r="B955" s="47" t="s">
        <v>507</v>
      </c>
      <c r="C955" s="52">
        <v>44971</v>
      </c>
      <c r="D955" s="46">
        <v>22023002097</v>
      </c>
      <c r="E955" s="47" t="s">
        <v>1502</v>
      </c>
      <c r="F955" s="53">
        <v>2750</v>
      </c>
      <c r="G955" s="47" t="s">
        <v>78</v>
      </c>
      <c r="H955" s="47" t="s">
        <v>2135</v>
      </c>
      <c r="I955" s="46" t="s">
        <v>511</v>
      </c>
      <c r="J955" s="47" t="s">
        <v>519</v>
      </c>
      <c r="K955" s="47" t="s">
        <v>519</v>
      </c>
      <c r="L955" s="47" t="s">
        <v>552</v>
      </c>
      <c r="M955" s="47" t="s">
        <v>976</v>
      </c>
      <c r="N955" s="47" t="s">
        <v>839</v>
      </c>
      <c r="O955" s="45" t="s">
        <v>383</v>
      </c>
      <c r="P955" s="44" t="s">
        <v>309</v>
      </c>
      <c r="Q955" s="59" t="str">
        <f>MID(Tabla1[[#This Row],[Aplicación]],14,1)</f>
        <v>2</v>
      </c>
      <c r="R955" s="35" t="s">
        <v>298</v>
      </c>
      <c r="S955" s="59" t="str">
        <f>MID(Tabla1[[#This Row],[Aplicación]],6,2)</f>
        <v>10</v>
      </c>
      <c r="T955" s="35" t="str">
        <f>VLOOKUP(Tabla1[[#This Row],[AREA]],Hoja1!A:B,2,FALSE)</f>
        <v>10. Servicios sociales y mediación comunitaria</v>
      </c>
      <c r="U955" s="35" t="str">
        <f>MID(Tabla1[[#This Row],[Aplicación]],9,4)</f>
        <v>2412</v>
      </c>
      <c r="V955" s="35" t="str">
        <f>VLOOKUP(Tabla1[[#This Row],[PROGRAMA]],Hoja1!A:B,2,FALSE)</f>
        <v>2412. Formación para el empleo</v>
      </c>
      <c r="W955" s="56" t="str">
        <f>MID(Tabla1[[#This Row],[Aplicación]],14,2)</f>
        <v>22</v>
      </c>
      <c r="X955" s="56" t="str">
        <f>MID(Tabla1[[#This Row],[Aplicación]],14,6)</f>
        <v>22199</v>
      </c>
    </row>
    <row r="956" spans="1:24" x14ac:dyDescent="0.25">
      <c r="A956" s="46">
        <v>220230003230</v>
      </c>
      <c r="B956" s="47" t="s">
        <v>507</v>
      </c>
      <c r="C956" s="52">
        <v>44971</v>
      </c>
      <c r="D956" s="46">
        <v>22023002096</v>
      </c>
      <c r="E956" s="47" t="s">
        <v>1502</v>
      </c>
      <c r="F956" s="53">
        <v>1750</v>
      </c>
      <c r="G956" s="47" t="s">
        <v>78</v>
      </c>
      <c r="H956" s="47" t="s">
        <v>2135</v>
      </c>
      <c r="I956" s="46" t="s">
        <v>511</v>
      </c>
      <c r="J956" s="47" t="s">
        <v>519</v>
      </c>
      <c r="K956" s="47" t="s">
        <v>519</v>
      </c>
      <c r="L956" s="47" t="s">
        <v>552</v>
      </c>
      <c r="M956" s="47" t="s">
        <v>976</v>
      </c>
      <c r="N956" s="47" t="s">
        <v>839</v>
      </c>
      <c r="O956" s="45" t="s">
        <v>383</v>
      </c>
      <c r="P956" s="44" t="s">
        <v>309</v>
      </c>
      <c r="Q956" s="59" t="str">
        <f>MID(Tabla1[[#This Row],[Aplicación]],14,1)</f>
        <v>2</v>
      </c>
      <c r="R956" s="35" t="s">
        <v>298</v>
      </c>
      <c r="S956" s="59" t="str">
        <f>MID(Tabla1[[#This Row],[Aplicación]],6,2)</f>
        <v>10</v>
      </c>
      <c r="T956" s="35" t="str">
        <f>VLOOKUP(Tabla1[[#This Row],[AREA]],Hoja1!A:B,2,FALSE)</f>
        <v>10. Servicios sociales y mediación comunitaria</v>
      </c>
      <c r="U956" s="35" t="str">
        <f>MID(Tabla1[[#This Row],[Aplicación]],9,4)</f>
        <v>2412</v>
      </c>
      <c r="V956" s="35" t="str">
        <f>VLOOKUP(Tabla1[[#This Row],[PROGRAMA]],Hoja1!A:B,2,FALSE)</f>
        <v>2412. Formación para el empleo</v>
      </c>
      <c r="W956" s="56" t="str">
        <f>MID(Tabla1[[#This Row],[Aplicación]],14,2)</f>
        <v>22</v>
      </c>
      <c r="X956" s="56" t="str">
        <f>MID(Tabla1[[#This Row],[Aplicación]],14,6)</f>
        <v>22199</v>
      </c>
    </row>
    <row r="957" spans="1:24" x14ac:dyDescent="0.25">
      <c r="A957" s="46">
        <v>220230003230</v>
      </c>
      <c r="B957" s="47" t="s">
        <v>507</v>
      </c>
      <c r="C957" s="52">
        <v>44971</v>
      </c>
      <c r="D957" s="46">
        <v>22023002095</v>
      </c>
      <c r="E957" s="47" t="s">
        <v>1502</v>
      </c>
      <c r="F957" s="53">
        <v>1000</v>
      </c>
      <c r="G957" s="47" t="s">
        <v>78</v>
      </c>
      <c r="H957" s="47" t="s">
        <v>2135</v>
      </c>
      <c r="I957" s="46" t="s">
        <v>511</v>
      </c>
      <c r="J957" s="47" t="s">
        <v>519</v>
      </c>
      <c r="K957" s="47" t="s">
        <v>519</v>
      </c>
      <c r="L957" s="47" t="s">
        <v>552</v>
      </c>
      <c r="M957" s="47" t="s">
        <v>976</v>
      </c>
      <c r="N957" s="47" t="s">
        <v>839</v>
      </c>
      <c r="O957" s="45" t="s">
        <v>383</v>
      </c>
      <c r="P957" s="44" t="s">
        <v>309</v>
      </c>
      <c r="Q957" s="59" t="str">
        <f>MID(Tabla1[[#This Row],[Aplicación]],14,1)</f>
        <v>2</v>
      </c>
      <c r="R957" s="35" t="s">
        <v>298</v>
      </c>
      <c r="S957" s="59" t="str">
        <f>MID(Tabla1[[#This Row],[Aplicación]],6,2)</f>
        <v>10</v>
      </c>
      <c r="T957" s="35" t="str">
        <f>VLOOKUP(Tabla1[[#This Row],[AREA]],Hoja1!A:B,2,FALSE)</f>
        <v>10. Servicios sociales y mediación comunitaria</v>
      </c>
      <c r="U957" s="35" t="str">
        <f>MID(Tabla1[[#This Row],[Aplicación]],9,4)</f>
        <v>2412</v>
      </c>
      <c r="V957" s="35" t="str">
        <f>VLOOKUP(Tabla1[[#This Row],[PROGRAMA]],Hoja1!A:B,2,FALSE)</f>
        <v>2412. Formación para el empleo</v>
      </c>
      <c r="W957" s="56" t="str">
        <f>MID(Tabla1[[#This Row],[Aplicación]],14,2)</f>
        <v>22</v>
      </c>
      <c r="X957" s="56" t="str">
        <f>MID(Tabla1[[#This Row],[Aplicación]],14,6)</f>
        <v>22199</v>
      </c>
    </row>
    <row r="958" spans="1:24" x14ac:dyDescent="0.25">
      <c r="A958" s="46">
        <v>220230003230</v>
      </c>
      <c r="B958" s="47" t="s">
        <v>507</v>
      </c>
      <c r="C958" s="52">
        <v>44971</v>
      </c>
      <c r="D958" s="46">
        <v>22023002098</v>
      </c>
      <c r="E958" s="47" t="s">
        <v>1502</v>
      </c>
      <c r="F958" s="53">
        <v>500</v>
      </c>
      <c r="G958" s="47" t="s">
        <v>78</v>
      </c>
      <c r="H958" s="47" t="s">
        <v>2135</v>
      </c>
      <c r="I958" s="46" t="s">
        <v>511</v>
      </c>
      <c r="J958" s="47" t="s">
        <v>519</v>
      </c>
      <c r="K958" s="47" t="s">
        <v>519</v>
      </c>
      <c r="L958" s="47" t="s">
        <v>552</v>
      </c>
      <c r="M958" s="47" t="s">
        <v>976</v>
      </c>
      <c r="N958" s="47" t="s">
        <v>839</v>
      </c>
      <c r="O958" s="45" t="s">
        <v>383</v>
      </c>
      <c r="P958" s="44" t="s">
        <v>309</v>
      </c>
      <c r="Q958" s="59" t="str">
        <f>MID(Tabla1[[#This Row],[Aplicación]],14,1)</f>
        <v>2</v>
      </c>
      <c r="R958" s="35" t="s">
        <v>298</v>
      </c>
      <c r="S958" s="59" t="str">
        <f>MID(Tabla1[[#This Row],[Aplicación]],6,2)</f>
        <v>10</v>
      </c>
      <c r="T958" s="35" t="str">
        <f>VLOOKUP(Tabla1[[#This Row],[AREA]],Hoja1!A:B,2,FALSE)</f>
        <v>10. Servicios sociales y mediación comunitaria</v>
      </c>
      <c r="U958" s="35" t="str">
        <f>MID(Tabla1[[#This Row],[Aplicación]],9,4)</f>
        <v>2412</v>
      </c>
      <c r="V958" s="35" t="str">
        <f>VLOOKUP(Tabla1[[#This Row],[PROGRAMA]],Hoja1!A:B,2,FALSE)</f>
        <v>2412. Formación para el empleo</v>
      </c>
      <c r="W958" s="56" t="str">
        <f>MID(Tabla1[[#This Row],[Aplicación]],14,2)</f>
        <v>22</v>
      </c>
      <c r="X958" s="56" t="str">
        <f>MID(Tabla1[[#This Row],[Aplicación]],14,6)</f>
        <v>22199</v>
      </c>
    </row>
    <row r="959" spans="1:24" x14ac:dyDescent="0.25">
      <c r="A959" s="46">
        <v>220230003237</v>
      </c>
      <c r="B959" s="47" t="s">
        <v>507</v>
      </c>
      <c r="C959" s="52">
        <v>44971</v>
      </c>
      <c r="D959" s="46">
        <v>22023002343</v>
      </c>
      <c r="E959" s="47" t="s">
        <v>2107</v>
      </c>
      <c r="F959" s="53">
        <v>4000</v>
      </c>
      <c r="G959" s="47" t="s">
        <v>435</v>
      </c>
      <c r="H959" s="47" t="s">
        <v>2136</v>
      </c>
      <c r="I959" s="46" t="s">
        <v>511</v>
      </c>
      <c r="J959" s="47" t="s">
        <v>519</v>
      </c>
      <c r="K959" s="47" t="s">
        <v>519</v>
      </c>
      <c r="L959" s="47" t="s">
        <v>520</v>
      </c>
      <c r="M959" s="47" t="s">
        <v>976</v>
      </c>
      <c r="N959" s="47" t="s">
        <v>839</v>
      </c>
      <c r="O959" s="45" t="s">
        <v>383</v>
      </c>
      <c r="P959" s="44" t="s">
        <v>309</v>
      </c>
      <c r="Q959" s="59" t="str">
        <f>MID(Tabla1[[#This Row],[Aplicación]],14,1)</f>
        <v>2</v>
      </c>
      <c r="R959" s="35" t="s">
        <v>298</v>
      </c>
      <c r="S959" s="59" t="str">
        <f>MID(Tabla1[[#This Row],[Aplicación]],6,2)</f>
        <v>07</v>
      </c>
      <c r="T959" s="35" t="str">
        <f>VLOOKUP(Tabla1[[#This Row],[AREA]],Hoja1!A:B,2,FALSE)</f>
        <v>07. Medio ambiente y desarrollo sostenible</v>
      </c>
      <c r="U959" s="35" t="str">
        <f>MID(Tabla1[[#This Row],[Aplicación]],9,4)</f>
        <v>1711</v>
      </c>
      <c r="V959" s="35" t="str">
        <f>VLOOKUP(Tabla1[[#This Row],[PROGRAMA]],Hoja1!A:B,2,FALSE)</f>
        <v>1711. Parques y jardines</v>
      </c>
      <c r="W959" s="56" t="str">
        <f>MID(Tabla1[[#This Row],[Aplicación]],14,2)</f>
        <v>21</v>
      </c>
      <c r="X959" s="56" t="str">
        <f>MID(Tabla1[[#This Row],[Aplicación]],14,6)</f>
        <v>213</v>
      </c>
    </row>
    <row r="960" spans="1:24" x14ac:dyDescent="0.25">
      <c r="A960" s="46">
        <v>220230003422</v>
      </c>
      <c r="B960" s="47" t="s">
        <v>507</v>
      </c>
      <c r="C960" s="52">
        <v>44971</v>
      </c>
      <c r="D960" s="46">
        <v>22023002394</v>
      </c>
      <c r="E960" s="47" t="s">
        <v>835</v>
      </c>
      <c r="F960" s="53">
        <v>550.38</v>
      </c>
      <c r="G960" s="47" t="s">
        <v>90</v>
      </c>
      <c r="H960" s="47" t="s">
        <v>2137</v>
      </c>
      <c r="I960" s="46" t="s">
        <v>511</v>
      </c>
      <c r="J960" s="47" t="s">
        <v>519</v>
      </c>
      <c r="K960" s="47" t="s">
        <v>519</v>
      </c>
      <c r="L960" s="47" t="s">
        <v>520</v>
      </c>
      <c r="M960" s="47" t="s">
        <v>976</v>
      </c>
      <c r="N960" s="47" t="s">
        <v>839</v>
      </c>
      <c r="O960" s="45" t="s">
        <v>383</v>
      </c>
      <c r="P960" s="44" t="s">
        <v>309</v>
      </c>
      <c r="Q960" s="59" t="str">
        <f>MID(Tabla1[[#This Row],[Aplicación]],14,1)</f>
        <v>2</v>
      </c>
      <c r="R960" s="35" t="s">
        <v>298</v>
      </c>
      <c r="S960" s="59" t="str">
        <f>MID(Tabla1[[#This Row],[Aplicación]],6,2)</f>
        <v>05</v>
      </c>
      <c r="T960" s="35" t="str">
        <f>VLOOKUP(Tabla1[[#This Row],[AREA]],Hoja1!A:B,2,FALSE)</f>
        <v>05. Innovación, desarrollo económico, empleo y comercio</v>
      </c>
      <c r="U960" s="35" t="str">
        <f>MID(Tabla1[[#This Row],[Aplicación]],9,4)</f>
        <v>4331</v>
      </c>
      <c r="V960" s="35" t="str">
        <f>VLOOKUP(Tabla1[[#This Row],[PROGRAMA]],Hoja1!A:B,2,FALSE)</f>
        <v>4331. Desarrollo empresarial</v>
      </c>
      <c r="W960" s="56" t="str">
        <f>MID(Tabla1[[#This Row],[Aplicación]],14,2)</f>
        <v>22</v>
      </c>
      <c r="X960" s="56" t="str">
        <f>MID(Tabla1[[#This Row],[Aplicación]],14,6)</f>
        <v>22799</v>
      </c>
    </row>
    <row r="961" spans="1:24" x14ac:dyDescent="0.25">
      <c r="A961" s="46">
        <v>220230003428</v>
      </c>
      <c r="B961" s="47" t="s">
        <v>507</v>
      </c>
      <c r="C961" s="52">
        <v>44971</v>
      </c>
      <c r="D961" s="46">
        <v>22023002344</v>
      </c>
      <c r="E961" s="47" t="s">
        <v>2138</v>
      </c>
      <c r="F961" s="53">
        <v>100</v>
      </c>
      <c r="G961" s="47" t="s">
        <v>394</v>
      </c>
      <c r="H961" s="47" t="s">
        <v>2139</v>
      </c>
      <c r="I961" s="46" t="s">
        <v>511</v>
      </c>
      <c r="J961" s="47" t="s">
        <v>519</v>
      </c>
      <c r="K961" s="47" t="s">
        <v>519</v>
      </c>
      <c r="L961" s="47" t="s">
        <v>520</v>
      </c>
      <c r="M961" s="47" t="s">
        <v>976</v>
      </c>
      <c r="N961" s="47" t="s">
        <v>839</v>
      </c>
      <c r="O961" s="45" t="s">
        <v>383</v>
      </c>
      <c r="P961" s="44" t="s">
        <v>309</v>
      </c>
      <c r="Q961" s="59" t="str">
        <f>MID(Tabla1[[#This Row],[Aplicación]],14,1)</f>
        <v>2</v>
      </c>
      <c r="R961" s="35" t="s">
        <v>298</v>
      </c>
      <c r="S961" s="59" t="str">
        <f>MID(Tabla1[[#This Row],[Aplicación]],6,2)</f>
        <v>10</v>
      </c>
      <c r="T961" s="35" t="str">
        <f>VLOOKUP(Tabla1[[#This Row],[AREA]],Hoja1!A:B,2,FALSE)</f>
        <v>10. Servicios sociales y mediación comunitaria</v>
      </c>
      <c r="U961" s="35" t="str">
        <f>MID(Tabla1[[#This Row],[Aplicación]],9,4)</f>
        <v>2312</v>
      </c>
      <c r="V961" s="35" t="str">
        <f>VLOOKUP(Tabla1[[#This Row],[PROGRAMA]],Hoja1!A:B,2,FALSE)</f>
        <v>2312. Iniciativas sociales</v>
      </c>
      <c r="W961" s="56" t="str">
        <f>MID(Tabla1[[#This Row],[Aplicación]],14,2)</f>
        <v>22</v>
      </c>
      <c r="X961" s="56" t="str">
        <f>MID(Tabla1[[#This Row],[Aplicación]],14,6)</f>
        <v>22615</v>
      </c>
    </row>
    <row r="962" spans="1:24" x14ac:dyDescent="0.25">
      <c r="A962" s="46">
        <v>220230003428</v>
      </c>
      <c r="B962" s="47" t="s">
        <v>507</v>
      </c>
      <c r="C962" s="52">
        <v>44971</v>
      </c>
      <c r="D962" s="46">
        <v>22023002345</v>
      </c>
      <c r="E962" s="47" t="s">
        <v>1043</v>
      </c>
      <c r="F962" s="53">
        <v>300</v>
      </c>
      <c r="G962" s="47" t="s">
        <v>394</v>
      </c>
      <c r="H962" s="47" t="s">
        <v>2139</v>
      </c>
      <c r="I962" s="46" t="s">
        <v>511</v>
      </c>
      <c r="J962" s="47" t="s">
        <v>519</v>
      </c>
      <c r="K962" s="47" t="s">
        <v>519</v>
      </c>
      <c r="L962" s="47" t="s">
        <v>520</v>
      </c>
      <c r="M962" s="47" t="s">
        <v>976</v>
      </c>
      <c r="N962" s="47" t="s">
        <v>839</v>
      </c>
      <c r="O962" s="45" t="s">
        <v>383</v>
      </c>
      <c r="P962" s="44" t="s">
        <v>309</v>
      </c>
      <c r="Q962" s="59" t="str">
        <f>MID(Tabla1[[#This Row],[Aplicación]],14,1)</f>
        <v>2</v>
      </c>
      <c r="R962" s="35" t="s">
        <v>298</v>
      </c>
      <c r="S962" s="59" t="str">
        <f>MID(Tabla1[[#This Row],[Aplicación]],6,2)</f>
        <v>10</v>
      </c>
      <c r="T962" s="35" t="str">
        <f>VLOOKUP(Tabla1[[#This Row],[AREA]],Hoja1!A:B,2,FALSE)</f>
        <v>10. Servicios sociales y mediación comunitaria</v>
      </c>
      <c r="U962" s="35" t="str">
        <f>MID(Tabla1[[#This Row],[Aplicación]],9,4)</f>
        <v>2312</v>
      </c>
      <c r="V962" s="35" t="str">
        <f>VLOOKUP(Tabla1[[#This Row],[PROGRAMA]],Hoja1!A:B,2,FALSE)</f>
        <v>2312. Iniciativas sociales</v>
      </c>
      <c r="W962" s="56" t="str">
        <f>MID(Tabla1[[#This Row],[Aplicación]],14,2)</f>
        <v>22</v>
      </c>
      <c r="X962" s="56" t="str">
        <f>MID(Tabla1[[#This Row],[Aplicación]],14,6)</f>
        <v>22699</v>
      </c>
    </row>
    <row r="963" spans="1:24" x14ac:dyDescent="0.25">
      <c r="A963" s="46">
        <v>220229000397</v>
      </c>
      <c r="B963" s="47" t="s">
        <v>507</v>
      </c>
      <c r="C963" s="52">
        <v>44927</v>
      </c>
      <c r="D963" s="46">
        <v>22023001173</v>
      </c>
      <c r="E963" s="47" t="s">
        <v>533</v>
      </c>
      <c r="F963" s="53">
        <v>464.66</v>
      </c>
      <c r="G963" s="47" t="s">
        <v>400</v>
      </c>
      <c r="H963" s="47" t="s">
        <v>2140</v>
      </c>
      <c r="I963" s="46" t="s">
        <v>511</v>
      </c>
      <c r="J963" s="47" t="s">
        <v>519</v>
      </c>
      <c r="K963" s="47" t="s">
        <v>519</v>
      </c>
      <c r="L963" s="47" t="s">
        <v>527</v>
      </c>
      <c r="M963" s="47" t="s">
        <v>514</v>
      </c>
      <c r="N963" s="47" t="s">
        <v>515</v>
      </c>
      <c r="O963" s="54" t="s">
        <v>382</v>
      </c>
      <c r="P963" s="44" t="s">
        <v>309</v>
      </c>
      <c r="Q963" s="59" t="str">
        <f>MID(Tabla1[[#This Row],[Aplicación]],14,1)</f>
        <v>6</v>
      </c>
      <c r="R963" s="35" t="s">
        <v>299</v>
      </c>
      <c r="S963" s="59" t="str">
        <f>MID(Tabla1[[#This Row],[Aplicación]],6,2)</f>
        <v>08</v>
      </c>
      <c r="T963" s="35" t="str">
        <f>VLOOKUP(Tabla1[[#This Row],[AREA]],Hoja1!A:B,2,FALSE)</f>
        <v>08. Movilidad y espacio urbano</v>
      </c>
      <c r="U963" s="56" t="str">
        <f>MID(Tabla1[[#This Row],[Aplicación]],9,4)</f>
        <v>1341</v>
      </c>
      <c r="V963" s="35" t="str">
        <f>VLOOKUP(Tabla1[[#This Row],[PROGRAMA]],Hoja1!A:B,2,FALSE)</f>
        <v>1341. Movilidad</v>
      </c>
      <c r="W963" s="56" t="str">
        <f>MID(Tabla1[[#This Row],[Aplicación]],14,2)</f>
        <v>61</v>
      </c>
      <c r="X963" s="56" t="str">
        <f>MID(Tabla1[[#This Row],[Aplicación]],14,6)</f>
        <v>619</v>
      </c>
    </row>
    <row r="964" spans="1:24" x14ac:dyDescent="0.25">
      <c r="A964" s="46">
        <v>220229000552</v>
      </c>
      <c r="B964" s="47" t="s">
        <v>507</v>
      </c>
      <c r="C964" s="52">
        <v>44927</v>
      </c>
      <c r="D964" s="46">
        <v>22023001216</v>
      </c>
      <c r="E964" s="47" t="s">
        <v>1822</v>
      </c>
      <c r="F964" s="53">
        <v>12408.55</v>
      </c>
      <c r="G964" s="47" t="s">
        <v>2141</v>
      </c>
      <c r="H964" s="47" t="s">
        <v>2142</v>
      </c>
      <c r="I964" s="46" t="s">
        <v>511</v>
      </c>
      <c r="J964" s="47" t="s">
        <v>2143</v>
      </c>
      <c r="K964" s="47" t="s">
        <v>512</v>
      </c>
      <c r="L964" s="47" t="s">
        <v>520</v>
      </c>
      <c r="M964" s="47" t="s">
        <v>976</v>
      </c>
      <c r="N964" s="47" t="s">
        <v>839</v>
      </c>
      <c r="O964" s="45" t="s">
        <v>383</v>
      </c>
      <c r="P964" s="44" t="s">
        <v>309</v>
      </c>
      <c r="Q964" s="59" t="str">
        <f>MID(Tabla1[[#This Row],[Aplicación]],14,1)</f>
        <v>2</v>
      </c>
      <c r="R964" s="35" t="s">
        <v>298</v>
      </c>
      <c r="S964" s="59" t="str">
        <f>MID(Tabla1[[#This Row],[Aplicación]],6,2)</f>
        <v>05</v>
      </c>
      <c r="T964" s="35" t="str">
        <f>VLOOKUP(Tabla1[[#This Row],[AREA]],Hoja1!A:B,2,FALSE)</f>
        <v>05. Innovación, desarrollo económico, empleo y comercio</v>
      </c>
      <c r="U964" s="35" t="str">
        <f>MID(Tabla1[[#This Row],[Aplicación]],9,4)</f>
        <v>4312</v>
      </c>
      <c r="V964" s="35" t="str">
        <f>VLOOKUP(Tabla1[[#This Row],[PROGRAMA]],Hoja1!A:B,2,FALSE)</f>
        <v>4312. Mercados, abastos y lonjas</v>
      </c>
      <c r="W964" s="56" t="str">
        <f>MID(Tabla1[[#This Row],[Aplicación]],14,2)</f>
        <v>22</v>
      </c>
      <c r="X964" s="56" t="str">
        <f>MID(Tabla1[[#This Row],[Aplicación]],14,6)</f>
        <v>22799</v>
      </c>
    </row>
    <row r="965" spans="1:24" x14ac:dyDescent="0.25">
      <c r="A965" s="46">
        <v>220229000652</v>
      </c>
      <c r="B965" s="47" t="s">
        <v>507</v>
      </c>
      <c r="C965" s="52">
        <v>44927</v>
      </c>
      <c r="D965" s="46">
        <v>22023001260</v>
      </c>
      <c r="E965" s="47" t="s">
        <v>618</v>
      </c>
      <c r="F965" s="53">
        <v>2603.98</v>
      </c>
      <c r="G965" s="47" t="s">
        <v>20</v>
      </c>
      <c r="H965" s="47" t="s">
        <v>2144</v>
      </c>
      <c r="I965" s="46" t="s">
        <v>511</v>
      </c>
      <c r="J965" s="47" t="s">
        <v>519</v>
      </c>
      <c r="K965" s="47" t="s">
        <v>519</v>
      </c>
      <c r="L965" s="47" t="s">
        <v>520</v>
      </c>
      <c r="M965" s="47" t="s">
        <v>976</v>
      </c>
      <c r="N965" s="47" t="s">
        <v>839</v>
      </c>
      <c r="O965" s="45" t="s">
        <v>383</v>
      </c>
      <c r="P965" s="44" t="s">
        <v>309</v>
      </c>
      <c r="Q965" s="59" t="str">
        <f>MID(Tabla1[[#This Row],[Aplicación]],14,1)</f>
        <v>2</v>
      </c>
      <c r="R965" s="35" t="s">
        <v>298</v>
      </c>
      <c r="S965" s="59" t="str">
        <f>MID(Tabla1[[#This Row],[Aplicación]],6,2)</f>
        <v>10</v>
      </c>
      <c r="T965" s="35" t="str">
        <f>VLOOKUP(Tabla1[[#This Row],[AREA]],Hoja1!A:B,2,FALSE)</f>
        <v>10. Servicios sociales y mediación comunitaria</v>
      </c>
      <c r="U965" s="35" t="str">
        <f>MID(Tabla1[[#This Row],[Aplicación]],9,4)</f>
        <v>2311</v>
      </c>
      <c r="V965" s="35" t="str">
        <f>VLOOKUP(Tabla1[[#This Row],[PROGRAMA]],Hoja1!A:B,2,FALSE)</f>
        <v>2311. Intervención social</v>
      </c>
      <c r="W965" s="56" t="str">
        <f>MID(Tabla1[[#This Row],[Aplicación]],14,2)</f>
        <v>21</v>
      </c>
      <c r="X965" s="56" t="str">
        <f>MID(Tabla1[[#This Row],[Aplicación]],14,6)</f>
        <v>213</v>
      </c>
    </row>
    <row r="966" spans="1:24" x14ac:dyDescent="0.25">
      <c r="A966" s="46">
        <v>220229000658</v>
      </c>
      <c r="B966" s="47" t="s">
        <v>507</v>
      </c>
      <c r="C966" s="52">
        <v>44927</v>
      </c>
      <c r="D966" s="46">
        <v>22023001266</v>
      </c>
      <c r="E966" s="47" t="s">
        <v>616</v>
      </c>
      <c r="F966" s="53">
        <v>1228.33</v>
      </c>
      <c r="G966" s="47" t="s">
        <v>20</v>
      </c>
      <c r="H966" s="47" t="s">
        <v>2145</v>
      </c>
      <c r="I966" s="46" t="s">
        <v>511</v>
      </c>
      <c r="J966" s="47" t="s">
        <v>519</v>
      </c>
      <c r="K966" s="47" t="s">
        <v>519</v>
      </c>
      <c r="L966" s="47" t="s">
        <v>520</v>
      </c>
      <c r="M966" s="47" t="s">
        <v>976</v>
      </c>
      <c r="N966" s="47" t="s">
        <v>839</v>
      </c>
      <c r="O966" s="45" t="s">
        <v>383</v>
      </c>
      <c r="P966" s="44" t="s">
        <v>309</v>
      </c>
      <c r="Q966" s="59" t="str">
        <f>MID(Tabla1[[#This Row],[Aplicación]],14,1)</f>
        <v>2</v>
      </c>
      <c r="R966" s="35" t="s">
        <v>298</v>
      </c>
      <c r="S966" s="59" t="str">
        <f>MID(Tabla1[[#This Row],[Aplicación]],6,2)</f>
        <v>10</v>
      </c>
      <c r="T966" s="35" t="str">
        <f>VLOOKUP(Tabla1[[#This Row],[AREA]],Hoja1!A:B,2,FALSE)</f>
        <v>10. Servicios sociales y mediación comunitaria</v>
      </c>
      <c r="U966" s="35" t="str">
        <f>MID(Tabla1[[#This Row],[Aplicación]],9,4)</f>
        <v>2412</v>
      </c>
      <c r="V966" s="35" t="str">
        <f>VLOOKUP(Tabla1[[#This Row],[PROGRAMA]],Hoja1!A:B,2,FALSE)</f>
        <v>2412. Formación para el empleo</v>
      </c>
      <c r="W966" s="56" t="str">
        <f>MID(Tabla1[[#This Row],[Aplicación]],14,2)</f>
        <v>21</v>
      </c>
      <c r="X966" s="56" t="str">
        <f>MID(Tabla1[[#This Row],[Aplicación]],14,6)</f>
        <v>213</v>
      </c>
    </row>
    <row r="967" spans="1:24" x14ac:dyDescent="0.25">
      <c r="A967" s="46">
        <v>220230007170</v>
      </c>
      <c r="B967" s="47" t="s">
        <v>1337</v>
      </c>
      <c r="C967" s="52">
        <v>44987</v>
      </c>
      <c r="D967" s="46">
        <v>22023001266</v>
      </c>
      <c r="E967" s="47" t="s">
        <v>616</v>
      </c>
      <c r="F967" s="53">
        <v>-1228.33</v>
      </c>
      <c r="G967" s="47" t="s">
        <v>20</v>
      </c>
      <c r="H967" s="47" t="s">
        <v>2146</v>
      </c>
      <c r="I967" s="46" t="s">
        <v>511</v>
      </c>
      <c r="J967" s="47" t="s">
        <v>519</v>
      </c>
      <c r="K967" s="47" t="s">
        <v>519</v>
      </c>
      <c r="L967" s="47" t="s">
        <v>520</v>
      </c>
      <c r="M967" s="47" t="s">
        <v>976</v>
      </c>
      <c r="N967" s="47" t="s">
        <v>839</v>
      </c>
      <c r="O967" s="54" t="s">
        <v>383</v>
      </c>
      <c r="P967" s="44" t="s">
        <v>309</v>
      </c>
      <c r="Q967" s="59" t="str">
        <f>MID(Tabla1[[#This Row],[Aplicación]],14,1)</f>
        <v>2</v>
      </c>
      <c r="R967" s="35" t="s">
        <v>298</v>
      </c>
      <c r="S967" s="59" t="str">
        <f>MID(Tabla1[[#This Row],[Aplicación]],6,2)</f>
        <v>10</v>
      </c>
      <c r="T967" s="35" t="str">
        <f>VLOOKUP(Tabla1[[#This Row],[AREA]],Hoja1!A:B,2,FALSE)</f>
        <v>10. Servicios sociales y mediación comunitaria</v>
      </c>
      <c r="U967" s="35" t="str">
        <f>MID(Tabla1[[#This Row],[Aplicación]],9,4)</f>
        <v>2412</v>
      </c>
      <c r="V967" s="35" t="str">
        <f>VLOOKUP(Tabla1[[#This Row],[PROGRAMA]],Hoja1!A:B,2,FALSE)</f>
        <v>2412. Formación para el empleo</v>
      </c>
      <c r="W967" s="56" t="str">
        <f>MID(Tabla1[[#This Row],[Aplicación]],14,2)</f>
        <v>21</v>
      </c>
      <c r="X967" s="56" t="str">
        <f>MID(Tabla1[[#This Row],[Aplicación]],14,6)</f>
        <v>213</v>
      </c>
    </row>
    <row r="968" spans="1:24" x14ac:dyDescent="0.25">
      <c r="A968" s="46">
        <v>220229000703</v>
      </c>
      <c r="B968" s="47" t="s">
        <v>507</v>
      </c>
      <c r="C968" s="52">
        <v>44927</v>
      </c>
      <c r="D968" s="46">
        <v>22023001288</v>
      </c>
      <c r="E968" s="47" t="s">
        <v>772</v>
      </c>
      <c r="F968" s="53">
        <v>18578.55</v>
      </c>
      <c r="G968" s="47" t="s">
        <v>2082</v>
      </c>
      <c r="H968" s="47" t="s">
        <v>2147</v>
      </c>
      <c r="I968" s="46" t="s">
        <v>511</v>
      </c>
      <c r="J968" s="47" t="s">
        <v>519</v>
      </c>
      <c r="K968" s="47" t="s">
        <v>519</v>
      </c>
      <c r="L968" s="47" t="s">
        <v>520</v>
      </c>
      <c r="M968" s="47" t="s">
        <v>514</v>
      </c>
      <c r="N968" s="47" t="s">
        <v>515</v>
      </c>
      <c r="O968" s="45" t="s">
        <v>371</v>
      </c>
      <c r="P968" s="44" t="s">
        <v>309</v>
      </c>
      <c r="Q968" s="59" t="str">
        <f>MID(Tabla1[[#This Row],[Aplicación]],14,1)</f>
        <v>2</v>
      </c>
      <c r="R968" s="35" t="s">
        <v>298</v>
      </c>
      <c r="S968" s="59" t="str">
        <f>MID(Tabla1[[#This Row],[Aplicación]],6,2)</f>
        <v>06</v>
      </c>
      <c r="T968" s="35" t="str">
        <f>VLOOKUP(Tabla1[[#This Row],[AREA]],Hoja1!A:B,2,FALSE)</f>
        <v>06. Educación, infancia, juventud e igualdad</v>
      </c>
      <c r="U968" s="35" t="str">
        <f>MID(Tabla1[[#This Row],[Aplicación]],9,4)</f>
        <v>2314</v>
      </c>
      <c r="V968" s="35" t="str">
        <f>VLOOKUP(Tabla1[[#This Row],[PROGRAMA]],Hoja1!A:B,2,FALSE)</f>
        <v>2314. Centro de programas juveniles</v>
      </c>
      <c r="W968" s="56" t="str">
        <f>MID(Tabla1[[#This Row],[Aplicación]],14,2)</f>
        <v>22</v>
      </c>
      <c r="X968" s="56" t="str">
        <f>MID(Tabla1[[#This Row],[Aplicación]],14,6)</f>
        <v>22799</v>
      </c>
    </row>
    <row r="969" spans="1:24" x14ac:dyDescent="0.25">
      <c r="A969" s="46">
        <v>220230003421</v>
      </c>
      <c r="B969" s="47" t="s">
        <v>507</v>
      </c>
      <c r="C969" s="52">
        <v>44971</v>
      </c>
      <c r="D969" s="46">
        <v>22023002159</v>
      </c>
      <c r="E969" s="47" t="s">
        <v>1371</v>
      </c>
      <c r="F969" s="53">
        <v>4660.92</v>
      </c>
      <c r="G969" s="47" t="s">
        <v>70</v>
      </c>
      <c r="H969" s="47" t="s">
        <v>2148</v>
      </c>
      <c r="I969" s="46" t="s">
        <v>511</v>
      </c>
      <c r="J969" s="47" t="s">
        <v>519</v>
      </c>
      <c r="K969" s="47" t="s">
        <v>519</v>
      </c>
      <c r="L969" s="47" t="s">
        <v>552</v>
      </c>
      <c r="M969" s="47" t="s">
        <v>976</v>
      </c>
      <c r="N969" s="47" t="s">
        <v>839</v>
      </c>
      <c r="O969" s="45" t="s">
        <v>383</v>
      </c>
      <c r="P969" s="44" t="s">
        <v>309</v>
      </c>
      <c r="Q969" s="59" t="str">
        <f>MID(Tabla1[[#This Row],[Aplicación]],14,1)</f>
        <v>2</v>
      </c>
      <c r="R969" s="35" t="s">
        <v>298</v>
      </c>
      <c r="S969" s="59" t="str">
        <f>MID(Tabla1[[#This Row],[Aplicación]],6,2)</f>
        <v>10</v>
      </c>
      <c r="T969" s="35" t="str">
        <f>VLOOKUP(Tabla1[[#This Row],[AREA]],Hoja1!A:B,2,FALSE)</f>
        <v>10. Servicios sociales y mediación comunitaria</v>
      </c>
      <c r="U969" s="35" t="str">
        <f>MID(Tabla1[[#This Row],[Aplicación]],9,4)</f>
        <v>2412</v>
      </c>
      <c r="V969" s="35" t="str">
        <f>VLOOKUP(Tabla1[[#This Row],[PROGRAMA]],Hoja1!A:B,2,FALSE)</f>
        <v>2412. Formación para el empleo</v>
      </c>
      <c r="W969" s="56" t="str">
        <f>MID(Tabla1[[#This Row],[Aplicación]],14,2)</f>
        <v>22</v>
      </c>
      <c r="X969" s="56" t="str">
        <f>MID(Tabla1[[#This Row],[Aplicación]],14,6)</f>
        <v>22104</v>
      </c>
    </row>
    <row r="970" spans="1:24" x14ac:dyDescent="0.25">
      <c r="A970" s="55">
        <v>220230012866</v>
      </c>
      <c r="B970" s="47" t="s">
        <v>507</v>
      </c>
      <c r="C970" s="52">
        <v>45016</v>
      </c>
      <c r="D970" s="46">
        <v>22023003577</v>
      </c>
      <c r="E970" s="47" t="s">
        <v>546</v>
      </c>
      <c r="F970" s="53">
        <v>21.63</v>
      </c>
      <c r="G970" s="47" t="s">
        <v>400</v>
      </c>
      <c r="H970" s="47" t="s">
        <v>2149</v>
      </c>
      <c r="I970" s="46" t="s">
        <v>511</v>
      </c>
      <c r="J970" s="47" t="s">
        <v>519</v>
      </c>
      <c r="K970" s="47" t="s">
        <v>519</v>
      </c>
      <c r="L970" s="47" t="s">
        <v>520</v>
      </c>
      <c r="M970" s="47" t="s">
        <v>514</v>
      </c>
      <c r="N970" s="47" t="s">
        <v>515</v>
      </c>
      <c r="O970" s="54" t="s">
        <v>382</v>
      </c>
      <c r="P970" s="44" t="s">
        <v>309</v>
      </c>
      <c r="Q970" s="59" t="str">
        <f>MID(Tabla1[[#This Row],[Aplicación]],14,1)</f>
        <v>6</v>
      </c>
      <c r="R970" s="35" t="s">
        <v>299</v>
      </c>
      <c r="S970" s="59" t="str">
        <f>MID(Tabla1[[#This Row],[Aplicación]],6,2)</f>
        <v>08</v>
      </c>
      <c r="T970" s="35" t="str">
        <f>VLOOKUP(Tabla1[[#This Row],[AREA]],Hoja1!A:B,2,FALSE)</f>
        <v>08. Movilidad y espacio urbano</v>
      </c>
      <c r="U970" s="35" t="str">
        <f>MID(Tabla1[[#This Row],[Aplicación]],9,4)</f>
        <v>1532</v>
      </c>
      <c r="V970" s="35" t="str">
        <f>VLOOKUP(Tabla1[[#This Row],[PROGRAMA]],Hoja1!A:B,2,FALSE)</f>
        <v>1532. Pavimentación vias públicas y otros servicios urbanísticos</v>
      </c>
      <c r="W970" s="56" t="str">
        <f>MID(Tabla1[[#This Row],[Aplicación]],14,2)</f>
        <v>61</v>
      </c>
      <c r="X970" s="56" t="str">
        <f>MID(Tabla1[[#This Row],[Aplicación]],14,6)</f>
        <v>619</v>
      </c>
    </row>
    <row r="971" spans="1:24" x14ac:dyDescent="0.25">
      <c r="A971" s="46">
        <v>220230002638</v>
      </c>
      <c r="B971" s="47" t="s">
        <v>507</v>
      </c>
      <c r="C971" s="52">
        <v>44966</v>
      </c>
      <c r="D971" s="46">
        <v>22023002171</v>
      </c>
      <c r="E971" s="47" t="s">
        <v>1191</v>
      </c>
      <c r="F971" s="53">
        <v>704</v>
      </c>
      <c r="G971" s="47" t="s">
        <v>55</v>
      </c>
      <c r="H971" s="47" t="s">
        <v>2150</v>
      </c>
      <c r="I971" s="46" t="s">
        <v>511</v>
      </c>
      <c r="J971" s="47" t="s">
        <v>949</v>
      </c>
      <c r="K971" s="47" t="s">
        <v>519</v>
      </c>
      <c r="L971" s="47" t="s">
        <v>520</v>
      </c>
      <c r="M971" s="47" t="s">
        <v>976</v>
      </c>
      <c r="N971" s="47" t="s">
        <v>839</v>
      </c>
      <c r="O971" s="45" t="s">
        <v>383</v>
      </c>
      <c r="P971" s="44" t="s">
        <v>309</v>
      </c>
      <c r="Q971" s="59" t="str">
        <f>MID(Tabla1[[#This Row],[Aplicación]],14,1)</f>
        <v>2</v>
      </c>
      <c r="R971" s="35" t="s">
        <v>298</v>
      </c>
      <c r="S971" s="59" t="str">
        <f>MID(Tabla1[[#This Row],[Aplicación]],6,2)</f>
        <v>06</v>
      </c>
      <c r="T971" s="35" t="str">
        <f>VLOOKUP(Tabla1[[#This Row],[AREA]],Hoja1!A:B,2,FALSE)</f>
        <v>06. Educación, infancia, juventud e igualdad</v>
      </c>
      <c r="U971" s="35" t="str">
        <f>MID(Tabla1[[#This Row],[Aplicación]],9,4)</f>
        <v>2315</v>
      </c>
      <c r="V971" s="35" t="str">
        <f>VLOOKUP(Tabla1[[#This Row],[PROGRAMA]],Hoja1!A:B,2,FALSE)</f>
        <v>2315. Políticas de Igualdad e infancia</v>
      </c>
      <c r="W971" s="56" t="str">
        <f>MID(Tabla1[[#This Row],[Aplicación]],14,2)</f>
        <v>22</v>
      </c>
      <c r="X971" s="56" t="str">
        <f>MID(Tabla1[[#This Row],[Aplicación]],14,6)</f>
        <v>22611</v>
      </c>
    </row>
    <row r="972" spans="1:24" x14ac:dyDescent="0.25">
      <c r="A972" s="46">
        <v>220230006767</v>
      </c>
      <c r="B972" s="47" t="s">
        <v>507</v>
      </c>
      <c r="C972" s="52">
        <v>44986</v>
      </c>
      <c r="D972" s="46">
        <v>22023002171</v>
      </c>
      <c r="E972" s="47" t="s">
        <v>1191</v>
      </c>
      <c r="F972" s="53">
        <v>893.2</v>
      </c>
      <c r="G972" s="47" t="s">
        <v>55</v>
      </c>
      <c r="H972" s="47" t="s">
        <v>2151</v>
      </c>
      <c r="I972" s="46" t="s">
        <v>511</v>
      </c>
      <c r="J972" s="47" t="s">
        <v>949</v>
      </c>
      <c r="K972" s="47" t="s">
        <v>519</v>
      </c>
      <c r="L972" s="47" t="s">
        <v>520</v>
      </c>
      <c r="M972" s="47" t="s">
        <v>976</v>
      </c>
      <c r="N972" s="47" t="s">
        <v>839</v>
      </c>
      <c r="O972" s="45" t="s">
        <v>383</v>
      </c>
      <c r="P972" s="44" t="s">
        <v>309</v>
      </c>
      <c r="Q972" s="59" t="str">
        <f>MID(Tabla1[[#This Row],[Aplicación]],14,1)</f>
        <v>2</v>
      </c>
      <c r="R972" s="35" t="s">
        <v>298</v>
      </c>
      <c r="S972" s="59" t="str">
        <f>MID(Tabla1[[#This Row],[Aplicación]],6,2)</f>
        <v>06</v>
      </c>
      <c r="T972" s="35" t="str">
        <f>VLOOKUP(Tabla1[[#This Row],[AREA]],Hoja1!A:B,2,FALSE)</f>
        <v>06. Educación, infancia, juventud e igualdad</v>
      </c>
      <c r="U972" s="35" t="str">
        <f>MID(Tabla1[[#This Row],[Aplicación]],9,4)</f>
        <v>2315</v>
      </c>
      <c r="V972" s="35" t="str">
        <f>VLOOKUP(Tabla1[[#This Row],[PROGRAMA]],Hoja1!A:B,2,FALSE)</f>
        <v>2315. Políticas de Igualdad e infancia</v>
      </c>
      <c r="W972" s="56" t="str">
        <f>MID(Tabla1[[#This Row],[Aplicación]],14,2)</f>
        <v>22</v>
      </c>
      <c r="X972" s="56" t="str">
        <f>MID(Tabla1[[#This Row],[Aplicación]],14,6)</f>
        <v>22611</v>
      </c>
    </row>
    <row r="973" spans="1:24" x14ac:dyDescent="0.25">
      <c r="A973" s="46">
        <v>220230003224</v>
      </c>
      <c r="B973" s="47" t="s">
        <v>507</v>
      </c>
      <c r="C973" s="52">
        <v>44971</v>
      </c>
      <c r="D973" s="46">
        <v>22023001679</v>
      </c>
      <c r="E973" s="47" t="s">
        <v>1510</v>
      </c>
      <c r="F973" s="53">
        <v>104.06</v>
      </c>
      <c r="G973" s="47" t="s">
        <v>1915</v>
      </c>
      <c r="H973" s="47" t="s">
        <v>2152</v>
      </c>
      <c r="I973" s="46" t="s">
        <v>511</v>
      </c>
      <c r="J973" s="47" t="s">
        <v>953</v>
      </c>
      <c r="K973" s="47" t="s">
        <v>519</v>
      </c>
      <c r="L973" s="47" t="s">
        <v>552</v>
      </c>
      <c r="M973" s="47" t="s">
        <v>976</v>
      </c>
      <c r="N973" s="47" t="s">
        <v>839</v>
      </c>
      <c r="O973" s="45" t="s">
        <v>383</v>
      </c>
      <c r="P973" s="44" t="s">
        <v>309</v>
      </c>
      <c r="Q973" s="59" t="str">
        <f>MID(Tabla1[[#This Row],[Aplicación]],14,1)</f>
        <v>2</v>
      </c>
      <c r="R973" s="35" t="s">
        <v>298</v>
      </c>
      <c r="S973" s="59" t="str">
        <f>MID(Tabla1[[#This Row],[Aplicación]],6,2)</f>
        <v>10</v>
      </c>
      <c r="T973" s="35" t="str">
        <f>VLOOKUP(Tabla1[[#This Row],[AREA]],Hoja1!A:B,2,FALSE)</f>
        <v>10. Servicios sociales y mediación comunitaria</v>
      </c>
      <c r="U973" s="35" t="str">
        <f>MID(Tabla1[[#This Row],[Aplicación]],9,4)</f>
        <v>2311</v>
      </c>
      <c r="V973" s="35" t="str">
        <f>VLOOKUP(Tabla1[[#This Row],[PROGRAMA]],Hoja1!A:B,2,FALSE)</f>
        <v>2311. Intervención social</v>
      </c>
      <c r="W973" s="56" t="str">
        <f>MID(Tabla1[[#This Row],[Aplicación]],14,2)</f>
        <v>21</v>
      </c>
      <c r="X973" s="56" t="str">
        <f>MID(Tabla1[[#This Row],[Aplicación]],14,6)</f>
        <v>212</v>
      </c>
    </row>
    <row r="974" spans="1:24" x14ac:dyDescent="0.25">
      <c r="A974" s="46">
        <v>220230003226</v>
      </c>
      <c r="B974" s="47" t="s">
        <v>507</v>
      </c>
      <c r="C974" s="52">
        <v>44971</v>
      </c>
      <c r="D974" s="46">
        <v>22023001694</v>
      </c>
      <c r="E974" s="47" t="s">
        <v>1512</v>
      </c>
      <c r="F974" s="53">
        <v>461.66</v>
      </c>
      <c r="G974" s="47" t="s">
        <v>1915</v>
      </c>
      <c r="H974" s="47" t="s">
        <v>2153</v>
      </c>
      <c r="I974" s="46" t="s">
        <v>511</v>
      </c>
      <c r="J974" s="47" t="s">
        <v>953</v>
      </c>
      <c r="K974" s="47" t="s">
        <v>519</v>
      </c>
      <c r="L974" s="47" t="s">
        <v>552</v>
      </c>
      <c r="M974" s="47" t="s">
        <v>976</v>
      </c>
      <c r="N974" s="47" t="s">
        <v>839</v>
      </c>
      <c r="O974" s="45" t="s">
        <v>383</v>
      </c>
      <c r="P974" s="44" t="s">
        <v>309</v>
      </c>
      <c r="Q974" s="59" t="str">
        <f>MID(Tabla1[[#This Row],[Aplicación]],14,1)</f>
        <v>2</v>
      </c>
      <c r="R974" s="35" t="s">
        <v>298</v>
      </c>
      <c r="S974" s="59" t="str">
        <f>MID(Tabla1[[#This Row],[Aplicación]],6,2)</f>
        <v>10</v>
      </c>
      <c r="T974" s="35" t="str">
        <f>VLOOKUP(Tabla1[[#This Row],[AREA]],Hoja1!A:B,2,FALSE)</f>
        <v>10. Servicios sociales y mediación comunitaria</v>
      </c>
      <c r="U974" s="35" t="str">
        <f>MID(Tabla1[[#This Row],[Aplicación]],9,4)</f>
        <v>2312</v>
      </c>
      <c r="V974" s="35" t="str">
        <f>VLOOKUP(Tabla1[[#This Row],[PROGRAMA]],Hoja1!A:B,2,FALSE)</f>
        <v>2312. Iniciativas sociales</v>
      </c>
      <c r="W974" s="56" t="str">
        <f>MID(Tabla1[[#This Row],[Aplicación]],14,2)</f>
        <v>21</v>
      </c>
      <c r="X974" s="56" t="str">
        <f>MID(Tabla1[[#This Row],[Aplicación]],14,6)</f>
        <v>212</v>
      </c>
    </row>
    <row r="975" spans="1:24" x14ac:dyDescent="0.25">
      <c r="A975" s="46">
        <v>220229000747</v>
      </c>
      <c r="B975" s="47" t="s">
        <v>507</v>
      </c>
      <c r="C975" s="52">
        <v>44927</v>
      </c>
      <c r="D975" s="46">
        <v>22023001316</v>
      </c>
      <c r="E975" s="47" t="s">
        <v>2154</v>
      </c>
      <c r="F975" s="53">
        <v>6923.45</v>
      </c>
      <c r="G975" s="47" t="s">
        <v>914</v>
      </c>
      <c r="H975" s="47" t="s">
        <v>2155</v>
      </c>
      <c r="I975" s="46" t="s">
        <v>511</v>
      </c>
      <c r="J975" s="47" t="s">
        <v>716</v>
      </c>
      <c r="K975" s="47" t="s">
        <v>717</v>
      </c>
      <c r="L975" s="47" t="s">
        <v>520</v>
      </c>
      <c r="M975" s="47" t="s">
        <v>514</v>
      </c>
      <c r="N975" s="47" t="s">
        <v>515</v>
      </c>
      <c r="O975" s="45" t="s">
        <v>371</v>
      </c>
      <c r="P975" s="44" t="s">
        <v>309</v>
      </c>
      <c r="Q975" s="59" t="str">
        <f>MID(Tabla1[[#This Row],[Aplicación]],14,1)</f>
        <v>2</v>
      </c>
      <c r="R975" s="35" t="s">
        <v>298</v>
      </c>
      <c r="S975" s="59" t="str">
        <f>MID(Tabla1[[#This Row],[Aplicación]],6,2)</f>
        <v>11</v>
      </c>
      <c r="T975" s="35" t="str">
        <f>VLOOKUP(Tabla1[[#This Row],[AREA]],Hoja1!A:B,2,FALSE)</f>
        <v>11. Salud pública y seguridad ciudadana</v>
      </c>
      <c r="U975" s="35" t="str">
        <f>MID(Tabla1[[#This Row],[Aplicación]],9,4)</f>
        <v>3111</v>
      </c>
      <c r="V975" s="35" t="str">
        <f>VLOOKUP(Tabla1[[#This Row],[PROGRAMA]],Hoja1!A:B,2,FALSE)</f>
        <v>3111. Protección de la salubridad pública</v>
      </c>
      <c r="W975" s="56" t="str">
        <f>MID(Tabla1[[#This Row],[Aplicación]],14,2)</f>
        <v>22</v>
      </c>
      <c r="X975" s="56" t="str">
        <f>MID(Tabla1[[#This Row],[Aplicación]],14,6)</f>
        <v>22700</v>
      </c>
    </row>
    <row r="976" spans="1:24" x14ac:dyDescent="0.25">
      <c r="A976" s="46">
        <v>220229000748</v>
      </c>
      <c r="B976" s="47" t="s">
        <v>507</v>
      </c>
      <c r="C976" s="52">
        <v>44927</v>
      </c>
      <c r="D976" s="46">
        <v>22023001317</v>
      </c>
      <c r="E976" s="47" t="s">
        <v>2154</v>
      </c>
      <c r="F976" s="53">
        <v>3465.58</v>
      </c>
      <c r="G976" s="47" t="s">
        <v>914</v>
      </c>
      <c r="H976" s="47" t="s">
        <v>2156</v>
      </c>
      <c r="I976" s="46" t="s">
        <v>511</v>
      </c>
      <c r="J976" s="47" t="s">
        <v>716</v>
      </c>
      <c r="K976" s="47" t="s">
        <v>717</v>
      </c>
      <c r="L976" s="47" t="s">
        <v>520</v>
      </c>
      <c r="M976" s="47" t="s">
        <v>514</v>
      </c>
      <c r="N976" s="47" t="s">
        <v>515</v>
      </c>
      <c r="O976" s="45" t="s">
        <v>371</v>
      </c>
      <c r="P976" s="44" t="s">
        <v>309</v>
      </c>
      <c r="Q976" s="59" t="str">
        <f>MID(Tabla1[[#This Row],[Aplicación]],14,1)</f>
        <v>2</v>
      </c>
      <c r="R976" s="35" t="s">
        <v>298</v>
      </c>
      <c r="S976" s="59" t="str">
        <f>MID(Tabla1[[#This Row],[Aplicación]],6,2)</f>
        <v>11</v>
      </c>
      <c r="T976" s="35" t="str">
        <f>VLOOKUP(Tabla1[[#This Row],[AREA]],Hoja1!A:B,2,FALSE)</f>
        <v>11. Salud pública y seguridad ciudadana</v>
      </c>
      <c r="U976" s="35" t="str">
        <f>MID(Tabla1[[#This Row],[Aplicación]],9,4)</f>
        <v>3111</v>
      </c>
      <c r="V976" s="35" t="str">
        <f>VLOOKUP(Tabla1[[#This Row],[PROGRAMA]],Hoja1!A:B,2,FALSE)</f>
        <v>3111. Protección de la salubridad pública</v>
      </c>
      <c r="W976" s="56" t="str">
        <f>MID(Tabla1[[#This Row],[Aplicación]],14,2)</f>
        <v>22</v>
      </c>
      <c r="X976" s="56" t="str">
        <f>MID(Tabla1[[#This Row],[Aplicación]],14,6)</f>
        <v>22700</v>
      </c>
    </row>
    <row r="977" spans="1:24" x14ac:dyDescent="0.25">
      <c r="A977" s="55">
        <v>220220015831</v>
      </c>
      <c r="B977" s="47" t="s">
        <v>507</v>
      </c>
      <c r="C977" s="52">
        <v>45014</v>
      </c>
      <c r="D977" s="46">
        <v>22022003382</v>
      </c>
      <c r="E977" s="47" t="s">
        <v>1283</v>
      </c>
      <c r="F977" s="53">
        <v>6259.14</v>
      </c>
      <c r="G977" s="47" t="s">
        <v>427</v>
      </c>
      <c r="H977" s="47" t="s">
        <v>2157</v>
      </c>
      <c r="I977" s="46" t="s">
        <v>511</v>
      </c>
      <c r="J977" s="47" t="s">
        <v>519</v>
      </c>
      <c r="K977" s="47" t="s">
        <v>519</v>
      </c>
      <c r="L977" s="47" t="s">
        <v>520</v>
      </c>
      <c r="M977" s="47" t="s">
        <v>976</v>
      </c>
      <c r="N977" s="47" t="s">
        <v>839</v>
      </c>
      <c r="O977" s="54" t="s">
        <v>383</v>
      </c>
      <c r="P977" s="44" t="s">
        <v>309</v>
      </c>
      <c r="Q977" s="59" t="str">
        <f>MID(Tabla1[[#This Row],[Aplicación]],14,1)</f>
        <v>6</v>
      </c>
      <c r="R977" s="35" t="s">
        <v>299</v>
      </c>
      <c r="S977" s="59" t="str">
        <f>MID(Tabla1[[#This Row],[Aplicación]],6,2)</f>
        <v>11</v>
      </c>
      <c r="T977" s="35" t="str">
        <f>VLOOKUP(Tabla1[[#This Row],[AREA]],Hoja1!A:B,2,FALSE)</f>
        <v>11. Salud pública y seguridad ciudadana</v>
      </c>
      <c r="U977" s="35" t="str">
        <f>MID(Tabla1[[#This Row],[Aplicación]],9,4)</f>
        <v>1321</v>
      </c>
      <c r="V977" s="35" t="str">
        <f>VLOOKUP(Tabla1[[#This Row],[PROGRAMA]],Hoja1!A:B,2,FALSE)</f>
        <v>1321. Policía municipal</v>
      </c>
      <c r="W977" s="56" t="str">
        <f>MID(Tabla1[[#This Row],[Aplicación]],14,2)</f>
        <v>63</v>
      </c>
      <c r="X977" s="56" t="str">
        <f>MID(Tabla1[[#This Row],[Aplicación]],14,6)</f>
        <v>632</v>
      </c>
    </row>
    <row r="978" spans="1:24" x14ac:dyDescent="0.25">
      <c r="A978" s="55">
        <v>220220014383</v>
      </c>
      <c r="B978" s="47" t="s">
        <v>507</v>
      </c>
      <c r="C978" s="52">
        <v>45014</v>
      </c>
      <c r="D978" s="46">
        <v>22022003101</v>
      </c>
      <c r="E978" s="47" t="s">
        <v>2158</v>
      </c>
      <c r="F978" s="53">
        <v>6050</v>
      </c>
      <c r="G978" s="47" t="s">
        <v>2159</v>
      </c>
      <c r="H978" s="47" t="s">
        <v>2160</v>
      </c>
      <c r="I978" s="46" t="s">
        <v>511</v>
      </c>
      <c r="J978" s="47" t="s">
        <v>519</v>
      </c>
      <c r="K978" s="47" t="s">
        <v>519</v>
      </c>
      <c r="L978" s="47" t="s">
        <v>520</v>
      </c>
      <c r="M978" s="47" t="s">
        <v>514</v>
      </c>
      <c r="N978" s="47" t="s">
        <v>515</v>
      </c>
      <c r="O978" s="54" t="s">
        <v>371</v>
      </c>
      <c r="P978" s="44" t="s">
        <v>309</v>
      </c>
      <c r="Q978" s="59" t="str">
        <f>MID(Tabla1[[#This Row],[Aplicación]],14,1)</f>
        <v>6</v>
      </c>
      <c r="R978" s="35" t="s">
        <v>299</v>
      </c>
      <c r="S978" s="59" t="str">
        <f>MID(Tabla1[[#This Row],[Aplicación]],6,2)</f>
        <v>02</v>
      </c>
      <c r="T978" s="35" t="str">
        <f>VLOOKUP(Tabla1[[#This Row],[AREA]],Hoja1!A:B,2,FALSE)</f>
        <v>02. Planeamiento urbanístico y vivienda</v>
      </c>
      <c r="U978" s="35" t="str">
        <f>MID(Tabla1[[#This Row],[Aplicación]],9,4)</f>
        <v>1511</v>
      </c>
      <c r="V978" s="35" t="str">
        <f>VLOOKUP(Tabla1[[#This Row],[PROGRAMA]],Hoja1!A:B,2,FALSE)</f>
        <v>1511. Planficación y gestión del urbanismo</v>
      </c>
      <c r="W978" s="56" t="str">
        <f>MID(Tabla1[[#This Row],[Aplicación]],14,2)</f>
        <v>60</v>
      </c>
      <c r="X978" s="56" t="str">
        <f>MID(Tabla1[[#This Row],[Aplicación]],14,6)</f>
        <v>600</v>
      </c>
    </row>
    <row r="979" spans="1:24" x14ac:dyDescent="0.25">
      <c r="A979" s="46">
        <v>220230002946</v>
      </c>
      <c r="B979" s="47" t="s">
        <v>507</v>
      </c>
      <c r="C979" s="52">
        <v>44967</v>
      </c>
      <c r="D979" s="46">
        <v>22023002342</v>
      </c>
      <c r="E979" s="47" t="s">
        <v>1627</v>
      </c>
      <c r="F979" s="53">
        <v>419.87</v>
      </c>
      <c r="G979" s="47" t="s">
        <v>2161</v>
      </c>
      <c r="H979" s="47" t="s">
        <v>2162</v>
      </c>
      <c r="I979" s="46" t="s">
        <v>511</v>
      </c>
      <c r="J979" s="47" t="s">
        <v>519</v>
      </c>
      <c r="K979" s="47" t="s">
        <v>519</v>
      </c>
      <c r="L979" s="47" t="s">
        <v>552</v>
      </c>
      <c r="M979" s="47" t="s">
        <v>976</v>
      </c>
      <c r="N979" s="47" t="s">
        <v>839</v>
      </c>
      <c r="O979" s="45" t="s">
        <v>383</v>
      </c>
      <c r="P979" s="44" t="s">
        <v>309</v>
      </c>
      <c r="Q979" s="59" t="str">
        <f>MID(Tabla1[[#This Row],[Aplicación]],14,1)</f>
        <v>2</v>
      </c>
      <c r="R979" s="35" t="s">
        <v>298</v>
      </c>
      <c r="S979" s="59" t="str">
        <f>MID(Tabla1[[#This Row],[Aplicación]],6,2)</f>
        <v>03</v>
      </c>
      <c r="T979" s="35" t="str">
        <f>VLOOKUP(Tabla1[[#This Row],[AREA]],Hoja1!A:B,2,FALSE)</f>
        <v>03. Participación ciudadana y deportes</v>
      </c>
      <c r="U979" s="35" t="str">
        <f>MID(Tabla1[[#This Row],[Aplicación]],9,4)</f>
        <v>9241</v>
      </c>
      <c r="V979" s="35" t="str">
        <f>VLOOKUP(Tabla1[[#This Row],[PROGRAMA]],Hoja1!A:B,2,FALSE)</f>
        <v>9241. Participación ciudadana</v>
      </c>
      <c r="W979" s="56" t="str">
        <f>MID(Tabla1[[#This Row],[Aplicación]],14,2)</f>
        <v>22</v>
      </c>
      <c r="X979" s="56" t="str">
        <f>MID(Tabla1[[#This Row],[Aplicación]],14,6)</f>
        <v>22199</v>
      </c>
    </row>
    <row r="980" spans="1:24" x14ac:dyDescent="0.25">
      <c r="A980" s="46">
        <v>220230003792</v>
      </c>
      <c r="B980" s="47" t="s">
        <v>507</v>
      </c>
      <c r="C980" s="52">
        <v>44974</v>
      </c>
      <c r="D980" s="46">
        <v>22023002474</v>
      </c>
      <c r="E980" s="47" t="s">
        <v>1382</v>
      </c>
      <c r="F980" s="53">
        <v>231.84</v>
      </c>
      <c r="G980" s="47" t="s">
        <v>2161</v>
      </c>
      <c r="H980" s="47" t="s">
        <v>2163</v>
      </c>
      <c r="I980" s="46" t="s">
        <v>511</v>
      </c>
      <c r="J980" s="47" t="s">
        <v>519</v>
      </c>
      <c r="K980" s="47" t="s">
        <v>519</v>
      </c>
      <c r="L980" s="47" t="s">
        <v>520</v>
      </c>
      <c r="M980" s="47" t="s">
        <v>976</v>
      </c>
      <c r="N980" s="47" t="s">
        <v>839</v>
      </c>
      <c r="O980" s="45" t="s">
        <v>383</v>
      </c>
      <c r="P980" s="44" t="s">
        <v>309</v>
      </c>
      <c r="Q980" s="59" t="str">
        <f>MID(Tabla1[[#This Row],[Aplicación]],14,1)</f>
        <v>2</v>
      </c>
      <c r="R980" s="35" t="s">
        <v>298</v>
      </c>
      <c r="S980" s="59" t="str">
        <f>MID(Tabla1[[#This Row],[Aplicación]],6,2)</f>
        <v>03</v>
      </c>
      <c r="T980" s="35" t="str">
        <f>VLOOKUP(Tabla1[[#This Row],[AREA]],Hoja1!A:B,2,FALSE)</f>
        <v>03. Participación ciudadana y deportes</v>
      </c>
      <c r="U980" s="35" t="str">
        <f>MID(Tabla1[[#This Row],[Aplicación]],9,4)</f>
        <v>9241</v>
      </c>
      <c r="V980" s="35" t="str">
        <f>VLOOKUP(Tabla1[[#This Row],[PROGRAMA]],Hoja1!A:B,2,FALSE)</f>
        <v>9241. Participación ciudadana</v>
      </c>
      <c r="W980" s="56" t="str">
        <f>MID(Tabla1[[#This Row],[Aplicación]],14,2)</f>
        <v>22</v>
      </c>
      <c r="X980" s="56" t="str">
        <f>MID(Tabla1[[#This Row],[Aplicación]],14,6)</f>
        <v>22699</v>
      </c>
    </row>
    <row r="981" spans="1:24" x14ac:dyDescent="0.25">
      <c r="A981" s="46">
        <v>220230005417</v>
      </c>
      <c r="B981" s="47" t="s">
        <v>507</v>
      </c>
      <c r="C981" s="52">
        <v>44979</v>
      </c>
      <c r="D981" s="46">
        <v>22023002640</v>
      </c>
      <c r="E981" s="47" t="s">
        <v>1382</v>
      </c>
      <c r="F981" s="53">
        <v>30.25</v>
      </c>
      <c r="G981" s="47" t="s">
        <v>2161</v>
      </c>
      <c r="H981" s="47" t="s">
        <v>2164</v>
      </c>
      <c r="I981" s="46" t="s">
        <v>511</v>
      </c>
      <c r="J981" s="47" t="s">
        <v>519</v>
      </c>
      <c r="K981" s="47" t="s">
        <v>519</v>
      </c>
      <c r="L981" s="47" t="s">
        <v>552</v>
      </c>
      <c r="M981" s="47" t="s">
        <v>976</v>
      </c>
      <c r="N981" s="47" t="s">
        <v>839</v>
      </c>
      <c r="O981" s="45" t="s">
        <v>383</v>
      </c>
      <c r="P981" s="44" t="s">
        <v>309</v>
      </c>
      <c r="Q981" s="59" t="str">
        <f>MID(Tabla1[[#This Row],[Aplicación]],14,1)</f>
        <v>2</v>
      </c>
      <c r="R981" s="35" t="s">
        <v>298</v>
      </c>
      <c r="S981" s="59" t="str">
        <f>MID(Tabla1[[#This Row],[Aplicación]],6,2)</f>
        <v>03</v>
      </c>
      <c r="T981" s="35" t="str">
        <f>VLOOKUP(Tabla1[[#This Row],[AREA]],Hoja1!A:B,2,FALSE)</f>
        <v>03. Participación ciudadana y deportes</v>
      </c>
      <c r="U981" s="35" t="str">
        <f>MID(Tabla1[[#This Row],[Aplicación]],9,4)</f>
        <v>9241</v>
      </c>
      <c r="V981" s="35" t="str">
        <f>VLOOKUP(Tabla1[[#This Row],[PROGRAMA]],Hoja1!A:B,2,FALSE)</f>
        <v>9241. Participación ciudadana</v>
      </c>
      <c r="W981" s="56" t="str">
        <f>MID(Tabla1[[#This Row],[Aplicación]],14,2)</f>
        <v>22</v>
      </c>
      <c r="X981" s="56" t="str">
        <f>MID(Tabla1[[#This Row],[Aplicación]],14,6)</f>
        <v>22699</v>
      </c>
    </row>
    <row r="982" spans="1:24" x14ac:dyDescent="0.25">
      <c r="A982" s="55">
        <v>220230012870</v>
      </c>
      <c r="B982" s="47" t="s">
        <v>507</v>
      </c>
      <c r="C982" s="52">
        <v>45016</v>
      </c>
      <c r="D982" s="46">
        <v>22023003686</v>
      </c>
      <c r="E982" s="47" t="s">
        <v>1382</v>
      </c>
      <c r="F982" s="53">
        <v>1205.1600000000001</v>
      </c>
      <c r="G982" s="47" t="s">
        <v>2161</v>
      </c>
      <c r="H982" s="47" t="s">
        <v>2165</v>
      </c>
      <c r="I982" s="46" t="s">
        <v>511</v>
      </c>
      <c r="J982" s="47" t="s">
        <v>519</v>
      </c>
      <c r="K982" s="47" t="s">
        <v>519</v>
      </c>
      <c r="L982" s="47" t="s">
        <v>552</v>
      </c>
      <c r="M982" s="47" t="s">
        <v>976</v>
      </c>
      <c r="N982" s="47" t="s">
        <v>839</v>
      </c>
      <c r="O982" s="54" t="s">
        <v>383</v>
      </c>
      <c r="P982" s="44" t="s">
        <v>309</v>
      </c>
      <c r="Q982" s="59" t="str">
        <f>MID(Tabla1[[#This Row],[Aplicación]],14,1)</f>
        <v>2</v>
      </c>
      <c r="R982" s="35" t="s">
        <v>298</v>
      </c>
      <c r="S982" s="59" t="str">
        <f>MID(Tabla1[[#This Row],[Aplicación]],6,2)</f>
        <v>03</v>
      </c>
      <c r="T982" s="35" t="str">
        <f>VLOOKUP(Tabla1[[#This Row],[AREA]],Hoja1!A:B,2,FALSE)</f>
        <v>03. Participación ciudadana y deportes</v>
      </c>
      <c r="U982" s="35" t="str">
        <f>MID(Tabla1[[#This Row],[Aplicación]],9,4)</f>
        <v>9241</v>
      </c>
      <c r="V982" s="35" t="str">
        <f>VLOOKUP(Tabla1[[#This Row],[PROGRAMA]],Hoja1!A:B,2,FALSE)</f>
        <v>9241. Participación ciudadana</v>
      </c>
      <c r="W982" s="56" t="str">
        <f>MID(Tabla1[[#This Row],[Aplicación]],14,2)</f>
        <v>22</v>
      </c>
      <c r="X982" s="56" t="str">
        <f>MID(Tabla1[[#This Row],[Aplicación]],14,6)</f>
        <v>22699</v>
      </c>
    </row>
    <row r="983" spans="1:24" x14ac:dyDescent="0.25">
      <c r="A983" s="55">
        <v>220230010335</v>
      </c>
      <c r="B983" s="47" t="s">
        <v>507</v>
      </c>
      <c r="C983" s="52">
        <v>45008</v>
      </c>
      <c r="D983" s="46">
        <v>22023003078</v>
      </c>
      <c r="E983" s="47" t="s">
        <v>835</v>
      </c>
      <c r="F983" s="53">
        <v>15306.5</v>
      </c>
      <c r="G983" s="47" t="s">
        <v>2166</v>
      </c>
      <c r="H983" s="47" t="s">
        <v>2167</v>
      </c>
      <c r="I983" s="46" t="s">
        <v>2168</v>
      </c>
      <c r="J983" s="47" t="s">
        <v>519</v>
      </c>
      <c r="K983" s="47" t="s">
        <v>519</v>
      </c>
      <c r="L983" s="47" t="s">
        <v>520</v>
      </c>
      <c r="M983" s="47" t="s">
        <v>976</v>
      </c>
      <c r="N983" s="47" t="s">
        <v>839</v>
      </c>
      <c r="O983" s="54" t="s">
        <v>383</v>
      </c>
      <c r="P983" s="44" t="s">
        <v>309</v>
      </c>
      <c r="Q983" s="59" t="str">
        <f>MID(Tabla1[[#This Row],[Aplicación]],14,1)</f>
        <v>2</v>
      </c>
      <c r="R983" s="35" t="s">
        <v>298</v>
      </c>
      <c r="S983" s="59" t="str">
        <f>MID(Tabla1[[#This Row],[Aplicación]],6,2)</f>
        <v>05</v>
      </c>
      <c r="T983" s="35" t="str">
        <f>VLOOKUP(Tabla1[[#This Row],[AREA]],Hoja1!A:B,2,FALSE)</f>
        <v>05. Innovación, desarrollo económico, empleo y comercio</v>
      </c>
      <c r="U983" s="35" t="str">
        <f>MID(Tabla1[[#This Row],[Aplicación]],9,4)</f>
        <v>4331</v>
      </c>
      <c r="V983" s="35" t="str">
        <f>VLOOKUP(Tabla1[[#This Row],[PROGRAMA]],Hoja1!A:B,2,FALSE)</f>
        <v>4331. Desarrollo empresarial</v>
      </c>
      <c r="W983" s="56" t="str">
        <f>MID(Tabla1[[#This Row],[Aplicación]],14,2)</f>
        <v>22</v>
      </c>
      <c r="X983" s="56" t="str">
        <f>MID(Tabla1[[#This Row],[Aplicación]],14,6)</f>
        <v>22799</v>
      </c>
    </row>
    <row r="984" spans="1:24" x14ac:dyDescent="0.25">
      <c r="A984" s="55">
        <v>220230011675</v>
      </c>
      <c r="B984" s="47" t="s">
        <v>507</v>
      </c>
      <c r="C984" s="52">
        <v>45013</v>
      </c>
      <c r="D984" s="46">
        <v>22023003079</v>
      </c>
      <c r="E984" s="47" t="s">
        <v>1341</v>
      </c>
      <c r="F984" s="53">
        <v>7159.57</v>
      </c>
      <c r="G984" s="47" t="s">
        <v>2169</v>
      </c>
      <c r="H984" s="47" t="s">
        <v>2170</v>
      </c>
      <c r="I984" s="46" t="s">
        <v>2168</v>
      </c>
      <c r="J984" s="47" t="s">
        <v>512</v>
      </c>
      <c r="K984" s="47" t="s">
        <v>512</v>
      </c>
      <c r="L984" s="47" t="s">
        <v>520</v>
      </c>
      <c r="M984" s="47" t="s">
        <v>976</v>
      </c>
      <c r="N984" s="47" t="s">
        <v>839</v>
      </c>
      <c r="O984" s="54" t="s">
        <v>383</v>
      </c>
      <c r="P984" s="44" t="s">
        <v>309</v>
      </c>
      <c r="Q984" s="59" t="str">
        <f>MID(Tabla1[[#This Row],[Aplicación]],14,1)</f>
        <v>2</v>
      </c>
      <c r="R984" s="35" t="s">
        <v>298</v>
      </c>
      <c r="S984" s="59" t="str">
        <f>MID(Tabla1[[#This Row],[Aplicación]],6,2)</f>
        <v>05</v>
      </c>
      <c r="T984" s="35" t="str">
        <f>VLOOKUP(Tabla1[[#This Row],[AREA]],Hoja1!A:B,2,FALSE)</f>
        <v>05. Innovación, desarrollo económico, empleo y comercio</v>
      </c>
      <c r="U984" s="35" t="str">
        <f>MID(Tabla1[[#This Row],[Aplicación]],9,4)</f>
        <v>4331</v>
      </c>
      <c r="V984" s="35" t="str">
        <f>VLOOKUP(Tabla1[[#This Row],[PROGRAMA]],Hoja1!A:B,2,FALSE)</f>
        <v>4331. Desarrollo empresarial</v>
      </c>
      <c r="W984" s="56" t="str">
        <f>MID(Tabla1[[#This Row],[Aplicación]],14,2)</f>
        <v>22</v>
      </c>
      <c r="X984" s="56" t="str">
        <f>MID(Tabla1[[#This Row],[Aplicación]],14,6)</f>
        <v>22602</v>
      </c>
    </row>
    <row r="985" spans="1:24" x14ac:dyDescent="0.25">
      <c r="A985" s="55">
        <v>220220076748</v>
      </c>
      <c r="B985" s="47" t="s">
        <v>507</v>
      </c>
      <c r="C985" s="52">
        <v>45014</v>
      </c>
      <c r="D985" s="46">
        <v>22022006221</v>
      </c>
      <c r="E985" s="47" t="s">
        <v>2171</v>
      </c>
      <c r="F985" s="53">
        <v>54437.9</v>
      </c>
      <c r="G985" s="47" t="s">
        <v>2169</v>
      </c>
      <c r="H985" s="47" t="s">
        <v>2172</v>
      </c>
      <c r="I985" s="46" t="s">
        <v>511</v>
      </c>
      <c r="J985" s="47" t="s">
        <v>512</v>
      </c>
      <c r="K985" s="47" t="s">
        <v>512</v>
      </c>
      <c r="L985" s="47" t="s">
        <v>552</v>
      </c>
      <c r="M985" s="47" t="s">
        <v>514</v>
      </c>
      <c r="N985" s="47" t="s">
        <v>515</v>
      </c>
      <c r="O985" s="54" t="s">
        <v>371</v>
      </c>
      <c r="P985" s="44" t="s">
        <v>309</v>
      </c>
      <c r="Q985" s="59" t="str">
        <f>MID(Tabla1[[#This Row],[Aplicación]],14,1)</f>
        <v>6</v>
      </c>
      <c r="R985" s="35" t="s">
        <v>299</v>
      </c>
      <c r="S985" s="59" t="str">
        <f>MID(Tabla1[[#This Row],[Aplicación]],6,2)</f>
        <v>08</v>
      </c>
      <c r="T985" s="35" t="str">
        <f>VLOOKUP(Tabla1[[#This Row],[AREA]],Hoja1!A:B,2,FALSE)</f>
        <v>08. Movilidad y espacio urbano</v>
      </c>
      <c r="U985" s="56" t="str">
        <f>MID(Tabla1[[#This Row],[Aplicación]],9,4)</f>
        <v>1341</v>
      </c>
      <c r="V985" s="35" t="str">
        <f>VLOOKUP(Tabla1[[#This Row],[PROGRAMA]],Hoja1!A:B,2,FALSE)</f>
        <v>1341. Movilidad</v>
      </c>
      <c r="W985" s="56" t="str">
        <f>MID(Tabla1[[#This Row],[Aplicación]],14,2)</f>
        <v>62</v>
      </c>
      <c r="X985" s="56" t="str">
        <f>MID(Tabla1[[#This Row],[Aplicación]],14,6)</f>
        <v>625</v>
      </c>
    </row>
    <row r="986" spans="1:24" x14ac:dyDescent="0.25">
      <c r="A986" s="55">
        <v>220230012963</v>
      </c>
      <c r="B986" s="47" t="s">
        <v>507</v>
      </c>
      <c r="C986" s="52">
        <v>45016</v>
      </c>
      <c r="D986" s="46">
        <v>22023003720</v>
      </c>
      <c r="E986" s="47" t="s">
        <v>561</v>
      </c>
      <c r="F986" s="53">
        <v>369642.9</v>
      </c>
      <c r="G986" s="47" t="s">
        <v>2169</v>
      </c>
      <c r="H986" s="47" t="s">
        <v>2173</v>
      </c>
      <c r="I986" s="46" t="s">
        <v>511</v>
      </c>
      <c r="J986" s="47" t="s">
        <v>512</v>
      </c>
      <c r="K986" s="47" t="s">
        <v>512</v>
      </c>
      <c r="L986" s="47" t="s">
        <v>552</v>
      </c>
      <c r="M986" s="47" t="s">
        <v>514</v>
      </c>
      <c r="N986" s="47" t="s">
        <v>515</v>
      </c>
      <c r="O986" s="54" t="s">
        <v>371</v>
      </c>
      <c r="P986" s="44" t="s">
        <v>309</v>
      </c>
      <c r="Q986" s="59">
        <v>6</v>
      </c>
      <c r="R986" s="35" t="s">
        <v>299</v>
      </c>
      <c r="S986" s="59" t="str">
        <f>MID(Tabla1[[#This Row],[Aplicación]],6,2)</f>
        <v>08</v>
      </c>
      <c r="T986" s="35" t="str">
        <f>VLOOKUP(Tabla1[[#This Row],[AREA]],Hoja1!A:B,2,FALSE)</f>
        <v>08. Movilidad y espacio urbano</v>
      </c>
      <c r="U986" s="56">
        <v>1341</v>
      </c>
      <c r="V986" s="35" t="str">
        <f>VLOOKUP(Tabla1[[#This Row],[PROGRAMA]],Hoja1!A:B,2,FALSE)</f>
        <v>1341. Movilidad</v>
      </c>
      <c r="W986" s="56">
        <v>60</v>
      </c>
      <c r="X986" s="56">
        <v>609</v>
      </c>
    </row>
    <row r="987" spans="1:24" x14ac:dyDescent="0.25">
      <c r="A987" s="46">
        <v>220230004196</v>
      </c>
      <c r="B987" s="47" t="s">
        <v>507</v>
      </c>
      <c r="C987" s="52">
        <v>44977</v>
      </c>
      <c r="D987" s="46">
        <v>22023002597</v>
      </c>
      <c r="E987" s="47" t="s">
        <v>1299</v>
      </c>
      <c r="F987" s="53">
        <v>20</v>
      </c>
      <c r="G987" s="47" t="s">
        <v>2174</v>
      </c>
      <c r="H987" s="47" t="s">
        <v>2175</v>
      </c>
      <c r="I987" s="46" t="s">
        <v>511</v>
      </c>
      <c r="J987" s="47" t="s">
        <v>2176</v>
      </c>
      <c r="K987" s="47" t="s">
        <v>2176</v>
      </c>
      <c r="L987" s="47" t="s">
        <v>552</v>
      </c>
      <c r="M987" s="47" t="s">
        <v>976</v>
      </c>
      <c r="N987" s="47" t="s">
        <v>839</v>
      </c>
      <c r="O987" s="45" t="s">
        <v>383</v>
      </c>
      <c r="P987" s="44" t="s">
        <v>309</v>
      </c>
      <c r="Q987" s="59" t="str">
        <f>MID(Tabla1[[#This Row],[Aplicación]],14,1)</f>
        <v>2</v>
      </c>
      <c r="R987" s="35" t="s">
        <v>298</v>
      </c>
      <c r="S987" s="59" t="str">
        <f>MID(Tabla1[[#This Row],[Aplicación]],6,2)</f>
        <v>06</v>
      </c>
      <c r="T987" s="35" t="str">
        <f>VLOOKUP(Tabla1[[#This Row],[AREA]],Hoja1!A:B,2,FALSE)</f>
        <v>06. Educación, infancia, juventud e igualdad</v>
      </c>
      <c r="U987" s="35" t="str">
        <f>MID(Tabla1[[#This Row],[Aplicación]],9,4)</f>
        <v>3321</v>
      </c>
      <c r="V987" s="35" t="str">
        <f>VLOOKUP(Tabla1[[#This Row],[PROGRAMA]],Hoja1!A:B,2,FALSE)</f>
        <v>3321. Bibliotecas públicas</v>
      </c>
      <c r="W987" s="56" t="str">
        <f>MID(Tabla1[[#This Row],[Aplicación]],14,2)</f>
        <v>22</v>
      </c>
      <c r="X987" s="56" t="str">
        <f>MID(Tabla1[[#This Row],[Aplicación]],14,6)</f>
        <v>22001</v>
      </c>
    </row>
    <row r="988" spans="1:24" x14ac:dyDescent="0.25">
      <c r="A988" s="46">
        <v>220230008586</v>
      </c>
      <c r="B988" s="47" t="s">
        <v>507</v>
      </c>
      <c r="C988" s="52">
        <v>45000</v>
      </c>
      <c r="D988" s="46">
        <v>22023002989</v>
      </c>
      <c r="E988" s="47" t="s">
        <v>1479</v>
      </c>
      <c r="F988" s="53">
        <v>605</v>
      </c>
      <c r="G988" s="47" t="s">
        <v>447</v>
      </c>
      <c r="H988" s="47" t="s">
        <v>2177</v>
      </c>
      <c r="I988" s="46" t="s">
        <v>511</v>
      </c>
      <c r="J988" s="47" t="s">
        <v>2178</v>
      </c>
      <c r="K988" s="47" t="s">
        <v>519</v>
      </c>
      <c r="L988" s="47" t="s">
        <v>520</v>
      </c>
      <c r="M988" s="47" t="s">
        <v>976</v>
      </c>
      <c r="N988" s="47" t="s">
        <v>839</v>
      </c>
      <c r="O988" s="54" t="s">
        <v>383</v>
      </c>
      <c r="P988" s="44" t="s">
        <v>309</v>
      </c>
      <c r="Q988" s="59" t="str">
        <f>MID(Tabla1[[#This Row],[Aplicación]],14,1)</f>
        <v>2</v>
      </c>
      <c r="R988" s="35" t="s">
        <v>298</v>
      </c>
      <c r="S988" s="59" t="str">
        <f>MID(Tabla1[[#This Row],[Aplicación]],6,2)</f>
        <v>03</v>
      </c>
      <c r="T988" s="35" t="str">
        <f>VLOOKUP(Tabla1[[#This Row],[AREA]],Hoja1!A:B,2,FALSE)</f>
        <v>03. Participación ciudadana y deportes</v>
      </c>
      <c r="U988" s="35" t="str">
        <f>MID(Tabla1[[#This Row],[Aplicación]],9,4)</f>
        <v>9241</v>
      </c>
      <c r="V988" s="35" t="str">
        <f>VLOOKUP(Tabla1[[#This Row],[PROGRAMA]],Hoja1!A:B,2,FALSE)</f>
        <v>9241. Participación ciudadana</v>
      </c>
      <c r="W988" s="56" t="str">
        <f>MID(Tabla1[[#This Row],[Aplicación]],14,2)</f>
        <v>22</v>
      </c>
      <c r="X988" s="56" t="str">
        <f>MID(Tabla1[[#This Row],[Aplicación]],14,6)</f>
        <v>22609</v>
      </c>
    </row>
    <row r="989" spans="1:24" x14ac:dyDescent="0.25">
      <c r="A989" s="46">
        <v>220230008580</v>
      </c>
      <c r="B989" s="47" t="s">
        <v>507</v>
      </c>
      <c r="C989" s="52">
        <v>45000</v>
      </c>
      <c r="D989" s="46">
        <v>22023002983</v>
      </c>
      <c r="E989" s="47" t="s">
        <v>1479</v>
      </c>
      <c r="F989" s="53">
        <v>665.5</v>
      </c>
      <c r="G989" s="47" t="s">
        <v>503</v>
      </c>
      <c r="H989" s="47" t="s">
        <v>2179</v>
      </c>
      <c r="I989" s="46" t="s">
        <v>511</v>
      </c>
      <c r="J989" s="47" t="s">
        <v>755</v>
      </c>
      <c r="K989" s="47" t="s">
        <v>755</v>
      </c>
      <c r="L989" s="47" t="s">
        <v>520</v>
      </c>
      <c r="M989" s="47" t="s">
        <v>976</v>
      </c>
      <c r="N989" s="47" t="s">
        <v>839</v>
      </c>
      <c r="O989" s="54" t="s">
        <v>383</v>
      </c>
      <c r="P989" s="44" t="s">
        <v>309</v>
      </c>
      <c r="Q989" s="59" t="str">
        <f>MID(Tabla1[[#This Row],[Aplicación]],14,1)</f>
        <v>2</v>
      </c>
      <c r="R989" s="35" t="s">
        <v>298</v>
      </c>
      <c r="S989" s="59" t="str">
        <f>MID(Tabla1[[#This Row],[Aplicación]],6,2)</f>
        <v>03</v>
      </c>
      <c r="T989" s="35" t="str">
        <f>VLOOKUP(Tabla1[[#This Row],[AREA]],Hoja1!A:B,2,FALSE)</f>
        <v>03. Participación ciudadana y deportes</v>
      </c>
      <c r="U989" s="35" t="str">
        <f>MID(Tabla1[[#This Row],[Aplicación]],9,4)</f>
        <v>9241</v>
      </c>
      <c r="V989" s="35" t="str">
        <f>VLOOKUP(Tabla1[[#This Row],[PROGRAMA]],Hoja1!A:B,2,FALSE)</f>
        <v>9241. Participación ciudadana</v>
      </c>
      <c r="W989" s="56" t="str">
        <f>MID(Tabla1[[#This Row],[Aplicación]],14,2)</f>
        <v>22</v>
      </c>
      <c r="X989" s="56" t="str">
        <f>MID(Tabla1[[#This Row],[Aplicación]],14,6)</f>
        <v>22609</v>
      </c>
    </row>
    <row r="990" spans="1:24" x14ac:dyDescent="0.25">
      <c r="A990" s="46">
        <v>220230003787</v>
      </c>
      <c r="B990" s="47" t="s">
        <v>507</v>
      </c>
      <c r="C990" s="52">
        <v>44974</v>
      </c>
      <c r="D990" s="46">
        <v>22023002466</v>
      </c>
      <c r="E990" s="47" t="s">
        <v>669</v>
      </c>
      <c r="F990" s="53">
        <v>7260</v>
      </c>
      <c r="G990" s="47" t="s">
        <v>1621</v>
      </c>
      <c r="H990" s="47" t="s">
        <v>2180</v>
      </c>
      <c r="I990" s="46" t="s">
        <v>511</v>
      </c>
      <c r="J990" s="47" t="s">
        <v>1623</v>
      </c>
      <c r="K990" s="47" t="s">
        <v>1624</v>
      </c>
      <c r="L990" s="47" t="s">
        <v>520</v>
      </c>
      <c r="M990" s="47" t="s">
        <v>976</v>
      </c>
      <c r="N990" s="47" t="s">
        <v>839</v>
      </c>
      <c r="O990" s="45" t="s">
        <v>383</v>
      </c>
      <c r="P990" s="44" t="s">
        <v>309</v>
      </c>
      <c r="Q990" s="59" t="str">
        <f>MID(Tabla1[[#This Row],[Aplicación]],14,1)</f>
        <v>2</v>
      </c>
      <c r="R990" s="35" t="s">
        <v>298</v>
      </c>
      <c r="S990" s="59" t="str">
        <f>MID(Tabla1[[#This Row],[Aplicación]],6,2)</f>
        <v>06</v>
      </c>
      <c r="T990" s="35" t="str">
        <f>VLOOKUP(Tabla1[[#This Row],[AREA]],Hoja1!A:B,2,FALSE)</f>
        <v>06. Educación, infancia, juventud e igualdad</v>
      </c>
      <c r="U990" s="35" t="str">
        <f>MID(Tabla1[[#This Row],[Aplicación]],9,4)</f>
        <v>3232</v>
      </c>
      <c r="V990" s="35" t="str">
        <f>VLOOKUP(Tabla1[[#This Row],[PROGRAMA]],Hoja1!A:B,2,FALSE)</f>
        <v>3232. Conservación y mantenimiento centros educación infantil y primaria</v>
      </c>
      <c r="W990" s="56" t="str">
        <f>MID(Tabla1[[#This Row],[Aplicación]],14,2)</f>
        <v>21</v>
      </c>
      <c r="X990" s="56" t="str">
        <f>MID(Tabla1[[#This Row],[Aplicación]],14,6)</f>
        <v>213</v>
      </c>
    </row>
    <row r="991" spans="1:24" x14ac:dyDescent="0.25">
      <c r="A991" s="46">
        <v>220230001979</v>
      </c>
      <c r="B991" s="47" t="s">
        <v>507</v>
      </c>
      <c r="C991" s="52">
        <v>44960</v>
      </c>
      <c r="D991" s="46">
        <v>22023001327</v>
      </c>
      <c r="E991" s="47" t="s">
        <v>1504</v>
      </c>
      <c r="F991" s="53">
        <v>5968.81</v>
      </c>
      <c r="G991" s="47" t="s">
        <v>22</v>
      </c>
      <c r="H991" s="47" t="s">
        <v>2181</v>
      </c>
      <c r="I991" s="46" t="s">
        <v>511</v>
      </c>
      <c r="J991" s="47" t="s">
        <v>519</v>
      </c>
      <c r="K991" s="47" t="s">
        <v>519</v>
      </c>
      <c r="L991" s="47" t="s">
        <v>520</v>
      </c>
      <c r="M991" s="47" t="s">
        <v>976</v>
      </c>
      <c r="N991" s="47" t="s">
        <v>839</v>
      </c>
      <c r="O991" s="45" t="s">
        <v>383</v>
      </c>
      <c r="P991" s="44" t="s">
        <v>309</v>
      </c>
      <c r="Q991" s="59" t="str">
        <f>MID(Tabla1[[#This Row],[Aplicación]],14,1)</f>
        <v>2</v>
      </c>
      <c r="R991" s="35" t="s">
        <v>298</v>
      </c>
      <c r="S991" s="59" t="str">
        <f>MID(Tabla1[[#This Row],[Aplicación]],6,2)</f>
        <v>04</v>
      </c>
      <c r="T991" s="35" t="str">
        <f>VLOOKUP(Tabla1[[#This Row],[AREA]],Hoja1!A:B,2,FALSE)</f>
        <v>04. Planificación y recursos</v>
      </c>
      <c r="U991" s="35" t="str">
        <f>MID(Tabla1[[#This Row],[Aplicación]],9,4)</f>
        <v>9321</v>
      </c>
      <c r="V991" s="35" t="str">
        <f>VLOOKUP(Tabla1[[#This Row],[PROGRAMA]],Hoja1!A:B,2,FALSE)</f>
        <v>9321. Gestión de ingresos e inspección</v>
      </c>
      <c r="W991" s="56" t="str">
        <f>MID(Tabla1[[#This Row],[Aplicación]],14,2)</f>
        <v>22</v>
      </c>
      <c r="X991" s="56" t="str">
        <f>MID(Tabla1[[#This Row],[Aplicación]],14,6)</f>
        <v>22799</v>
      </c>
    </row>
    <row r="992" spans="1:24" x14ac:dyDescent="0.25">
      <c r="A992" s="46">
        <v>220230002927</v>
      </c>
      <c r="B992" s="47" t="s">
        <v>507</v>
      </c>
      <c r="C992" s="52">
        <v>44967</v>
      </c>
      <c r="D992" s="46">
        <v>22023001348</v>
      </c>
      <c r="E992" s="47" t="s">
        <v>1504</v>
      </c>
      <c r="F992" s="53">
        <v>1100.32</v>
      </c>
      <c r="G992" s="47" t="s">
        <v>493</v>
      </c>
      <c r="H992" s="47" t="s">
        <v>2182</v>
      </c>
      <c r="I992" s="46" t="s">
        <v>511</v>
      </c>
      <c r="J992" s="47" t="s">
        <v>519</v>
      </c>
      <c r="K992" s="47" t="s">
        <v>519</v>
      </c>
      <c r="L992" s="47" t="s">
        <v>520</v>
      </c>
      <c r="M992" s="47" t="s">
        <v>976</v>
      </c>
      <c r="N992" s="47" t="s">
        <v>839</v>
      </c>
      <c r="O992" s="45" t="s">
        <v>383</v>
      </c>
      <c r="P992" s="44" t="s">
        <v>309</v>
      </c>
      <c r="Q992" s="59" t="str">
        <f>MID(Tabla1[[#This Row],[Aplicación]],14,1)</f>
        <v>2</v>
      </c>
      <c r="R992" s="35" t="s">
        <v>298</v>
      </c>
      <c r="S992" s="59" t="str">
        <f>MID(Tabla1[[#This Row],[Aplicación]],6,2)</f>
        <v>04</v>
      </c>
      <c r="T992" s="35" t="str">
        <f>VLOOKUP(Tabla1[[#This Row],[AREA]],Hoja1!A:B,2,FALSE)</f>
        <v>04. Planificación y recursos</v>
      </c>
      <c r="U992" s="35" t="str">
        <f>MID(Tabla1[[#This Row],[Aplicación]],9,4)</f>
        <v>9321</v>
      </c>
      <c r="V992" s="35" t="str">
        <f>VLOOKUP(Tabla1[[#This Row],[PROGRAMA]],Hoja1!A:B,2,FALSE)</f>
        <v>9321. Gestión de ingresos e inspección</v>
      </c>
      <c r="W992" s="56" t="str">
        <f>MID(Tabla1[[#This Row],[Aplicación]],14,2)</f>
        <v>22</v>
      </c>
      <c r="X992" s="56" t="str">
        <f>MID(Tabla1[[#This Row],[Aplicación]],14,6)</f>
        <v>22799</v>
      </c>
    </row>
    <row r="993" spans="1:24" x14ac:dyDescent="0.25">
      <c r="A993" s="46">
        <v>220230001172</v>
      </c>
      <c r="B993" s="47" t="s">
        <v>1249</v>
      </c>
      <c r="C993" s="52">
        <v>44959</v>
      </c>
      <c r="D993" s="46">
        <v>22023001490</v>
      </c>
      <c r="E993" s="47" t="s">
        <v>618</v>
      </c>
      <c r="F993" s="53">
        <v>1442.56</v>
      </c>
      <c r="G993" s="47" t="s">
        <v>1621</v>
      </c>
      <c r="H993" s="47" t="s">
        <v>2183</v>
      </c>
      <c r="I993" s="46" t="s">
        <v>1251</v>
      </c>
      <c r="J993" s="47" t="s">
        <v>1623</v>
      </c>
      <c r="K993" s="47" t="s">
        <v>1624</v>
      </c>
      <c r="L993" s="47" t="s">
        <v>520</v>
      </c>
      <c r="M993" s="47" t="s">
        <v>514</v>
      </c>
      <c r="N993" s="47" t="s">
        <v>515</v>
      </c>
      <c r="O993" s="45" t="s">
        <v>371</v>
      </c>
      <c r="P993" s="44" t="s">
        <v>309</v>
      </c>
      <c r="Q993" s="59" t="str">
        <f>MID(Tabla1[[#This Row],[Aplicación]],14,1)</f>
        <v>2</v>
      </c>
      <c r="R993" s="35" t="s">
        <v>298</v>
      </c>
      <c r="S993" s="59" t="str">
        <f>MID(Tabla1[[#This Row],[Aplicación]],6,2)</f>
        <v>10</v>
      </c>
      <c r="T993" s="35" t="str">
        <f>VLOOKUP(Tabla1[[#This Row],[AREA]],Hoja1!A:B,2,FALSE)</f>
        <v>10. Servicios sociales y mediación comunitaria</v>
      </c>
      <c r="U993" s="35" t="str">
        <f>MID(Tabla1[[#This Row],[Aplicación]],9,4)</f>
        <v>2311</v>
      </c>
      <c r="V993" s="35" t="str">
        <f>VLOOKUP(Tabla1[[#This Row],[PROGRAMA]],Hoja1!A:B,2,FALSE)</f>
        <v>2311. Intervención social</v>
      </c>
      <c r="W993" s="56" t="str">
        <f>MID(Tabla1[[#This Row],[Aplicación]],14,2)</f>
        <v>21</v>
      </c>
      <c r="X993" s="56" t="str">
        <f>MID(Tabla1[[#This Row],[Aplicación]],14,6)</f>
        <v>213</v>
      </c>
    </row>
    <row r="994" spans="1:24" x14ac:dyDescent="0.25">
      <c r="A994" s="46">
        <v>220230000013</v>
      </c>
      <c r="B994" s="47" t="s">
        <v>507</v>
      </c>
      <c r="C994" s="52">
        <v>44927</v>
      </c>
      <c r="D994" s="46">
        <v>22023000488</v>
      </c>
      <c r="E994" s="47" t="s">
        <v>508</v>
      </c>
      <c r="F994" s="53">
        <v>18263.599999999999</v>
      </c>
      <c r="G994" s="47" t="s">
        <v>2184</v>
      </c>
      <c r="H994" s="47" t="s">
        <v>2185</v>
      </c>
      <c r="I994" s="46" t="s">
        <v>511</v>
      </c>
      <c r="J994" s="47" t="s">
        <v>2186</v>
      </c>
      <c r="K994" s="47" t="s">
        <v>1057</v>
      </c>
      <c r="L994" s="47" t="s">
        <v>513</v>
      </c>
      <c r="M994" s="47" t="s">
        <v>514</v>
      </c>
      <c r="N994" s="47" t="s">
        <v>515</v>
      </c>
      <c r="O994" s="45" t="s">
        <v>371</v>
      </c>
      <c r="P994" s="44" t="s">
        <v>309</v>
      </c>
      <c r="Q994" s="59" t="str">
        <f>MID(Tabla1[[#This Row],[Aplicación]],14,1)</f>
        <v>2</v>
      </c>
      <c r="R994" s="35" t="s">
        <v>298</v>
      </c>
      <c r="S994" s="59" t="str">
        <f>MID(Tabla1[[#This Row],[Aplicación]],6,2)</f>
        <v>08</v>
      </c>
      <c r="T994" s="35" t="str">
        <f>VLOOKUP(Tabla1[[#This Row],[AREA]],Hoja1!A:B,2,FALSE)</f>
        <v>08. Movilidad y espacio urbano</v>
      </c>
      <c r="U994" s="56" t="str">
        <f>MID(Tabla1[[#This Row],[Aplicación]],9,4)</f>
        <v>1341</v>
      </c>
      <c r="V994" s="35" t="str">
        <f>VLOOKUP(Tabla1[[#This Row],[PROGRAMA]],Hoja1!A:B,2,FALSE)</f>
        <v>1341. Movilidad</v>
      </c>
      <c r="W994" s="56" t="str">
        <f>MID(Tabla1[[#This Row],[Aplicación]],14,2)</f>
        <v>22</v>
      </c>
      <c r="X994" s="56" t="str">
        <f>MID(Tabla1[[#This Row],[Aplicación]],14,6)</f>
        <v>22799</v>
      </c>
    </row>
    <row r="995" spans="1:24" x14ac:dyDescent="0.25">
      <c r="A995" s="46">
        <v>220230001175</v>
      </c>
      <c r="B995" s="47" t="s">
        <v>1249</v>
      </c>
      <c r="C995" s="52">
        <v>44959</v>
      </c>
      <c r="D995" s="46">
        <v>22023001517</v>
      </c>
      <c r="E995" s="47" t="s">
        <v>1055</v>
      </c>
      <c r="F995" s="53">
        <v>443.57</v>
      </c>
      <c r="G995" s="47" t="s">
        <v>2187</v>
      </c>
      <c r="H995" s="47" t="s">
        <v>2188</v>
      </c>
      <c r="I995" s="46" t="s">
        <v>1251</v>
      </c>
      <c r="J995" s="47" t="s">
        <v>519</v>
      </c>
      <c r="K995" s="47" t="s">
        <v>519</v>
      </c>
      <c r="L995" s="47" t="s">
        <v>520</v>
      </c>
      <c r="M995" s="47" t="s">
        <v>514</v>
      </c>
      <c r="N995" s="47" t="s">
        <v>515</v>
      </c>
      <c r="O995" s="45" t="s">
        <v>371</v>
      </c>
      <c r="P995" s="44" t="s">
        <v>309</v>
      </c>
      <c r="Q995" s="59" t="str">
        <f>MID(Tabla1[[#This Row],[Aplicación]],14,1)</f>
        <v>2</v>
      </c>
      <c r="R995" s="35" t="s">
        <v>298</v>
      </c>
      <c r="S995" s="59" t="str">
        <f>MID(Tabla1[[#This Row],[Aplicación]],6,2)</f>
        <v>02</v>
      </c>
      <c r="T995" s="35" t="str">
        <f>VLOOKUP(Tabla1[[#This Row],[AREA]],Hoja1!A:B,2,FALSE)</f>
        <v>02. Planeamiento urbanístico y vivienda</v>
      </c>
      <c r="U995" s="35" t="str">
        <f>MID(Tabla1[[#This Row],[Aplicación]],9,4)</f>
        <v>9332</v>
      </c>
      <c r="V995" s="35" t="str">
        <f>VLOOKUP(Tabla1[[#This Row],[PROGRAMA]],Hoja1!A:B,2,FALSE)</f>
        <v>9332. Mantenimiento de edificios e instalaciones municipales</v>
      </c>
      <c r="W995" s="56" t="str">
        <f>MID(Tabla1[[#This Row],[Aplicación]],14,2)</f>
        <v>21</v>
      </c>
      <c r="X995" s="56" t="str">
        <f>MID(Tabla1[[#This Row],[Aplicación]],14,6)</f>
        <v>213</v>
      </c>
    </row>
    <row r="996" spans="1:24" x14ac:dyDescent="0.25">
      <c r="A996" s="46">
        <v>220230002051</v>
      </c>
      <c r="B996" s="47" t="s">
        <v>507</v>
      </c>
      <c r="C996" s="52">
        <v>44963</v>
      </c>
      <c r="D996" s="46">
        <v>22023001614</v>
      </c>
      <c r="E996" s="47" t="s">
        <v>2087</v>
      </c>
      <c r="F996" s="53">
        <v>6897</v>
      </c>
      <c r="G996" s="47" t="s">
        <v>346</v>
      </c>
      <c r="H996" s="47" t="s">
        <v>2189</v>
      </c>
      <c r="I996" s="46" t="s">
        <v>511</v>
      </c>
      <c r="J996" s="47" t="s">
        <v>519</v>
      </c>
      <c r="K996" s="47" t="s">
        <v>519</v>
      </c>
      <c r="L996" s="47" t="s">
        <v>520</v>
      </c>
      <c r="M996" s="47" t="s">
        <v>514</v>
      </c>
      <c r="N996" s="47" t="s">
        <v>515</v>
      </c>
      <c r="O996" s="54" t="s">
        <v>371</v>
      </c>
      <c r="P996" s="44" t="s">
        <v>309</v>
      </c>
      <c r="Q996" s="59" t="str">
        <f>MID(Tabla1[[#This Row],[Aplicación]],14,1)</f>
        <v>2</v>
      </c>
      <c r="R996" s="35" t="s">
        <v>298</v>
      </c>
      <c r="S996" s="59" t="str">
        <f>MID(Tabla1[[#This Row],[Aplicación]],6,2)</f>
        <v>03</v>
      </c>
      <c r="T996" s="35" t="str">
        <f>VLOOKUP(Tabla1[[#This Row],[AREA]],Hoja1!A:B,2,FALSE)</f>
        <v>03. Participación ciudadana y deportes</v>
      </c>
      <c r="U996" s="35" t="str">
        <f>MID(Tabla1[[#This Row],[Aplicación]],9,4)</f>
        <v>9241</v>
      </c>
      <c r="V996" s="35" t="str">
        <f>VLOOKUP(Tabla1[[#This Row],[PROGRAMA]],Hoja1!A:B,2,FALSE)</f>
        <v>9241. Participación ciudadana</v>
      </c>
      <c r="W996" s="56" t="str">
        <f>MID(Tabla1[[#This Row],[Aplicación]],14,2)</f>
        <v>22</v>
      </c>
      <c r="X996" s="56" t="str">
        <f>MID(Tabla1[[#This Row],[Aplicación]],14,6)</f>
        <v>22706</v>
      </c>
    </row>
    <row r="997" spans="1:24" x14ac:dyDescent="0.25">
      <c r="A997" s="46">
        <v>220229000792</v>
      </c>
      <c r="B997" s="47" t="s">
        <v>507</v>
      </c>
      <c r="C997" s="52">
        <v>44927</v>
      </c>
      <c r="D997" s="46">
        <v>22023001870</v>
      </c>
      <c r="E997" s="47" t="s">
        <v>2190</v>
      </c>
      <c r="F997" s="53">
        <v>18102.810000000001</v>
      </c>
      <c r="G997" s="47" t="s">
        <v>22</v>
      </c>
      <c r="H997" s="47" t="s">
        <v>2191</v>
      </c>
      <c r="I997" s="46" t="s">
        <v>511</v>
      </c>
      <c r="J997" s="47" t="s">
        <v>519</v>
      </c>
      <c r="K997" s="47" t="s">
        <v>519</v>
      </c>
      <c r="L997" s="47" t="s">
        <v>520</v>
      </c>
      <c r="M997" s="47" t="s">
        <v>514</v>
      </c>
      <c r="N997" s="47" t="s">
        <v>515</v>
      </c>
      <c r="O997" s="45" t="s">
        <v>371</v>
      </c>
      <c r="P997" s="44" t="s">
        <v>309</v>
      </c>
      <c r="Q997" s="59" t="str">
        <f>MID(Tabla1[[#This Row],[Aplicación]],14,1)</f>
        <v>2</v>
      </c>
      <c r="R997" s="35" t="s">
        <v>298</v>
      </c>
      <c r="S997" s="59" t="str">
        <f>MID(Tabla1[[#This Row],[Aplicación]],6,2)</f>
        <v>07</v>
      </c>
      <c r="T997" s="35" t="str">
        <f>VLOOKUP(Tabla1[[#This Row],[AREA]],Hoja1!A:B,2,FALSE)</f>
        <v>07. Medio ambiente y desarrollo sostenible</v>
      </c>
      <c r="U997" s="35" t="str">
        <f>MID(Tabla1[[#This Row],[Aplicación]],9,4)</f>
        <v>1711</v>
      </c>
      <c r="V997" s="35" t="str">
        <f>VLOOKUP(Tabla1[[#This Row],[PROGRAMA]],Hoja1!A:B,2,FALSE)</f>
        <v>1711. Parques y jardines</v>
      </c>
      <c r="W997" s="56" t="str">
        <f>MID(Tabla1[[#This Row],[Aplicación]],14,2)</f>
        <v>22</v>
      </c>
      <c r="X997" s="56" t="str">
        <f>MID(Tabla1[[#This Row],[Aplicación]],14,6)</f>
        <v>22700</v>
      </c>
    </row>
    <row r="998" spans="1:24" x14ac:dyDescent="0.25">
      <c r="A998" s="46">
        <v>220230001049</v>
      </c>
      <c r="B998" s="47" t="s">
        <v>507</v>
      </c>
      <c r="C998" s="52">
        <v>44927</v>
      </c>
      <c r="D998" s="46">
        <v>22023001912</v>
      </c>
      <c r="E998" s="47" t="s">
        <v>561</v>
      </c>
      <c r="F998" s="53">
        <v>1385.34</v>
      </c>
      <c r="G998" s="47" t="s">
        <v>400</v>
      </c>
      <c r="H998" s="47" t="s">
        <v>2192</v>
      </c>
      <c r="I998" s="46" t="s">
        <v>511</v>
      </c>
      <c r="J998" s="47" t="s">
        <v>519</v>
      </c>
      <c r="K998" s="47" t="s">
        <v>519</v>
      </c>
      <c r="L998" s="47" t="s">
        <v>527</v>
      </c>
      <c r="M998" s="47" t="s">
        <v>514</v>
      </c>
      <c r="N998" s="47" t="s">
        <v>515</v>
      </c>
      <c r="O998" s="54" t="s">
        <v>382</v>
      </c>
      <c r="P998" s="44" t="s">
        <v>309</v>
      </c>
      <c r="Q998" s="59">
        <v>6</v>
      </c>
      <c r="R998" s="35" t="s">
        <v>299</v>
      </c>
      <c r="S998" s="59" t="str">
        <f>MID(Tabla1[[#This Row],[Aplicación]],6,2)</f>
        <v>08</v>
      </c>
      <c r="T998" s="35" t="str">
        <f>VLOOKUP(Tabla1[[#This Row],[AREA]],Hoja1!A:B,2,FALSE)</f>
        <v>08. Movilidad y espacio urbano</v>
      </c>
      <c r="U998" s="56">
        <v>1341</v>
      </c>
      <c r="V998" s="35" t="str">
        <f>VLOOKUP(Tabla1[[#This Row],[PROGRAMA]],Hoja1!A:B,2,FALSE)</f>
        <v>1341. Movilidad</v>
      </c>
      <c r="W998" s="56">
        <v>60</v>
      </c>
      <c r="X998" s="56">
        <v>609</v>
      </c>
    </row>
    <row r="999" spans="1:24" x14ac:dyDescent="0.25">
      <c r="A999" s="46">
        <v>220229000857</v>
      </c>
      <c r="B999" s="47" t="s">
        <v>507</v>
      </c>
      <c r="C999" s="52">
        <v>44927</v>
      </c>
      <c r="D999" s="46">
        <v>22023001953</v>
      </c>
      <c r="E999" s="47" t="s">
        <v>667</v>
      </c>
      <c r="F999" s="53">
        <v>13431</v>
      </c>
      <c r="G999" s="47" t="s">
        <v>30</v>
      </c>
      <c r="H999" s="47" t="s">
        <v>2193</v>
      </c>
      <c r="I999" s="46" t="s">
        <v>511</v>
      </c>
      <c r="J999" s="47" t="s">
        <v>519</v>
      </c>
      <c r="K999" s="47" t="s">
        <v>519</v>
      </c>
      <c r="L999" s="47" t="s">
        <v>552</v>
      </c>
      <c r="M999" s="47" t="s">
        <v>514</v>
      </c>
      <c r="N999" s="47" t="s">
        <v>515</v>
      </c>
      <c r="O999" s="45" t="s">
        <v>371</v>
      </c>
      <c r="P999" s="44" t="s">
        <v>309</v>
      </c>
      <c r="Q999" s="59" t="str">
        <f>MID(Tabla1[[#This Row],[Aplicación]],14,1)</f>
        <v>2</v>
      </c>
      <c r="R999" s="35" t="s">
        <v>298</v>
      </c>
      <c r="S999" s="59" t="str">
        <f>MID(Tabla1[[#This Row],[Aplicación]],6,2)</f>
        <v>03</v>
      </c>
      <c r="T999" s="35" t="str">
        <f>VLOOKUP(Tabla1[[#This Row],[AREA]],Hoja1!A:B,2,FALSE)</f>
        <v>03. Participación ciudadana y deportes</v>
      </c>
      <c r="U999" s="35" t="str">
        <f>MID(Tabla1[[#This Row],[Aplicación]],9,4)</f>
        <v>9241</v>
      </c>
      <c r="V999" s="35" t="str">
        <f>VLOOKUP(Tabla1[[#This Row],[PROGRAMA]],Hoja1!A:B,2,FALSE)</f>
        <v>9241. Participación ciudadana</v>
      </c>
      <c r="W999" s="56" t="str">
        <f>MID(Tabla1[[#This Row],[Aplicación]],14,2)</f>
        <v>20</v>
      </c>
      <c r="X999" s="56" t="str">
        <f>MID(Tabla1[[#This Row],[Aplicación]],14,6)</f>
        <v>203</v>
      </c>
    </row>
    <row r="1000" spans="1:24" x14ac:dyDescent="0.25">
      <c r="A1000" s="46">
        <v>220230000166</v>
      </c>
      <c r="B1000" s="47" t="s">
        <v>507</v>
      </c>
      <c r="C1000" s="52">
        <v>44927</v>
      </c>
      <c r="D1000" s="46">
        <v>22023000799</v>
      </c>
      <c r="E1000" s="47" t="s">
        <v>618</v>
      </c>
      <c r="F1000" s="53">
        <v>1287.8599999999999</v>
      </c>
      <c r="G1000" s="47" t="s">
        <v>1621</v>
      </c>
      <c r="H1000" s="47" t="s">
        <v>2194</v>
      </c>
      <c r="I1000" s="46" t="s">
        <v>511</v>
      </c>
      <c r="J1000" s="47" t="s">
        <v>1623</v>
      </c>
      <c r="K1000" s="47" t="s">
        <v>1624</v>
      </c>
      <c r="L1000" s="47" t="s">
        <v>520</v>
      </c>
      <c r="M1000" s="47" t="s">
        <v>514</v>
      </c>
      <c r="N1000" s="47" t="s">
        <v>515</v>
      </c>
      <c r="O1000" s="45" t="s">
        <v>371</v>
      </c>
      <c r="P1000" s="44" t="s">
        <v>309</v>
      </c>
      <c r="Q1000" s="59" t="str">
        <f>MID(Tabla1[[#This Row],[Aplicación]],14,1)</f>
        <v>2</v>
      </c>
      <c r="R1000" s="35" t="s">
        <v>298</v>
      </c>
      <c r="S1000" s="59" t="str">
        <f>MID(Tabla1[[#This Row],[Aplicación]],6,2)</f>
        <v>10</v>
      </c>
      <c r="T1000" s="35" t="str">
        <f>VLOOKUP(Tabla1[[#This Row],[AREA]],Hoja1!A:B,2,FALSE)</f>
        <v>10. Servicios sociales y mediación comunitaria</v>
      </c>
      <c r="U1000" s="35" t="str">
        <f>MID(Tabla1[[#This Row],[Aplicación]],9,4)</f>
        <v>2311</v>
      </c>
      <c r="V1000" s="35" t="str">
        <f>VLOOKUP(Tabla1[[#This Row],[PROGRAMA]],Hoja1!A:B,2,FALSE)</f>
        <v>2311. Intervención social</v>
      </c>
      <c r="W1000" s="56" t="str">
        <f>MID(Tabla1[[#This Row],[Aplicación]],14,2)</f>
        <v>21</v>
      </c>
      <c r="X1000" s="56" t="str">
        <f>MID(Tabla1[[#This Row],[Aplicación]],14,6)</f>
        <v>213</v>
      </c>
    </row>
    <row r="1001" spans="1:24" x14ac:dyDescent="0.25">
      <c r="A1001" s="46">
        <v>220230001917</v>
      </c>
      <c r="B1001" s="47" t="s">
        <v>1249</v>
      </c>
      <c r="C1001" s="52">
        <v>44960</v>
      </c>
      <c r="D1001" s="46">
        <v>22023002082</v>
      </c>
      <c r="E1001" s="47" t="s">
        <v>669</v>
      </c>
      <c r="F1001" s="53">
        <v>43.62</v>
      </c>
      <c r="G1001" s="47" t="s">
        <v>33</v>
      </c>
      <c r="H1001" s="47" t="s">
        <v>2195</v>
      </c>
      <c r="I1001" s="46" t="s">
        <v>1251</v>
      </c>
      <c r="J1001" s="47" t="s">
        <v>519</v>
      </c>
      <c r="K1001" s="47" t="s">
        <v>519</v>
      </c>
      <c r="L1001" s="47" t="s">
        <v>520</v>
      </c>
      <c r="M1001" s="47" t="s">
        <v>514</v>
      </c>
      <c r="N1001" s="47" t="s">
        <v>515</v>
      </c>
      <c r="O1001" s="45" t="s">
        <v>371</v>
      </c>
      <c r="P1001" s="44" t="s">
        <v>309</v>
      </c>
      <c r="Q1001" s="59" t="str">
        <f>MID(Tabla1[[#This Row],[Aplicación]],14,1)</f>
        <v>2</v>
      </c>
      <c r="R1001" s="35" t="s">
        <v>298</v>
      </c>
      <c r="S1001" s="59" t="str">
        <f>MID(Tabla1[[#This Row],[Aplicación]],6,2)</f>
        <v>06</v>
      </c>
      <c r="T1001" s="35" t="str">
        <f>VLOOKUP(Tabla1[[#This Row],[AREA]],Hoja1!A:B,2,FALSE)</f>
        <v>06. Educación, infancia, juventud e igualdad</v>
      </c>
      <c r="U1001" s="35" t="str">
        <f>MID(Tabla1[[#This Row],[Aplicación]],9,4)</f>
        <v>3232</v>
      </c>
      <c r="V1001" s="35" t="str">
        <f>VLOOKUP(Tabla1[[#This Row],[PROGRAMA]],Hoja1!A:B,2,FALSE)</f>
        <v>3232. Conservación y mantenimiento centros educación infantil y primaria</v>
      </c>
      <c r="W1001" s="56" t="str">
        <f>MID(Tabla1[[#This Row],[Aplicación]],14,2)</f>
        <v>21</v>
      </c>
      <c r="X1001" s="56" t="str">
        <f>MID(Tabla1[[#This Row],[Aplicación]],14,6)</f>
        <v>213</v>
      </c>
    </row>
    <row r="1002" spans="1:24" x14ac:dyDescent="0.25">
      <c r="A1002" s="46">
        <v>220219000879</v>
      </c>
      <c r="B1002" s="47" t="s">
        <v>507</v>
      </c>
      <c r="C1002" s="52">
        <v>44927</v>
      </c>
      <c r="D1002" s="46">
        <v>22023002133</v>
      </c>
      <c r="E1002" s="47" t="s">
        <v>533</v>
      </c>
      <c r="F1002" s="53">
        <v>2869.89</v>
      </c>
      <c r="G1002" s="47" t="s">
        <v>400</v>
      </c>
      <c r="H1002" s="47" t="s">
        <v>1276</v>
      </c>
      <c r="I1002" s="46" t="s">
        <v>511</v>
      </c>
      <c r="J1002" s="47" t="s">
        <v>519</v>
      </c>
      <c r="K1002" s="47" t="s">
        <v>519</v>
      </c>
      <c r="L1002" s="47" t="s">
        <v>520</v>
      </c>
      <c r="M1002" s="47" t="s">
        <v>514</v>
      </c>
      <c r="N1002" s="47" t="s">
        <v>515</v>
      </c>
      <c r="O1002" s="54" t="s">
        <v>382</v>
      </c>
      <c r="P1002" s="44" t="s">
        <v>309</v>
      </c>
      <c r="Q1002" s="59" t="str">
        <f>MID(Tabla1[[#This Row],[Aplicación]],14,1)</f>
        <v>6</v>
      </c>
      <c r="R1002" s="35" t="s">
        <v>299</v>
      </c>
      <c r="S1002" s="59" t="str">
        <f>MID(Tabla1[[#This Row],[Aplicación]],6,2)</f>
        <v>08</v>
      </c>
      <c r="T1002" s="35" t="str">
        <f>VLOOKUP(Tabla1[[#This Row],[AREA]],Hoja1!A:B,2,FALSE)</f>
        <v>08. Movilidad y espacio urbano</v>
      </c>
      <c r="U1002" s="56" t="str">
        <f>MID(Tabla1[[#This Row],[Aplicación]],9,4)</f>
        <v>1341</v>
      </c>
      <c r="V1002" s="35" t="str">
        <f>VLOOKUP(Tabla1[[#This Row],[PROGRAMA]],Hoja1!A:B,2,FALSE)</f>
        <v>1341. Movilidad</v>
      </c>
      <c r="W1002" s="56" t="str">
        <f>MID(Tabla1[[#This Row],[Aplicación]],14,2)</f>
        <v>61</v>
      </c>
      <c r="X1002" s="56" t="str">
        <f>MID(Tabla1[[#This Row],[Aplicación]],14,6)</f>
        <v>619</v>
      </c>
    </row>
    <row r="1003" spans="1:24" x14ac:dyDescent="0.25">
      <c r="A1003" s="55">
        <v>220230008911</v>
      </c>
      <c r="B1003" s="47" t="s">
        <v>1514</v>
      </c>
      <c r="C1003" s="52">
        <v>45002</v>
      </c>
      <c r="D1003" s="46">
        <v>22023002275</v>
      </c>
      <c r="E1003" s="47" t="s">
        <v>546</v>
      </c>
      <c r="F1003" s="53">
        <v>13250</v>
      </c>
      <c r="G1003" s="47" t="s">
        <v>400</v>
      </c>
      <c r="H1003" s="47" t="s">
        <v>2196</v>
      </c>
      <c r="I1003" s="46" t="s">
        <v>1517</v>
      </c>
      <c r="J1003" s="47" t="s">
        <v>519</v>
      </c>
      <c r="K1003" s="47" t="s">
        <v>519</v>
      </c>
      <c r="L1003" s="47" t="s">
        <v>520</v>
      </c>
      <c r="M1003" s="47" t="s">
        <v>514</v>
      </c>
      <c r="N1003" s="47" t="s">
        <v>515</v>
      </c>
      <c r="O1003" s="54" t="s">
        <v>382</v>
      </c>
      <c r="P1003" s="44" t="s">
        <v>309</v>
      </c>
      <c r="Q1003" s="59" t="str">
        <f>MID(Tabla1[[#This Row],[Aplicación]],14,1)</f>
        <v>6</v>
      </c>
      <c r="R1003" s="35" t="s">
        <v>299</v>
      </c>
      <c r="S1003" s="59" t="str">
        <f>MID(Tabla1[[#This Row],[Aplicación]],6,2)</f>
        <v>08</v>
      </c>
      <c r="T1003" s="35" t="str">
        <f>VLOOKUP(Tabla1[[#This Row],[AREA]],Hoja1!A:B,2,FALSE)</f>
        <v>08. Movilidad y espacio urbano</v>
      </c>
      <c r="U1003" s="35" t="str">
        <f>MID(Tabla1[[#This Row],[Aplicación]],9,4)</f>
        <v>1532</v>
      </c>
      <c r="V1003" s="35" t="str">
        <f>VLOOKUP(Tabla1[[#This Row],[PROGRAMA]],Hoja1!A:B,2,FALSE)</f>
        <v>1532. Pavimentación vias públicas y otros servicios urbanísticos</v>
      </c>
      <c r="W1003" s="56" t="str">
        <f>MID(Tabla1[[#This Row],[Aplicación]],14,2)</f>
        <v>61</v>
      </c>
      <c r="X1003" s="56" t="str">
        <f>MID(Tabla1[[#This Row],[Aplicación]],14,6)</f>
        <v>619</v>
      </c>
    </row>
    <row r="1004" spans="1:24" x14ac:dyDescent="0.25">
      <c r="A1004" s="55">
        <v>220230008912</v>
      </c>
      <c r="B1004" s="47" t="s">
        <v>1514</v>
      </c>
      <c r="C1004" s="52">
        <v>45002</v>
      </c>
      <c r="D1004" s="46">
        <v>22023002277</v>
      </c>
      <c r="E1004" s="47" t="s">
        <v>546</v>
      </c>
      <c r="F1004" s="53">
        <v>1000</v>
      </c>
      <c r="G1004" s="47" t="s">
        <v>400</v>
      </c>
      <c r="H1004" s="47" t="s">
        <v>2197</v>
      </c>
      <c r="I1004" s="46" t="s">
        <v>1517</v>
      </c>
      <c r="J1004" s="47" t="s">
        <v>519</v>
      </c>
      <c r="K1004" s="47" t="s">
        <v>519</v>
      </c>
      <c r="L1004" s="47" t="s">
        <v>520</v>
      </c>
      <c r="M1004" s="47" t="s">
        <v>514</v>
      </c>
      <c r="N1004" s="47" t="s">
        <v>515</v>
      </c>
      <c r="O1004" s="54" t="s">
        <v>382</v>
      </c>
      <c r="P1004" s="44" t="s">
        <v>309</v>
      </c>
      <c r="Q1004" s="59" t="str">
        <f>MID(Tabla1[[#This Row],[Aplicación]],14,1)</f>
        <v>6</v>
      </c>
      <c r="R1004" s="35" t="s">
        <v>299</v>
      </c>
      <c r="S1004" s="59" t="str">
        <f>MID(Tabla1[[#This Row],[Aplicación]],6,2)</f>
        <v>08</v>
      </c>
      <c r="T1004" s="35" t="str">
        <f>VLOOKUP(Tabla1[[#This Row],[AREA]],Hoja1!A:B,2,FALSE)</f>
        <v>08. Movilidad y espacio urbano</v>
      </c>
      <c r="U1004" s="35" t="str">
        <f>MID(Tabla1[[#This Row],[Aplicación]],9,4)</f>
        <v>1532</v>
      </c>
      <c r="V1004" s="35" t="str">
        <f>VLOOKUP(Tabla1[[#This Row],[PROGRAMA]],Hoja1!A:B,2,FALSE)</f>
        <v>1532. Pavimentación vias públicas y otros servicios urbanísticos</v>
      </c>
      <c r="W1004" s="56" t="str">
        <f>MID(Tabla1[[#This Row],[Aplicación]],14,2)</f>
        <v>61</v>
      </c>
      <c r="X1004" s="56" t="str">
        <f>MID(Tabla1[[#This Row],[Aplicación]],14,6)</f>
        <v>619</v>
      </c>
    </row>
    <row r="1005" spans="1:24" x14ac:dyDescent="0.25">
      <c r="A1005" s="55">
        <v>220230009199</v>
      </c>
      <c r="B1005" s="47" t="s">
        <v>1514</v>
      </c>
      <c r="C1005" s="52">
        <v>45006</v>
      </c>
      <c r="D1005" s="46">
        <v>22023002460</v>
      </c>
      <c r="E1005" s="47" t="s">
        <v>1978</v>
      </c>
      <c r="F1005" s="53">
        <v>9</v>
      </c>
      <c r="G1005" s="47" t="s">
        <v>46</v>
      </c>
      <c r="H1005" s="47" t="s">
        <v>2198</v>
      </c>
      <c r="I1005" s="46" t="s">
        <v>1517</v>
      </c>
      <c r="J1005" s="47" t="s">
        <v>519</v>
      </c>
      <c r="K1005" s="47" t="s">
        <v>519</v>
      </c>
      <c r="L1005" s="47" t="s">
        <v>552</v>
      </c>
      <c r="M1005" s="47" t="s">
        <v>976</v>
      </c>
      <c r="N1005" s="47" t="s">
        <v>839</v>
      </c>
      <c r="O1005" s="54" t="s">
        <v>383</v>
      </c>
      <c r="P1005" s="44" t="s">
        <v>309</v>
      </c>
      <c r="Q1005" s="59" t="str">
        <f>MID(Tabla1[[#This Row],[Aplicación]],14,1)</f>
        <v>2</v>
      </c>
      <c r="R1005" s="35" t="s">
        <v>298</v>
      </c>
      <c r="S1005" s="59" t="str">
        <f>MID(Tabla1[[#This Row],[Aplicación]],6,2)</f>
        <v>05</v>
      </c>
      <c r="T1005" s="35" t="str">
        <f>VLOOKUP(Tabla1[[#This Row],[AREA]],Hoja1!A:B,2,FALSE)</f>
        <v>05. Innovación, desarrollo económico, empleo y comercio</v>
      </c>
      <c r="U1005" s="35" t="str">
        <f>MID(Tabla1[[#This Row],[Aplicación]],9,4)</f>
        <v>4331</v>
      </c>
      <c r="V1005" s="35" t="str">
        <f>VLOOKUP(Tabla1[[#This Row],[PROGRAMA]],Hoja1!A:B,2,FALSE)</f>
        <v>4331. Desarrollo empresarial</v>
      </c>
      <c r="W1005" s="56" t="str">
        <f>MID(Tabla1[[#This Row],[Aplicación]],14,2)</f>
        <v>21</v>
      </c>
      <c r="X1005" s="56" t="str">
        <f>MID(Tabla1[[#This Row],[Aplicación]],14,6)</f>
        <v>212</v>
      </c>
    </row>
    <row r="1006" spans="1:24" x14ac:dyDescent="0.25">
      <c r="A1006" s="46">
        <v>220230005403</v>
      </c>
      <c r="B1006" s="47" t="s">
        <v>507</v>
      </c>
      <c r="C1006" s="52">
        <v>44979</v>
      </c>
      <c r="D1006" s="46">
        <v>22023002579</v>
      </c>
      <c r="E1006" s="47" t="s">
        <v>757</v>
      </c>
      <c r="F1006" s="53">
        <v>665.5</v>
      </c>
      <c r="G1006" s="47" t="s">
        <v>2199</v>
      </c>
      <c r="H1006" s="47" t="s">
        <v>2200</v>
      </c>
      <c r="I1006" s="46" t="s">
        <v>511</v>
      </c>
      <c r="J1006" s="47" t="s">
        <v>519</v>
      </c>
      <c r="K1006" s="47" t="s">
        <v>519</v>
      </c>
      <c r="L1006" s="47" t="s">
        <v>520</v>
      </c>
      <c r="M1006" s="47" t="s">
        <v>976</v>
      </c>
      <c r="N1006" s="47" t="s">
        <v>839</v>
      </c>
      <c r="O1006" s="45" t="s">
        <v>383</v>
      </c>
      <c r="P1006" s="44" t="s">
        <v>309</v>
      </c>
      <c r="Q1006" s="59" t="str">
        <f>MID(Tabla1[[#This Row],[Aplicación]],14,1)</f>
        <v>2</v>
      </c>
      <c r="R1006" s="35" t="s">
        <v>298</v>
      </c>
      <c r="S1006" s="59" t="str">
        <f>MID(Tabla1[[#This Row],[Aplicación]],6,2)</f>
        <v>10</v>
      </c>
      <c r="T1006" s="35" t="str">
        <f>VLOOKUP(Tabla1[[#This Row],[AREA]],Hoja1!A:B,2,FALSE)</f>
        <v>10. Servicios sociales y mediación comunitaria</v>
      </c>
      <c r="U1006" s="35" t="str">
        <f>MID(Tabla1[[#This Row],[Aplicación]],9,4)</f>
        <v>2312</v>
      </c>
      <c r="V1006" s="35" t="str">
        <f>VLOOKUP(Tabla1[[#This Row],[PROGRAMA]],Hoja1!A:B,2,FALSE)</f>
        <v>2312. Iniciativas sociales</v>
      </c>
      <c r="W1006" s="56" t="str">
        <f>MID(Tabla1[[#This Row],[Aplicación]],14,2)</f>
        <v>22</v>
      </c>
      <c r="X1006" s="56" t="str">
        <f>MID(Tabla1[[#This Row],[Aplicación]],14,6)</f>
        <v>22700</v>
      </c>
    </row>
    <row r="1007" spans="1:24" x14ac:dyDescent="0.25">
      <c r="A1007" s="46">
        <v>220219000875</v>
      </c>
      <c r="B1007" s="47" t="s">
        <v>507</v>
      </c>
      <c r="C1007" s="52">
        <v>44927</v>
      </c>
      <c r="D1007" s="46">
        <v>22023003337</v>
      </c>
      <c r="E1007" s="47" t="s">
        <v>546</v>
      </c>
      <c r="F1007" s="53">
        <v>14822.5</v>
      </c>
      <c r="G1007" s="47" t="s">
        <v>2201</v>
      </c>
      <c r="H1007" s="47" t="s">
        <v>2202</v>
      </c>
      <c r="I1007" s="46" t="s">
        <v>511</v>
      </c>
      <c r="J1007" s="47" t="s">
        <v>1487</v>
      </c>
      <c r="K1007" s="47" t="s">
        <v>519</v>
      </c>
      <c r="L1007" s="47" t="s">
        <v>520</v>
      </c>
      <c r="M1007" s="47" t="s">
        <v>514</v>
      </c>
      <c r="N1007" s="47" t="s">
        <v>515</v>
      </c>
      <c r="O1007" s="54" t="s">
        <v>371</v>
      </c>
      <c r="P1007" s="44" t="s">
        <v>309</v>
      </c>
      <c r="Q1007" s="59" t="str">
        <f>MID(Tabla1[[#This Row],[Aplicación]],14,1)</f>
        <v>6</v>
      </c>
      <c r="R1007" s="35" t="s">
        <v>299</v>
      </c>
      <c r="S1007" s="59" t="str">
        <f>MID(Tabla1[[#This Row],[Aplicación]],6,2)</f>
        <v>08</v>
      </c>
      <c r="T1007" s="35" t="str">
        <f>VLOOKUP(Tabla1[[#This Row],[AREA]],Hoja1!A:B,2,FALSE)</f>
        <v>08. Movilidad y espacio urbano</v>
      </c>
      <c r="U1007" s="35" t="str">
        <f>MID(Tabla1[[#This Row],[Aplicación]],9,4)</f>
        <v>1532</v>
      </c>
      <c r="V1007" s="35" t="str">
        <f>VLOOKUP(Tabla1[[#This Row],[PROGRAMA]],Hoja1!A:B,2,FALSE)</f>
        <v>1532. Pavimentación vias públicas y otros servicios urbanísticos</v>
      </c>
      <c r="W1007" s="56" t="str">
        <f>MID(Tabla1[[#This Row],[Aplicación]],14,2)</f>
        <v>61</v>
      </c>
      <c r="X1007" s="56" t="str">
        <f>MID(Tabla1[[#This Row],[Aplicación]],14,6)</f>
        <v>619</v>
      </c>
    </row>
    <row r="1008" spans="1:24" x14ac:dyDescent="0.25">
      <c r="A1008" s="46">
        <v>220230003796</v>
      </c>
      <c r="B1008" s="47" t="s">
        <v>507</v>
      </c>
      <c r="C1008" s="52">
        <v>44974</v>
      </c>
      <c r="D1008" s="46">
        <v>22023002500</v>
      </c>
      <c r="E1008" s="47" t="s">
        <v>659</v>
      </c>
      <c r="F1008" s="53">
        <v>7253.95</v>
      </c>
      <c r="G1008" s="47" t="s">
        <v>18</v>
      </c>
      <c r="H1008" s="47" t="s">
        <v>2203</v>
      </c>
      <c r="I1008" s="46" t="s">
        <v>511</v>
      </c>
      <c r="J1008" s="47" t="s">
        <v>519</v>
      </c>
      <c r="K1008" s="47" t="s">
        <v>519</v>
      </c>
      <c r="L1008" s="47" t="s">
        <v>520</v>
      </c>
      <c r="M1008" s="47" t="s">
        <v>976</v>
      </c>
      <c r="N1008" s="47" t="s">
        <v>839</v>
      </c>
      <c r="O1008" s="45" t="s">
        <v>383</v>
      </c>
      <c r="P1008" s="44" t="s">
        <v>309</v>
      </c>
      <c r="Q1008" s="59" t="str">
        <f>MID(Tabla1[[#This Row],[Aplicación]],14,1)</f>
        <v>2</v>
      </c>
      <c r="R1008" s="35" t="s">
        <v>298</v>
      </c>
      <c r="S1008" s="59" t="str">
        <f>MID(Tabla1[[#This Row],[Aplicación]],6,2)</f>
        <v>11</v>
      </c>
      <c r="T1008" s="35" t="str">
        <f>VLOOKUP(Tabla1[[#This Row],[AREA]],Hoja1!A:B,2,FALSE)</f>
        <v>11. Salud pública y seguridad ciudadana</v>
      </c>
      <c r="U1008" s="35" t="str">
        <f>MID(Tabla1[[#This Row],[Aplicación]],9,4)</f>
        <v>1321</v>
      </c>
      <c r="V1008" s="35" t="str">
        <f>VLOOKUP(Tabla1[[#This Row],[PROGRAMA]],Hoja1!A:B,2,FALSE)</f>
        <v>1321. Policía municipal</v>
      </c>
      <c r="W1008" s="56" t="str">
        <f>MID(Tabla1[[#This Row],[Aplicación]],14,2)</f>
        <v>21</v>
      </c>
      <c r="X1008" s="56" t="str">
        <f>MID(Tabla1[[#This Row],[Aplicación]],14,6)</f>
        <v>213</v>
      </c>
    </row>
    <row r="1009" spans="1:24" x14ac:dyDescent="0.25">
      <c r="A1009" s="46">
        <v>220230003487</v>
      </c>
      <c r="B1009" s="47" t="s">
        <v>1514</v>
      </c>
      <c r="C1009" s="52">
        <v>44972</v>
      </c>
      <c r="D1009" s="46">
        <v>22023002053</v>
      </c>
      <c r="E1009" s="47" t="s">
        <v>2107</v>
      </c>
      <c r="F1009" s="53">
        <v>34.729999999999997</v>
      </c>
      <c r="G1009" s="47" t="s">
        <v>2108</v>
      </c>
      <c r="H1009" s="47" t="s">
        <v>2204</v>
      </c>
      <c r="I1009" s="46" t="s">
        <v>1517</v>
      </c>
      <c r="J1009" s="47" t="s">
        <v>519</v>
      </c>
      <c r="K1009" s="47" t="s">
        <v>519</v>
      </c>
      <c r="L1009" s="47" t="s">
        <v>552</v>
      </c>
      <c r="M1009" s="47" t="s">
        <v>514</v>
      </c>
      <c r="N1009" s="47" t="s">
        <v>515</v>
      </c>
      <c r="O1009" s="45" t="s">
        <v>382</v>
      </c>
      <c r="P1009" s="44" t="s">
        <v>309</v>
      </c>
      <c r="Q1009" s="59" t="str">
        <f>MID(Tabla1[[#This Row],[Aplicación]],14,1)</f>
        <v>2</v>
      </c>
      <c r="R1009" s="35" t="s">
        <v>298</v>
      </c>
      <c r="S1009" s="59" t="str">
        <f>MID(Tabla1[[#This Row],[Aplicación]],6,2)</f>
        <v>07</v>
      </c>
      <c r="T1009" s="35" t="str">
        <f>VLOOKUP(Tabla1[[#This Row],[AREA]],Hoja1!A:B,2,FALSE)</f>
        <v>07. Medio ambiente y desarrollo sostenible</v>
      </c>
      <c r="U1009" s="35" t="str">
        <f>MID(Tabla1[[#This Row],[Aplicación]],9,4)</f>
        <v>1711</v>
      </c>
      <c r="V1009" s="35" t="str">
        <f>VLOOKUP(Tabla1[[#This Row],[PROGRAMA]],Hoja1!A:B,2,FALSE)</f>
        <v>1711. Parques y jardines</v>
      </c>
      <c r="W1009" s="56" t="str">
        <f>MID(Tabla1[[#This Row],[Aplicación]],14,2)</f>
        <v>21</v>
      </c>
      <c r="X1009" s="56" t="str">
        <f>MID(Tabla1[[#This Row],[Aplicación]],14,6)</f>
        <v>213</v>
      </c>
    </row>
    <row r="1010" spans="1:24" x14ac:dyDescent="0.25">
      <c r="A1010" s="46">
        <v>220230000164</v>
      </c>
      <c r="B1010" s="47" t="s">
        <v>507</v>
      </c>
      <c r="C1010" s="52">
        <v>44927</v>
      </c>
      <c r="D1010" s="46">
        <v>22023000797</v>
      </c>
      <c r="E1010" s="47" t="s">
        <v>616</v>
      </c>
      <c r="F1010" s="53">
        <v>474.06</v>
      </c>
      <c r="G1010" s="47" t="s">
        <v>1621</v>
      </c>
      <c r="H1010" s="47" t="s">
        <v>2205</v>
      </c>
      <c r="I1010" s="46" t="s">
        <v>511</v>
      </c>
      <c r="J1010" s="47" t="s">
        <v>1623</v>
      </c>
      <c r="K1010" s="47" t="s">
        <v>1624</v>
      </c>
      <c r="L1010" s="47" t="s">
        <v>520</v>
      </c>
      <c r="M1010" s="47" t="s">
        <v>514</v>
      </c>
      <c r="N1010" s="47" t="s">
        <v>515</v>
      </c>
      <c r="O1010" s="45" t="s">
        <v>371</v>
      </c>
      <c r="P1010" s="44" t="s">
        <v>309</v>
      </c>
      <c r="Q1010" s="59" t="str">
        <f>MID(Tabla1[[#This Row],[Aplicación]],14,1)</f>
        <v>2</v>
      </c>
      <c r="R1010" s="35" t="s">
        <v>298</v>
      </c>
      <c r="S1010" s="59" t="str">
        <f>MID(Tabla1[[#This Row],[Aplicación]],6,2)</f>
        <v>10</v>
      </c>
      <c r="T1010" s="35" t="str">
        <f>VLOOKUP(Tabla1[[#This Row],[AREA]],Hoja1!A:B,2,FALSE)</f>
        <v>10. Servicios sociales y mediación comunitaria</v>
      </c>
      <c r="U1010" s="35" t="str">
        <f>MID(Tabla1[[#This Row],[Aplicación]],9,4)</f>
        <v>2412</v>
      </c>
      <c r="V1010" s="35" t="str">
        <f>VLOOKUP(Tabla1[[#This Row],[PROGRAMA]],Hoja1!A:B,2,FALSE)</f>
        <v>2412. Formación para el empleo</v>
      </c>
      <c r="W1010" s="56" t="str">
        <f>MID(Tabla1[[#This Row],[Aplicación]],14,2)</f>
        <v>21</v>
      </c>
      <c r="X1010" s="56" t="str">
        <f>MID(Tabla1[[#This Row],[Aplicación]],14,6)</f>
        <v>213</v>
      </c>
    </row>
    <row r="1011" spans="1:24" x14ac:dyDescent="0.25">
      <c r="A1011" s="46">
        <v>220230003509</v>
      </c>
      <c r="B1011" s="47" t="s">
        <v>1514</v>
      </c>
      <c r="C1011" s="52">
        <v>44972</v>
      </c>
      <c r="D1011" s="46">
        <v>22023001956</v>
      </c>
      <c r="E1011" s="47" t="s">
        <v>1982</v>
      </c>
      <c r="F1011" s="53">
        <v>38.72</v>
      </c>
      <c r="G1011" s="47" t="s">
        <v>1993</v>
      </c>
      <c r="H1011" s="47" t="s">
        <v>2206</v>
      </c>
      <c r="I1011" s="46" t="s">
        <v>1517</v>
      </c>
      <c r="J1011" s="47" t="s">
        <v>519</v>
      </c>
      <c r="K1011" s="47" t="s">
        <v>519</v>
      </c>
      <c r="L1011" s="47" t="s">
        <v>552</v>
      </c>
      <c r="M1011" s="47" t="s">
        <v>514</v>
      </c>
      <c r="N1011" s="47" t="s">
        <v>515</v>
      </c>
      <c r="O1011" s="45" t="s">
        <v>382</v>
      </c>
      <c r="P1011" s="44" t="s">
        <v>309</v>
      </c>
      <c r="Q1011" s="59" t="str">
        <f>MID(Tabla1[[#This Row],[Aplicación]],14,1)</f>
        <v>2</v>
      </c>
      <c r="R1011" s="35" t="s">
        <v>298</v>
      </c>
      <c r="S1011" s="59" t="str">
        <f>MID(Tabla1[[#This Row],[Aplicación]],6,2)</f>
        <v>07</v>
      </c>
      <c r="T1011" s="35" t="str">
        <f>VLOOKUP(Tabla1[[#This Row],[AREA]],Hoja1!A:B,2,FALSE)</f>
        <v>07. Medio ambiente y desarrollo sostenible</v>
      </c>
      <c r="U1011" s="35" t="str">
        <f>MID(Tabla1[[#This Row],[Aplicación]],9,4)</f>
        <v>1711</v>
      </c>
      <c r="V1011" s="35" t="str">
        <f>VLOOKUP(Tabla1[[#This Row],[PROGRAMA]],Hoja1!A:B,2,FALSE)</f>
        <v>1711. Parques y jardines</v>
      </c>
      <c r="W1011" s="56" t="str">
        <f>MID(Tabla1[[#This Row],[Aplicación]],14,2)</f>
        <v>21</v>
      </c>
      <c r="X1011" s="56" t="str">
        <f>MID(Tabla1[[#This Row],[Aplicación]],14,6)</f>
        <v>214</v>
      </c>
    </row>
    <row r="1012" spans="1:24" x14ac:dyDescent="0.25">
      <c r="A1012" s="46">
        <v>220230003513</v>
      </c>
      <c r="B1012" s="47" t="s">
        <v>1514</v>
      </c>
      <c r="C1012" s="52">
        <v>44972</v>
      </c>
      <c r="D1012" s="46">
        <v>22023001956</v>
      </c>
      <c r="E1012" s="47" t="s">
        <v>1982</v>
      </c>
      <c r="F1012" s="53">
        <v>172.8</v>
      </c>
      <c r="G1012" s="47" t="s">
        <v>2025</v>
      </c>
      <c r="H1012" s="47" t="s">
        <v>2207</v>
      </c>
      <c r="I1012" s="46" t="s">
        <v>1517</v>
      </c>
      <c r="J1012" s="47" t="s">
        <v>519</v>
      </c>
      <c r="K1012" s="47" t="s">
        <v>519</v>
      </c>
      <c r="L1012" s="47" t="s">
        <v>520</v>
      </c>
      <c r="M1012" s="47" t="s">
        <v>514</v>
      </c>
      <c r="N1012" s="47" t="s">
        <v>515</v>
      </c>
      <c r="O1012" s="45" t="s">
        <v>382</v>
      </c>
      <c r="P1012" s="44" t="s">
        <v>309</v>
      </c>
      <c r="Q1012" s="59" t="str">
        <f>MID(Tabla1[[#This Row],[Aplicación]],14,1)</f>
        <v>2</v>
      </c>
      <c r="R1012" s="35" t="s">
        <v>298</v>
      </c>
      <c r="S1012" s="59" t="str">
        <f>MID(Tabla1[[#This Row],[Aplicación]],6,2)</f>
        <v>07</v>
      </c>
      <c r="T1012" s="35" t="str">
        <f>VLOOKUP(Tabla1[[#This Row],[AREA]],Hoja1!A:B,2,FALSE)</f>
        <v>07. Medio ambiente y desarrollo sostenible</v>
      </c>
      <c r="U1012" s="35" t="str">
        <f>MID(Tabla1[[#This Row],[Aplicación]],9,4)</f>
        <v>1711</v>
      </c>
      <c r="V1012" s="35" t="str">
        <f>VLOOKUP(Tabla1[[#This Row],[PROGRAMA]],Hoja1!A:B,2,FALSE)</f>
        <v>1711. Parques y jardines</v>
      </c>
      <c r="W1012" s="56" t="str">
        <f>MID(Tabla1[[#This Row],[Aplicación]],14,2)</f>
        <v>21</v>
      </c>
      <c r="X1012" s="56" t="str">
        <f>MID(Tabla1[[#This Row],[Aplicación]],14,6)</f>
        <v>214</v>
      </c>
    </row>
    <row r="1013" spans="1:24" x14ac:dyDescent="0.25">
      <c r="A1013" s="46">
        <v>220230003647</v>
      </c>
      <c r="B1013" s="47" t="s">
        <v>507</v>
      </c>
      <c r="C1013" s="52">
        <v>44973</v>
      </c>
      <c r="D1013" s="46">
        <v>22023000210</v>
      </c>
      <c r="E1013" s="47" t="s">
        <v>516</v>
      </c>
      <c r="F1013" s="53">
        <v>251553</v>
      </c>
      <c r="G1013" s="47" t="s">
        <v>570</v>
      </c>
      <c r="H1013" s="47" t="s">
        <v>2208</v>
      </c>
      <c r="I1013" s="46" t="s">
        <v>511</v>
      </c>
      <c r="J1013" s="47" t="s">
        <v>572</v>
      </c>
      <c r="K1013" s="47" t="s">
        <v>573</v>
      </c>
      <c r="L1013" s="47" t="s">
        <v>520</v>
      </c>
      <c r="M1013" s="47" t="s">
        <v>514</v>
      </c>
      <c r="N1013" s="47" t="s">
        <v>515</v>
      </c>
      <c r="O1013" s="45" t="s">
        <v>371</v>
      </c>
      <c r="P1013" s="44" t="s">
        <v>309</v>
      </c>
      <c r="Q1013" s="59" t="str">
        <f>MID(Tabla1[[#This Row],[Aplicación]],14,1)</f>
        <v>2</v>
      </c>
      <c r="R1013" s="35" t="s">
        <v>298</v>
      </c>
      <c r="S1013" s="59" t="str">
        <f>MID(Tabla1[[#This Row],[Aplicación]],6,2)</f>
        <v>10</v>
      </c>
      <c r="T1013" s="35" t="str">
        <f>VLOOKUP(Tabla1[[#This Row],[AREA]],Hoja1!A:B,2,FALSE)</f>
        <v>10. Servicios sociales y mediación comunitaria</v>
      </c>
      <c r="U1013" s="35" t="str">
        <f>MID(Tabla1[[#This Row],[Aplicación]],9,4)</f>
        <v>2311</v>
      </c>
      <c r="V1013" s="35" t="str">
        <f>VLOOKUP(Tabla1[[#This Row],[PROGRAMA]],Hoja1!A:B,2,FALSE)</f>
        <v>2311. Intervención social</v>
      </c>
      <c r="W1013" s="56" t="str">
        <f>MID(Tabla1[[#This Row],[Aplicación]],14,2)</f>
        <v>22</v>
      </c>
      <c r="X1013" s="56" t="str">
        <f>MID(Tabla1[[#This Row],[Aplicación]],14,6)</f>
        <v>22799</v>
      </c>
    </row>
    <row r="1014" spans="1:24" x14ac:dyDescent="0.25">
      <c r="A1014" s="46">
        <v>220230003652</v>
      </c>
      <c r="B1014" s="47" t="s">
        <v>507</v>
      </c>
      <c r="C1014" s="52">
        <v>44973</v>
      </c>
      <c r="D1014" s="46">
        <v>22023002233</v>
      </c>
      <c r="E1014" s="47" t="s">
        <v>2209</v>
      </c>
      <c r="F1014" s="53">
        <v>5000</v>
      </c>
      <c r="G1014" s="47" t="s">
        <v>2210</v>
      </c>
      <c r="H1014" s="47" t="s">
        <v>2211</v>
      </c>
      <c r="I1014" s="46" t="s">
        <v>511</v>
      </c>
      <c r="J1014" s="47" t="s">
        <v>519</v>
      </c>
      <c r="K1014" s="47" t="s">
        <v>519</v>
      </c>
      <c r="L1014" s="47" t="s">
        <v>552</v>
      </c>
      <c r="M1014" s="47" t="s">
        <v>976</v>
      </c>
      <c r="N1014" s="47" t="s">
        <v>839</v>
      </c>
      <c r="O1014" s="45" t="s">
        <v>383</v>
      </c>
      <c r="P1014" s="44" t="s">
        <v>309</v>
      </c>
      <c r="Q1014" s="59" t="str">
        <f>MID(Tabla1[[#This Row],[Aplicación]],14,1)</f>
        <v>2</v>
      </c>
      <c r="R1014" s="35" t="s">
        <v>298</v>
      </c>
      <c r="S1014" s="59" t="str">
        <f>MID(Tabla1[[#This Row],[Aplicación]],6,2)</f>
        <v>07</v>
      </c>
      <c r="T1014" s="35" t="str">
        <f>VLOOKUP(Tabla1[[#This Row],[AREA]],Hoja1!A:B,2,FALSE)</f>
        <v>07. Medio ambiente y desarrollo sostenible</v>
      </c>
      <c r="U1014" s="35" t="str">
        <f>MID(Tabla1[[#This Row],[Aplicación]],9,4)</f>
        <v>1711</v>
      </c>
      <c r="V1014" s="35" t="str">
        <f>VLOOKUP(Tabla1[[#This Row],[PROGRAMA]],Hoja1!A:B,2,FALSE)</f>
        <v>1711. Parques y jardines</v>
      </c>
      <c r="W1014" s="56" t="str">
        <f>MID(Tabla1[[#This Row],[Aplicación]],14,2)</f>
        <v>22</v>
      </c>
      <c r="X1014" s="56" t="str">
        <f>MID(Tabla1[[#This Row],[Aplicación]],14,6)</f>
        <v>22113</v>
      </c>
    </row>
    <row r="1015" spans="1:24" x14ac:dyDescent="0.25">
      <c r="A1015" s="46">
        <v>220230003632</v>
      </c>
      <c r="B1015" s="47" t="s">
        <v>507</v>
      </c>
      <c r="C1015" s="52">
        <v>44973</v>
      </c>
      <c r="D1015" s="46">
        <v>22023002357</v>
      </c>
      <c r="E1015" s="47" t="s">
        <v>1191</v>
      </c>
      <c r="F1015" s="53">
        <v>360</v>
      </c>
      <c r="G1015" s="47" t="s">
        <v>2212</v>
      </c>
      <c r="H1015" s="47" t="s">
        <v>2213</v>
      </c>
      <c r="I1015" s="46" t="s">
        <v>511</v>
      </c>
      <c r="J1015" s="47" t="s">
        <v>837</v>
      </c>
      <c r="K1015" s="47" t="s">
        <v>837</v>
      </c>
      <c r="L1015" s="47" t="s">
        <v>520</v>
      </c>
      <c r="M1015" s="47" t="s">
        <v>976</v>
      </c>
      <c r="N1015" s="47" t="s">
        <v>839</v>
      </c>
      <c r="O1015" s="45" t="s">
        <v>383</v>
      </c>
      <c r="P1015" s="44" t="s">
        <v>309</v>
      </c>
      <c r="Q1015" s="59" t="str">
        <f>MID(Tabla1[[#This Row],[Aplicación]],14,1)</f>
        <v>2</v>
      </c>
      <c r="R1015" s="35" t="s">
        <v>298</v>
      </c>
      <c r="S1015" s="59" t="str">
        <f>MID(Tabla1[[#This Row],[Aplicación]],6,2)</f>
        <v>06</v>
      </c>
      <c r="T1015" s="35" t="str">
        <f>VLOOKUP(Tabla1[[#This Row],[AREA]],Hoja1!A:B,2,FALSE)</f>
        <v>06. Educación, infancia, juventud e igualdad</v>
      </c>
      <c r="U1015" s="35" t="str">
        <f>MID(Tabla1[[#This Row],[Aplicación]],9,4)</f>
        <v>2315</v>
      </c>
      <c r="V1015" s="35" t="str">
        <f>VLOOKUP(Tabla1[[#This Row],[PROGRAMA]],Hoja1!A:B,2,FALSE)</f>
        <v>2315. Políticas de Igualdad e infancia</v>
      </c>
      <c r="W1015" s="56" t="str">
        <f>MID(Tabla1[[#This Row],[Aplicación]],14,2)</f>
        <v>22</v>
      </c>
      <c r="X1015" s="56" t="str">
        <f>MID(Tabla1[[#This Row],[Aplicación]],14,6)</f>
        <v>22611</v>
      </c>
    </row>
    <row r="1016" spans="1:24" x14ac:dyDescent="0.25">
      <c r="A1016" s="46">
        <v>220230003633</v>
      </c>
      <c r="B1016" s="47" t="s">
        <v>507</v>
      </c>
      <c r="C1016" s="52">
        <v>44973</v>
      </c>
      <c r="D1016" s="46">
        <v>22023002382</v>
      </c>
      <c r="E1016" s="47" t="s">
        <v>1191</v>
      </c>
      <c r="F1016" s="53">
        <v>907.5</v>
      </c>
      <c r="G1016" s="47" t="s">
        <v>2214</v>
      </c>
      <c r="H1016" s="47" t="s">
        <v>2215</v>
      </c>
      <c r="I1016" s="46" t="s">
        <v>511</v>
      </c>
      <c r="J1016" s="47" t="s">
        <v>519</v>
      </c>
      <c r="K1016" s="47" t="s">
        <v>519</v>
      </c>
      <c r="L1016" s="47" t="s">
        <v>520</v>
      </c>
      <c r="M1016" s="47" t="s">
        <v>976</v>
      </c>
      <c r="N1016" s="47" t="s">
        <v>839</v>
      </c>
      <c r="O1016" s="45" t="s">
        <v>383</v>
      </c>
      <c r="P1016" s="44" t="s">
        <v>309</v>
      </c>
      <c r="Q1016" s="59" t="str">
        <f>MID(Tabla1[[#This Row],[Aplicación]],14,1)</f>
        <v>2</v>
      </c>
      <c r="R1016" s="35" t="s">
        <v>298</v>
      </c>
      <c r="S1016" s="59" t="str">
        <f>MID(Tabla1[[#This Row],[Aplicación]],6,2)</f>
        <v>06</v>
      </c>
      <c r="T1016" s="35" t="str">
        <f>VLOOKUP(Tabla1[[#This Row],[AREA]],Hoja1!A:B,2,FALSE)</f>
        <v>06. Educación, infancia, juventud e igualdad</v>
      </c>
      <c r="U1016" s="35" t="str">
        <f>MID(Tabla1[[#This Row],[Aplicación]],9,4)</f>
        <v>2315</v>
      </c>
      <c r="V1016" s="35" t="str">
        <f>VLOOKUP(Tabla1[[#This Row],[PROGRAMA]],Hoja1!A:B,2,FALSE)</f>
        <v>2315. Políticas de Igualdad e infancia</v>
      </c>
      <c r="W1016" s="56" t="str">
        <f>MID(Tabla1[[#This Row],[Aplicación]],14,2)</f>
        <v>22</v>
      </c>
      <c r="X1016" s="56" t="str">
        <f>MID(Tabla1[[#This Row],[Aplicación]],14,6)</f>
        <v>22611</v>
      </c>
    </row>
    <row r="1017" spans="1:24" x14ac:dyDescent="0.25">
      <c r="A1017" s="46">
        <v>220230003625</v>
      </c>
      <c r="B1017" s="47" t="s">
        <v>507</v>
      </c>
      <c r="C1017" s="52">
        <v>44973</v>
      </c>
      <c r="D1017" s="46">
        <v>22023002458</v>
      </c>
      <c r="E1017" s="47" t="s">
        <v>1428</v>
      </c>
      <c r="F1017" s="53">
        <v>342.84</v>
      </c>
      <c r="G1017" s="47" t="s">
        <v>2216</v>
      </c>
      <c r="H1017" s="47" t="s">
        <v>2217</v>
      </c>
      <c r="I1017" s="46" t="s">
        <v>511</v>
      </c>
      <c r="J1017" s="47" t="s">
        <v>519</v>
      </c>
      <c r="K1017" s="47" t="s">
        <v>519</v>
      </c>
      <c r="L1017" s="47" t="s">
        <v>520</v>
      </c>
      <c r="M1017" s="47" t="s">
        <v>976</v>
      </c>
      <c r="N1017" s="47" t="s">
        <v>839</v>
      </c>
      <c r="O1017" s="45" t="s">
        <v>383</v>
      </c>
      <c r="P1017" s="44" t="s">
        <v>309</v>
      </c>
      <c r="Q1017" s="59" t="str">
        <f>MID(Tabla1[[#This Row],[Aplicación]],14,1)</f>
        <v>2</v>
      </c>
      <c r="R1017" s="35" t="s">
        <v>298</v>
      </c>
      <c r="S1017" s="59" t="str">
        <f>MID(Tabla1[[#This Row],[Aplicación]],6,2)</f>
        <v>09</v>
      </c>
      <c r="T1017" s="35" t="str">
        <f>VLOOKUP(Tabla1[[#This Row],[AREA]],Hoja1!A:B,2,FALSE)</f>
        <v>09. Cultura y turismo</v>
      </c>
      <c r="U1017" s="35" t="str">
        <f>MID(Tabla1[[#This Row],[Aplicación]],9,4)</f>
        <v>3301</v>
      </c>
      <c r="V1017" s="35" t="str">
        <f>VLOOKUP(Tabla1[[#This Row],[PROGRAMA]],Hoja1!A:B,2,FALSE)</f>
        <v>3301. Dirección del área de cultura</v>
      </c>
      <c r="W1017" s="56" t="str">
        <f>MID(Tabla1[[#This Row],[Aplicación]],14,2)</f>
        <v>22</v>
      </c>
      <c r="X1017" s="56" t="str">
        <f>MID(Tabla1[[#This Row],[Aplicación]],14,6)</f>
        <v>22799</v>
      </c>
    </row>
    <row r="1018" spans="1:24" x14ac:dyDescent="0.25">
      <c r="A1018" s="46">
        <v>220230003780</v>
      </c>
      <c r="B1018" s="47" t="s">
        <v>507</v>
      </c>
      <c r="C1018" s="52">
        <v>44973</v>
      </c>
      <c r="D1018" s="46">
        <v>22023001663</v>
      </c>
      <c r="E1018" s="47" t="s">
        <v>1735</v>
      </c>
      <c r="F1018" s="53">
        <v>18000</v>
      </c>
      <c r="G1018" s="47" t="s">
        <v>387</v>
      </c>
      <c r="H1018" s="47" t="s">
        <v>2218</v>
      </c>
      <c r="I1018" s="46" t="s">
        <v>511</v>
      </c>
      <c r="J1018" s="47" t="s">
        <v>519</v>
      </c>
      <c r="K1018" s="47" t="s">
        <v>519</v>
      </c>
      <c r="L1018" s="47" t="s">
        <v>552</v>
      </c>
      <c r="M1018" s="47" t="s">
        <v>976</v>
      </c>
      <c r="N1018" s="47" t="s">
        <v>839</v>
      </c>
      <c r="O1018" s="45" t="s">
        <v>383</v>
      </c>
      <c r="P1018" s="44" t="s">
        <v>309</v>
      </c>
      <c r="Q1018" s="59" t="str">
        <f>MID(Tabla1[[#This Row],[Aplicación]],14,1)</f>
        <v>2</v>
      </c>
      <c r="R1018" s="35" t="s">
        <v>298</v>
      </c>
      <c r="S1018" s="59" t="str">
        <f>MID(Tabla1[[#This Row],[Aplicación]],6,2)</f>
        <v>04</v>
      </c>
      <c r="T1018" s="35" t="str">
        <f>VLOOKUP(Tabla1[[#This Row],[AREA]],Hoja1!A:B,2,FALSE)</f>
        <v>04. Planificación y recursos</v>
      </c>
      <c r="U1018" s="35" t="str">
        <f>MID(Tabla1[[#This Row],[Aplicación]],9,4)</f>
        <v>3121</v>
      </c>
      <c r="V1018" s="35" t="str">
        <f>VLOOKUP(Tabla1[[#This Row],[PROGRAMA]],Hoja1!A:B,2,FALSE)</f>
        <v>3121. Prevención y salud laboral</v>
      </c>
      <c r="W1018" s="56" t="str">
        <f>MID(Tabla1[[#This Row],[Aplicación]],14,2)</f>
        <v>22</v>
      </c>
      <c r="X1018" s="56" t="str">
        <f>MID(Tabla1[[#This Row],[Aplicación]],14,6)</f>
        <v>22106</v>
      </c>
    </row>
    <row r="1019" spans="1:24" x14ac:dyDescent="0.25">
      <c r="A1019" s="46">
        <v>220230003642</v>
      </c>
      <c r="B1019" s="47" t="s">
        <v>507</v>
      </c>
      <c r="C1019" s="52">
        <v>44973</v>
      </c>
      <c r="D1019" s="46">
        <v>22023002433</v>
      </c>
      <c r="E1019" s="47" t="s">
        <v>1479</v>
      </c>
      <c r="F1019" s="53">
        <v>2200</v>
      </c>
      <c r="G1019" s="47" t="s">
        <v>1689</v>
      </c>
      <c r="H1019" s="47" t="s">
        <v>2219</v>
      </c>
      <c r="I1019" s="46" t="s">
        <v>511</v>
      </c>
      <c r="J1019" s="47" t="s">
        <v>1691</v>
      </c>
      <c r="K1019" s="47" t="s">
        <v>519</v>
      </c>
      <c r="L1019" s="47" t="s">
        <v>520</v>
      </c>
      <c r="M1019" s="47" t="s">
        <v>976</v>
      </c>
      <c r="N1019" s="47" t="s">
        <v>839</v>
      </c>
      <c r="O1019" s="45" t="s">
        <v>383</v>
      </c>
      <c r="P1019" s="44" t="s">
        <v>309</v>
      </c>
      <c r="Q1019" s="59" t="str">
        <f>MID(Tabla1[[#This Row],[Aplicación]],14,1)</f>
        <v>2</v>
      </c>
      <c r="R1019" s="35" t="s">
        <v>298</v>
      </c>
      <c r="S1019" s="59" t="str">
        <f>MID(Tabla1[[#This Row],[Aplicación]],6,2)</f>
        <v>03</v>
      </c>
      <c r="T1019" s="35" t="str">
        <f>VLOOKUP(Tabla1[[#This Row],[AREA]],Hoja1!A:B,2,FALSE)</f>
        <v>03. Participación ciudadana y deportes</v>
      </c>
      <c r="U1019" s="35" t="str">
        <f>MID(Tabla1[[#This Row],[Aplicación]],9,4)</f>
        <v>9241</v>
      </c>
      <c r="V1019" s="35" t="str">
        <f>VLOOKUP(Tabla1[[#This Row],[PROGRAMA]],Hoja1!A:B,2,FALSE)</f>
        <v>9241. Participación ciudadana</v>
      </c>
      <c r="W1019" s="56" t="str">
        <f>MID(Tabla1[[#This Row],[Aplicación]],14,2)</f>
        <v>22</v>
      </c>
      <c r="X1019" s="56" t="str">
        <f>MID(Tabla1[[#This Row],[Aplicación]],14,6)</f>
        <v>22609</v>
      </c>
    </row>
    <row r="1020" spans="1:24" x14ac:dyDescent="0.25">
      <c r="A1020" s="46">
        <v>220230003638</v>
      </c>
      <c r="B1020" s="47" t="s">
        <v>507</v>
      </c>
      <c r="C1020" s="52">
        <v>44973</v>
      </c>
      <c r="D1020" s="46">
        <v>22023002427</v>
      </c>
      <c r="E1020" s="47" t="s">
        <v>1479</v>
      </c>
      <c r="F1020" s="53">
        <v>500</v>
      </c>
      <c r="G1020" s="47" t="s">
        <v>2220</v>
      </c>
      <c r="H1020" s="47" t="s">
        <v>2221</v>
      </c>
      <c r="I1020" s="46" t="s">
        <v>511</v>
      </c>
      <c r="J1020" s="47" t="s">
        <v>519</v>
      </c>
      <c r="K1020" s="47" t="s">
        <v>519</v>
      </c>
      <c r="L1020" s="47" t="s">
        <v>520</v>
      </c>
      <c r="M1020" s="47" t="s">
        <v>976</v>
      </c>
      <c r="N1020" s="47" t="s">
        <v>839</v>
      </c>
      <c r="O1020" s="45" t="s">
        <v>383</v>
      </c>
      <c r="P1020" s="44" t="s">
        <v>309</v>
      </c>
      <c r="Q1020" s="59" t="str">
        <f>MID(Tabla1[[#This Row],[Aplicación]],14,1)</f>
        <v>2</v>
      </c>
      <c r="R1020" s="35" t="s">
        <v>298</v>
      </c>
      <c r="S1020" s="59" t="str">
        <f>MID(Tabla1[[#This Row],[Aplicación]],6,2)</f>
        <v>03</v>
      </c>
      <c r="T1020" s="35" t="str">
        <f>VLOOKUP(Tabla1[[#This Row],[AREA]],Hoja1!A:B,2,FALSE)</f>
        <v>03. Participación ciudadana y deportes</v>
      </c>
      <c r="U1020" s="35" t="str">
        <f>MID(Tabla1[[#This Row],[Aplicación]],9,4)</f>
        <v>9241</v>
      </c>
      <c r="V1020" s="35" t="str">
        <f>VLOOKUP(Tabla1[[#This Row],[PROGRAMA]],Hoja1!A:B,2,FALSE)</f>
        <v>9241. Participación ciudadana</v>
      </c>
      <c r="W1020" s="56" t="str">
        <f>MID(Tabla1[[#This Row],[Aplicación]],14,2)</f>
        <v>22</v>
      </c>
      <c r="X1020" s="56" t="str">
        <f>MID(Tabla1[[#This Row],[Aplicación]],14,6)</f>
        <v>22609</v>
      </c>
    </row>
    <row r="1021" spans="1:24" x14ac:dyDescent="0.25">
      <c r="A1021" s="46">
        <v>220230003639</v>
      </c>
      <c r="B1021" s="47" t="s">
        <v>507</v>
      </c>
      <c r="C1021" s="52">
        <v>44973</v>
      </c>
      <c r="D1021" s="46">
        <v>22023002428</v>
      </c>
      <c r="E1021" s="47" t="s">
        <v>1479</v>
      </c>
      <c r="F1021" s="53">
        <v>200</v>
      </c>
      <c r="G1021" s="47" t="s">
        <v>2222</v>
      </c>
      <c r="H1021" s="47" t="s">
        <v>2223</v>
      </c>
      <c r="I1021" s="46" t="s">
        <v>511</v>
      </c>
      <c r="J1021" s="47" t="s">
        <v>519</v>
      </c>
      <c r="K1021" s="47" t="s">
        <v>519</v>
      </c>
      <c r="L1021" s="47" t="s">
        <v>520</v>
      </c>
      <c r="M1021" s="47" t="s">
        <v>976</v>
      </c>
      <c r="N1021" s="47" t="s">
        <v>839</v>
      </c>
      <c r="O1021" s="45" t="s">
        <v>383</v>
      </c>
      <c r="P1021" s="44" t="s">
        <v>309</v>
      </c>
      <c r="Q1021" s="59" t="str">
        <f>MID(Tabla1[[#This Row],[Aplicación]],14,1)</f>
        <v>2</v>
      </c>
      <c r="R1021" s="35" t="s">
        <v>298</v>
      </c>
      <c r="S1021" s="59" t="str">
        <f>MID(Tabla1[[#This Row],[Aplicación]],6,2)</f>
        <v>03</v>
      </c>
      <c r="T1021" s="35" t="str">
        <f>VLOOKUP(Tabla1[[#This Row],[AREA]],Hoja1!A:B,2,FALSE)</f>
        <v>03. Participación ciudadana y deportes</v>
      </c>
      <c r="U1021" s="35" t="str">
        <f>MID(Tabla1[[#This Row],[Aplicación]],9,4)</f>
        <v>9241</v>
      </c>
      <c r="V1021" s="35" t="str">
        <f>VLOOKUP(Tabla1[[#This Row],[PROGRAMA]],Hoja1!A:B,2,FALSE)</f>
        <v>9241. Participación ciudadana</v>
      </c>
      <c r="W1021" s="56" t="str">
        <f>MID(Tabla1[[#This Row],[Aplicación]],14,2)</f>
        <v>22</v>
      </c>
      <c r="X1021" s="56" t="str">
        <f>MID(Tabla1[[#This Row],[Aplicación]],14,6)</f>
        <v>22609</v>
      </c>
    </row>
    <row r="1022" spans="1:24" x14ac:dyDescent="0.25">
      <c r="A1022" s="46">
        <v>220230003637</v>
      </c>
      <c r="B1022" s="47" t="s">
        <v>507</v>
      </c>
      <c r="C1022" s="52">
        <v>44973</v>
      </c>
      <c r="D1022" s="46">
        <v>22023002426</v>
      </c>
      <c r="E1022" s="47" t="s">
        <v>1479</v>
      </c>
      <c r="F1022" s="53">
        <v>600</v>
      </c>
      <c r="G1022" s="47" t="s">
        <v>2224</v>
      </c>
      <c r="H1022" s="47" t="s">
        <v>2225</v>
      </c>
      <c r="I1022" s="46" t="s">
        <v>511</v>
      </c>
      <c r="J1022" s="47" t="s">
        <v>519</v>
      </c>
      <c r="K1022" s="47" t="s">
        <v>519</v>
      </c>
      <c r="L1022" s="47" t="s">
        <v>520</v>
      </c>
      <c r="M1022" s="47" t="s">
        <v>976</v>
      </c>
      <c r="N1022" s="47" t="s">
        <v>839</v>
      </c>
      <c r="O1022" s="45" t="s">
        <v>383</v>
      </c>
      <c r="P1022" s="44" t="s">
        <v>309</v>
      </c>
      <c r="Q1022" s="59" t="str">
        <f>MID(Tabla1[[#This Row],[Aplicación]],14,1)</f>
        <v>2</v>
      </c>
      <c r="R1022" s="35" t="s">
        <v>298</v>
      </c>
      <c r="S1022" s="59" t="str">
        <f>MID(Tabla1[[#This Row],[Aplicación]],6,2)</f>
        <v>03</v>
      </c>
      <c r="T1022" s="35" t="str">
        <f>VLOOKUP(Tabla1[[#This Row],[AREA]],Hoja1!A:B,2,FALSE)</f>
        <v>03. Participación ciudadana y deportes</v>
      </c>
      <c r="U1022" s="35" t="str">
        <f>MID(Tabla1[[#This Row],[Aplicación]],9,4)</f>
        <v>9241</v>
      </c>
      <c r="V1022" s="35" t="str">
        <f>VLOOKUP(Tabla1[[#This Row],[PROGRAMA]],Hoja1!A:B,2,FALSE)</f>
        <v>9241. Participación ciudadana</v>
      </c>
      <c r="W1022" s="56" t="str">
        <f>MID(Tabla1[[#This Row],[Aplicación]],14,2)</f>
        <v>22</v>
      </c>
      <c r="X1022" s="56" t="str">
        <f>MID(Tabla1[[#This Row],[Aplicación]],14,6)</f>
        <v>22609</v>
      </c>
    </row>
    <row r="1023" spans="1:24" x14ac:dyDescent="0.25">
      <c r="A1023" s="46">
        <v>220230003651</v>
      </c>
      <c r="B1023" s="47" t="s">
        <v>507</v>
      </c>
      <c r="C1023" s="52">
        <v>44973</v>
      </c>
      <c r="D1023" s="46">
        <v>22023001662</v>
      </c>
      <c r="E1023" s="47" t="s">
        <v>2226</v>
      </c>
      <c r="F1023" s="53">
        <v>9075</v>
      </c>
      <c r="G1023" s="47" t="s">
        <v>2227</v>
      </c>
      <c r="H1023" s="47" t="s">
        <v>2228</v>
      </c>
      <c r="I1023" s="46" t="s">
        <v>511</v>
      </c>
      <c r="J1023" s="47" t="s">
        <v>519</v>
      </c>
      <c r="K1023" s="47" t="s">
        <v>519</v>
      </c>
      <c r="L1023" s="47" t="s">
        <v>520</v>
      </c>
      <c r="M1023" s="47" t="s">
        <v>976</v>
      </c>
      <c r="N1023" s="47" t="s">
        <v>839</v>
      </c>
      <c r="O1023" s="45" t="s">
        <v>383</v>
      </c>
      <c r="P1023" s="44" t="s">
        <v>309</v>
      </c>
      <c r="Q1023" s="59" t="str">
        <f>MID(Tabla1[[#This Row],[Aplicación]],14,1)</f>
        <v>2</v>
      </c>
      <c r="R1023" s="35" t="s">
        <v>298</v>
      </c>
      <c r="S1023" s="59" t="str">
        <f>MID(Tabla1[[#This Row],[Aplicación]],6,2)</f>
        <v>11</v>
      </c>
      <c r="T1023" s="35" t="str">
        <f>VLOOKUP(Tabla1[[#This Row],[AREA]],Hoja1!A:B,2,FALSE)</f>
        <v>11. Salud pública y seguridad ciudadana</v>
      </c>
      <c r="U1023" s="35" t="str">
        <f>MID(Tabla1[[#This Row],[Aplicación]],9,4)</f>
        <v>1621</v>
      </c>
      <c r="V1023" s="35" t="str">
        <f>VLOOKUP(Tabla1[[#This Row],[PROGRAMA]],Hoja1!A:B,2,FALSE)</f>
        <v>1621. Servicio de limpieza</v>
      </c>
      <c r="W1023" s="56" t="str">
        <f>MID(Tabla1[[#This Row],[Aplicación]],14,2)</f>
        <v>21</v>
      </c>
      <c r="X1023" s="56" t="str">
        <f>MID(Tabla1[[#This Row],[Aplicación]],14,6)</f>
        <v>219</v>
      </c>
    </row>
    <row r="1024" spans="1:24" x14ac:dyDescent="0.25">
      <c r="A1024" s="46">
        <v>220230003648</v>
      </c>
      <c r="B1024" s="47" t="s">
        <v>507</v>
      </c>
      <c r="C1024" s="52">
        <v>44973</v>
      </c>
      <c r="D1024" s="46">
        <v>22023000212</v>
      </c>
      <c r="E1024" s="47" t="s">
        <v>516</v>
      </c>
      <c r="F1024" s="53">
        <v>8666</v>
      </c>
      <c r="G1024" s="47" t="s">
        <v>47</v>
      </c>
      <c r="H1024" s="47" t="s">
        <v>2229</v>
      </c>
      <c r="I1024" s="46" t="s">
        <v>511</v>
      </c>
      <c r="J1024" s="47" t="s">
        <v>519</v>
      </c>
      <c r="K1024" s="47" t="s">
        <v>519</v>
      </c>
      <c r="L1024" s="47" t="s">
        <v>520</v>
      </c>
      <c r="M1024" s="47" t="s">
        <v>514</v>
      </c>
      <c r="N1024" s="47" t="s">
        <v>515</v>
      </c>
      <c r="O1024" s="45" t="s">
        <v>371</v>
      </c>
      <c r="P1024" s="44" t="s">
        <v>309</v>
      </c>
      <c r="Q1024" s="59" t="str">
        <f>MID(Tabla1[[#This Row],[Aplicación]],14,1)</f>
        <v>2</v>
      </c>
      <c r="R1024" s="35" t="s">
        <v>298</v>
      </c>
      <c r="S1024" s="59" t="str">
        <f>MID(Tabla1[[#This Row],[Aplicación]],6,2)</f>
        <v>10</v>
      </c>
      <c r="T1024" s="35" t="str">
        <f>VLOOKUP(Tabla1[[#This Row],[AREA]],Hoja1!A:B,2,FALSE)</f>
        <v>10. Servicios sociales y mediación comunitaria</v>
      </c>
      <c r="U1024" s="35" t="str">
        <f>MID(Tabla1[[#This Row],[Aplicación]],9,4)</f>
        <v>2311</v>
      </c>
      <c r="V1024" s="35" t="str">
        <f>VLOOKUP(Tabla1[[#This Row],[PROGRAMA]],Hoja1!A:B,2,FALSE)</f>
        <v>2311. Intervención social</v>
      </c>
      <c r="W1024" s="56" t="str">
        <f>MID(Tabla1[[#This Row],[Aplicación]],14,2)</f>
        <v>22</v>
      </c>
      <c r="X1024" s="56" t="str">
        <f>MID(Tabla1[[#This Row],[Aplicación]],14,6)</f>
        <v>22799</v>
      </c>
    </row>
    <row r="1025" spans="1:24" x14ac:dyDescent="0.25">
      <c r="A1025" s="46">
        <v>220209000816</v>
      </c>
      <c r="B1025" s="47" t="s">
        <v>507</v>
      </c>
      <c r="C1025" s="52">
        <v>44927</v>
      </c>
      <c r="D1025" s="46">
        <v>22023000514</v>
      </c>
      <c r="E1025" s="47" t="s">
        <v>1403</v>
      </c>
      <c r="F1025" s="53">
        <v>3872</v>
      </c>
      <c r="G1025" s="47" t="s">
        <v>2230</v>
      </c>
      <c r="H1025" s="47" t="s">
        <v>2231</v>
      </c>
      <c r="I1025" s="46" t="s">
        <v>511</v>
      </c>
      <c r="J1025" s="47" t="s">
        <v>512</v>
      </c>
      <c r="K1025" s="47" t="s">
        <v>512</v>
      </c>
      <c r="L1025" s="47" t="s">
        <v>520</v>
      </c>
      <c r="M1025" s="47" t="s">
        <v>514</v>
      </c>
      <c r="N1025" s="47" t="s">
        <v>515</v>
      </c>
      <c r="O1025" s="45" t="s">
        <v>371</v>
      </c>
      <c r="P1025" s="44" t="s">
        <v>309</v>
      </c>
      <c r="Q1025" s="59" t="str">
        <f>MID(Tabla1[[#This Row],[Aplicación]],14,1)</f>
        <v>2</v>
      </c>
      <c r="R1025" s="35" t="s">
        <v>298</v>
      </c>
      <c r="S1025" s="59" t="str">
        <f>MID(Tabla1[[#This Row],[Aplicación]],6,2)</f>
        <v>07</v>
      </c>
      <c r="T1025" s="35" t="str">
        <f>VLOOKUP(Tabla1[[#This Row],[AREA]],Hoja1!A:B,2,FALSE)</f>
        <v>07. Medio ambiente y desarrollo sostenible</v>
      </c>
      <c r="U1025" s="35" t="str">
        <f>MID(Tabla1[[#This Row],[Aplicación]],9,4)</f>
        <v>1721</v>
      </c>
      <c r="V1025" s="35" t="str">
        <f>VLOOKUP(Tabla1[[#This Row],[PROGRAMA]],Hoja1!A:B,2,FALSE)</f>
        <v>1721. Protección del medio ambiente</v>
      </c>
      <c r="W1025" s="56" t="str">
        <f>MID(Tabla1[[#This Row],[Aplicación]],14,2)</f>
        <v>21</v>
      </c>
      <c r="X1025" s="56" t="str">
        <f>MID(Tabla1[[#This Row],[Aplicación]],14,6)</f>
        <v>213</v>
      </c>
    </row>
    <row r="1026" spans="1:24" x14ac:dyDescent="0.25">
      <c r="A1026" s="46">
        <v>220230000026</v>
      </c>
      <c r="B1026" s="47" t="s">
        <v>507</v>
      </c>
      <c r="C1026" s="52">
        <v>44927</v>
      </c>
      <c r="D1026" s="46">
        <v>22023000505</v>
      </c>
      <c r="E1026" s="47" t="s">
        <v>566</v>
      </c>
      <c r="F1026" s="53">
        <v>2196.73</v>
      </c>
      <c r="G1026" s="47" t="s">
        <v>986</v>
      </c>
      <c r="H1026" s="47" t="s">
        <v>2232</v>
      </c>
      <c r="I1026" s="46" t="s">
        <v>511</v>
      </c>
      <c r="J1026" s="47" t="s">
        <v>988</v>
      </c>
      <c r="K1026" s="47" t="s">
        <v>519</v>
      </c>
      <c r="L1026" s="47" t="s">
        <v>520</v>
      </c>
      <c r="M1026" s="47" t="s">
        <v>514</v>
      </c>
      <c r="N1026" s="47" t="s">
        <v>515</v>
      </c>
      <c r="O1026" s="45" t="s">
        <v>371</v>
      </c>
      <c r="P1026" s="44" t="s">
        <v>309</v>
      </c>
      <c r="Q1026" s="59" t="str">
        <f>MID(Tabla1[[#This Row],[Aplicación]],14,1)</f>
        <v>2</v>
      </c>
      <c r="R1026" s="35" t="s">
        <v>298</v>
      </c>
      <c r="S1026" s="59" t="str">
        <f>MID(Tabla1[[#This Row],[Aplicación]],6,2)</f>
        <v>04</v>
      </c>
      <c r="T1026" s="35" t="str">
        <f>VLOOKUP(Tabla1[[#This Row],[AREA]],Hoja1!A:B,2,FALSE)</f>
        <v>04. Planificación y recursos</v>
      </c>
      <c r="U1026" s="35" t="str">
        <f>MID(Tabla1[[#This Row],[Aplicación]],9,4)</f>
        <v>9204</v>
      </c>
      <c r="V1026" s="35" t="str">
        <f>VLOOKUP(Tabla1[[#This Row],[PROGRAMA]],Hoja1!A:B,2,FALSE)</f>
        <v>9204. Tecnologías de la información y comunicación</v>
      </c>
      <c r="W1026" s="56" t="str">
        <f>MID(Tabla1[[#This Row],[Aplicación]],14,2)</f>
        <v>21</v>
      </c>
      <c r="X1026" s="56" t="str">
        <f>MID(Tabla1[[#This Row],[Aplicación]],14,6)</f>
        <v>216</v>
      </c>
    </row>
    <row r="1027" spans="1:24" x14ac:dyDescent="0.25">
      <c r="A1027" s="55">
        <v>220230010333</v>
      </c>
      <c r="B1027" s="47" t="s">
        <v>507</v>
      </c>
      <c r="C1027" s="52">
        <v>45008</v>
      </c>
      <c r="D1027" s="46">
        <v>22023003080</v>
      </c>
      <c r="E1027" s="47" t="s">
        <v>2233</v>
      </c>
      <c r="F1027" s="53">
        <v>7260</v>
      </c>
      <c r="G1027" s="47" t="s">
        <v>2234</v>
      </c>
      <c r="H1027" s="47" t="s">
        <v>2235</v>
      </c>
      <c r="I1027" s="46" t="s">
        <v>2168</v>
      </c>
      <c r="J1027" s="47" t="s">
        <v>519</v>
      </c>
      <c r="K1027" s="47" t="s">
        <v>519</v>
      </c>
      <c r="L1027" s="47" t="s">
        <v>520</v>
      </c>
      <c r="M1027" s="47" t="s">
        <v>976</v>
      </c>
      <c r="N1027" s="47" t="s">
        <v>839</v>
      </c>
      <c r="O1027" s="54" t="s">
        <v>383</v>
      </c>
      <c r="P1027" s="44" t="s">
        <v>309</v>
      </c>
      <c r="Q1027" s="59" t="str">
        <f>MID(Tabla1[[#This Row],[Aplicación]],14,1)</f>
        <v>2</v>
      </c>
      <c r="R1027" s="35" t="s">
        <v>298</v>
      </c>
      <c r="S1027" s="59" t="str">
        <f>MID(Tabla1[[#This Row],[Aplicación]],6,2)</f>
        <v>05</v>
      </c>
      <c r="T1027" s="35" t="str">
        <f>VLOOKUP(Tabla1[[#This Row],[AREA]],Hoja1!A:B,2,FALSE)</f>
        <v>05. Innovación, desarrollo económico, empleo y comercio</v>
      </c>
      <c r="U1027" s="35" t="str">
        <f>MID(Tabla1[[#This Row],[Aplicación]],9,4)</f>
        <v>4331</v>
      </c>
      <c r="V1027" s="35" t="str">
        <f>VLOOKUP(Tabla1[[#This Row],[PROGRAMA]],Hoja1!A:B,2,FALSE)</f>
        <v>4331. Desarrollo empresarial</v>
      </c>
      <c r="W1027" s="56" t="str">
        <f>MID(Tabla1[[#This Row],[Aplicación]],14,2)</f>
        <v>22</v>
      </c>
      <c r="X1027" s="56" t="str">
        <f>MID(Tabla1[[#This Row],[Aplicación]],14,6)</f>
        <v>22609</v>
      </c>
    </row>
    <row r="1028" spans="1:24" x14ac:dyDescent="0.25">
      <c r="A1028" s="55">
        <v>220230010338</v>
      </c>
      <c r="B1028" s="47" t="s">
        <v>507</v>
      </c>
      <c r="C1028" s="52">
        <v>45008</v>
      </c>
      <c r="D1028" s="46">
        <v>22023003079</v>
      </c>
      <c r="E1028" s="47" t="s">
        <v>1341</v>
      </c>
      <c r="F1028" s="53">
        <v>8409.5</v>
      </c>
      <c r="G1028" s="47" t="s">
        <v>2234</v>
      </c>
      <c r="H1028" s="47" t="s">
        <v>2236</v>
      </c>
      <c r="I1028" s="46" t="s">
        <v>2168</v>
      </c>
      <c r="J1028" s="47" t="s">
        <v>519</v>
      </c>
      <c r="K1028" s="47" t="s">
        <v>519</v>
      </c>
      <c r="L1028" s="47" t="s">
        <v>520</v>
      </c>
      <c r="M1028" s="47" t="s">
        <v>976</v>
      </c>
      <c r="N1028" s="47" t="s">
        <v>839</v>
      </c>
      <c r="O1028" s="54" t="s">
        <v>383</v>
      </c>
      <c r="P1028" s="44" t="s">
        <v>309</v>
      </c>
      <c r="Q1028" s="59" t="str">
        <f>MID(Tabla1[[#This Row],[Aplicación]],14,1)</f>
        <v>2</v>
      </c>
      <c r="R1028" s="35" t="s">
        <v>298</v>
      </c>
      <c r="S1028" s="59" t="str">
        <f>MID(Tabla1[[#This Row],[Aplicación]],6,2)</f>
        <v>05</v>
      </c>
      <c r="T1028" s="35" t="str">
        <f>VLOOKUP(Tabla1[[#This Row],[AREA]],Hoja1!A:B,2,FALSE)</f>
        <v>05. Innovación, desarrollo económico, empleo y comercio</v>
      </c>
      <c r="U1028" s="35" t="str">
        <f>MID(Tabla1[[#This Row],[Aplicación]],9,4)</f>
        <v>4331</v>
      </c>
      <c r="V1028" s="35" t="str">
        <f>VLOOKUP(Tabla1[[#This Row],[PROGRAMA]],Hoja1!A:B,2,FALSE)</f>
        <v>4331. Desarrollo empresarial</v>
      </c>
      <c r="W1028" s="56" t="str">
        <f>MID(Tabla1[[#This Row],[Aplicación]],14,2)</f>
        <v>22</v>
      </c>
      <c r="X1028" s="56" t="str">
        <f>MID(Tabla1[[#This Row],[Aplicación]],14,6)</f>
        <v>22602</v>
      </c>
    </row>
    <row r="1029" spans="1:24" x14ac:dyDescent="0.25">
      <c r="A1029" s="46">
        <v>220230008185</v>
      </c>
      <c r="B1029" s="47" t="s">
        <v>507</v>
      </c>
      <c r="C1029" s="52">
        <v>44998</v>
      </c>
      <c r="D1029" s="46">
        <v>22023002856</v>
      </c>
      <c r="E1029" s="47" t="s">
        <v>1260</v>
      </c>
      <c r="F1029" s="53">
        <v>1996.5</v>
      </c>
      <c r="G1029" s="47" t="s">
        <v>407</v>
      </c>
      <c r="H1029" s="47" t="s">
        <v>2237</v>
      </c>
      <c r="I1029" s="46" t="s">
        <v>511</v>
      </c>
      <c r="J1029" s="47" t="s">
        <v>519</v>
      </c>
      <c r="K1029" s="47" t="s">
        <v>519</v>
      </c>
      <c r="L1029" s="47" t="s">
        <v>520</v>
      </c>
      <c r="M1029" s="47" t="s">
        <v>976</v>
      </c>
      <c r="N1029" s="47" t="s">
        <v>839</v>
      </c>
      <c r="O1029" s="54" t="s">
        <v>383</v>
      </c>
      <c r="P1029" s="44" t="s">
        <v>309</v>
      </c>
      <c r="Q1029" s="59" t="str">
        <f>MID(Tabla1[[#This Row],[Aplicación]],14,1)</f>
        <v>2</v>
      </c>
      <c r="R1029" s="35" t="s">
        <v>298</v>
      </c>
      <c r="S1029" s="59" t="str">
        <f>MID(Tabla1[[#This Row],[Aplicación]],6,2)</f>
        <v>03</v>
      </c>
      <c r="T1029" s="35" t="str">
        <f>VLOOKUP(Tabla1[[#This Row],[AREA]],Hoja1!A:B,2,FALSE)</f>
        <v>03. Participación ciudadana y deportes</v>
      </c>
      <c r="U1029" s="35" t="str">
        <f>MID(Tabla1[[#This Row],[Aplicación]],9,4)</f>
        <v>9241</v>
      </c>
      <c r="V1029" s="35" t="str">
        <f>VLOOKUP(Tabla1[[#This Row],[PROGRAMA]],Hoja1!A:B,2,FALSE)</f>
        <v>9241. Participación ciudadana</v>
      </c>
      <c r="W1029" s="56" t="str">
        <f>MID(Tabla1[[#This Row],[Aplicación]],14,2)</f>
        <v>22</v>
      </c>
      <c r="X1029" s="56" t="str">
        <f>MID(Tabla1[[#This Row],[Aplicación]],14,6)</f>
        <v>22602</v>
      </c>
    </row>
    <row r="1030" spans="1:24" x14ac:dyDescent="0.25">
      <c r="A1030" s="46">
        <v>220230003798</v>
      </c>
      <c r="B1030" s="47" t="s">
        <v>507</v>
      </c>
      <c r="C1030" s="52">
        <v>44974</v>
      </c>
      <c r="D1030" s="46">
        <v>22023002509</v>
      </c>
      <c r="E1030" s="47" t="s">
        <v>2238</v>
      </c>
      <c r="F1030" s="53">
        <v>3960</v>
      </c>
      <c r="G1030" s="47" t="s">
        <v>50</v>
      </c>
      <c r="H1030" s="47" t="s">
        <v>2239</v>
      </c>
      <c r="I1030" s="46" t="s">
        <v>511</v>
      </c>
      <c r="J1030" s="47" t="s">
        <v>519</v>
      </c>
      <c r="K1030" s="47" t="s">
        <v>519</v>
      </c>
      <c r="L1030" s="47" t="s">
        <v>520</v>
      </c>
      <c r="M1030" s="47" t="s">
        <v>976</v>
      </c>
      <c r="N1030" s="47" t="s">
        <v>839</v>
      </c>
      <c r="O1030" s="45" t="s">
        <v>383</v>
      </c>
      <c r="P1030" s="44" t="s">
        <v>309</v>
      </c>
      <c r="Q1030" s="59" t="str">
        <f>MID(Tabla1[[#This Row],[Aplicación]],14,1)</f>
        <v>2</v>
      </c>
      <c r="R1030" s="35" t="s">
        <v>298</v>
      </c>
      <c r="S1030" s="59" t="str">
        <f>MID(Tabla1[[#This Row],[Aplicación]],6,2)</f>
        <v>01</v>
      </c>
      <c r="T1030" s="35" t="str">
        <f>VLOOKUP(Tabla1[[#This Row],[AREA]],Hoja1!A:B,2,FALSE)</f>
        <v>01. Alcaldía</v>
      </c>
      <c r="U1030" s="35" t="str">
        <f>MID(Tabla1[[#This Row],[Aplicación]],9,4)</f>
        <v>9203</v>
      </c>
      <c r="V1030" s="35" t="str">
        <f>VLOOKUP(Tabla1[[#This Row],[PROGRAMA]],Hoja1!A:B,2,FALSE)</f>
        <v>9203. Unidad de régimen interior</v>
      </c>
      <c r="W1030" s="56" t="str">
        <f>MID(Tabla1[[#This Row],[Aplicación]],14,2)</f>
        <v>22</v>
      </c>
      <c r="X1030" s="56" t="str">
        <f>MID(Tabla1[[#This Row],[Aplicación]],14,6)</f>
        <v>22799</v>
      </c>
    </row>
    <row r="1031" spans="1:24" x14ac:dyDescent="0.25">
      <c r="A1031" s="46">
        <v>220229000768</v>
      </c>
      <c r="B1031" s="47" t="s">
        <v>507</v>
      </c>
      <c r="C1031" s="52">
        <v>44927</v>
      </c>
      <c r="D1031" s="46">
        <v>22023000758</v>
      </c>
      <c r="E1031" s="47" t="s">
        <v>974</v>
      </c>
      <c r="F1031" s="53">
        <v>41487.629999999997</v>
      </c>
      <c r="G1031" s="47" t="s">
        <v>2240</v>
      </c>
      <c r="H1031" s="47" t="s">
        <v>2241</v>
      </c>
      <c r="I1031" s="46" t="s">
        <v>511</v>
      </c>
      <c r="J1031" s="47" t="s">
        <v>2242</v>
      </c>
      <c r="K1031" s="47" t="s">
        <v>519</v>
      </c>
      <c r="L1031" s="47" t="s">
        <v>527</v>
      </c>
      <c r="M1031" s="47" t="s">
        <v>976</v>
      </c>
      <c r="N1031" s="47" t="s">
        <v>839</v>
      </c>
      <c r="O1031" s="45" t="s">
        <v>383</v>
      </c>
      <c r="P1031" s="44" t="s">
        <v>309</v>
      </c>
      <c r="Q1031" s="59" t="str">
        <f>MID(Tabla1[[#This Row],[Aplicación]],14,1)</f>
        <v>2</v>
      </c>
      <c r="R1031" s="35" t="s">
        <v>298</v>
      </c>
      <c r="S1031" s="59" t="str">
        <f>MID(Tabla1[[#This Row],[Aplicación]],6,2)</f>
        <v>11</v>
      </c>
      <c r="T1031" s="35" t="str">
        <f>VLOOKUP(Tabla1[[#This Row],[AREA]],Hoja1!A:B,2,FALSE)</f>
        <v>11. Salud pública y seguridad ciudadana</v>
      </c>
      <c r="U1031" s="35" t="str">
        <f>MID(Tabla1[[#This Row],[Aplicación]],9,4)</f>
        <v>1621</v>
      </c>
      <c r="V1031" s="35" t="str">
        <f>VLOOKUP(Tabla1[[#This Row],[PROGRAMA]],Hoja1!A:B,2,FALSE)</f>
        <v>1621. Servicio de limpieza</v>
      </c>
      <c r="W1031" s="56" t="str">
        <f>MID(Tabla1[[#This Row],[Aplicación]],14,2)</f>
        <v>21</v>
      </c>
      <c r="X1031" s="56" t="str">
        <f>MID(Tabla1[[#This Row],[Aplicación]],14,6)</f>
        <v>212</v>
      </c>
    </row>
    <row r="1032" spans="1:24" x14ac:dyDescent="0.25">
      <c r="A1032" s="55">
        <v>220230008984</v>
      </c>
      <c r="B1032" s="47" t="s">
        <v>507</v>
      </c>
      <c r="C1032" s="52">
        <v>45002</v>
      </c>
      <c r="D1032" s="46">
        <v>22023002963</v>
      </c>
      <c r="E1032" s="47" t="s">
        <v>1551</v>
      </c>
      <c r="F1032" s="53">
        <v>4815.8</v>
      </c>
      <c r="G1032" s="47" t="s">
        <v>54</v>
      </c>
      <c r="H1032" s="47" t="s">
        <v>2243</v>
      </c>
      <c r="I1032" s="46" t="s">
        <v>511</v>
      </c>
      <c r="J1032" s="47" t="s">
        <v>519</v>
      </c>
      <c r="K1032" s="47" t="s">
        <v>519</v>
      </c>
      <c r="L1032" s="47" t="s">
        <v>520</v>
      </c>
      <c r="M1032" s="47" t="s">
        <v>976</v>
      </c>
      <c r="N1032" s="47" t="s">
        <v>839</v>
      </c>
      <c r="O1032" s="54" t="s">
        <v>383</v>
      </c>
      <c r="P1032" s="44" t="s">
        <v>309</v>
      </c>
      <c r="Q1032" s="59" t="str">
        <f>MID(Tabla1[[#This Row],[Aplicación]],14,1)</f>
        <v>2</v>
      </c>
      <c r="R1032" s="35" t="s">
        <v>298</v>
      </c>
      <c r="S1032" s="59" t="str">
        <f>MID(Tabla1[[#This Row],[Aplicación]],6,2)</f>
        <v>02</v>
      </c>
      <c r="T1032" s="35" t="str">
        <f>VLOOKUP(Tabla1[[#This Row],[AREA]],Hoja1!A:B,2,FALSE)</f>
        <v>02. Planeamiento urbanístico y vivienda</v>
      </c>
      <c r="U1032" s="35" t="str">
        <f>MID(Tabla1[[#This Row],[Aplicación]],9,4)</f>
        <v>9332</v>
      </c>
      <c r="V1032" s="35" t="str">
        <f>VLOOKUP(Tabla1[[#This Row],[PROGRAMA]],Hoja1!A:B,2,FALSE)</f>
        <v>9332. Mantenimiento de edificios e instalaciones municipales</v>
      </c>
      <c r="W1032" s="56" t="str">
        <f>MID(Tabla1[[#This Row],[Aplicación]],14,2)</f>
        <v>21</v>
      </c>
      <c r="X1032" s="56" t="str">
        <f>MID(Tabla1[[#This Row],[Aplicación]],14,6)</f>
        <v>212</v>
      </c>
    </row>
    <row r="1033" spans="1:24" x14ac:dyDescent="0.25">
      <c r="A1033" s="55">
        <v>220230009509</v>
      </c>
      <c r="B1033" s="47" t="s">
        <v>507</v>
      </c>
      <c r="C1033" s="52">
        <v>45006</v>
      </c>
      <c r="D1033" s="46">
        <v>22023003492</v>
      </c>
      <c r="E1033" s="47" t="s">
        <v>1401</v>
      </c>
      <c r="F1033" s="53">
        <v>889.35</v>
      </c>
      <c r="G1033" s="47" t="s">
        <v>54</v>
      </c>
      <c r="H1033" s="47" t="s">
        <v>2244</v>
      </c>
      <c r="I1033" s="46" t="s">
        <v>511</v>
      </c>
      <c r="J1033" s="47" t="s">
        <v>519</v>
      </c>
      <c r="K1033" s="47" t="s">
        <v>519</v>
      </c>
      <c r="L1033" s="47" t="s">
        <v>520</v>
      </c>
      <c r="M1033" s="47" t="s">
        <v>976</v>
      </c>
      <c r="N1033" s="47" t="s">
        <v>839</v>
      </c>
      <c r="O1033" s="54" t="s">
        <v>383</v>
      </c>
      <c r="P1033" s="44" t="s">
        <v>309</v>
      </c>
      <c r="Q1033" s="59" t="str">
        <f>MID(Tabla1[[#This Row],[Aplicación]],14,1)</f>
        <v>2</v>
      </c>
      <c r="R1033" s="35" t="s">
        <v>298</v>
      </c>
      <c r="S1033" s="59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35" t="str">
        <f>MID(Tabla1[[#This Row],[Aplicación]],9,4)</f>
        <v>1321</v>
      </c>
      <c r="V1033" s="35" t="str">
        <f>VLOOKUP(Tabla1[[#This Row],[PROGRAMA]],Hoja1!A:B,2,FALSE)</f>
        <v>1321. Policía municipal</v>
      </c>
      <c r="W1033" s="56" t="str">
        <f>MID(Tabla1[[#This Row],[Aplicación]],14,2)</f>
        <v>21</v>
      </c>
      <c r="X1033" s="56" t="str">
        <f>MID(Tabla1[[#This Row],[Aplicación]],14,6)</f>
        <v>212</v>
      </c>
    </row>
    <row r="1034" spans="1:24" x14ac:dyDescent="0.25">
      <c r="A1034" s="46">
        <v>220230003749</v>
      </c>
      <c r="B1034" s="47" t="s">
        <v>1249</v>
      </c>
      <c r="C1034" s="52">
        <v>44973</v>
      </c>
      <c r="D1034" s="46">
        <v>22023002457</v>
      </c>
      <c r="E1034" s="47" t="s">
        <v>1260</v>
      </c>
      <c r="F1034" s="53">
        <v>491.64</v>
      </c>
      <c r="G1034" s="47" t="s">
        <v>332</v>
      </c>
      <c r="H1034" s="47" t="s">
        <v>2245</v>
      </c>
      <c r="I1034" s="46" t="s">
        <v>1251</v>
      </c>
      <c r="J1034" s="47" t="s">
        <v>2246</v>
      </c>
      <c r="K1034" s="47" t="s">
        <v>1359</v>
      </c>
      <c r="L1034" s="47" t="s">
        <v>520</v>
      </c>
      <c r="M1034" s="47" t="s">
        <v>976</v>
      </c>
      <c r="N1034" s="47" t="s">
        <v>839</v>
      </c>
      <c r="O1034" s="45" t="s">
        <v>383</v>
      </c>
      <c r="P1034" s="44" t="s">
        <v>309</v>
      </c>
      <c r="Q1034" s="59" t="str">
        <f>MID(Tabla1[[#This Row],[Aplicación]],14,1)</f>
        <v>2</v>
      </c>
      <c r="R1034" s="35" t="s">
        <v>298</v>
      </c>
      <c r="S1034" s="59" t="str">
        <f>MID(Tabla1[[#This Row],[Aplicación]],6,2)</f>
        <v>03</v>
      </c>
      <c r="T1034" s="35" t="str">
        <f>VLOOKUP(Tabla1[[#This Row],[AREA]],Hoja1!A:B,2,FALSE)</f>
        <v>03. Participación ciudadana y deportes</v>
      </c>
      <c r="U1034" s="35" t="str">
        <f>MID(Tabla1[[#This Row],[Aplicación]],9,4)</f>
        <v>9241</v>
      </c>
      <c r="V1034" s="35" t="str">
        <f>VLOOKUP(Tabla1[[#This Row],[PROGRAMA]],Hoja1!A:B,2,FALSE)</f>
        <v>9241. Participación ciudadana</v>
      </c>
      <c r="W1034" s="56" t="str">
        <f>MID(Tabla1[[#This Row],[Aplicación]],14,2)</f>
        <v>22</v>
      </c>
      <c r="X1034" s="56" t="str">
        <f>MID(Tabla1[[#This Row],[Aplicación]],14,6)</f>
        <v>22602</v>
      </c>
    </row>
    <row r="1035" spans="1:24" x14ac:dyDescent="0.25">
      <c r="A1035" s="46">
        <v>220230003903</v>
      </c>
      <c r="B1035" s="47" t="s">
        <v>507</v>
      </c>
      <c r="C1035" s="52">
        <v>44974</v>
      </c>
      <c r="D1035" s="46">
        <v>22023002240</v>
      </c>
      <c r="E1035" s="47" t="s">
        <v>578</v>
      </c>
      <c r="F1035" s="53">
        <v>395508</v>
      </c>
      <c r="G1035" s="47" t="s">
        <v>579</v>
      </c>
      <c r="H1035" s="47" t="s">
        <v>2247</v>
      </c>
      <c r="I1035" s="46" t="s">
        <v>511</v>
      </c>
      <c r="J1035" s="47" t="s">
        <v>519</v>
      </c>
      <c r="K1035" s="47" t="s">
        <v>519</v>
      </c>
      <c r="L1035" s="47" t="s">
        <v>520</v>
      </c>
      <c r="M1035" s="47" t="s">
        <v>514</v>
      </c>
      <c r="N1035" s="47" t="s">
        <v>515</v>
      </c>
      <c r="O1035" s="45" t="s">
        <v>371</v>
      </c>
      <c r="P1035" s="44" t="s">
        <v>309</v>
      </c>
      <c r="Q1035" s="59" t="str">
        <f>MID(Tabla1[[#This Row],[Aplicación]],14,1)</f>
        <v>2</v>
      </c>
      <c r="R1035" s="35" t="s">
        <v>298</v>
      </c>
      <c r="S1035" s="59" t="str">
        <f>MID(Tabla1[[#This Row],[Aplicación]],6,2)</f>
        <v>06</v>
      </c>
      <c r="T1035" s="35" t="str">
        <f>VLOOKUP(Tabla1[[#This Row],[AREA]],Hoja1!A:B,2,FALSE)</f>
        <v>06. Educación, infancia, juventud e igualdad</v>
      </c>
      <c r="U1035" s="35" t="str">
        <f>MID(Tabla1[[#This Row],[Aplicación]],9,4)</f>
        <v>3231</v>
      </c>
      <c r="V1035" s="35" t="str">
        <f>VLOOKUP(Tabla1[[#This Row],[PROGRAMA]],Hoja1!A:B,2,FALSE)</f>
        <v>3231. Escuelas infantiles</v>
      </c>
      <c r="W1035" s="56" t="str">
        <f>MID(Tabla1[[#This Row],[Aplicación]],14,2)</f>
        <v>22</v>
      </c>
      <c r="X1035" s="56" t="str">
        <f>MID(Tabla1[[#This Row],[Aplicación]],14,6)</f>
        <v>22799</v>
      </c>
    </row>
    <row r="1036" spans="1:24" x14ac:dyDescent="0.25">
      <c r="A1036" s="46">
        <v>220230003911</v>
      </c>
      <c r="B1036" s="47" t="s">
        <v>507</v>
      </c>
      <c r="C1036" s="52">
        <v>44974</v>
      </c>
      <c r="D1036" s="46">
        <v>22023002249</v>
      </c>
      <c r="E1036" s="47" t="s">
        <v>578</v>
      </c>
      <c r="F1036" s="53">
        <v>385608</v>
      </c>
      <c r="G1036" s="47" t="s">
        <v>581</v>
      </c>
      <c r="H1036" s="47" t="s">
        <v>2248</v>
      </c>
      <c r="I1036" s="46" t="s">
        <v>511</v>
      </c>
      <c r="J1036" s="47" t="s">
        <v>519</v>
      </c>
      <c r="K1036" s="47" t="s">
        <v>519</v>
      </c>
      <c r="L1036" s="47" t="s">
        <v>520</v>
      </c>
      <c r="M1036" s="47" t="s">
        <v>514</v>
      </c>
      <c r="N1036" s="47" t="s">
        <v>515</v>
      </c>
      <c r="O1036" s="45" t="s">
        <v>371</v>
      </c>
      <c r="P1036" s="44" t="s">
        <v>309</v>
      </c>
      <c r="Q1036" s="59" t="str">
        <f>MID(Tabla1[[#This Row],[Aplicación]],14,1)</f>
        <v>2</v>
      </c>
      <c r="R1036" s="35" t="s">
        <v>298</v>
      </c>
      <c r="S1036" s="59" t="str">
        <f>MID(Tabla1[[#This Row],[Aplicación]],6,2)</f>
        <v>06</v>
      </c>
      <c r="T1036" s="35" t="str">
        <f>VLOOKUP(Tabla1[[#This Row],[AREA]],Hoja1!A:B,2,FALSE)</f>
        <v>06. Educación, infancia, juventud e igualdad</v>
      </c>
      <c r="U1036" s="35" t="str">
        <f>MID(Tabla1[[#This Row],[Aplicación]],9,4)</f>
        <v>3231</v>
      </c>
      <c r="V1036" s="35" t="str">
        <f>VLOOKUP(Tabla1[[#This Row],[PROGRAMA]],Hoja1!A:B,2,FALSE)</f>
        <v>3231. Escuelas infantiles</v>
      </c>
      <c r="W1036" s="56" t="str">
        <f>MID(Tabla1[[#This Row],[Aplicación]],14,2)</f>
        <v>22</v>
      </c>
      <c r="X1036" s="56" t="str">
        <f>MID(Tabla1[[#This Row],[Aplicación]],14,6)</f>
        <v>22799</v>
      </c>
    </row>
    <row r="1037" spans="1:24" x14ac:dyDescent="0.25">
      <c r="A1037" s="46">
        <v>220230003907</v>
      </c>
      <c r="B1037" s="47" t="s">
        <v>507</v>
      </c>
      <c r="C1037" s="52">
        <v>44974</v>
      </c>
      <c r="D1037" s="46">
        <v>22023002244</v>
      </c>
      <c r="E1037" s="47" t="s">
        <v>578</v>
      </c>
      <c r="F1037" s="53">
        <v>290628.57</v>
      </c>
      <c r="G1037" s="47" t="s">
        <v>701</v>
      </c>
      <c r="H1037" s="47" t="s">
        <v>2249</v>
      </c>
      <c r="I1037" s="46" t="s">
        <v>511</v>
      </c>
      <c r="J1037" s="47" t="s">
        <v>519</v>
      </c>
      <c r="K1037" s="47" t="s">
        <v>519</v>
      </c>
      <c r="L1037" s="47" t="s">
        <v>520</v>
      </c>
      <c r="M1037" s="47" t="s">
        <v>514</v>
      </c>
      <c r="N1037" s="47" t="s">
        <v>515</v>
      </c>
      <c r="O1037" s="45" t="s">
        <v>371</v>
      </c>
      <c r="P1037" s="44" t="s">
        <v>309</v>
      </c>
      <c r="Q1037" s="59" t="str">
        <f>MID(Tabla1[[#This Row],[Aplicación]],14,1)</f>
        <v>2</v>
      </c>
      <c r="R1037" s="35" t="s">
        <v>298</v>
      </c>
      <c r="S1037" s="59" t="str">
        <f>MID(Tabla1[[#This Row],[Aplicación]],6,2)</f>
        <v>06</v>
      </c>
      <c r="T1037" s="35" t="str">
        <f>VLOOKUP(Tabla1[[#This Row],[AREA]],Hoja1!A:B,2,FALSE)</f>
        <v>06. Educación, infancia, juventud e igualdad</v>
      </c>
      <c r="U1037" s="35" t="str">
        <f>MID(Tabla1[[#This Row],[Aplicación]],9,4)</f>
        <v>3231</v>
      </c>
      <c r="V1037" s="35" t="str">
        <f>VLOOKUP(Tabla1[[#This Row],[PROGRAMA]],Hoja1!A:B,2,FALSE)</f>
        <v>3231. Escuelas infantiles</v>
      </c>
      <c r="W1037" s="56" t="str">
        <f>MID(Tabla1[[#This Row],[Aplicación]],14,2)</f>
        <v>22</v>
      </c>
      <c r="X1037" s="56" t="str">
        <f>MID(Tabla1[[#This Row],[Aplicación]],14,6)</f>
        <v>22799</v>
      </c>
    </row>
    <row r="1038" spans="1:24" x14ac:dyDescent="0.25">
      <c r="A1038" s="46">
        <v>220230003899</v>
      </c>
      <c r="B1038" s="47" t="s">
        <v>507</v>
      </c>
      <c r="C1038" s="52">
        <v>44974</v>
      </c>
      <c r="D1038" s="46">
        <v>22023002235</v>
      </c>
      <c r="E1038" s="47" t="s">
        <v>578</v>
      </c>
      <c r="F1038" s="53">
        <v>276371.42</v>
      </c>
      <c r="G1038" s="47" t="s">
        <v>579</v>
      </c>
      <c r="H1038" s="47" t="s">
        <v>2250</v>
      </c>
      <c r="I1038" s="46" t="s">
        <v>511</v>
      </c>
      <c r="J1038" s="47" t="s">
        <v>519</v>
      </c>
      <c r="K1038" s="47" t="s">
        <v>519</v>
      </c>
      <c r="L1038" s="47" t="s">
        <v>520</v>
      </c>
      <c r="M1038" s="47" t="s">
        <v>514</v>
      </c>
      <c r="N1038" s="47" t="s">
        <v>515</v>
      </c>
      <c r="O1038" s="45" t="s">
        <v>371</v>
      </c>
      <c r="P1038" s="44" t="s">
        <v>309</v>
      </c>
      <c r="Q1038" s="59" t="str">
        <f>MID(Tabla1[[#This Row],[Aplicación]],14,1)</f>
        <v>2</v>
      </c>
      <c r="R1038" s="35" t="s">
        <v>298</v>
      </c>
      <c r="S1038" s="59" t="str">
        <f>MID(Tabla1[[#This Row],[Aplicación]],6,2)</f>
        <v>06</v>
      </c>
      <c r="T1038" s="35" t="str">
        <f>VLOOKUP(Tabla1[[#This Row],[AREA]],Hoja1!A:B,2,FALSE)</f>
        <v>06. Educación, infancia, juventud e igualdad</v>
      </c>
      <c r="U1038" s="35" t="str">
        <f>MID(Tabla1[[#This Row],[Aplicación]],9,4)</f>
        <v>3231</v>
      </c>
      <c r="V1038" s="35" t="str">
        <f>VLOOKUP(Tabla1[[#This Row],[PROGRAMA]],Hoja1!A:B,2,FALSE)</f>
        <v>3231. Escuelas infantiles</v>
      </c>
      <c r="W1038" s="56" t="str">
        <f>MID(Tabla1[[#This Row],[Aplicación]],14,2)</f>
        <v>22</v>
      </c>
      <c r="X1038" s="56" t="str">
        <f>MID(Tabla1[[#This Row],[Aplicación]],14,6)</f>
        <v>22799</v>
      </c>
    </row>
    <row r="1039" spans="1:24" x14ac:dyDescent="0.25">
      <c r="A1039" s="46">
        <v>220230003901</v>
      </c>
      <c r="B1039" s="47" t="s">
        <v>507</v>
      </c>
      <c r="C1039" s="52">
        <v>44974</v>
      </c>
      <c r="D1039" s="46">
        <v>22023002237</v>
      </c>
      <c r="E1039" s="47" t="s">
        <v>578</v>
      </c>
      <c r="F1039" s="53">
        <v>216490.67</v>
      </c>
      <c r="G1039" s="47" t="s">
        <v>724</v>
      </c>
      <c r="H1039" s="47" t="s">
        <v>2251</v>
      </c>
      <c r="I1039" s="46" t="s">
        <v>511</v>
      </c>
      <c r="J1039" s="47" t="s">
        <v>519</v>
      </c>
      <c r="K1039" s="47" t="s">
        <v>519</v>
      </c>
      <c r="L1039" s="47" t="s">
        <v>520</v>
      </c>
      <c r="M1039" s="47" t="s">
        <v>514</v>
      </c>
      <c r="N1039" s="47" t="s">
        <v>515</v>
      </c>
      <c r="O1039" s="45" t="s">
        <v>371</v>
      </c>
      <c r="P1039" s="44" t="s">
        <v>309</v>
      </c>
      <c r="Q1039" s="59" t="str">
        <f>MID(Tabla1[[#This Row],[Aplicación]],14,1)</f>
        <v>2</v>
      </c>
      <c r="R1039" s="35" t="s">
        <v>298</v>
      </c>
      <c r="S1039" s="59" t="str">
        <f>MID(Tabla1[[#This Row],[Aplicación]],6,2)</f>
        <v>06</v>
      </c>
      <c r="T1039" s="35" t="str">
        <f>VLOOKUP(Tabla1[[#This Row],[AREA]],Hoja1!A:B,2,FALSE)</f>
        <v>06. Educación, infancia, juventud e igualdad</v>
      </c>
      <c r="U1039" s="35" t="str">
        <f>MID(Tabla1[[#This Row],[Aplicación]],9,4)</f>
        <v>3231</v>
      </c>
      <c r="V1039" s="35" t="str">
        <f>VLOOKUP(Tabla1[[#This Row],[PROGRAMA]],Hoja1!A:B,2,FALSE)</f>
        <v>3231. Escuelas infantiles</v>
      </c>
      <c r="W1039" s="56" t="str">
        <f>MID(Tabla1[[#This Row],[Aplicación]],14,2)</f>
        <v>22</v>
      </c>
      <c r="X1039" s="56" t="str">
        <f>MID(Tabla1[[#This Row],[Aplicación]],14,6)</f>
        <v>22799</v>
      </c>
    </row>
    <row r="1040" spans="1:24" x14ac:dyDescent="0.25">
      <c r="A1040" s="46">
        <v>220230003913</v>
      </c>
      <c r="B1040" s="47" t="s">
        <v>507</v>
      </c>
      <c r="C1040" s="52">
        <v>44974</v>
      </c>
      <c r="D1040" s="46">
        <v>22023002252</v>
      </c>
      <c r="E1040" s="47" t="s">
        <v>578</v>
      </c>
      <c r="F1040" s="53">
        <v>152911.41</v>
      </c>
      <c r="G1040" s="47" t="s">
        <v>753</v>
      </c>
      <c r="H1040" s="47" t="s">
        <v>2252</v>
      </c>
      <c r="I1040" s="46" t="s">
        <v>511</v>
      </c>
      <c r="J1040" s="47" t="s">
        <v>755</v>
      </c>
      <c r="K1040" s="47" t="s">
        <v>755</v>
      </c>
      <c r="L1040" s="47" t="s">
        <v>520</v>
      </c>
      <c r="M1040" s="47" t="s">
        <v>514</v>
      </c>
      <c r="N1040" s="47" t="s">
        <v>515</v>
      </c>
      <c r="O1040" s="45" t="s">
        <v>371</v>
      </c>
      <c r="P1040" s="44" t="s">
        <v>309</v>
      </c>
      <c r="Q1040" s="59" t="str">
        <f>MID(Tabla1[[#This Row],[Aplicación]],14,1)</f>
        <v>2</v>
      </c>
      <c r="R1040" s="35" t="s">
        <v>298</v>
      </c>
      <c r="S1040" s="59" t="str">
        <f>MID(Tabla1[[#This Row],[Aplicación]],6,2)</f>
        <v>06</v>
      </c>
      <c r="T1040" s="35" t="str">
        <f>VLOOKUP(Tabla1[[#This Row],[AREA]],Hoja1!A:B,2,FALSE)</f>
        <v>06. Educación, infancia, juventud e igualdad</v>
      </c>
      <c r="U1040" s="35" t="str">
        <f>MID(Tabla1[[#This Row],[Aplicación]],9,4)</f>
        <v>3231</v>
      </c>
      <c r="V1040" s="35" t="str">
        <f>VLOOKUP(Tabla1[[#This Row],[PROGRAMA]],Hoja1!A:B,2,FALSE)</f>
        <v>3231. Escuelas infantiles</v>
      </c>
      <c r="W1040" s="56" t="str">
        <f>MID(Tabla1[[#This Row],[Aplicación]],14,2)</f>
        <v>22</v>
      </c>
      <c r="X1040" s="56" t="str">
        <f>MID(Tabla1[[#This Row],[Aplicación]],14,6)</f>
        <v>22799</v>
      </c>
    </row>
    <row r="1041" spans="1:24" x14ac:dyDescent="0.25">
      <c r="A1041" s="46">
        <v>220230003915</v>
      </c>
      <c r="B1041" s="47" t="s">
        <v>507</v>
      </c>
      <c r="C1041" s="52">
        <v>44974</v>
      </c>
      <c r="D1041" s="46">
        <v>22023002255</v>
      </c>
      <c r="E1041" s="47" t="s">
        <v>578</v>
      </c>
      <c r="F1041" s="53">
        <v>143648.99</v>
      </c>
      <c r="G1041" s="47" t="s">
        <v>788</v>
      </c>
      <c r="H1041" s="47" t="s">
        <v>2253</v>
      </c>
      <c r="I1041" s="46" t="s">
        <v>511</v>
      </c>
      <c r="J1041" s="47" t="s">
        <v>512</v>
      </c>
      <c r="K1041" s="47" t="s">
        <v>512</v>
      </c>
      <c r="L1041" s="47" t="s">
        <v>520</v>
      </c>
      <c r="M1041" s="47" t="s">
        <v>514</v>
      </c>
      <c r="N1041" s="47" t="s">
        <v>515</v>
      </c>
      <c r="O1041" s="45" t="s">
        <v>371</v>
      </c>
      <c r="P1041" s="44" t="s">
        <v>309</v>
      </c>
      <c r="Q1041" s="59" t="str">
        <f>MID(Tabla1[[#This Row],[Aplicación]],14,1)</f>
        <v>2</v>
      </c>
      <c r="R1041" s="35" t="s">
        <v>298</v>
      </c>
      <c r="S1041" s="59" t="str">
        <f>MID(Tabla1[[#This Row],[Aplicación]],6,2)</f>
        <v>06</v>
      </c>
      <c r="T1041" s="35" t="str">
        <f>VLOOKUP(Tabla1[[#This Row],[AREA]],Hoja1!A:B,2,FALSE)</f>
        <v>06. Educación, infancia, juventud e igualdad</v>
      </c>
      <c r="U1041" s="35" t="str">
        <f>MID(Tabla1[[#This Row],[Aplicación]],9,4)</f>
        <v>3231</v>
      </c>
      <c r="V1041" s="35" t="str">
        <f>VLOOKUP(Tabla1[[#This Row],[PROGRAMA]],Hoja1!A:B,2,FALSE)</f>
        <v>3231. Escuelas infantiles</v>
      </c>
      <c r="W1041" s="56" t="str">
        <f>MID(Tabla1[[#This Row],[Aplicación]],14,2)</f>
        <v>22</v>
      </c>
      <c r="X1041" s="56" t="str">
        <f>MID(Tabla1[[#This Row],[Aplicación]],14,6)</f>
        <v>22799</v>
      </c>
    </row>
    <row r="1042" spans="1:24" x14ac:dyDescent="0.25">
      <c r="A1042" s="46">
        <v>220230003905</v>
      </c>
      <c r="B1042" s="47" t="s">
        <v>507</v>
      </c>
      <c r="C1042" s="52">
        <v>44974</v>
      </c>
      <c r="D1042" s="46">
        <v>22023002242</v>
      </c>
      <c r="E1042" s="47" t="s">
        <v>578</v>
      </c>
      <c r="F1042" s="53">
        <v>143336.88</v>
      </c>
      <c r="G1042" s="47" t="s">
        <v>581</v>
      </c>
      <c r="H1042" s="47" t="s">
        <v>2254</v>
      </c>
      <c r="I1042" s="46" t="s">
        <v>511</v>
      </c>
      <c r="J1042" s="47" t="s">
        <v>519</v>
      </c>
      <c r="K1042" s="47" t="s">
        <v>519</v>
      </c>
      <c r="L1042" s="47" t="s">
        <v>520</v>
      </c>
      <c r="M1042" s="47" t="s">
        <v>514</v>
      </c>
      <c r="N1042" s="47" t="s">
        <v>515</v>
      </c>
      <c r="O1042" s="45" t="s">
        <v>371</v>
      </c>
      <c r="P1042" s="44" t="s">
        <v>309</v>
      </c>
      <c r="Q1042" s="59" t="str">
        <f>MID(Tabla1[[#This Row],[Aplicación]],14,1)</f>
        <v>2</v>
      </c>
      <c r="R1042" s="35" t="s">
        <v>298</v>
      </c>
      <c r="S1042" s="59" t="str">
        <f>MID(Tabla1[[#This Row],[Aplicación]],6,2)</f>
        <v>06</v>
      </c>
      <c r="T1042" s="35" t="str">
        <f>VLOOKUP(Tabla1[[#This Row],[AREA]],Hoja1!A:B,2,FALSE)</f>
        <v>06. Educación, infancia, juventud e igualdad</v>
      </c>
      <c r="U1042" s="35" t="str">
        <f>MID(Tabla1[[#This Row],[Aplicación]],9,4)</f>
        <v>3231</v>
      </c>
      <c r="V1042" s="35" t="str">
        <f>VLOOKUP(Tabla1[[#This Row],[PROGRAMA]],Hoja1!A:B,2,FALSE)</f>
        <v>3231. Escuelas infantiles</v>
      </c>
      <c r="W1042" s="56" t="str">
        <f>MID(Tabla1[[#This Row],[Aplicación]],14,2)</f>
        <v>22</v>
      </c>
      <c r="X1042" s="56" t="str">
        <f>MID(Tabla1[[#This Row],[Aplicación]],14,6)</f>
        <v>22799</v>
      </c>
    </row>
    <row r="1043" spans="1:24" x14ac:dyDescent="0.25">
      <c r="A1043" s="46">
        <v>220230003903</v>
      </c>
      <c r="B1043" s="47" t="s">
        <v>507</v>
      </c>
      <c r="C1043" s="52">
        <v>44974</v>
      </c>
      <c r="D1043" s="46">
        <v>22023002239</v>
      </c>
      <c r="E1043" s="47" t="s">
        <v>578</v>
      </c>
      <c r="F1043" s="53">
        <v>142832</v>
      </c>
      <c r="G1043" s="47" t="s">
        <v>579</v>
      </c>
      <c r="H1043" s="47" t="s">
        <v>2247</v>
      </c>
      <c r="I1043" s="46" t="s">
        <v>511</v>
      </c>
      <c r="J1043" s="47" t="s">
        <v>519</v>
      </c>
      <c r="K1043" s="47" t="s">
        <v>519</v>
      </c>
      <c r="L1043" s="47" t="s">
        <v>520</v>
      </c>
      <c r="M1043" s="47" t="s">
        <v>514</v>
      </c>
      <c r="N1043" s="47" t="s">
        <v>515</v>
      </c>
      <c r="O1043" s="45" t="s">
        <v>371</v>
      </c>
      <c r="P1043" s="44" t="s">
        <v>309</v>
      </c>
      <c r="Q1043" s="59" t="str">
        <f>MID(Tabla1[[#This Row],[Aplicación]],14,1)</f>
        <v>2</v>
      </c>
      <c r="R1043" s="35" t="s">
        <v>298</v>
      </c>
      <c r="S1043" s="59" t="str">
        <f>MID(Tabla1[[#This Row],[Aplicación]],6,2)</f>
        <v>06</v>
      </c>
      <c r="T1043" s="35" t="str">
        <f>VLOOKUP(Tabla1[[#This Row],[AREA]],Hoja1!A:B,2,FALSE)</f>
        <v>06. Educación, infancia, juventud e igualdad</v>
      </c>
      <c r="U1043" s="35" t="str">
        <f>MID(Tabla1[[#This Row],[Aplicación]],9,4)</f>
        <v>3231</v>
      </c>
      <c r="V1043" s="35" t="str">
        <f>VLOOKUP(Tabla1[[#This Row],[PROGRAMA]],Hoja1!A:B,2,FALSE)</f>
        <v>3231. Escuelas infantiles</v>
      </c>
      <c r="W1043" s="56" t="str">
        <f>MID(Tabla1[[#This Row],[Aplicación]],14,2)</f>
        <v>22</v>
      </c>
      <c r="X1043" s="56" t="str">
        <f>MID(Tabla1[[#This Row],[Aplicación]],14,6)</f>
        <v>22799</v>
      </c>
    </row>
    <row r="1044" spans="1:24" x14ac:dyDescent="0.25">
      <c r="A1044" s="46">
        <v>220230003911</v>
      </c>
      <c r="B1044" s="47" t="s">
        <v>507</v>
      </c>
      <c r="C1044" s="52">
        <v>44974</v>
      </c>
      <c r="D1044" s="46">
        <v>22023002248</v>
      </c>
      <c r="E1044" s="47" t="s">
        <v>578</v>
      </c>
      <c r="F1044" s="53">
        <v>139232</v>
      </c>
      <c r="G1044" s="47" t="s">
        <v>581</v>
      </c>
      <c r="H1044" s="47" t="s">
        <v>2248</v>
      </c>
      <c r="I1044" s="46" t="s">
        <v>511</v>
      </c>
      <c r="J1044" s="47" t="s">
        <v>519</v>
      </c>
      <c r="K1044" s="47" t="s">
        <v>519</v>
      </c>
      <c r="L1044" s="47" t="s">
        <v>520</v>
      </c>
      <c r="M1044" s="47" t="s">
        <v>514</v>
      </c>
      <c r="N1044" s="47" t="s">
        <v>515</v>
      </c>
      <c r="O1044" s="45" t="s">
        <v>371</v>
      </c>
      <c r="P1044" s="44" t="s">
        <v>309</v>
      </c>
      <c r="Q1044" s="59" t="str">
        <f>MID(Tabla1[[#This Row],[Aplicación]],14,1)</f>
        <v>2</v>
      </c>
      <c r="R1044" s="35" t="s">
        <v>298</v>
      </c>
      <c r="S1044" s="59" t="str">
        <f>MID(Tabla1[[#This Row],[Aplicación]],6,2)</f>
        <v>06</v>
      </c>
      <c r="T1044" s="35" t="str">
        <f>VLOOKUP(Tabla1[[#This Row],[AREA]],Hoja1!A:B,2,FALSE)</f>
        <v>06. Educación, infancia, juventud e igualdad</v>
      </c>
      <c r="U1044" s="35" t="str">
        <f>MID(Tabla1[[#This Row],[Aplicación]],9,4)</f>
        <v>3231</v>
      </c>
      <c r="V1044" s="35" t="str">
        <f>VLOOKUP(Tabla1[[#This Row],[PROGRAMA]],Hoja1!A:B,2,FALSE)</f>
        <v>3231. Escuelas infantiles</v>
      </c>
      <c r="W1044" s="56" t="str">
        <f>MID(Tabla1[[#This Row],[Aplicación]],14,2)</f>
        <v>22</v>
      </c>
      <c r="X1044" s="56" t="str">
        <f>MID(Tabla1[[#This Row],[Aplicación]],14,6)</f>
        <v>22799</v>
      </c>
    </row>
    <row r="1045" spans="1:24" x14ac:dyDescent="0.25">
      <c r="A1045" s="46">
        <v>220230003917</v>
      </c>
      <c r="B1045" s="47" t="s">
        <v>507</v>
      </c>
      <c r="C1045" s="52">
        <v>44974</v>
      </c>
      <c r="D1045" s="46">
        <v>22023002257</v>
      </c>
      <c r="E1045" s="47" t="s">
        <v>578</v>
      </c>
      <c r="F1045" s="53">
        <v>135768.57</v>
      </c>
      <c r="G1045" s="47" t="s">
        <v>788</v>
      </c>
      <c r="H1045" s="47" t="s">
        <v>2255</v>
      </c>
      <c r="I1045" s="46" t="s">
        <v>511</v>
      </c>
      <c r="J1045" s="47" t="s">
        <v>512</v>
      </c>
      <c r="K1045" s="47" t="s">
        <v>512</v>
      </c>
      <c r="L1045" s="47" t="s">
        <v>520</v>
      </c>
      <c r="M1045" s="47" t="s">
        <v>514</v>
      </c>
      <c r="N1045" s="47" t="s">
        <v>515</v>
      </c>
      <c r="O1045" s="45" t="s">
        <v>371</v>
      </c>
      <c r="P1045" s="44" t="s">
        <v>309</v>
      </c>
      <c r="Q1045" s="59" t="str">
        <f>MID(Tabla1[[#This Row],[Aplicación]],14,1)</f>
        <v>2</v>
      </c>
      <c r="R1045" s="35" t="s">
        <v>298</v>
      </c>
      <c r="S1045" s="59" t="str">
        <f>MID(Tabla1[[#This Row],[Aplicación]],6,2)</f>
        <v>06</v>
      </c>
      <c r="T1045" s="35" t="str">
        <f>VLOOKUP(Tabla1[[#This Row],[AREA]],Hoja1!A:B,2,FALSE)</f>
        <v>06. Educación, infancia, juventud e igualdad</v>
      </c>
      <c r="U1045" s="35" t="str">
        <f>MID(Tabla1[[#This Row],[Aplicación]],9,4)</f>
        <v>3231</v>
      </c>
      <c r="V1045" s="35" t="str">
        <f>VLOOKUP(Tabla1[[#This Row],[PROGRAMA]],Hoja1!A:B,2,FALSE)</f>
        <v>3231. Escuelas infantiles</v>
      </c>
      <c r="W1045" s="56" t="str">
        <f>MID(Tabla1[[#This Row],[Aplicación]],14,2)</f>
        <v>22</v>
      </c>
      <c r="X1045" s="56" t="str">
        <f>MID(Tabla1[[#This Row],[Aplicación]],14,6)</f>
        <v>22799</v>
      </c>
    </row>
    <row r="1046" spans="1:24" x14ac:dyDescent="0.25">
      <c r="A1046" s="46">
        <v>220230003909</v>
      </c>
      <c r="B1046" s="47" t="s">
        <v>507</v>
      </c>
      <c r="C1046" s="52">
        <v>44974</v>
      </c>
      <c r="D1046" s="46">
        <v>22023002246</v>
      </c>
      <c r="E1046" s="47" t="s">
        <v>578</v>
      </c>
      <c r="F1046" s="53">
        <v>130008</v>
      </c>
      <c r="G1046" s="47" t="s">
        <v>782</v>
      </c>
      <c r="H1046" s="47" t="s">
        <v>2256</v>
      </c>
      <c r="I1046" s="46" t="s">
        <v>511</v>
      </c>
      <c r="J1046" s="47" t="s">
        <v>519</v>
      </c>
      <c r="K1046" s="47" t="s">
        <v>519</v>
      </c>
      <c r="L1046" s="47" t="s">
        <v>520</v>
      </c>
      <c r="M1046" s="47" t="s">
        <v>514</v>
      </c>
      <c r="N1046" s="47" t="s">
        <v>515</v>
      </c>
      <c r="O1046" s="45" t="s">
        <v>371</v>
      </c>
      <c r="P1046" s="44" t="s">
        <v>309</v>
      </c>
      <c r="Q1046" s="59" t="str">
        <f>MID(Tabla1[[#This Row],[Aplicación]],14,1)</f>
        <v>2</v>
      </c>
      <c r="R1046" s="35" t="s">
        <v>298</v>
      </c>
      <c r="S1046" s="59" t="str">
        <f>MID(Tabla1[[#This Row],[Aplicación]],6,2)</f>
        <v>06</v>
      </c>
      <c r="T1046" s="35" t="str">
        <f>VLOOKUP(Tabla1[[#This Row],[AREA]],Hoja1!A:B,2,FALSE)</f>
        <v>06. Educación, infancia, juventud e igualdad</v>
      </c>
      <c r="U1046" s="35" t="str">
        <f>MID(Tabla1[[#This Row],[Aplicación]],9,4)</f>
        <v>3231</v>
      </c>
      <c r="V1046" s="35" t="str">
        <f>VLOOKUP(Tabla1[[#This Row],[PROGRAMA]],Hoja1!A:B,2,FALSE)</f>
        <v>3231. Escuelas infantiles</v>
      </c>
      <c r="W1046" s="56" t="str">
        <f>MID(Tabla1[[#This Row],[Aplicación]],14,2)</f>
        <v>22</v>
      </c>
      <c r="X1046" s="56" t="str">
        <f>MID(Tabla1[[#This Row],[Aplicación]],14,6)</f>
        <v>22799</v>
      </c>
    </row>
    <row r="1047" spans="1:24" x14ac:dyDescent="0.25">
      <c r="A1047" s="46">
        <v>220230003907</v>
      </c>
      <c r="B1047" s="47" t="s">
        <v>507</v>
      </c>
      <c r="C1047" s="52">
        <v>44974</v>
      </c>
      <c r="D1047" s="46">
        <v>22023002243</v>
      </c>
      <c r="E1047" s="47" t="s">
        <v>578</v>
      </c>
      <c r="F1047" s="53">
        <v>114331.43</v>
      </c>
      <c r="G1047" s="47" t="s">
        <v>701</v>
      </c>
      <c r="H1047" s="47" t="s">
        <v>2249</v>
      </c>
      <c r="I1047" s="46" t="s">
        <v>511</v>
      </c>
      <c r="J1047" s="47" t="s">
        <v>519</v>
      </c>
      <c r="K1047" s="47" t="s">
        <v>519</v>
      </c>
      <c r="L1047" s="47" t="s">
        <v>520</v>
      </c>
      <c r="M1047" s="47" t="s">
        <v>514</v>
      </c>
      <c r="N1047" s="47" t="s">
        <v>515</v>
      </c>
      <c r="O1047" s="45" t="s">
        <v>371</v>
      </c>
      <c r="P1047" s="44" t="s">
        <v>309</v>
      </c>
      <c r="Q1047" s="59" t="str">
        <f>MID(Tabla1[[#This Row],[Aplicación]],14,1)</f>
        <v>2</v>
      </c>
      <c r="R1047" s="35" t="s">
        <v>298</v>
      </c>
      <c r="S1047" s="59" t="str">
        <f>MID(Tabla1[[#This Row],[Aplicación]],6,2)</f>
        <v>06</v>
      </c>
      <c r="T1047" s="35" t="str">
        <f>VLOOKUP(Tabla1[[#This Row],[AREA]],Hoja1!A:B,2,FALSE)</f>
        <v>06. Educación, infancia, juventud e igualdad</v>
      </c>
      <c r="U1047" s="35" t="str">
        <f>MID(Tabla1[[#This Row],[Aplicación]],9,4)</f>
        <v>3231</v>
      </c>
      <c r="V1047" s="35" t="str">
        <f>VLOOKUP(Tabla1[[#This Row],[PROGRAMA]],Hoja1!A:B,2,FALSE)</f>
        <v>3231. Escuelas infantiles</v>
      </c>
      <c r="W1047" s="56" t="str">
        <f>MID(Tabla1[[#This Row],[Aplicación]],14,2)</f>
        <v>22</v>
      </c>
      <c r="X1047" s="56" t="str">
        <f>MID(Tabla1[[#This Row],[Aplicación]],14,6)</f>
        <v>22799</v>
      </c>
    </row>
    <row r="1048" spans="1:24" x14ac:dyDescent="0.25">
      <c r="A1048" s="46">
        <v>220230003899</v>
      </c>
      <c r="B1048" s="47" t="s">
        <v>507</v>
      </c>
      <c r="C1048" s="52">
        <v>44974</v>
      </c>
      <c r="D1048" s="46">
        <v>22023002234</v>
      </c>
      <c r="E1048" s="47" t="s">
        <v>578</v>
      </c>
      <c r="F1048" s="53">
        <v>108628.58</v>
      </c>
      <c r="G1048" s="47" t="s">
        <v>579</v>
      </c>
      <c r="H1048" s="47" t="s">
        <v>2250</v>
      </c>
      <c r="I1048" s="46" t="s">
        <v>511</v>
      </c>
      <c r="J1048" s="47" t="s">
        <v>519</v>
      </c>
      <c r="K1048" s="47" t="s">
        <v>519</v>
      </c>
      <c r="L1048" s="47" t="s">
        <v>520</v>
      </c>
      <c r="M1048" s="47" t="s">
        <v>514</v>
      </c>
      <c r="N1048" s="47" t="s">
        <v>515</v>
      </c>
      <c r="O1048" s="45" t="s">
        <v>371</v>
      </c>
      <c r="P1048" s="44" t="s">
        <v>309</v>
      </c>
      <c r="Q1048" s="59" t="str">
        <f>MID(Tabla1[[#This Row],[Aplicación]],14,1)</f>
        <v>2</v>
      </c>
      <c r="R1048" s="35" t="s">
        <v>298</v>
      </c>
      <c r="S1048" s="59" t="str">
        <f>MID(Tabla1[[#This Row],[Aplicación]],6,2)</f>
        <v>06</v>
      </c>
      <c r="T1048" s="35" t="str">
        <f>VLOOKUP(Tabla1[[#This Row],[AREA]],Hoja1!A:B,2,FALSE)</f>
        <v>06. Educación, infancia, juventud e igualdad</v>
      </c>
      <c r="U1048" s="35" t="str">
        <f>MID(Tabla1[[#This Row],[Aplicación]],9,4)</f>
        <v>3231</v>
      </c>
      <c r="V1048" s="35" t="str">
        <f>VLOOKUP(Tabla1[[#This Row],[PROGRAMA]],Hoja1!A:B,2,FALSE)</f>
        <v>3231. Escuelas infantiles</v>
      </c>
      <c r="W1048" s="56" t="str">
        <f>MID(Tabla1[[#This Row],[Aplicación]],14,2)</f>
        <v>22</v>
      </c>
      <c r="X1048" s="56" t="str">
        <f>MID(Tabla1[[#This Row],[Aplicación]],14,6)</f>
        <v>22799</v>
      </c>
    </row>
    <row r="1049" spans="1:24" x14ac:dyDescent="0.25">
      <c r="A1049" s="46">
        <v>220230003901</v>
      </c>
      <c r="B1049" s="47" t="s">
        <v>507</v>
      </c>
      <c r="C1049" s="52">
        <v>44974</v>
      </c>
      <c r="D1049" s="46">
        <v>22023002236</v>
      </c>
      <c r="E1049" s="47" t="s">
        <v>578</v>
      </c>
      <c r="F1049" s="53">
        <v>78229.33</v>
      </c>
      <c r="G1049" s="47" t="s">
        <v>724</v>
      </c>
      <c r="H1049" s="47" t="s">
        <v>2251</v>
      </c>
      <c r="I1049" s="46" t="s">
        <v>511</v>
      </c>
      <c r="J1049" s="47" t="s">
        <v>519</v>
      </c>
      <c r="K1049" s="47" t="s">
        <v>519</v>
      </c>
      <c r="L1049" s="47" t="s">
        <v>520</v>
      </c>
      <c r="M1049" s="47" t="s">
        <v>514</v>
      </c>
      <c r="N1049" s="47" t="s">
        <v>515</v>
      </c>
      <c r="O1049" s="45" t="s">
        <v>371</v>
      </c>
      <c r="P1049" s="44" t="s">
        <v>309</v>
      </c>
      <c r="Q1049" s="59" t="str">
        <f>MID(Tabla1[[#This Row],[Aplicación]],14,1)</f>
        <v>2</v>
      </c>
      <c r="R1049" s="35" t="s">
        <v>298</v>
      </c>
      <c r="S1049" s="59" t="str">
        <f>MID(Tabla1[[#This Row],[Aplicación]],6,2)</f>
        <v>06</v>
      </c>
      <c r="T1049" s="35" t="str">
        <f>VLOOKUP(Tabla1[[#This Row],[AREA]],Hoja1!A:B,2,FALSE)</f>
        <v>06. Educación, infancia, juventud e igualdad</v>
      </c>
      <c r="U1049" s="35" t="str">
        <f>MID(Tabla1[[#This Row],[Aplicación]],9,4)</f>
        <v>3231</v>
      </c>
      <c r="V1049" s="35" t="str">
        <f>VLOOKUP(Tabla1[[#This Row],[PROGRAMA]],Hoja1!A:B,2,FALSE)</f>
        <v>3231. Escuelas infantiles</v>
      </c>
      <c r="W1049" s="56" t="str">
        <f>MID(Tabla1[[#This Row],[Aplicación]],14,2)</f>
        <v>22</v>
      </c>
      <c r="X1049" s="56" t="str">
        <f>MID(Tabla1[[#This Row],[Aplicación]],14,6)</f>
        <v>22799</v>
      </c>
    </row>
    <row r="1050" spans="1:24" x14ac:dyDescent="0.25">
      <c r="A1050" s="46">
        <v>220230003913</v>
      </c>
      <c r="B1050" s="47" t="s">
        <v>507</v>
      </c>
      <c r="C1050" s="52">
        <v>44974</v>
      </c>
      <c r="D1050" s="46">
        <v>22023002251</v>
      </c>
      <c r="E1050" s="47" t="s">
        <v>578</v>
      </c>
      <c r="F1050" s="53">
        <v>73387.679999999993</v>
      </c>
      <c r="G1050" s="47" t="s">
        <v>753</v>
      </c>
      <c r="H1050" s="47" t="s">
        <v>2252</v>
      </c>
      <c r="I1050" s="46" t="s">
        <v>511</v>
      </c>
      <c r="J1050" s="47" t="s">
        <v>755</v>
      </c>
      <c r="K1050" s="47" t="s">
        <v>755</v>
      </c>
      <c r="L1050" s="47" t="s">
        <v>520</v>
      </c>
      <c r="M1050" s="47" t="s">
        <v>514</v>
      </c>
      <c r="N1050" s="47" t="s">
        <v>515</v>
      </c>
      <c r="O1050" s="45" t="s">
        <v>371</v>
      </c>
      <c r="P1050" s="44" t="s">
        <v>309</v>
      </c>
      <c r="Q1050" s="59" t="str">
        <f>MID(Tabla1[[#This Row],[Aplicación]],14,1)</f>
        <v>2</v>
      </c>
      <c r="R1050" s="35" t="s">
        <v>298</v>
      </c>
      <c r="S1050" s="59" t="str">
        <f>MID(Tabla1[[#This Row],[Aplicación]],6,2)</f>
        <v>06</v>
      </c>
      <c r="T1050" s="35" t="str">
        <f>VLOOKUP(Tabla1[[#This Row],[AREA]],Hoja1!A:B,2,FALSE)</f>
        <v>06. Educación, infancia, juventud e igualdad</v>
      </c>
      <c r="U1050" s="35" t="str">
        <f>MID(Tabla1[[#This Row],[Aplicación]],9,4)</f>
        <v>3231</v>
      </c>
      <c r="V1050" s="35" t="str">
        <f>VLOOKUP(Tabla1[[#This Row],[PROGRAMA]],Hoja1!A:B,2,FALSE)</f>
        <v>3231. Escuelas infantiles</v>
      </c>
      <c r="W1050" s="56" t="str">
        <f>MID(Tabla1[[#This Row],[Aplicación]],14,2)</f>
        <v>22</v>
      </c>
      <c r="X1050" s="56" t="str">
        <f>MID(Tabla1[[#This Row],[Aplicación]],14,6)</f>
        <v>22799</v>
      </c>
    </row>
    <row r="1051" spans="1:24" x14ac:dyDescent="0.25">
      <c r="A1051" s="46">
        <v>220230003909</v>
      </c>
      <c r="B1051" s="47" t="s">
        <v>507</v>
      </c>
      <c r="C1051" s="52">
        <v>44974</v>
      </c>
      <c r="D1051" s="46">
        <v>22023002245</v>
      </c>
      <c r="E1051" s="47" t="s">
        <v>578</v>
      </c>
      <c r="F1051" s="53">
        <v>61832</v>
      </c>
      <c r="G1051" s="47" t="s">
        <v>782</v>
      </c>
      <c r="H1051" s="47" t="s">
        <v>2256</v>
      </c>
      <c r="I1051" s="46" t="s">
        <v>511</v>
      </c>
      <c r="J1051" s="47" t="s">
        <v>519</v>
      </c>
      <c r="K1051" s="47" t="s">
        <v>519</v>
      </c>
      <c r="L1051" s="47" t="s">
        <v>520</v>
      </c>
      <c r="M1051" s="47" t="s">
        <v>514</v>
      </c>
      <c r="N1051" s="47" t="s">
        <v>515</v>
      </c>
      <c r="O1051" s="45" t="s">
        <v>371</v>
      </c>
      <c r="P1051" s="44" t="s">
        <v>309</v>
      </c>
      <c r="Q1051" s="59" t="str">
        <f>MID(Tabla1[[#This Row],[Aplicación]],14,1)</f>
        <v>2</v>
      </c>
      <c r="R1051" s="35" t="s">
        <v>298</v>
      </c>
      <c r="S1051" s="59" t="str">
        <f>MID(Tabla1[[#This Row],[Aplicación]],6,2)</f>
        <v>06</v>
      </c>
      <c r="T1051" s="35" t="str">
        <f>VLOOKUP(Tabla1[[#This Row],[AREA]],Hoja1!A:B,2,FALSE)</f>
        <v>06. Educación, infancia, juventud e igualdad</v>
      </c>
      <c r="U1051" s="35" t="str">
        <f>MID(Tabla1[[#This Row],[Aplicación]],9,4)</f>
        <v>3231</v>
      </c>
      <c r="V1051" s="35" t="str">
        <f>VLOOKUP(Tabla1[[#This Row],[PROGRAMA]],Hoja1!A:B,2,FALSE)</f>
        <v>3231. Escuelas infantiles</v>
      </c>
      <c r="W1051" s="56" t="str">
        <f>MID(Tabla1[[#This Row],[Aplicación]],14,2)</f>
        <v>22</v>
      </c>
      <c r="X1051" s="56" t="str">
        <f>MID(Tabla1[[#This Row],[Aplicación]],14,6)</f>
        <v>22799</v>
      </c>
    </row>
    <row r="1052" spans="1:24" x14ac:dyDescent="0.25">
      <c r="A1052" s="46">
        <v>220230003915</v>
      </c>
      <c r="B1052" s="47" t="s">
        <v>507</v>
      </c>
      <c r="C1052" s="52">
        <v>44974</v>
      </c>
      <c r="D1052" s="46">
        <v>22023002254</v>
      </c>
      <c r="E1052" s="47" t="s">
        <v>578</v>
      </c>
      <c r="F1052" s="53">
        <v>41792.29</v>
      </c>
      <c r="G1052" s="47" t="s">
        <v>788</v>
      </c>
      <c r="H1052" s="47" t="s">
        <v>2253</v>
      </c>
      <c r="I1052" s="46" t="s">
        <v>511</v>
      </c>
      <c r="J1052" s="47" t="s">
        <v>512</v>
      </c>
      <c r="K1052" s="47" t="s">
        <v>512</v>
      </c>
      <c r="L1052" s="47" t="s">
        <v>520</v>
      </c>
      <c r="M1052" s="47" t="s">
        <v>514</v>
      </c>
      <c r="N1052" s="47" t="s">
        <v>515</v>
      </c>
      <c r="O1052" s="45" t="s">
        <v>371</v>
      </c>
      <c r="P1052" s="44" t="s">
        <v>309</v>
      </c>
      <c r="Q1052" s="59" t="str">
        <f>MID(Tabla1[[#This Row],[Aplicación]],14,1)</f>
        <v>2</v>
      </c>
      <c r="R1052" s="35" t="s">
        <v>298</v>
      </c>
      <c r="S1052" s="59" t="str">
        <f>MID(Tabla1[[#This Row],[Aplicación]],6,2)</f>
        <v>06</v>
      </c>
      <c r="T1052" s="35" t="str">
        <f>VLOOKUP(Tabla1[[#This Row],[AREA]],Hoja1!A:B,2,FALSE)</f>
        <v>06. Educación, infancia, juventud e igualdad</v>
      </c>
      <c r="U1052" s="35" t="str">
        <f>MID(Tabla1[[#This Row],[Aplicación]],9,4)</f>
        <v>3231</v>
      </c>
      <c r="V1052" s="35" t="str">
        <f>VLOOKUP(Tabla1[[#This Row],[PROGRAMA]],Hoja1!A:B,2,FALSE)</f>
        <v>3231. Escuelas infantiles</v>
      </c>
      <c r="W1052" s="56" t="str">
        <f>MID(Tabla1[[#This Row],[Aplicación]],14,2)</f>
        <v>22</v>
      </c>
      <c r="X1052" s="56" t="str">
        <f>MID(Tabla1[[#This Row],[Aplicación]],14,6)</f>
        <v>22799</v>
      </c>
    </row>
    <row r="1053" spans="1:24" x14ac:dyDescent="0.25">
      <c r="A1053" s="46">
        <v>220230003905</v>
      </c>
      <c r="B1053" s="47" t="s">
        <v>507</v>
      </c>
      <c r="C1053" s="52">
        <v>44974</v>
      </c>
      <c r="D1053" s="46">
        <v>22023002241</v>
      </c>
      <c r="E1053" s="47" t="s">
        <v>578</v>
      </c>
      <c r="F1053" s="53">
        <v>41703.120000000003</v>
      </c>
      <c r="G1053" s="47" t="s">
        <v>581</v>
      </c>
      <c r="H1053" s="47" t="s">
        <v>2254</v>
      </c>
      <c r="I1053" s="46" t="s">
        <v>511</v>
      </c>
      <c r="J1053" s="47" t="s">
        <v>519</v>
      </c>
      <c r="K1053" s="47" t="s">
        <v>519</v>
      </c>
      <c r="L1053" s="47" t="s">
        <v>520</v>
      </c>
      <c r="M1053" s="47" t="s">
        <v>514</v>
      </c>
      <c r="N1053" s="47" t="s">
        <v>515</v>
      </c>
      <c r="O1053" s="45" t="s">
        <v>371</v>
      </c>
      <c r="P1053" s="44" t="s">
        <v>309</v>
      </c>
      <c r="Q1053" s="59" t="str">
        <f>MID(Tabla1[[#This Row],[Aplicación]],14,1)</f>
        <v>2</v>
      </c>
      <c r="R1053" s="35" t="s">
        <v>298</v>
      </c>
      <c r="S1053" s="59" t="str">
        <f>MID(Tabla1[[#This Row],[Aplicación]],6,2)</f>
        <v>06</v>
      </c>
      <c r="T1053" s="35" t="str">
        <f>VLOOKUP(Tabla1[[#This Row],[AREA]],Hoja1!A:B,2,FALSE)</f>
        <v>06. Educación, infancia, juventud e igualdad</v>
      </c>
      <c r="U1053" s="35" t="str">
        <f>MID(Tabla1[[#This Row],[Aplicación]],9,4)</f>
        <v>3231</v>
      </c>
      <c r="V1053" s="35" t="str">
        <f>VLOOKUP(Tabla1[[#This Row],[PROGRAMA]],Hoja1!A:B,2,FALSE)</f>
        <v>3231. Escuelas infantiles</v>
      </c>
      <c r="W1053" s="56" t="str">
        <f>MID(Tabla1[[#This Row],[Aplicación]],14,2)</f>
        <v>22</v>
      </c>
      <c r="X1053" s="56" t="str">
        <f>MID(Tabla1[[#This Row],[Aplicación]],14,6)</f>
        <v>22799</v>
      </c>
    </row>
    <row r="1054" spans="1:24" x14ac:dyDescent="0.25">
      <c r="A1054" s="46">
        <v>220230003917</v>
      </c>
      <c r="B1054" s="47" t="s">
        <v>507</v>
      </c>
      <c r="C1054" s="52">
        <v>44974</v>
      </c>
      <c r="D1054" s="46">
        <v>22023002256</v>
      </c>
      <c r="E1054" s="47" t="s">
        <v>578</v>
      </c>
      <c r="F1054" s="53">
        <v>39540.720000000001</v>
      </c>
      <c r="G1054" s="47" t="s">
        <v>788</v>
      </c>
      <c r="H1054" s="47" t="s">
        <v>2255</v>
      </c>
      <c r="I1054" s="46" t="s">
        <v>511</v>
      </c>
      <c r="J1054" s="47" t="s">
        <v>512</v>
      </c>
      <c r="K1054" s="47" t="s">
        <v>512</v>
      </c>
      <c r="L1054" s="47" t="s">
        <v>520</v>
      </c>
      <c r="M1054" s="47" t="s">
        <v>514</v>
      </c>
      <c r="N1054" s="47" t="s">
        <v>515</v>
      </c>
      <c r="O1054" s="45" t="s">
        <v>371</v>
      </c>
      <c r="P1054" s="44" t="s">
        <v>309</v>
      </c>
      <c r="Q1054" s="59" t="str">
        <f>MID(Tabla1[[#This Row],[Aplicación]],14,1)</f>
        <v>2</v>
      </c>
      <c r="R1054" s="35" t="s">
        <v>298</v>
      </c>
      <c r="S1054" s="59" t="str">
        <f>MID(Tabla1[[#This Row],[Aplicación]],6,2)</f>
        <v>06</v>
      </c>
      <c r="T1054" s="35" t="str">
        <f>VLOOKUP(Tabla1[[#This Row],[AREA]],Hoja1!A:B,2,FALSE)</f>
        <v>06. Educación, infancia, juventud e igualdad</v>
      </c>
      <c r="U1054" s="35" t="str">
        <f>MID(Tabla1[[#This Row],[Aplicación]],9,4)</f>
        <v>3231</v>
      </c>
      <c r="V1054" s="35" t="str">
        <f>VLOOKUP(Tabla1[[#This Row],[PROGRAMA]],Hoja1!A:B,2,FALSE)</f>
        <v>3231. Escuelas infantiles</v>
      </c>
      <c r="W1054" s="56" t="str">
        <f>MID(Tabla1[[#This Row],[Aplicación]],14,2)</f>
        <v>22</v>
      </c>
      <c r="X1054" s="56" t="str">
        <f>MID(Tabla1[[#This Row],[Aplicación]],14,6)</f>
        <v>22799</v>
      </c>
    </row>
    <row r="1055" spans="1:24" x14ac:dyDescent="0.25">
      <c r="A1055" s="46">
        <v>220230004003</v>
      </c>
      <c r="B1055" s="47" t="s">
        <v>1514</v>
      </c>
      <c r="C1055" s="52">
        <v>44974</v>
      </c>
      <c r="D1055" s="46">
        <v>22023001514</v>
      </c>
      <c r="E1055" s="47" t="s">
        <v>1285</v>
      </c>
      <c r="F1055" s="53">
        <v>7.5</v>
      </c>
      <c r="G1055" s="47" t="s">
        <v>2257</v>
      </c>
      <c r="H1055" s="47" t="s">
        <v>2258</v>
      </c>
      <c r="I1055" s="46" t="s">
        <v>1517</v>
      </c>
      <c r="J1055" s="47" t="s">
        <v>519</v>
      </c>
      <c r="K1055" s="47" t="s">
        <v>519</v>
      </c>
      <c r="L1055" s="47" t="s">
        <v>552</v>
      </c>
      <c r="M1055" s="47" t="s">
        <v>514</v>
      </c>
      <c r="N1055" s="47" t="s">
        <v>515</v>
      </c>
      <c r="O1055" s="45" t="s">
        <v>382</v>
      </c>
      <c r="P1055" s="44" t="s">
        <v>309</v>
      </c>
      <c r="Q1055" s="59" t="str">
        <f>MID(Tabla1[[#This Row],[Aplicación]],14,1)</f>
        <v>2</v>
      </c>
      <c r="R1055" s="35" t="s">
        <v>298</v>
      </c>
      <c r="S1055" s="59" t="str">
        <f>MID(Tabla1[[#This Row],[Aplicación]],6,2)</f>
        <v>11</v>
      </c>
      <c r="T1055" s="35" t="str">
        <f>VLOOKUP(Tabla1[[#This Row],[AREA]],Hoja1!A:B,2,FALSE)</f>
        <v>11. Salud pública y seguridad ciudadana</v>
      </c>
      <c r="U1055" s="35" t="str">
        <f>MID(Tabla1[[#This Row],[Aplicación]],9,4)</f>
        <v>1361</v>
      </c>
      <c r="V1055" s="35" t="str">
        <f>VLOOKUP(Tabla1[[#This Row],[PROGRAMA]],Hoja1!A:B,2,FALSE)</f>
        <v>1361. Prevención y extinción de incencios</v>
      </c>
      <c r="W1055" s="56" t="str">
        <f>MID(Tabla1[[#This Row],[Aplicación]],14,2)</f>
        <v>22</v>
      </c>
      <c r="X1055" s="56" t="str">
        <f>MID(Tabla1[[#This Row],[Aplicación]],14,6)</f>
        <v>22199</v>
      </c>
    </row>
    <row r="1056" spans="1:24" x14ac:dyDescent="0.25">
      <c r="A1056" s="46">
        <v>220230003933</v>
      </c>
      <c r="B1056" s="47" t="s">
        <v>1249</v>
      </c>
      <c r="C1056" s="52">
        <v>44974</v>
      </c>
      <c r="D1056" s="46">
        <v>22023002280</v>
      </c>
      <c r="E1056" s="47" t="s">
        <v>613</v>
      </c>
      <c r="F1056" s="53">
        <v>238.37</v>
      </c>
      <c r="G1056" s="47" t="s">
        <v>487</v>
      </c>
      <c r="H1056" s="47" t="s">
        <v>2259</v>
      </c>
      <c r="I1056" s="46" t="s">
        <v>1251</v>
      </c>
      <c r="J1056" s="47" t="s">
        <v>2260</v>
      </c>
      <c r="K1056" s="47" t="s">
        <v>512</v>
      </c>
      <c r="L1056" s="47" t="s">
        <v>520</v>
      </c>
      <c r="M1056" s="47" t="s">
        <v>976</v>
      </c>
      <c r="N1056" s="47" t="s">
        <v>839</v>
      </c>
      <c r="O1056" s="45" t="s">
        <v>383</v>
      </c>
      <c r="P1056" s="44" t="s">
        <v>309</v>
      </c>
      <c r="Q1056" s="59" t="str">
        <f>MID(Tabla1[[#This Row],[Aplicación]],14,1)</f>
        <v>2</v>
      </c>
      <c r="R1056" s="35" t="s">
        <v>298</v>
      </c>
      <c r="S1056" s="59" t="str">
        <f>MID(Tabla1[[#This Row],[Aplicación]],6,2)</f>
        <v>10</v>
      </c>
      <c r="T1056" s="35" t="str">
        <f>VLOOKUP(Tabla1[[#This Row],[AREA]],Hoja1!A:B,2,FALSE)</f>
        <v>10. Servicios sociales y mediación comunitaria</v>
      </c>
      <c r="U1056" s="35" t="str">
        <f>MID(Tabla1[[#This Row],[Aplicación]],9,4)</f>
        <v>2312</v>
      </c>
      <c r="V1056" s="35" t="str">
        <f>VLOOKUP(Tabla1[[#This Row],[PROGRAMA]],Hoja1!A:B,2,FALSE)</f>
        <v>2312. Iniciativas sociales</v>
      </c>
      <c r="W1056" s="56" t="str">
        <f>MID(Tabla1[[#This Row],[Aplicación]],14,2)</f>
        <v>21</v>
      </c>
      <c r="X1056" s="56" t="str">
        <f>MID(Tabla1[[#This Row],[Aplicación]],14,6)</f>
        <v>213</v>
      </c>
    </row>
    <row r="1057" spans="1:24" x14ac:dyDescent="0.25">
      <c r="A1057" s="46">
        <v>220230003933</v>
      </c>
      <c r="B1057" s="47" t="s">
        <v>1249</v>
      </c>
      <c r="C1057" s="52">
        <v>44974</v>
      </c>
      <c r="D1057" s="46">
        <v>22023002281</v>
      </c>
      <c r="E1057" s="47" t="s">
        <v>613</v>
      </c>
      <c r="F1057" s="53">
        <v>476.74</v>
      </c>
      <c r="G1057" s="47" t="s">
        <v>487</v>
      </c>
      <c r="H1057" s="47" t="s">
        <v>2259</v>
      </c>
      <c r="I1057" s="46" t="s">
        <v>1251</v>
      </c>
      <c r="J1057" s="47" t="s">
        <v>2260</v>
      </c>
      <c r="K1057" s="47" t="s">
        <v>512</v>
      </c>
      <c r="L1057" s="47" t="s">
        <v>520</v>
      </c>
      <c r="M1057" s="47" t="s">
        <v>976</v>
      </c>
      <c r="N1057" s="47" t="s">
        <v>839</v>
      </c>
      <c r="O1057" s="45" t="s">
        <v>383</v>
      </c>
      <c r="P1057" s="44" t="s">
        <v>309</v>
      </c>
      <c r="Q1057" s="59" t="str">
        <f>MID(Tabla1[[#This Row],[Aplicación]],14,1)</f>
        <v>2</v>
      </c>
      <c r="R1057" s="35" t="s">
        <v>298</v>
      </c>
      <c r="S1057" s="59" t="str">
        <f>MID(Tabla1[[#This Row],[Aplicación]],6,2)</f>
        <v>10</v>
      </c>
      <c r="T1057" s="35" t="str">
        <f>VLOOKUP(Tabla1[[#This Row],[AREA]],Hoja1!A:B,2,FALSE)</f>
        <v>10. Servicios sociales y mediación comunitaria</v>
      </c>
      <c r="U1057" s="35" t="str">
        <f>MID(Tabla1[[#This Row],[Aplicación]],9,4)</f>
        <v>2312</v>
      </c>
      <c r="V1057" s="35" t="str">
        <f>VLOOKUP(Tabla1[[#This Row],[PROGRAMA]],Hoja1!A:B,2,FALSE)</f>
        <v>2312. Iniciativas sociales</v>
      </c>
      <c r="W1057" s="56" t="str">
        <f>MID(Tabla1[[#This Row],[Aplicación]],14,2)</f>
        <v>21</v>
      </c>
      <c r="X1057" s="56" t="str">
        <f>MID(Tabla1[[#This Row],[Aplicación]],14,6)</f>
        <v>213</v>
      </c>
    </row>
    <row r="1058" spans="1:24" x14ac:dyDescent="0.25">
      <c r="A1058" s="46">
        <v>220230003912</v>
      </c>
      <c r="B1058" s="47" t="s">
        <v>1337</v>
      </c>
      <c r="C1058" s="52">
        <v>44974</v>
      </c>
      <c r="D1058" s="46">
        <v>22023000916</v>
      </c>
      <c r="E1058" s="47" t="s">
        <v>578</v>
      </c>
      <c r="F1058" s="53">
        <v>-226299.09</v>
      </c>
      <c r="G1058" s="47" t="s">
        <v>753</v>
      </c>
      <c r="H1058" s="47" t="s">
        <v>2261</v>
      </c>
      <c r="I1058" s="46" t="s">
        <v>511</v>
      </c>
      <c r="J1058" s="47" t="s">
        <v>755</v>
      </c>
      <c r="K1058" s="47" t="s">
        <v>755</v>
      </c>
      <c r="L1058" s="47" t="s">
        <v>520</v>
      </c>
      <c r="M1058" s="47" t="s">
        <v>514</v>
      </c>
      <c r="N1058" s="47" t="s">
        <v>515</v>
      </c>
      <c r="O1058" s="54" t="s">
        <v>371</v>
      </c>
      <c r="P1058" s="44" t="s">
        <v>309</v>
      </c>
      <c r="Q1058" s="59" t="str">
        <f>MID(Tabla1[[#This Row],[Aplicación]],14,1)</f>
        <v>2</v>
      </c>
      <c r="R1058" s="35" t="s">
        <v>298</v>
      </c>
      <c r="S1058" s="59" t="str">
        <f>MID(Tabla1[[#This Row],[Aplicación]],6,2)</f>
        <v>06</v>
      </c>
      <c r="T1058" s="35" t="str">
        <f>VLOOKUP(Tabla1[[#This Row],[AREA]],Hoja1!A:B,2,FALSE)</f>
        <v>06. Educación, infancia, juventud e igualdad</v>
      </c>
      <c r="U1058" s="35" t="str">
        <f>MID(Tabla1[[#This Row],[Aplicación]],9,4)</f>
        <v>3231</v>
      </c>
      <c r="V1058" s="35" t="str">
        <f>VLOOKUP(Tabla1[[#This Row],[PROGRAMA]],Hoja1!A:B,2,FALSE)</f>
        <v>3231. Escuelas infantiles</v>
      </c>
      <c r="W1058" s="56" t="str">
        <f>MID(Tabla1[[#This Row],[Aplicación]],14,2)</f>
        <v>22</v>
      </c>
      <c r="X1058" s="56" t="str">
        <f>MID(Tabla1[[#This Row],[Aplicación]],14,6)</f>
        <v>22799</v>
      </c>
    </row>
    <row r="1059" spans="1:24" x14ac:dyDescent="0.25">
      <c r="A1059" s="46">
        <v>220230003898</v>
      </c>
      <c r="B1059" s="47" t="s">
        <v>1337</v>
      </c>
      <c r="C1059" s="52">
        <v>44974</v>
      </c>
      <c r="D1059" s="46">
        <v>22023000910</v>
      </c>
      <c r="E1059" s="47" t="s">
        <v>578</v>
      </c>
      <c r="F1059" s="53">
        <v>-385000</v>
      </c>
      <c r="G1059" s="47" t="s">
        <v>579</v>
      </c>
      <c r="H1059" s="47" t="s">
        <v>2262</v>
      </c>
      <c r="I1059" s="46" t="s">
        <v>511</v>
      </c>
      <c r="J1059" s="47" t="s">
        <v>519</v>
      </c>
      <c r="K1059" s="47" t="s">
        <v>519</v>
      </c>
      <c r="L1059" s="47" t="s">
        <v>520</v>
      </c>
      <c r="M1059" s="47" t="s">
        <v>514</v>
      </c>
      <c r="N1059" s="47" t="s">
        <v>515</v>
      </c>
      <c r="O1059" s="54" t="s">
        <v>371</v>
      </c>
      <c r="P1059" s="44" t="s">
        <v>309</v>
      </c>
      <c r="Q1059" s="59" t="str">
        <f>MID(Tabla1[[#This Row],[Aplicación]],14,1)</f>
        <v>2</v>
      </c>
      <c r="R1059" s="35" t="s">
        <v>298</v>
      </c>
      <c r="S1059" s="59" t="str">
        <f>MID(Tabla1[[#This Row],[Aplicación]],6,2)</f>
        <v>06</v>
      </c>
      <c r="T1059" s="35" t="str">
        <f>VLOOKUP(Tabla1[[#This Row],[AREA]],Hoja1!A:B,2,FALSE)</f>
        <v>06. Educación, infancia, juventud e igualdad</v>
      </c>
      <c r="U1059" s="35" t="str">
        <f>MID(Tabla1[[#This Row],[Aplicación]],9,4)</f>
        <v>3231</v>
      </c>
      <c r="V1059" s="35" t="str">
        <f>VLOOKUP(Tabla1[[#This Row],[PROGRAMA]],Hoja1!A:B,2,FALSE)</f>
        <v>3231. Escuelas infantiles</v>
      </c>
      <c r="W1059" s="56" t="str">
        <f>MID(Tabla1[[#This Row],[Aplicación]],14,2)</f>
        <v>22</v>
      </c>
      <c r="X1059" s="56" t="str">
        <f>MID(Tabla1[[#This Row],[Aplicación]],14,6)</f>
        <v>22799</v>
      </c>
    </row>
    <row r="1060" spans="1:24" x14ac:dyDescent="0.25">
      <c r="A1060" s="46">
        <v>220230003902</v>
      </c>
      <c r="B1060" s="47" t="s">
        <v>1337</v>
      </c>
      <c r="C1060" s="52">
        <v>44974</v>
      </c>
      <c r="D1060" s="46">
        <v>22023000912</v>
      </c>
      <c r="E1060" s="47" t="s">
        <v>578</v>
      </c>
      <c r="F1060" s="53">
        <v>-538340</v>
      </c>
      <c r="G1060" s="47" t="s">
        <v>579</v>
      </c>
      <c r="H1060" s="47" t="s">
        <v>2263</v>
      </c>
      <c r="I1060" s="46" t="s">
        <v>511</v>
      </c>
      <c r="J1060" s="47" t="s">
        <v>519</v>
      </c>
      <c r="K1060" s="47" t="s">
        <v>519</v>
      </c>
      <c r="L1060" s="47" t="s">
        <v>520</v>
      </c>
      <c r="M1060" s="47" t="s">
        <v>514</v>
      </c>
      <c r="N1060" s="47" t="s">
        <v>515</v>
      </c>
      <c r="O1060" s="54" t="s">
        <v>371</v>
      </c>
      <c r="P1060" s="44" t="s">
        <v>309</v>
      </c>
      <c r="Q1060" s="59" t="str">
        <f>MID(Tabla1[[#This Row],[Aplicación]],14,1)</f>
        <v>2</v>
      </c>
      <c r="R1060" s="35" t="s">
        <v>298</v>
      </c>
      <c r="S1060" s="59" t="str">
        <f>MID(Tabla1[[#This Row],[Aplicación]],6,2)</f>
        <v>06</v>
      </c>
      <c r="T1060" s="35" t="str">
        <f>VLOOKUP(Tabla1[[#This Row],[AREA]],Hoja1!A:B,2,FALSE)</f>
        <v>06. Educación, infancia, juventud e igualdad</v>
      </c>
      <c r="U1060" s="35" t="str">
        <f>MID(Tabla1[[#This Row],[Aplicación]],9,4)</f>
        <v>3231</v>
      </c>
      <c r="V1060" s="35" t="str">
        <f>VLOOKUP(Tabla1[[#This Row],[PROGRAMA]],Hoja1!A:B,2,FALSE)</f>
        <v>3231. Escuelas infantiles</v>
      </c>
      <c r="W1060" s="56" t="str">
        <f>MID(Tabla1[[#This Row],[Aplicación]],14,2)</f>
        <v>22</v>
      </c>
      <c r="X1060" s="56" t="str">
        <f>MID(Tabla1[[#This Row],[Aplicación]],14,6)</f>
        <v>22799</v>
      </c>
    </row>
    <row r="1061" spans="1:24" x14ac:dyDescent="0.25">
      <c r="A1061" s="46">
        <v>220230003797</v>
      </c>
      <c r="B1061" s="47" t="s">
        <v>507</v>
      </c>
      <c r="C1061" s="52">
        <v>44974</v>
      </c>
      <c r="D1061" s="46">
        <v>22023002503</v>
      </c>
      <c r="E1061" s="47" t="s">
        <v>736</v>
      </c>
      <c r="F1061" s="53">
        <v>330</v>
      </c>
      <c r="G1061" s="47" t="s">
        <v>31</v>
      </c>
      <c r="H1061" s="47" t="s">
        <v>2264</v>
      </c>
      <c r="I1061" s="46" t="s">
        <v>511</v>
      </c>
      <c r="J1061" s="47" t="s">
        <v>519</v>
      </c>
      <c r="K1061" s="47" t="s">
        <v>519</v>
      </c>
      <c r="L1061" s="47" t="s">
        <v>520</v>
      </c>
      <c r="M1061" s="47" t="s">
        <v>976</v>
      </c>
      <c r="N1061" s="47" t="s">
        <v>839</v>
      </c>
      <c r="O1061" s="45" t="s">
        <v>383</v>
      </c>
      <c r="P1061" s="44" t="s">
        <v>309</v>
      </c>
      <c r="Q1061" s="59" t="str">
        <f>MID(Tabla1[[#This Row],[Aplicación]],14,1)</f>
        <v>2</v>
      </c>
      <c r="R1061" s="35" t="s">
        <v>298</v>
      </c>
      <c r="S1061" s="59" t="str">
        <f>MID(Tabla1[[#This Row],[Aplicación]],6,2)</f>
        <v>06</v>
      </c>
      <c r="T1061" s="35" t="str">
        <f>VLOOKUP(Tabla1[[#This Row],[AREA]],Hoja1!A:B,2,FALSE)</f>
        <v>06. Educación, infancia, juventud e igualdad</v>
      </c>
      <c r="U1061" s="35" t="str">
        <f>MID(Tabla1[[#This Row],[Aplicación]],9,4)</f>
        <v>3261</v>
      </c>
      <c r="V1061" s="35" t="str">
        <f>VLOOKUP(Tabla1[[#This Row],[PROGRAMA]],Hoja1!A:B,2,FALSE)</f>
        <v>3261. Servicios complementarios de educación</v>
      </c>
      <c r="W1061" s="56" t="str">
        <f>MID(Tabla1[[#This Row],[Aplicación]],14,2)</f>
        <v>22</v>
      </c>
      <c r="X1061" s="56" t="str">
        <f>MID(Tabla1[[#This Row],[Aplicación]],14,6)</f>
        <v>22799</v>
      </c>
    </row>
    <row r="1062" spans="1:24" x14ac:dyDescent="0.25">
      <c r="A1062" s="46">
        <v>220230003932</v>
      </c>
      <c r="B1062" s="47" t="s">
        <v>1249</v>
      </c>
      <c r="C1062" s="52">
        <v>44974</v>
      </c>
      <c r="D1062" s="46">
        <v>22023002151</v>
      </c>
      <c r="E1062" s="47" t="s">
        <v>1510</v>
      </c>
      <c r="F1062" s="53">
        <v>2937.82</v>
      </c>
      <c r="G1062" s="47" t="s">
        <v>120</v>
      </c>
      <c r="H1062" s="47" t="s">
        <v>2265</v>
      </c>
      <c r="I1062" s="46" t="s">
        <v>1251</v>
      </c>
      <c r="J1062" s="47" t="s">
        <v>519</v>
      </c>
      <c r="K1062" s="47" t="s">
        <v>519</v>
      </c>
      <c r="L1062" s="47" t="s">
        <v>552</v>
      </c>
      <c r="M1062" s="47" t="s">
        <v>976</v>
      </c>
      <c r="N1062" s="47" t="s">
        <v>839</v>
      </c>
      <c r="O1062" s="45" t="s">
        <v>383</v>
      </c>
      <c r="P1062" s="44" t="s">
        <v>309</v>
      </c>
      <c r="Q1062" s="59" t="str">
        <f>MID(Tabla1[[#This Row],[Aplicación]],14,1)</f>
        <v>2</v>
      </c>
      <c r="R1062" s="35" t="s">
        <v>298</v>
      </c>
      <c r="S1062" s="59" t="str">
        <f>MID(Tabla1[[#This Row],[Aplicación]],6,2)</f>
        <v>10</v>
      </c>
      <c r="T1062" s="35" t="str">
        <f>VLOOKUP(Tabla1[[#This Row],[AREA]],Hoja1!A:B,2,FALSE)</f>
        <v>10. Servicios sociales y mediación comunitaria</v>
      </c>
      <c r="U1062" s="35" t="str">
        <f>MID(Tabla1[[#This Row],[Aplicación]],9,4)</f>
        <v>2311</v>
      </c>
      <c r="V1062" s="35" t="str">
        <f>VLOOKUP(Tabla1[[#This Row],[PROGRAMA]],Hoja1!A:B,2,FALSE)</f>
        <v>2311. Intervención social</v>
      </c>
      <c r="W1062" s="56" t="str">
        <f>MID(Tabla1[[#This Row],[Aplicación]],14,2)</f>
        <v>21</v>
      </c>
      <c r="X1062" s="56" t="str">
        <f>MID(Tabla1[[#This Row],[Aplicación]],14,6)</f>
        <v>212</v>
      </c>
    </row>
    <row r="1063" spans="1:24" x14ac:dyDescent="0.25">
      <c r="A1063" s="46">
        <v>220230003794</v>
      </c>
      <c r="B1063" s="47" t="s">
        <v>507</v>
      </c>
      <c r="C1063" s="52">
        <v>44974</v>
      </c>
      <c r="D1063" s="46">
        <v>22023002477</v>
      </c>
      <c r="E1063" s="47" t="s">
        <v>1299</v>
      </c>
      <c r="F1063" s="53">
        <v>4010.47</v>
      </c>
      <c r="G1063" s="47" t="s">
        <v>2266</v>
      </c>
      <c r="H1063" s="47" t="s">
        <v>2267</v>
      </c>
      <c r="I1063" s="46" t="s">
        <v>511</v>
      </c>
      <c r="J1063" s="47" t="s">
        <v>512</v>
      </c>
      <c r="K1063" s="47" t="s">
        <v>512</v>
      </c>
      <c r="L1063" s="47" t="s">
        <v>552</v>
      </c>
      <c r="M1063" s="47" t="s">
        <v>976</v>
      </c>
      <c r="N1063" s="47" t="s">
        <v>839</v>
      </c>
      <c r="O1063" s="45" t="s">
        <v>383</v>
      </c>
      <c r="P1063" s="44" t="s">
        <v>309</v>
      </c>
      <c r="Q1063" s="59" t="str">
        <f>MID(Tabla1[[#This Row],[Aplicación]],14,1)</f>
        <v>2</v>
      </c>
      <c r="R1063" s="35" t="s">
        <v>298</v>
      </c>
      <c r="S1063" s="59" t="str">
        <f>MID(Tabla1[[#This Row],[Aplicación]],6,2)</f>
        <v>06</v>
      </c>
      <c r="T1063" s="35" t="str">
        <f>VLOOKUP(Tabla1[[#This Row],[AREA]],Hoja1!A:B,2,FALSE)</f>
        <v>06. Educación, infancia, juventud e igualdad</v>
      </c>
      <c r="U1063" s="35" t="str">
        <f>MID(Tabla1[[#This Row],[Aplicación]],9,4)</f>
        <v>3321</v>
      </c>
      <c r="V1063" s="35" t="str">
        <f>VLOOKUP(Tabla1[[#This Row],[PROGRAMA]],Hoja1!A:B,2,FALSE)</f>
        <v>3321. Bibliotecas públicas</v>
      </c>
      <c r="W1063" s="56" t="str">
        <f>MID(Tabla1[[#This Row],[Aplicación]],14,2)</f>
        <v>22</v>
      </c>
      <c r="X1063" s="56" t="str">
        <f>MID(Tabla1[[#This Row],[Aplicación]],14,6)</f>
        <v>22001</v>
      </c>
    </row>
    <row r="1064" spans="1:24" x14ac:dyDescent="0.25">
      <c r="A1064" s="46">
        <v>220230003791</v>
      </c>
      <c r="B1064" s="47" t="s">
        <v>507</v>
      </c>
      <c r="C1064" s="52">
        <v>44974</v>
      </c>
      <c r="D1064" s="46">
        <v>22023002473</v>
      </c>
      <c r="E1064" s="47" t="s">
        <v>1382</v>
      </c>
      <c r="F1064" s="53">
        <v>705.43</v>
      </c>
      <c r="G1064" s="47" t="s">
        <v>489</v>
      </c>
      <c r="H1064" s="47" t="s">
        <v>2268</v>
      </c>
      <c r="I1064" s="46" t="s">
        <v>511</v>
      </c>
      <c r="J1064" s="47" t="s">
        <v>519</v>
      </c>
      <c r="K1064" s="47" t="s">
        <v>519</v>
      </c>
      <c r="L1064" s="47" t="s">
        <v>552</v>
      </c>
      <c r="M1064" s="47" t="s">
        <v>976</v>
      </c>
      <c r="N1064" s="47" t="s">
        <v>839</v>
      </c>
      <c r="O1064" s="45" t="s">
        <v>383</v>
      </c>
      <c r="P1064" s="44" t="s">
        <v>309</v>
      </c>
      <c r="Q1064" s="59" t="str">
        <f>MID(Tabla1[[#This Row],[Aplicación]],14,1)</f>
        <v>2</v>
      </c>
      <c r="R1064" s="35" t="s">
        <v>298</v>
      </c>
      <c r="S1064" s="59" t="str">
        <f>MID(Tabla1[[#This Row],[Aplicación]],6,2)</f>
        <v>03</v>
      </c>
      <c r="T1064" s="35" t="str">
        <f>VLOOKUP(Tabla1[[#This Row],[AREA]],Hoja1!A:B,2,FALSE)</f>
        <v>03. Participación ciudadana y deportes</v>
      </c>
      <c r="U1064" s="35" t="str">
        <f>MID(Tabla1[[#This Row],[Aplicación]],9,4)</f>
        <v>9241</v>
      </c>
      <c r="V1064" s="35" t="str">
        <f>VLOOKUP(Tabla1[[#This Row],[PROGRAMA]],Hoja1!A:B,2,FALSE)</f>
        <v>9241. Participación ciudadana</v>
      </c>
      <c r="W1064" s="56" t="str">
        <f>MID(Tabla1[[#This Row],[Aplicación]],14,2)</f>
        <v>22</v>
      </c>
      <c r="X1064" s="56" t="str">
        <f>MID(Tabla1[[#This Row],[Aplicación]],14,6)</f>
        <v>22699</v>
      </c>
    </row>
    <row r="1065" spans="1:24" x14ac:dyDescent="0.25">
      <c r="A1065" s="46">
        <v>220230003801</v>
      </c>
      <c r="B1065" s="47" t="s">
        <v>507</v>
      </c>
      <c r="C1065" s="52">
        <v>44974</v>
      </c>
      <c r="D1065" s="46">
        <v>22023002543</v>
      </c>
      <c r="E1065" s="47" t="s">
        <v>1907</v>
      </c>
      <c r="F1065" s="53">
        <v>5426.42</v>
      </c>
      <c r="G1065" s="47" t="s">
        <v>118</v>
      </c>
      <c r="H1065" s="47" t="s">
        <v>2269</v>
      </c>
      <c r="I1065" s="46" t="s">
        <v>511</v>
      </c>
      <c r="J1065" s="47" t="s">
        <v>519</v>
      </c>
      <c r="K1065" s="47" t="s">
        <v>519</v>
      </c>
      <c r="L1065" s="47" t="s">
        <v>520</v>
      </c>
      <c r="M1065" s="47" t="s">
        <v>976</v>
      </c>
      <c r="N1065" s="47" t="s">
        <v>839</v>
      </c>
      <c r="O1065" s="45" t="s">
        <v>383</v>
      </c>
      <c r="P1065" s="44" t="s">
        <v>309</v>
      </c>
      <c r="Q1065" s="59" t="str">
        <f>MID(Tabla1[[#This Row],[Aplicación]],14,1)</f>
        <v>2</v>
      </c>
      <c r="R1065" s="35" t="s">
        <v>298</v>
      </c>
      <c r="S1065" s="59" t="str">
        <f>MID(Tabla1[[#This Row],[Aplicación]],6,2)</f>
        <v>10</v>
      </c>
      <c r="T1065" s="35" t="str">
        <f>VLOOKUP(Tabla1[[#This Row],[AREA]],Hoja1!A:B,2,FALSE)</f>
        <v>10. Servicios sociales y mediación comunitaria</v>
      </c>
      <c r="U1065" s="35" t="str">
        <f>MID(Tabla1[[#This Row],[Aplicación]],9,4)</f>
        <v>2313</v>
      </c>
      <c r="V1065" s="35" t="str">
        <f>VLOOKUP(Tabla1[[#This Row],[PROGRAMA]],Hoja1!A:B,2,FALSE)</f>
        <v>2313. Dirección del área de servicios sociales</v>
      </c>
      <c r="W1065" s="56" t="str">
        <f>MID(Tabla1[[#This Row],[Aplicación]],14,2)</f>
        <v>22</v>
      </c>
      <c r="X1065" s="56" t="str">
        <f>MID(Tabla1[[#This Row],[Aplicación]],14,6)</f>
        <v>22699</v>
      </c>
    </row>
    <row r="1066" spans="1:24" x14ac:dyDescent="0.25">
      <c r="A1066" s="46">
        <v>220230003799</v>
      </c>
      <c r="B1066" s="47" t="s">
        <v>507</v>
      </c>
      <c r="C1066" s="52">
        <v>44974</v>
      </c>
      <c r="D1066" s="46">
        <v>22023002514</v>
      </c>
      <c r="E1066" s="47" t="s">
        <v>659</v>
      </c>
      <c r="F1066" s="53">
        <v>6806.25</v>
      </c>
      <c r="G1066" s="47" t="s">
        <v>37</v>
      </c>
      <c r="H1066" s="47" t="s">
        <v>2270</v>
      </c>
      <c r="I1066" s="46" t="s">
        <v>511</v>
      </c>
      <c r="J1066" s="47" t="s">
        <v>519</v>
      </c>
      <c r="K1066" s="47" t="s">
        <v>519</v>
      </c>
      <c r="L1066" s="47" t="s">
        <v>520</v>
      </c>
      <c r="M1066" s="47" t="s">
        <v>976</v>
      </c>
      <c r="N1066" s="47" t="s">
        <v>839</v>
      </c>
      <c r="O1066" s="45" t="s">
        <v>383</v>
      </c>
      <c r="P1066" s="44" t="s">
        <v>309</v>
      </c>
      <c r="Q1066" s="59" t="str">
        <f>MID(Tabla1[[#This Row],[Aplicación]],14,1)</f>
        <v>2</v>
      </c>
      <c r="R1066" s="35" t="s">
        <v>298</v>
      </c>
      <c r="S1066" s="59" t="str">
        <f>MID(Tabla1[[#This Row],[Aplicación]],6,2)</f>
        <v>11</v>
      </c>
      <c r="T1066" s="35" t="str">
        <f>VLOOKUP(Tabla1[[#This Row],[AREA]],Hoja1!A:B,2,FALSE)</f>
        <v>11. Salud pública y seguridad ciudadana</v>
      </c>
      <c r="U1066" s="35" t="str">
        <f>MID(Tabla1[[#This Row],[Aplicación]],9,4)</f>
        <v>1321</v>
      </c>
      <c r="V1066" s="35" t="str">
        <f>VLOOKUP(Tabla1[[#This Row],[PROGRAMA]],Hoja1!A:B,2,FALSE)</f>
        <v>1321. Policía municipal</v>
      </c>
      <c r="W1066" s="56" t="str">
        <f>MID(Tabla1[[#This Row],[Aplicación]],14,2)</f>
        <v>21</v>
      </c>
      <c r="X1066" s="56" t="str">
        <f>MID(Tabla1[[#This Row],[Aplicación]],14,6)</f>
        <v>213</v>
      </c>
    </row>
    <row r="1067" spans="1:24" x14ac:dyDescent="0.25">
      <c r="A1067" s="46">
        <v>220230003997</v>
      </c>
      <c r="B1067" s="47" t="s">
        <v>1514</v>
      </c>
      <c r="C1067" s="52">
        <v>44974</v>
      </c>
      <c r="D1067" s="46">
        <v>22023001514</v>
      </c>
      <c r="E1067" s="47" t="s">
        <v>1285</v>
      </c>
      <c r="F1067" s="53">
        <v>264.70999999999998</v>
      </c>
      <c r="G1067" s="47" t="s">
        <v>1979</v>
      </c>
      <c r="H1067" s="47" t="s">
        <v>2271</v>
      </c>
      <c r="I1067" s="46" t="s">
        <v>1517</v>
      </c>
      <c r="J1067" s="47" t="s">
        <v>519</v>
      </c>
      <c r="K1067" s="47" t="s">
        <v>519</v>
      </c>
      <c r="L1067" s="47" t="s">
        <v>552</v>
      </c>
      <c r="M1067" s="47" t="s">
        <v>514</v>
      </c>
      <c r="N1067" s="47" t="s">
        <v>515</v>
      </c>
      <c r="O1067" s="45" t="s">
        <v>382</v>
      </c>
      <c r="P1067" s="44" t="s">
        <v>309</v>
      </c>
      <c r="Q1067" s="59" t="str">
        <f>MID(Tabla1[[#This Row],[Aplicación]],14,1)</f>
        <v>2</v>
      </c>
      <c r="R1067" s="35" t="s">
        <v>298</v>
      </c>
      <c r="S1067" s="59" t="str">
        <f>MID(Tabla1[[#This Row],[Aplicación]],6,2)</f>
        <v>11</v>
      </c>
      <c r="T1067" s="35" t="str">
        <f>VLOOKUP(Tabla1[[#This Row],[AREA]],Hoja1!A:B,2,FALSE)</f>
        <v>11. Salud pública y seguridad ciudadana</v>
      </c>
      <c r="U1067" s="35" t="str">
        <f>MID(Tabla1[[#This Row],[Aplicación]],9,4)</f>
        <v>1361</v>
      </c>
      <c r="V1067" s="35" t="str">
        <f>VLOOKUP(Tabla1[[#This Row],[PROGRAMA]],Hoja1!A:B,2,FALSE)</f>
        <v>1361. Prevención y extinción de incencios</v>
      </c>
      <c r="W1067" s="56" t="str">
        <f>MID(Tabla1[[#This Row],[Aplicación]],14,2)</f>
        <v>22</v>
      </c>
      <c r="X1067" s="56" t="str">
        <f>MID(Tabla1[[#This Row],[Aplicación]],14,6)</f>
        <v>22199</v>
      </c>
    </row>
    <row r="1068" spans="1:24" x14ac:dyDescent="0.25">
      <c r="A1068" s="46">
        <v>220230005391</v>
      </c>
      <c r="B1068" s="47" t="s">
        <v>507</v>
      </c>
      <c r="C1068" s="52">
        <v>44979</v>
      </c>
      <c r="D1068" s="46">
        <v>22023002567</v>
      </c>
      <c r="E1068" s="47" t="s">
        <v>1055</v>
      </c>
      <c r="F1068" s="53">
        <v>1760.4</v>
      </c>
      <c r="G1068" s="47" t="s">
        <v>18</v>
      </c>
      <c r="H1068" s="47" t="s">
        <v>2272</v>
      </c>
      <c r="I1068" s="46" t="s">
        <v>511</v>
      </c>
      <c r="J1068" s="47" t="s">
        <v>519</v>
      </c>
      <c r="K1068" s="47" t="s">
        <v>519</v>
      </c>
      <c r="L1068" s="47" t="s">
        <v>520</v>
      </c>
      <c r="M1068" s="47" t="s">
        <v>976</v>
      </c>
      <c r="N1068" s="47" t="s">
        <v>839</v>
      </c>
      <c r="O1068" s="45" t="s">
        <v>383</v>
      </c>
      <c r="P1068" s="44" t="s">
        <v>309</v>
      </c>
      <c r="Q1068" s="59" t="str">
        <f>MID(Tabla1[[#This Row],[Aplicación]],14,1)</f>
        <v>2</v>
      </c>
      <c r="R1068" s="35" t="s">
        <v>298</v>
      </c>
      <c r="S1068" s="59" t="str">
        <f>MID(Tabla1[[#This Row],[Aplicación]],6,2)</f>
        <v>02</v>
      </c>
      <c r="T1068" s="35" t="str">
        <f>VLOOKUP(Tabla1[[#This Row],[AREA]],Hoja1!A:B,2,FALSE)</f>
        <v>02. Planeamiento urbanístico y vivienda</v>
      </c>
      <c r="U1068" s="35" t="str">
        <f>MID(Tabla1[[#This Row],[Aplicación]],9,4)</f>
        <v>9332</v>
      </c>
      <c r="V1068" s="35" t="str">
        <f>VLOOKUP(Tabla1[[#This Row],[PROGRAMA]],Hoja1!A:B,2,FALSE)</f>
        <v>9332. Mantenimiento de edificios e instalaciones municipales</v>
      </c>
      <c r="W1068" s="56" t="str">
        <f>MID(Tabla1[[#This Row],[Aplicación]],14,2)</f>
        <v>21</v>
      </c>
      <c r="X1068" s="56" t="str">
        <f>MID(Tabla1[[#This Row],[Aplicación]],14,6)</f>
        <v>213</v>
      </c>
    </row>
    <row r="1069" spans="1:24" x14ac:dyDescent="0.25">
      <c r="A1069" s="55">
        <v>220230010626</v>
      </c>
      <c r="B1069" s="47" t="s">
        <v>1249</v>
      </c>
      <c r="C1069" s="52">
        <v>45009</v>
      </c>
      <c r="D1069" s="46">
        <v>22023003049</v>
      </c>
      <c r="E1069" s="47" t="s">
        <v>669</v>
      </c>
      <c r="F1069" s="53">
        <v>592.98</v>
      </c>
      <c r="G1069" s="47" t="s">
        <v>18</v>
      </c>
      <c r="H1069" s="47" t="s">
        <v>2273</v>
      </c>
      <c r="I1069" s="46" t="s">
        <v>1251</v>
      </c>
      <c r="J1069" s="47" t="s">
        <v>519</v>
      </c>
      <c r="K1069" s="47" t="s">
        <v>519</v>
      </c>
      <c r="L1069" s="47" t="s">
        <v>520</v>
      </c>
      <c r="M1069" s="47" t="s">
        <v>514</v>
      </c>
      <c r="N1069" s="47" t="s">
        <v>515</v>
      </c>
      <c r="O1069" s="54" t="s">
        <v>371</v>
      </c>
      <c r="P1069" s="44" t="s">
        <v>309</v>
      </c>
      <c r="Q1069" s="59" t="str">
        <f>MID(Tabla1[[#This Row],[Aplicación]],14,1)</f>
        <v>2</v>
      </c>
      <c r="R1069" s="35" t="s">
        <v>298</v>
      </c>
      <c r="S1069" s="59" t="str">
        <f>MID(Tabla1[[#This Row],[Aplicación]],6,2)</f>
        <v>06</v>
      </c>
      <c r="T1069" s="35" t="str">
        <f>VLOOKUP(Tabla1[[#This Row],[AREA]],Hoja1!A:B,2,FALSE)</f>
        <v>06. Educación, infancia, juventud e igualdad</v>
      </c>
      <c r="U1069" s="35" t="str">
        <f>MID(Tabla1[[#This Row],[Aplicación]],9,4)</f>
        <v>3232</v>
      </c>
      <c r="V1069" s="35" t="str">
        <f>VLOOKUP(Tabla1[[#This Row],[PROGRAMA]],Hoja1!A:B,2,FALSE)</f>
        <v>3232. Conservación y mantenimiento centros educación infantil y primaria</v>
      </c>
      <c r="W1069" s="56" t="str">
        <f>MID(Tabla1[[#This Row],[Aplicación]],14,2)</f>
        <v>21</v>
      </c>
      <c r="X1069" s="56" t="str">
        <f>MID(Tabla1[[#This Row],[Aplicación]],14,6)</f>
        <v>213</v>
      </c>
    </row>
    <row r="1070" spans="1:24" x14ac:dyDescent="0.25">
      <c r="A1070" s="46">
        <v>220230004008</v>
      </c>
      <c r="B1070" s="47" t="s">
        <v>1514</v>
      </c>
      <c r="C1070" s="52">
        <v>44974</v>
      </c>
      <c r="D1070" s="46">
        <v>22023001514</v>
      </c>
      <c r="E1070" s="47" t="s">
        <v>1285</v>
      </c>
      <c r="F1070" s="53">
        <v>197.3</v>
      </c>
      <c r="G1070" s="47" t="s">
        <v>1979</v>
      </c>
      <c r="H1070" s="47" t="s">
        <v>2274</v>
      </c>
      <c r="I1070" s="46" t="s">
        <v>1517</v>
      </c>
      <c r="J1070" s="47" t="s">
        <v>519</v>
      </c>
      <c r="K1070" s="47" t="s">
        <v>519</v>
      </c>
      <c r="L1070" s="47" t="s">
        <v>552</v>
      </c>
      <c r="M1070" s="47" t="s">
        <v>514</v>
      </c>
      <c r="N1070" s="47" t="s">
        <v>515</v>
      </c>
      <c r="O1070" s="45" t="s">
        <v>382</v>
      </c>
      <c r="P1070" s="44" t="s">
        <v>309</v>
      </c>
      <c r="Q1070" s="59" t="str">
        <f>MID(Tabla1[[#This Row],[Aplicación]],14,1)</f>
        <v>2</v>
      </c>
      <c r="R1070" s="35" t="s">
        <v>298</v>
      </c>
      <c r="S1070" s="59" t="str">
        <f>MID(Tabla1[[#This Row],[Aplicación]],6,2)</f>
        <v>11</v>
      </c>
      <c r="T1070" s="35" t="str">
        <f>VLOOKUP(Tabla1[[#This Row],[AREA]],Hoja1!A:B,2,FALSE)</f>
        <v>11. Salud pública y seguridad ciudadana</v>
      </c>
      <c r="U1070" s="35" t="str">
        <f>MID(Tabla1[[#This Row],[Aplicación]],9,4)</f>
        <v>1361</v>
      </c>
      <c r="V1070" s="35" t="str">
        <f>VLOOKUP(Tabla1[[#This Row],[PROGRAMA]],Hoja1!A:B,2,FALSE)</f>
        <v>1361. Prevención y extinción de incencios</v>
      </c>
      <c r="W1070" s="56" t="str">
        <f>MID(Tabla1[[#This Row],[Aplicación]],14,2)</f>
        <v>22</v>
      </c>
      <c r="X1070" s="56" t="str">
        <f>MID(Tabla1[[#This Row],[Aplicación]],14,6)</f>
        <v>22199</v>
      </c>
    </row>
    <row r="1071" spans="1:24" x14ac:dyDescent="0.25">
      <c r="A1071" s="46">
        <v>220230004031</v>
      </c>
      <c r="B1071" s="47" t="s">
        <v>1514</v>
      </c>
      <c r="C1071" s="52">
        <v>44974</v>
      </c>
      <c r="D1071" s="46">
        <v>22023001578</v>
      </c>
      <c r="E1071" s="47" t="s">
        <v>2275</v>
      </c>
      <c r="F1071" s="53">
        <v>193.85</v>
      </c>
      <c r="G1071" s="47" t="s">
        <v>1979</v>
      </c>
      <c r="H1071" s="47" t="s">
        <v>2276</v>
      </c>
      <c r="I1071" s="46" t="s">
        <v>1517</v>
      </c>
      <c r="J1071" s="47" t="s">
        <v>519</v>
      </c>
      <c r="K1071" s="47" t="s">
        <v>519</v>
      </c>
      <c r="L1071" s="47" t="s">
        <v>552</v>
      </c>
      <c r="M1071" s="47" t="s">
        <v>514</v>
      </c>
      <c r="N1071" s="47" t="s">
        <v>515</v>
      </c>
      <c r="O1071" s="45" t="s">
        <v>382</v>
      </c>
      <c r="P1071" s="44" t="s">
        <v>309</v>
      </c>
      <c r="Q1071" s="59" t="str">
        <f>MID(Tabla1[[#This Row],[Aplicación]],14,1)</f>
        <v>2</v>
      </c>
      <c r="R1071" s="35" t="s">
        <v>298</v>
      </c>
      <c r="S1071" s="59" t="str">
        <f>MID(Tabla1[[#This Row],[Aplicación]],6,2)</f>
        <v>11</v>
      </c>
      <c r="T1071" s="35" t="str">
        <f>VLOOKUP(Tabla1[[#This Row],[AREA]],Hoja1!A:B,2,FALSE)</f>
        <v>11. Salud pública y seguridad ciudadana</v>
      </c>
      <c r="U1071" s="35" t="str">
        <f>MID(Tabla1[[#This Row],[Aplicación]],9,4)</f>
        <v>3111</v>
      </c>
      <c r="V1071" s="35" t="str">
        <f>VLOOKUP(Tabla1[[#This Row],[PROGRAMA]],Hoja1!A:B,2,FALSE)</f>
        <v>3111. Protección de la salubridad pública</v>
      </c>
      <c r="W1071" s="56" t="str">
        <f>MID(Tabla1[[#This Row],[Aplicación]],14,2)</f>
        <v>22</v>
      </c>
      <c r="X1071" s="56" t="str">
        <f>MID(Tabla1[[#This Row],[Aplicación]],14,6)</f>
        <v>22199</v>
      </c>
    </row>
    <row r="1072" spans="1:24" x14ac:dyDescent="0.25">
      <c r="A1072" s="46">
        <v>220230004041</v>
      </c>
      <c r="B1072" s="47" t="s">
        <v>1514</v>
      </c>
      <c r="C1072" s="52">
        <v>44974</v>
      </c>
      <c r="D1072" s="46">
        <v>22023001578</v>
      </c>
      <c r="E1072" s="47" t="s">
        <v>2275</v>
      </c>
      <c r="F1072" s="53">
        <v>160.97</v>
      </c>
      <c r="G1072" s="47" t="s">
        <v>1979</v>
      </c>
      <c r="H1072" s="47" t="s">
        <v>2277</v>
      </c>
      <c r="I1072" s="46" t="s">
        <v>1517</v>
      </c>
      <c r="J1072" s="47" t="s">
        <v>519</v>
      </c>
      <c r="K1072" s="47" t="s">
        <v>519</v>
      </c>
      <c r="L1072" s="47" t="s">
        <v>552</v>
      </c>
      <c r="M1072" s="47" t="s">
        <v>514</v>
      </c>
      <c r="N1072" s="47" t="s">
        <v>515</v>
      </c>
      <c r="O1072" s="45" t="s">
        <v>382</v>
      </c>
      <c r="P1072" s="44" t="s">
        <v>309</v>
      </c>
      <c r="Q1072" s="59" t="str">
        <f>MID(Tabla1[[#This Row],[Aplicación]],14,1)</f>
        <v>2</v>
      </c>
      <c r="R1072" s="35" t="s">
        <v>298</v>
      </c>
      <c r="S1072" s="59" t="str">
        <f>MID(Tabla1[[#This Row],[Aplicación]],6,2)</f>
        <v>11</v>
      </c>
      <c r="T1072" s="35" t="str">
        <f>VLOOKUP(Tabla1[[#This Row],[AREA]],Hoja1!A:B,2,FALSE)</f>
        <v>11. Salud pública y seguridad ciudadana</v>
      </c>
      <c r="U1072" s="35" t="str">
        <f>MID(Tabla1[[#This Row],[Aplicación]],9,4)</f>
        <v>3111</v>
      </c>
      <c r="V1072" s="35" t="str">
        <f>VLOOKUP(Tabla1[[#This Row],[PROGRAMA]],Hoja1!A:B,2,FALSE)</f>
        <v>3111. Protección de la salubridad pública</v>
      </c>
      <c r="W1072" s="56" t="str">
        <f>MID(Tabla1[[#This Row],[Aplicación]],14,2)</f>
        <v>22</v>
      </c>
      <c r="X1072" s="56" t="str">
        <f>MID(Tabla1[[#This Row],[Aplicación]],14,6)</f>
        <v>22199</v>
      </c>
    </row>
    <row r="1073" spans="1:24" x14ac:dyDescent="0.25">
      <c r="A1073" s="46">
        <v>220230003924</v>
      </c>
      <c r="B1073" s="47" t="s">
        <v>1337</v>
      </c>
      <c r="C1073" s="52">
        <v>44974</v>
      </c>
      <c r="D1073" s="46">
        <v>22023001310</v>
      </c>
      <c r="E1073" s="47" t="s">
        <v>578</v>
      </c>
      <c r="F1073" s="53">
        <v>-9616.17</v>
      </c>
      <c r="G1073" s="47" t="s">
        <v>1255</v>
      </c>
      <c r="H1073" s="47" t="s">
        <v>2278</v>
      </c>
      <c r="I1073" s="46" t="s">
        <v>511</v>
      </c>
      <c r="J1073" s="47" t="s">
        <v>1257</v>
      </c>
      <c r="K1073" s="47" t="s">
        <v>573</v>
      </c>
      <c r="L1073" s="47" t="s">
        <v>520</v>
      </c>
      <c r="M1073" s="47" t="s">
        <v>976</v>
      </c>
      <c r="N1073" s="47" t="s">
        <v>839</v>
      </c>
      <c r="O1073" s="54" t="s">
        <v>383</v>
      </c>
      <c r="P1073" s="44" t="s">
        <v>309</v>
      </c>
      <c r="Q1073" s="59" t="str">
        <f>MID(Tabla1[[#This Row],[Aplicación]],14,1)</f>
        <v>2</v>
      </c>
      <c r="R1073" s="35" t="s">
        <v>298</v>
      </c>
      <c r="S1073" s="59" t="str">
        <f>MID(Tabla1[[#This Row],[Aplicación]],6,2)</f>
        <v>06</v>
      </c>
      <c r="T1073" s="35" t="str">
        <f>VLOOKUP(Tabla1[[#This Row],[AREA]],Hoja1!A:B,2,FALSE)</f>
        <v>06. Educación, infancia, juventud e igualdad</v>
      </c>
      <c r="U1073" s="35" t="str">
        <f>MID(Tabla1[[#This Row],[Aplicación]],9,4)</f>
        <v>3231</v>
      </c>
      <c r="V1073" s="35" t="str">
        <f>VLOOKUP(Tabla1[[#This Row],[PROGRAMA]],Hoja1!A:B,2,FALSE)</f>
        <v>3231. Escuelas infantiles</v>
      </c>
      <c r="W1073" s="56" t="str">
        <f>MID(Tabla1[[#This Row],[Aplicación]],14,2)</f>
        <v>22</v>
      </c>
      <c r="X1073" s="56" t="str">
        <f>MID(Tabla1[[#This Row],[Aplicación]],14,6)</f>
        <v>22799</v>
      </c>
    </row>
    <row r="1074" spans="1:24" x14ac:dyDescent="0.25">
      <c r="A1074" s="46">
        <v>220230003925</v>
      </c>
      <c r="B1074" s="47" t="s">
        <v>507</v>
      </c>
      <c r="C1074" s="52">
        <v>44974</v>
      </c>
      <c r="D1074" s="46">
        <v>22023002330</v>
      </c>
      <c r="E1074" s="47" t="s">
        <v>578</v>
      </c>
      <c r="F1074" s="53">
        <v>3546.74</v>
      </c>
      <c r="G1074" s="47" t="s">
        <v>1255</v>
      </c>
      <c r="H1074" s="47" t="s">
        <v>2279</v>
      </c>
      <c r="I1074" s="46" t="s">
        <v>511</v>
      </c>
      <c r="J1074" s="47" t="s">
        <v>1257</v>
      </c>
      <c r="K1074" s="47" t="s">
        <v>573</v>
      </c>
      <c r="L1074" s="47" t="s">
        <v>520</v>
      </c>
      <c r="M1074" s="47" t="s">
        <v>976</v>
      </c>
      <c r="N1074" s="47" t="s">
        <v>839</v>
      </c>
      <c r="O1074" s="45" t="s">
        <v>383</v>
      </c>
      <c r="P1074" s="44" t="s">
        <v>309</v>
      </c>
      <c r="Q1074" s="59" t="str">
        <f>MID(Tabla1[[#This Row],[Aplicación]],14,1)</f>
        <v>2</v>
      </c>
      <c r="R1074" s="35" t="s">
        <v>298</v>
      </c>
      <c r="S1074" s="59" t="str">
        <f>MID(Tabla1[[#This Row],[Aplicación]],6,2)</f>
        <v>06</v>
      </c>
      <c r="T1074" s="35" t="str">
        <f>VLOOKUP(Tabla1[[#This Row],[AREA]],Hoja1!A:B,2,FALSE)</f>
        <v>06. Educación, infancia, juventud e igualdad</v>
      </c>
      <c r="U1074" s="35" t="str">
        <f>MID(Tabla1[[#This Row],[Aplicación]],9,4)</f>
        <v>3231</v>
      </c>
      <c r="V1074" s="35" t="str">
        <f>VLOOKUP(Tabla1[[#This Row],[PROGRAMA]],Hoja1!A:B,2,FALSE)</f>
        <v>3231. Escuelas infantiles</v>
      </c>
      <c r="W1074" s="56" t="str">
        <f>MID(Tabla1[[#This Row],[Aplicación]],14,2)</f>
        <v>22</v>
      </c>
      <c r="X1074" s="56" t="str">
        <f>MID(Tabla1[[#This Row],[Aplicación]],14,6)</f>
        <v>22799</v>
      </c>
    </row>
    <row r="1075" spans="1:24" x14ac:dyDescent="0.25">
      <c r="A1075" s="46">
        <v>220230003925</v>
      </c>
      <c r="B1075" s="47" t="s">
        <v>507</v>
      </c>
      <c r="C1075" s="52">
        <v>44974</v>
      </c>
      <c r="D1075" s="46">
        <v>22023002331</v>
      </c>
      <c r="E1075" s="47" t="s">
        <v>578</v>
      </c>
      <c r="F1075" s="53">
        <v>6069.43</v>
      </c>
      <c r="G1075" s="47" t="s">
        <v>1255</v>
      </c>
      <c r="H1075" s="47" t="s">
        <v>2279</v>
      </c>
      <c r="I1075" s="46" t="s">
        <v>511</v>
      </c>
      <c r="J1075" s="47" t="s">
        <v>1257</v>
      </c>
      <c r="K1075" s="47" t="s">
        <v>573</v>
      </c>
      <c r="L1075" s="47" t="s">
        <v>520</v>
      </c>
      <c r="M1075" s="47" t="s">
        <v>976</v>
      </c>
      <c r="N1075" s="47" t="s">
        <v>839</v>
      </c>
      <c r="O1075" s="45" t="s">
        <v>383</v>
      </c>
      <c r="P1075" s="44" t="s">
        <v>309</v>
      </c>
      <c r="Q1075" s="59" t="str">
        <f>MID(Tabla1[[#This Row],[Aplicación]],14,1)</f>
        <v>2</v>
      </c>
      <c r="R1075" s="35" t="s">
        <v>298</v>
      </c>
      <c r="S1075" s="59" t="str">
        <f>MID(Tabla1[[#This Row],[Aplicación]],6,2)</f>
        <v>06</v>
      </c>
      <c r="T1075" s="35" t="str">
        <f>VLOOKUP(Tabla1[[#This Row],[AREA]],Hoja1!A:B,2,FALSE)</f>
        <v>06. Educación, infancia, juventud e igualdad</v>
      </c>
      <c r="U1075" s="35" t="str">
        <f>MID(Tabla1[[#This Row],[Aplicación]],9,4)</f>
        <v>3231</v>
      </c>
      <c r="V1075" s="35" t="str">
        <f>VLOOKUP(Tabla1[[#This Row],[PROGRAMA]],Hoja1!A:B,2,FALSE)</f>
        <v>3231. Escuelas infantiles</v>
      </c>
      <c r="W1075" s="56" t="str">
        <f>MID(Tabla1[[#This Row],[Aplicación]],14,2)</f>
        <v>22</v>
      </c>
      <c r="X1075" s="56" t="str">
        <f>MID(Tabla1[[#This Row],[Aplicación]],14,6)</f>
        <v>22799</v>
      </c>
    </row>
    <row r="1076" spans="1:24" x14ac:dyDescent="0.25">
      <c r="A1076" s="46">
        <v>220229000673</v>
      </c>
      <c r="B1076" s="47" t="s">
        <v>507</v>
      </c>
      <c r="C1076" s="52">
        <v>44927</v>
      </c>
      <c r="D1076" s="46">
        <v>22023001276</v>
      </c>
      <c r="E1076" s="47" t="s">
        <v>1191</v>
      </c>
      <c r="F1076" s="53">
        <v>720</v>
      </c>
      <c r="G1076" s="47" t="s">
        <v>2280</v>
      </c>
      <c r="H1076" s="47" t="s">
        <v>2281</v>
      </c>
      <c r="I1076" s="46" t="s">
        <v>511</v>
      </c>
      <c r="J1076" s="47" t="s">
        <v>953</v>
      </c>
      <c r="K1076" s="47" t="s">
        <v>519</v>
      </c>
      <c r="L1076" s="47" t="s">
        <v>520</v>
      </c>
      <c r="M1076" s="47" t="s">
        <v>976</v>
      </c>
      <c r="N1076" s="47" t="s">
        <v>839</v>
      </c>
      <c r="O1076" s="45" t="s">
        <v>383</v>
      </c>
      <c r="P1076" s="44" t="s">
        <v>309</v>
      </c>
      <c r="Q1076" s="59" t="str">
        <f>MID(Tabla1[[#This Row],[Aplicación]],14,1)</f>
        <v>2</v>
      </c>
      <c r="R1076" s="35" t="s">
        <v>298</v>
      </c>
      <c r="S1076" s="59" t="str">
        <f>MID(Tabla1[[#This Row],[Aplicación]],6,2)</f>
        <v>06</v>
      </c>
      <c r="T1076" s="35" t="str">
        <f>VLOOKUP(Tabla1[[#This Row],[AREA]],Hoja1!A:B,2,FALSE)</f>
        <v>06. Educación, infancia, juventud e igualdad</v>
      </c>
      <c r="U1076" s="35" t="str">
        <f>MID(Tabla1[[#This Row],[Aplicación]],9,4)</f>
        <v>2315</v>
      </c>
      <c r="V1076" s="35" t="str">
        <f>VLOOKUP(Tabla1[[#This Row],[PROGRAMA]],Hoja1!A:B,2,FALSE)</f>
        <v>2315. Políticas de Igualdad e infancia</v>
      </c>
      <c r="W1076" s="56" t="str">
        <f>MID(Tabla1[[#This Row],[Aplicación]],14,2)</f>
        <v>22</v>
      </c>
      <c r="X1076" s="56" t="str">
        <f>MID(Tabla1[[#This Row],[Aplicación]],14,6)</f>
        <v>22611</v>
      </c>
    </row>
    <row r="1077" spans="1:24" x14ac:dyDescent="0.25">
      <c r="A1077" s="46">
        <v>220230003236</v>
      </c>
      <c r="B1077" s="47" t="s">
        <v>507</v>
      </c>
      <c r="C1077" s="52">
        <v>44971</v>
      </c>
      <c r="D1077" s="46">
        <v>22023002319</v>
      </c>
      <c r="E1077" s="47" t="s">
        <v>1982</v>
      </c>
      <c r="F1077" s="53">
        <v>300</v>
      </c>
      <c r="G1077" s="47" t="s">
        <v>2282</v>
      </c>
      <c r="H1077" s="47" t="s">
        <v>2283</v>
      </c>
      <c r="I1077" s="46" t="s">
        <v>511</v>
      </c>
      <c r="J1077" s="47" t="s">
        <v>988</v>
      </c>
      <c r="K1077" s="47" t="s">
        <v>519</v>
      </c>
      <c r="L1077" s="47" t="s">
        <v>520</v>
      </c>
      <c r="M1077" s="47" t="s">
        <v>976</v>
      </c>
      <c r="N1077" s="47" t="s">
        <v>839</v>
      </c>
      <c r="O1077" s="45" t="s">
        <v>383</v>
      </c>
      <c r="P1077" s="44" t="s">
        <v>309</v>
      </c>
      <c r="Q1077" s="59" t="str">
        <f>MID(Tabla1[[#This Row],[Aplicación]],14,1)</f>
        <v>2</v>
      </c>
      <c r="R1077" s="35" t="s">
        <v>298</v>
      </c>
      <c r="S1077" s="59" t="str">
        <f>MID(Tabla1[[#This Row],[Aplicación]],6,2)</f>
        <v>07</v>
      </c>
      <c r="T1077" s="35" t="str">
        <f>VLOOKUP(Tabla1[[#This Row],[AREA]],Hoja1!A:B,2,FALSE)</f>
        <v>07. Medio ambiente y desarrollo sostenible</v>
      </c>
      <c r="U1077" s="35" t="str">
        <f>MID(Tabla1[[#This Row],[Aplicación]],9,4)</f>
        <v>1711</v>
      </c>
      <c r="V1077" s="35" t="str">
        <f>VLOOKUP(Tabla1[[#This Row],[PROGRAMA]],Hoja1!A:B,2,FALSE)</f>
        <v>1711. Parques y jardines</v>
      </c>
      <c r="W1077" s="56" t="str">
        <f>MID(Tabla1[[#This Row],[Aplicación]],14,2)</f>
        <v>21</v>
      </c>
      <c r="X1077" s="56" t="str">
        <f>MID(Tabla1[[#This Row],[Aplicación]],14,6)</f>
        <v>214</v>
      </c>
    </row>
    <row r="1078" spans="1:24" x14ac:dyDescent="0.25">
      <c r="A1078" s="55">
        <v>220230011714</v>
      </c>
      <c r="B1078" s="47" t="s">
        <v>507</v>
      </c>
      <c r="C1078" s="52">
        <v>45014</v>
      </c>
      <c r="D1078" s="46">
        <v>22023003582</v>
      </c>
      <c r="E1078" s="47" t="s">
        <v>732</v>
      </c>
      <c r="F1078" s="53">
        <v>110</v>
      </c>
      <c r="G1078" s="47" t="s">
        <v>2284</v>
      </c>
      <c r="H1078" s="47" t="s">
        <v>2285</v>
      </c>
      <c r="I1078" s="46" t="s">
        <v>511</v>
      </c>
      <c r="J1078" s="47" t="s">
        <v>1478</v>
      </c>
      <c r="K1078" s="47" t="s">
        <v>519</v>
      </c>
      <c r="L1078" s="47" t="s">
        <v>520</v>
      </c>
      <c r="M1078" s="47" t="s">
        <v>976</v>
      </c>
      <c r="N1078" s="47" t="s">
        <v>839</v>
      </c>
      <c r="O1078" s="54" t="s">
        <v>383</v>
      </c>
      <c r="P1078" s="44" t="s">
        <v>309</v>
      </c>
      <c r="Q1078" s="59" t="str">
        <f>MID(Tabla1[[#This Row],[Aplicación]],14,1)</f>
        <v>2</v>
      </c>
      <c r="R1078" s="35" t="s">
        <v>298</v>
      </c>
      <c r="S1078" s="59" t="str">
        <f>MID(Tabla1[[#This Row],[Aplicación]],6,2)</f>
        <v>06</v>
      </c>
      <c r="T1078" s="35" t="str">
        <f>VLOOKUP(Tabla1[[#This Row],[AREA]],Hoja1!A:B,2,FALSE)</f>
        <v>06. Educación, infancia, juventud e igualdad</v>
      </c>
      <c r="U1078" s="35" t="str">
        <f>MID(Tabla1[[#This Row],[Aplicación]],9,4)</f>
        <v>3321</v>
      </c>
      <c r="V1078" s="35" t="str">
        <f>VLOOKUP(Tabla1[[#This Row],[PROGRAMA]],Hoja1!A:B,2,FALSE)</f>
        <v>3321. Bibliotecas públicas</v>
      </c>
      <c r="W1078" s="56" t="str">
        <f>MID(Tabla1[[#This Row],[Aplicación]],14,2)</f>
        <v>22</v>
      </c>
      <c r="X1078" s="56" t="str">
        <f>MID(Tabla1[[#This Row],[Aplicación]],14,6)</f>
        <v>22799</v>
      </c>
    </row>
    <row r="1079" spans="1:24" x14ac:dyDescent="0.25">
      <c r="A1079" s="55">
        <v>220230008919</v>
      </c>
      <c r="B1079" s="47" t="s">
        <v>507</v>
      </c>
      <c r="C1079" s="52">
        <v>45002</v>
      </c>
      <c r="D1079" s="46">
        <v>22023003054</v>
      </c>
      <c r="E1079" s="47" t="s">
        <v>1490</v>
      </c>
      <c r="F1079" s="53">
        <v>435.6</v>
      </c>
      <c r="G1079" s="47" t="s">
        <v>2286</v>
      </c>
      <c r="H1079" s="47" t="s">
        <v>2287</v>
      </c>
      <c r="I1079" s="46" t="s">
        <v>511</v>
      </c>
      <c r="J1079" s="47" t="s">
        <v>2288</v>
      </c>
      <c r="K1079" s="47" t="s">
        <v>947</v>
      </c>
      <c r="L1079" s="47" t="s">
        <v>520</v>
      </c>
      <c r="M1079" s="47" t="s">
        <v>976</v>
      </c>
      <c r="N1079" s="47" t="s">
        <v>839</v>
      </c>
      <c r="O1079" s="54" t="s">
        <v>383</v>
      </c>
      <c r="P1079" s="44" t="s">
        <v>309</v>
      </c>
      <c r="Q1079" s="59" t="str">
        <f>MID(Tabla1[[#This Row],[Aplicación]],14,1)</f>
        <v>2</v>
      </c>
      <c r="R1079" s="35" t="s">
        <v>298</v>
      </c>
      <c r="S1079" s="59" t="str">
        <f>MID(Tabla1[[#This Row],[Aplicación]],6,2)</f>
        <v>06</v>
      </c>
      <c r="T1079" s="35" t="str">
        <f>VLOOKUP(Tabla1[[#This Row],[AREA]],Hoja1!A:B,2,FALSE)</f>
        <v>06. Educación, infancia, juventud e igualdad</v>
      </c>
      <c r="U1079" s="35" t="str">
        <f>MID(Tabla1[[#This Row],[Aplicación]],9,4)</f>
        <v>2314</v>
      </c>
      <c r="V1079" s="35" t="str">
        <f>VLOOKUP(Tabla1[[#This Row],[PROGRAMA]],Hoja1!A:B,2,FALSE)</f>
        <v>2314. Centro de programas juveniles</v>
      </c>
      <c r="W1079" s="56" t="str">
        <f>MID(Tabla1[[#This Row],[Aplicación]],14,2)</f>
        <v>22</v>
      </c>
      <c r="X1079" s="56" t="str">
        <f>MID(Tabla1[[#This Row],[Aplicación]],14,6)</f>
        <v>22613</v>
      </c>
    </row>
    <row r="1080" spans="1:24" x14ac:dyDescent="0.25">
      <c r="A1080" s="55">
        <v>220220030371</v>
      </c>
      <c r="B1080" s="47" t="s">
        <v>507</v>
      </c>
      <c r="C1080" s="52">
        <v>45014</v>
      </c>
      <c r="D1080" s="46">
        <v>22022002950</v>
      </c>
      <c r="E1080" s="47" t="s">
        <v>741</v>
      </c>
      <c r="F1080" s="53">
        <v>32.020000000000003</v>
      </c>
      <c r="G1080" s="47" t="s">
        <v>67</v>
      </c>
      <c r="H1080" s="47" t="s">
        <v>2289</v>
      </c>
      <c r="I1080" s="46" t="s">
        <v>511</v>
      </c>
      <c r="J1080" s="47" t="s">
        <v>953</v>
      </c>
      <c r="K1080" s="47" t="s">
        <v>519</v>
      </c>
      <c r="L1080" s="47" t="s">
        <v>520</v>
      </c>
      <c r="M1080" s="47" t="s">
        <v>514</v>
      </c>
      <c r="N1080" s="47" t="s">
        <v>515</v>
      </c>
      <c r="O1080" s="54" t="s">
        <v>382</v>
      </c>
      <c r="P1080" s="44" t="s">
        <v>309</v>
      </c>
      <c r="Q1080" s="59" t="str">
        <f>MID(Tabla1[[#This Row],[Aplicación]],14,1)</f>
        <v>6</v>
      </c>
      <c r="R1080" s="35" t="s">
        <v>299</v>
      </c>
      <c r="S1080" s="59" t="str">
        <f>MID(Tabla1[[#This Row],[Aplicación]],6,2)</f>
        <v>07</v>
      </c>
      <c r="T1080" s="35" t="str">
        <f>VLOOKUP(Tabla1[[#This Row],[AREA]],Hoja1!A:B,2,FALSE)</f>
        <v>07. Medio ambiente y desarrollo sostenible</v>
      </c>
      <c r="U1080" s="35" t="str">
        <f>MID(Tabla1[[#This Row],[Aplicación]],9,4)</f>
        <v>1711</v>
      </c>
      <c r="V1080" s="35" t="str">
        <f>VLOOKUP(Tabla1[[#This Row],[PROGRAMA]],Hoja1!A:B,2,FALSE)</f>
        <v>1711. Parques y jardines</v>
      </c>
      <c r="W1080" s="56" t="str">
        <f>MID(Tabla1[[#This Row],[Aplicación]],14,2)</f>
        <v>61</v>
      </c>
      <c r="X1080" s="56" t="str">
        <f>MID(Tabla1[[#This Row],[Aplicación]],14,6)</f>
        <v>619</v>
      </c>
    </row>
    <row r="1081" spans="1:24" x14ac:dyDescent="0.25">
      <c r="A1081" s="46">
        <v>220230003919</v>
      </c>
      <c r="B1081" s="47" t="s">
        <v>507</v>
      </c>
      <c r="C1081" s="52">
        <v>44974</v>
      </c>
      <c r="D1081" s="46">
        <v>22023002320</v>
      </c>
      <c r="E1081" s="47" t="s">
        <v>1106</v>
      </c>
      <c r="F1081" s="53">
        <v>22314.29</v>
      </c>
      <c r="G1081" s="47" t="s">
        <v>587</v>
      </c>
      <c r="H1081" s="47" t="s">
        <v>2290</v>
      </c>
      <c r="I1081" s="46" t="s">
        <v>511</v>
      </c>
      <c r="J1081" s="47" t="s">
        <v>589</v>
      </c>
      <c r="K1081" s="47" t="s">
        <v>590</v>
      </c>
      <c r="L1081" s="47" t="s">
        <v>552</v>
      </c>
      <c r="M1081" s="47" t="s">
        <v>514</v>
      </c>
      <c r="N1081" s="47" t="s">
        <v>604</v>
      </c>
      <c r="O1081" s="45" t="s">
        <v>371</v>
      </c>
      <c r="P1081" s="44" t="s">
        <v>309</v>
      </c>
      <c r="Q1081" s="59" t="str">
        <f>MID(Tabla1[[#This Row],[Aplicación]],14,1)</f>
        <v>2</v>
      </c>
      <c r="R1081" s="35" t="s">
        <v>298</v>
      </c>
      <c r="S1081" s="59" t="str">
        <f>MID(Tabla1[[#This Row],[Aplicación]],6,2)</f>
        <v>06</v>
      </c>
      <c r="T1081" s="35" t="str">
        <f>VLOOKUP(Tabla1[[#This Row],[AREA]],Hoja1!A:B,2,FALSE)</f>
        <v>06. Educación, infancia, juventud e igualdad</v>
      </c>
      <c r="U1081" s="35" t="str">
        <f>MID(Tabla1[[#This Row],[Aplicación]],9,4)</f>
        <v>3231</v>
      </c>
      <c r="V1081" s="35" t="str">
        <f>VLOOKUP(Tabla1[[#This Row],[PROGRAMA]],Hoja1!A:B,2,FALSE)</f>
        <v>3231. Escuelas infantiles</v>
      </c>
      <c r="W1081" s="56" t="str">
        <f>MID(Tabla1[[#This Row],[Aplicación]],14,2)</f>
        <v>22</v>
      </c>
      <c r="X1081" s="56" t="str">
        <f>MID(Tabla1[[#This Row],[Aplicación]],14,6)</f>
        <v>22100</v>
      </c>
    </row>
    <row r="1082" spans="1:24" x14ac:dyDescent="0.25">
      <c r="A1082" s="46">
        <v>220230003919</v>
      </c>
      <c r="B1082" s="47" t="s">
        <v>507</v>
      </c>
      <c r="C1082" s="52">
        <v>44974</v>
      </c>
      <c r="D1082" s="46">
        <v>22023002321</v>
      </c>
      <c r="E1082" s="47" t="s">
        <v>1106</v>
      </c>
      <c r="F1082" s="53">
        <v>32685.71</v>
      </c>
      <c r="G1082" s="47" t="s">
        <v>587</v>
      </c>
      <c r="H1082" s="47" t="s">
        <v>2290</v>
      </c>
      <c r="I1082" s="46" t="s">
        <v>511</v>
      </c>
      <c r="J1082" s="47" t="s">
        <v>589</v>
      </c>
      <c r="K1082" s="47" t="s">
        <v>590</v>
      </c>
      <c r="L1082" s="47" t="s">
        <v>552</v>
      </c>
      <c r="M1082" s="47" t="s">
        <v>514</v>
      </c>
      <c r="N1082" s="47" t="s">
        <v>604</v>
      </c>
      <c r="O1082" s="45" t="s">
        <v>371</v>
      </c>
      <c r="P1082" s="44" t="s">
        <v>309</v>
      </c>
      <c r="Q1082" s="59" t="str">
        <f>MID(Tabla1[[#This Row],[Aplicación]],14,1)</f>
        <v>2</v>
      </c>
      <c r="R1082" s="35" t="s">
        <v>298</v>
      </c>
      <c r="S1082" s="59" t="str">
        <f>MID(Tabla1[[#This Row],[Aplicación]],6,2)</f>
        <v>06</v>
      </c>
      <c r="T1082" s="35" t="str">
        <f>VLOOKUP(Tabla1[[#This Row],[AREA]],Hoja1!A:B,2,FALSE)</f>
        <v>06. Educación, infancia, juventud e igualdad</v>
      </c>
      <c r="U1082" s="35" t="str">
        <f>MID(Tabla1[[#This Row],[Aplicación]],9,4)</f>
        <v>3231</v>
      </c>
      <c r="V1082" s="35" t="str">
        <f>VLOOKUP(Tabla1[[#This Row],[PROGRAMA]],Hoja1!A:B,2,FALSE)</f>
        <v>3231. Escuelas infantiles</v>
      </c>
      <c r="W1082" s="56" t="str">
        <f>MID(Tabla1[[#This Row],[Aplicación]],14,2)</f>
        <v>22</v>
      </c>
      <c r="X1082" s="56" t="str">
        <f>MID(Tabla1[[#This Row],[Aplicación]],14,6)</f>
        <v>22100</v>
      </c>
    </row>
    <row r="1083" spans="1:24" x14ac:dyDescent="0.25">
      <c r="A1083" s="46">
        <v>220230003921</v>
      </c>
      <c r="B1083" s="47" t="s">
        <v>507</v>
      </c>
      <c r="C1083" s="52">
        <v>44974</v>
      </c>
      <c r="D1083" s="46">
        <v>22023002322</v>
      </c>
      <c r="E1083" s="47" t="s">
        <v>880</v>
      </c>
      <c r="F1083" s="53">
        <v>21778.74</v>
      </c>
      <c r="G1083" s="47" t="s">
        <v>16</v>
      </c>
      <c r="H1083" s="47" t="s">
        <v>2291</v>
      </c>
      <c r="I1083" s="46" t="s">
        <v>511</v>
      </c>
      <c r="J1083" s="47" t="s">
        <v>837</v>
      </c>
      <c r="K1083" s="47" t="s">
        <v>837</v>
      </c>
      <c r="L1083" s="47" t="s">
        <v>552</v>
      </c>
      <c r="M1083" s="47" t="s">
        <v>514</v>
      </c>
      <c r="N1083" s="47" t="s">
        <v>604</v>
      </c>
      <c r="O1083" s="45" t="s">
        <v>371</v>
      </c>
      <c r="P1083" s="44" t="s">
        <v>309</v>
      </c>
      <c r="Q1083" s="59" t="str">
        <f>MID(Tabla1[[#This Row],[Aplicación]],14,1)</f>
        <v>2</v>
      </c>
      <c r="R1083" s="35" t="s">
        <v>298</v>
      </c>
      <c r="S1083" s="59" t="str">
        <f>MID(Tabla1[[#This Row],[Aplicación]],6,2)</f>
        <v>06</v>
      </c>
      <c r="T1083" s="35" t="str">
        <f>VLOOKUP(Tabla1[[#This Row],[AREA]],Hoja1!A:B,2,FALSE)</f>
        <v>06. Educación, infancia, juventud e igualdad</v>
      </c>
      <c r="U1083" s="35" t="str">
        <f>MID(Tabla1[[#This Row],[Aplicación]],9,4)</f>
        <v>3231</v>
      </c>
      <c r="V1083" s="35" t="str">
        <f>VLOOKUP(Tabla1[[#This Row],[PROGRAMA]],Hoja1!A:B,2,FALSE)</f>
        <v>3231. Escuelas infantiles</v>
      </c>
      <c r="W1083" s="56" t="str">
        <f>MID(Tabla1[[#This Row],[Aplicación]],14,2)</f>
        <v>22</v>
      </c>
      <c r="X1083" s="56" t="str">
        <f>MID(Tabla1[[#This Row],[Aplicación]],14,6)</f>
        <v>22102</v>
      </c>
    </row>
    <row r="1084" spans="1:24" x14ac:dyDescent="0.25">
      <c r="A1084" s="46">
        <v>220230003921</v>
      </c>
      <c r="B1084" s="47" t="s">
        <v>507</v>
      </c>
      <c r="C1084" s="52">
        <v>44974</v>
      </c>
      <c r="D1084" s="46">
        <v>22023002323</v>
      </c>
      <c r="E1084" s="47" t="s">
        <v>880</v>
      </c>
      <c r="F1084" s="53">
        <v>31901.26</v>
      </c>
      <c r="G1084" s="47" t="s">
        <v>16</v>
      </c>
      <c r="H1084" s="47" t="s">
        <v>2291</v>
      </c>
      <c r="I1084" s="46" t="s">
        <v>511</v>
      </c>
      <c r="J1084" s="47" t="s">
        <v>837</v>
      </c>
      <c r="K1084" s="47" t="s">
        <v>837</v>
      </c>
      <c r="L1084" s="47" t="s">
        <v>552</v>
      </c>
      <c r="M1084" s="47" t="s">
        <v>514</v>
      </c>
      <c r="N1084" s="47" t="s">
        <v>604</v>
      </c>
      <c r="O1084" s="45" t="s">
        <v>371</v>
      </c>
      <c r="P1084" s="44" t="s">
        <v>309</v>
      </c>
      <c r="Q1084" s="59" t="str">
        <f>MID(Tabla1[[#This Row],[Aplicación]],14,1)</f>
        <v>2</v>
      </c>
      <c r="R1084" s="35" t="s">
        <v>298</v>
      </c>
      <c r="S1084" s="59" t="str">
        <f>MID(Tabla1[[#This Row],[Aplicación]],6,2)</f>
        <v>06</v>
      </c>
      <c r="T1084" s="35" t="str">
        <f>VLOOKUP(Tabla1[[#This Row],[AREA]],Hoja1!A:B,2,FALSE)</f>
        <v>06. Educación, infancia, juventud e igualdad</v>
      </c>
      <c r="U1084" s="35" t="str">
        <f>MID(Tabla1[[#This Row],[Aplicación]],9,4)</f>
        <v>3231</v>
      </c>
      <c r="V1084" s="35" t="str">
        <f>VLOOKUP(Tabla1[[#This Row],[PROGRAMA]],Hoja1!A:B,2,FALSE)</f>
        <v>3231. Escuelas infantiles</v>
      </c>
      <c r="W1084" s="56" t="str">
        <f>MID(Tabla1[[#This Row],[Aplicación]],14,2)</f>
        <v>22</v>
      </c>
      <c r="X1084" s="56" t="str">
        <f>MID(Tabla1[[#This Row],[Aplicación]],14,6)</f>
        <v>22102</v>
      </c>
    </row>
    <row r="1085" spans="1:24" x14ac:dyDescent="0.25">
      <c r="A1085" s="55">
        <v>220220023165</v>
      </c>
      <c r="B1085" s="47" t="s">
        <v>507</v>
      </c>
      <c r="C1085" s="52">
        <v>45014</v>
      </c>
      <c r="D1085" s="46">
        <v>22022002956</v>
      </c>
      <c r="E1085" s="47" t="s">
        <v>741</v>
      </c>
      <c r="F1085" s="53">
        <v>11.9</v>
      </c>
      <c r="G1085" s="47" t="s">
        <v>67</v>
      </c>
      <c r="H1085" s="47" t="s">
        <v>2292</v>
      </c>
      <c r="I1085" s="46" t="s">
        <v>511</v>
      </c>
      <c r="J1085" s="47" t="s">
        <v>953</v>
      </c>
      <c r="K1085" s="47" t="s">
        <v>519</v>
      </c>
      <c r="L1085" s="47" t="s">
        <v>520</v>
      </c>
      <c r="M1085" s="47" t="s">
        <v>514</v>
      </c>
      <c r="N1085" s="47" t="s">
        <v>515</v>
      </c>
      <c r="O1085" s="54" t="s">
        <v>382</v>
      </c>
      <c r="P1085" s="44" t="s">
        <v>309</v>
      </c>
      <c r="Q1085" s="59" t="str">
        <f>MID(Tabla1[[#This Row],[Aplicación]],14,1)</f>
        <v>6</v>
      </c>
      <c r="R1085" s="35" t="s">
        <v>299</v>
      </c>
      <c r="S1085" s="59" t="str">
        <f>MID(Tabla1[[#This Row],[Aplicación]],6,2)</f>
        <v>07</v>
      </c>
      <c r="T1085" s="35" t="str">
        <f>VLOOKUP(Tabla1[[#This Row],[AREA]],Hoja1!A:B,2,FALSE)</f>
        <v>07. Medio ambiente y desarrollo sostenible</v>
      </c>
      <c r="U1085" s="35" t="str">
        <f>MID(Tabla1[[#This Row],[Aplicación]],9,4)</f>
        <v>1711</v>
      </c>
      <c r="V1085" s="35" t="str">
        <f>VLOOKUP(Tabla1[[#This Row],[PROGRAMA]],Hoja1!A:B,2,FALSE)</f>
        <v>1711. Parques y jardines</v>
      </c>
      <c r="W1085" s="56" t="str">
        <f>MID(Tabla1[[#This Row],[Aplicación]],14,2)</f>
        <v>61</v>
      </c>
      <c r="X1085" s="56" t="str">
        <f>MID(Tabla1[[#This Row],[Aplicación]],14,6)</f>
        <v>619</v>
      </c>
    </row>
    <row r="1086" spans="1:24" x14ac:dyDescent="0.25">
      <c r="A1086" s="46">
        <v>220230003646</v>
      </c>
      <c r="B1086" s="47" t="s">
        <v>507</v>
      </c>
      <c r="C1086" s="52">
        <v>44973</v>
      </c>
      <c r="D1086" s="46">
        <v>22023000129</v>
      </c>
      <c r="E1086" s="47" t="s">
        <v>2098</v>
      </c>
      <c r="F1086" s="53">
        <v>1332.95</v>
      </c>
      <c r="G1086" s="47" t="s">
        <v>2099</v>
      </c>
      <c r="H1086" s="47" t="s">
        <v>2293</v>
      </c>
      <c r="I1086" s="46" t="s">
        <v>511</v>
      </c>
      <c r="J1086" s="47" t="s">
        <v>512</v>
      </c>
      <c r="K1086" s="47" t="s">
        <v>512</v>
      </c>
      <c r="L1086" s="47" t="s">
        <v>520</v>
      </c>
      <c r="M1086" s="47" t="s">
        <v>514</v>
      </c>
      <c r="N1086" s="47" t="s">
        <v>515</v>
      </c>
      <c r="O1086" s="45" t="s">
        <v>371</v>
      </c>
      <c r="P1086" s="44" t="s">
        <v>309</v>
      </c>
      <c r="Q1086" s="59" t="str">
        <f>MID(Tabla1[[#This Row],[Aplicación]],14,1)</f>
        <v>2</v>
      </c>
      <c r="R1086" s="35" t="s">
        <v>298</v>
      </c>
      <c r="S1086" s="59" t="str">
        <f>MID(Tabla1[[#This Row],[Aplicación]],6,2)</f>
        <v>10</v>
      </c>
      <c r="T1086" s="35" t="str">
        <f>VLOOKUP(Tabla1[[#This Row],[AREA]],Hoja1!A:B,2,FALSE)</f>
        <v>10. Servicios sociales y mediación comunitaria</v>
      </c>
      <c r="U1086" s="35" t="str">
        <f>MID(Tabla1[[#This Row],[Aplicación]],9,4)</f>
        <v>2312</v>
      </c>
      <c r="V1086" s="35" t="str">
        <f>VLOOKUP(Tabla1[[#This Row],[PROGRAMA]],Hoja1!A:B,2,FALSE)</f>
        <v>2312. Iniciativas sociales</v>
      </c>
      <c r="W1086" s="56" t="str">
        <f>MID(Tabla1[[#This Row],[Aplicación]],14,2)</f>
        <v>21</v>
      </c>
      <c r="X1086" s="56" t="str">
        <f>MID(Tabla1[[#This Row],[Aplicación]],14,6)</f>
        <v>216</v>
      </c>
    </row>
    <row r="1087" spans="1:24" x14ac:dyDescent="0.25">
      <c r="A1087" s="46">
        <v>220230003645</v>
      </c>
      <c r="B1087" s="47" t="s">
        <v>507</v>
      </c>
      <c r="C1087" s="52">
        <v>44973</v>
      </c>
      <c r="D1087" s="46">
        <v>22023000128</v>
      </c>
      <c r="E1087" s="47" t="s">
        <v>2098</v>
      </c>
      <c r="F1087" s="53">
        <v>5331.95</v>
      </c>
      <c r="G1087" s="47" t="s">
        <v>2099</v>
      </c>
      <c r="H1087" s="47" t="s">
        <v>2294</v>
      </c>
      <c r="I1087" s="46" t="s">
        <v>511</v>
      </c>
      <c r="J1087" s="47" t="s">
        <v>512</v>
      </c>
      <c r="K1087" s="47" t="s">
        <v>512</v>
      </c>
      <c r="L1087" s="47" t="s">
        <v>520</v>
      </c>
      <c r="M1087" s="47" t="s">
        <v>514</v>
      </c>
      <c r="N1087" s="47" t="s">
        <v>515</v>
      </c>
      <c r="O1087" s="45" t="s">
        <v>371</v>
      </c>
      <c r="P1087" s="44" t="s">
        <v>309</v>
      </c>
      <c r="Q1087" s="59" t="str">
        <f>MID(Tabla1[[#This Row],[Aplicación]],14,1)</f>
        <v>2</v>
      </c>
      <c r="R1087" s="35" t="s">
        <v>298</v>
      </c>
      <c r="S1087" s="59" t="str">
        <f>MID(Tabla1[[#This Row],[Aplicación]],6,2)</f>
        <v>10</v>
      </c>
      <c r="T1087" s="35" t="str">
        <f>VLOOKUP(Tabla1[[#This Row],[AREA]],Hoja1!A:B,2,FALSE)</f>
        <v>10. Servicios sociales y mediación comunitaria</v>
      </c>
      <c r="U1087" s="35" t="str">
        <f>MID(Tabla1[[#This Row],[Aplicación]],9,4)</f>
        <v>2312</v>
      </c>
      <c r="V1087" s="35" t="str">
        <f>VLOOKUP(Tabla1[[#This Row],[PROGRAMA]],Hoja1!A:B,2,FALSE)</f>
        <v>2312. Iniciativas sociales</v>
      </c>
      <c r="W1087" s="56" t="str">
        <f>MID(Tabla1[[#This Row],[Aplicación]],14,2)</f>
        <v>21</v>
      </c>
      <c r="X1087" s="56" t="str">
        <f>MID(Tabla1[[#This Row],[Aplicación]],14,6)</f>
        <v>216</v>
      </c>
    </row>
    <row r="1088" spans="1:24" x14ac:dyDescent="0.25">
      <c r="A1088" s="46">
        <v>220230003784</v>
      </c>
      <c r="B1088" s="47" t="s">
        <v>507</v>
      </c>
      <c r="C1088" s="52">
        <v>44974</v>
      </c>
      <c r="D1088" s="46">
        <v>22023002407</v>
      </c>
      <c r="E1088" s="47" t="s">
        <v>1752</v>
      </c>
      <c r="F1088" s="53">
        <v>2032.8</v>
      </c>
      <c r="G1088" s="47" t="s">
        <v>70</v>
      </c>
      <c r="H1088" s="47" t="s">
        <v>2295</v>
      </c>
      <c r="I1088" s="46" t="s">
        <v>511</v>
      </c>
      <c r="J1088" s="47" t="s">
        <v>519</v>
      </c>
      <c r="K1088" s="47" t="s">
        <v>519</v>
      </c>
      <c r="L1088" s="47" t="s">
        <v>552</v>
      </c>
      <c r="M1088" s="47" t="s">
        <v>976</v>
      </c>
      <c r="N1088" s="47" t="s">
        <v>839</v>
      </c>
      <c r="O1088" s="45" t="s">
        <v>383</v>
      </c>
      <c r="P1088" s="44" t="s">
        <v>309</v>
      </c>
      <c r="Q1088" s="59" t="str">
        <f>MID(Tabla1[[#This Row],[Aplicación]],14,1)</f>
        <v>2</v>
      </c>
      <c r="R1088" s="35" t="s">
        <v>298</v>
      </c>
      <c r="S1088" s="59" t="str">
        <f>MID(Tabla1[[#This Row],[Aplicación]],6,2)</f>
        <v>10</v>
      </c>
      <c r="T1088" s="35" t="str">
        <f>VLOOKUP(Tabla1[[#This Row],[AREA]],Hoja1!A:B,2,FALSE)</f>
        <v>10. Servicios sociales y mediación comunitaria</v>
      </c>
      <c r="U1088" s="35" t="str">
        <f>MID(Tabla1[[#This Row],[Aplicación]],9,4)</f>
        <v>2312</v>
      </c>
      <c r="V1088" s="35" t="str">
        <f>VLOOKUP(Tabla1[[#This Row],[PROGRAMA]],Hoja1!A:B,2,FALSE)</f>
        <v>2312. Iniciativas sociales</v>
      </c>
      <c r="W1088" s="56" t="str">
        <f>MID(Tabla1[[#This Row],[Aplicación]],14,2)</f>
        <v>22</v>
      </c>
      <c r="X1088" s="56" t="str">
        <f>MID(Tabla1[[#This Row],[Aplicación]],14,6)</f>
        <v>22199</v>
      </c>
    </row>
    <row r="1089" spans="1:24" x14ac:dyDescent="0.25">
      <c r="A1089" s="46">
        <v>220230003784</v>
      </c>
      <c r="B1089" s="47" t="s">
        <v>507</v>
      </c>
      <c r="C1089" s="52">
        <v>44974</v>
      </c>
      <c r="D1089" s="46">
        <v>22023002408</v>
      </c>
      <c r="E1089" s="47" t="s">
        <v>1752</v>
      </c>
      <c r="F1089" s="53">
        <v>2032.8</v>
      </c>
      <c r="G1089" s="47" t="s">
        <v>70</v>
      </c>
      <c r="H1089" s="47" t="s">
        <v>2295</v>
      </c>
      <c r="I1089" s="46" t="s">
        <v>511</v>
      </c>
      <c r="J1089" s="47" t="s">
        <v>519</v>
      </c>
      <c r="K1089" s="47" t="s">
        <v>519</v>
      </c>
      <c r="L1089" s="47" t="s">
        <v>552</v>
      </c>
      <c r="M1089" s="47" t="s">
        <v>976</v>
      </c>
      <c r="N1089" s="47" t="s">
        <v>839</v>
      </c>
      <c r="O1089" s="45" t="s">
        <v>383</v>
      </c>
      <c r="P1089" s="44" t="s">
        <v>309</v>
      </c>
      <c r="Q1089" s="59" t="str">
        <f>MID(Tabla1[[#This Row],[Aplicación]],14,1)</f>
        <v>2</v>
      </c>
      <c r="R1089" s="35" t="s">
        <v>298</v>
      </c>
      <c r="S1089" s="59" t="str">
        <f>MID(Tabla1[[#This Row],[Aplicación]],6,2)</f>
        <v>10</v>
      </c>
      <c r="T1089" s="35" t="str">
        <f>VLOOKUP(Tabla1[[#This Row],[AREA]],Hoja1!A:B,2,FALSE)</f>
        <v>10. Servicios sociales y mediación comunitaria</v>
      </c>
      <c r="U1089" s="35" t="str">
        <f>MID(Tabla1[[#This Row],[Aplicación]],9,4)</f>
        <v>2312</v>
      </c>
      <c r="V1089" s="35" t="str">
        <f>VLOOKUP(Tabla1[[#This Row],[PROGRAMA]],Hoja1!A:B,2,FALSE)</f>
        <v>2312. Iniciativas sociales</v>
      </c>
      <c r="W1089" s="56" t="str">
        <f>MID(Tabla1[[#This Row],[Aplicación]],14,2)</f>
        <v>22</v>
      </c>
      <c r="X1089" s="56" t="str">
        <f>MID(Tabla1[[#This Row],[Aplicación]],14,6)</f>
        <v>22199</v>
      </c>
    </row>
    <row r="1090" spans="1:24" x14ac:dyDescent="0.25">
      <c r="A1090" s="46">
        <v>220230004039</v>
      </c>
      <c r="B1090" s="47" t="s">
        <v>1514</v>
      </c>
      <c r="C1090" s="52">
        <v>44974</v>
      </c>
      <c r="D1090" s="46">
        <v>22023001578</v>
      </c>
      <c r="E1090" s="47" t="s">
        <v>2275</v>
      </c>
      <c r="F1090" s="53">
        <v>199.42</v>
      </c>
      <c r="G1090" s="47" t="s">
        <v>70</v>
      </c>
      <c r="H1090" s="47" t="s">
        <v>2296</v>
      </c>
      <c r="I1090" s="46" t="s">
        <v>1517</v>
      </c>
      <c r="J1090" s="47" t="s">
        <v>519</v>
      </c>
      <c r="K1090" s="47" t="s">
        <v>519</v>
      </c>
      <c r="L1090" s="47" t="s">
        <v>552</v>
      </c>
      <c r="M1090" s="47" t="s">
        <v>514</v>
      </c>
      <c r="N1090" s="47" t="s">
        <v>515</v>
      </c>
      <c r="O1090" s="45" t="s">
        <v>382</v>
      </c>
      <c r="P1090" s="44" t="s">
        <v>309</v>
      </c>
      <c r="Q1090" s="59" t="str">
        <f>MID(Tabla1[[#This Row],[Aplicación]],14,1)</f>
        <v>2</v>
      </c>
      <c r="R1090" s="35" t="s">
        <v>298</v>
      </c>
      <c r="S1090" s="59" t="str">
        <f>MID(Tabla1[[#This Row],[Aplicación]],6,2)</f>
        <v>11</v>
      </c>
      <c r="T1090" s="35" t="str">
        <f>VLOOKUP(Tabla1[[#This Row],[AREA]],Hoja1!A:B,2,FALSE)</f>
        <v>11. Salud pública y seguridad ciudadana</v>
      </c>
      <c r="U1090" s="35" t="str">
        <f>MID(Tabla1[[#This Row],[Aplicación]],9,4)</f>
        <v>3111</v>
      </c>
      <c r="V1090" s="35" t="str">
        <f>VLOOKUP(Tabla1[[#This Row],[PROGRAMA]],Hoja1!A:B,2,FALSE)</f>
        <v>3111. Protección de la salubridad pública</v>
      </c>
      <c r="W1090" s="56" t="str">
        <f>MID(Tabla1[[#This Row],[Aplicación]],14,2)</f>
        <v>22</v>
      </c>
      <c r="X1090" s="56" t="str">
        <f>MID(Tabla1[[#This Row],[Aplicación]],14,6)</f>
        <v>22199</v>
      </c>
    </row>
    <row r="1091" spans="1:24" x14ac:dyDescent="0.25">
      <c r="A1091" s="46">
        <v>220230004013</v>
      </c>
      <c r="B1091" s="47" t="s">
        <v>1514</v>
      </c>
      <c r="C1091" s="52">
        <v>44974</v>
      </c>
      <c r="D1091" s="46">
        <v>22023001513</v>
      </c>
      <c r="E1091" s="47" t="s">
        <v>2019</v>
      </c>
      <c r="F1091" s="53">
        <v>51.2</v>
      </c>
      <c r="G1091" s="47" t="s">
        <v>2297</v>
      </c>
      <c r="H1091" s="47" t="s">
        <v>2298</v>
      </c>
      <c r="I1091" s="46" t="s">
        <v>1517</v>
      </c>
      <c r="J1091" s="47" t="s">
        <v>2299</v>
      </c>
      <c r="K1091" s="47" t="s">
        <v>519</v>
      </c>
      <c r="L1091" s="47" t="s">
        <v>520</v>
      </c>
      <c r="M1091" s="47" t="s">
        <v>514</v>
      </c>
      <c r="N1091" s="47" t="s">
        <v>515</v>
      </c>
      <c r="O1091" s="45" t="s">
        <v>382</v>
      </c>
      <c r="P1091" s="44" t="s">
        <v>309</v>
      </c>
      <c r="Q1091" s="59" t="str">
        <f>MID(Tabla1[[#This Row],[Aplicación]],14,1)</f>
        <v>2</v>
      </c>
      <c r="R1091" s="35" t="s">
        <v>298</v>
      </c>
      <c r="S1091" s="59" t="str">
        <f>MID(Tabla1[[#This Row],[Aplicación]],6,2)</f>
        <v>11</v>
      </c>
      <c r="T1091" s="35" t="str">
        <f>VLOOKUP(Tabla1[[#This Row],[AREA]],Hoja1!A:B,2,FALSE)</f>
        <v>11. Salud pública y seguridad ciudadana</v>
      </c>
      <c r="U1091" s="35" t="str">
        <f>MID(Tabla1[[#This Row],[Aplicación]],9,4)</f>
        <v>1361</v>
      </c>
      <c r="V1091" s="35" t="str">
        <f>VLOOKUP(Tabla1[[#This Row],[PROGRAMA]],Hoja1!A:B,2,FALSE)</f>
        <v>1361. Prevención y extinción de incencios</v>
      </c>
      <c r="W1091" s="56" t="str">
        <f>MID(Tabla1[[#This Row],[Aplicación]],14,2)</f>
        <v>21</v>
      </c>
      <c r="X1091" s="56" t="str">
        <f>MID(Tabla1[[#This Row],[Aplicación]],14,6)</f>
        <v>214</v>
      </c>
    </row>
    <row r="1092" spans="1:24" x14ac:dyDescent="0.25">
      <c r="A1092" s="46">
        <v>220230004033</v>
      </c>
      <c r="B1092" s="47" t="s">
        <v>1514</v>
      </c>
      <c r="C1092" s="52">
        <v>44974</v>
      </c>
      <c r="D1092" s="46">
        <v>22023001578</v>
      </c>
      <c r="E1092" s="47" t="s">
        <v>2275</v>
      </c>
      <c r="F1092" s="53">
        <v>5.12</v>
      </c>
      <c r="G1092" s="47" t="s">
        <v>1372</v>
      </c>
      <c r="H1092" s="47" t="s">
        <v>2300</v>
      </c>
      <c r="I1092" s="46" t="s">
        <v>1517</v>
      </c>
      <c r="J1092" s="47" t="s">
        <v>519</v>
      </c>
      <c r="K1092" s="47" t="s">
        <v>519</v>
      </c>
      <c r="L1092" s="47" t="s">
        <v>552</v>
      </c>
      <c r="M1092" s="47" t="s">
        <v>514</v>
      </c>
      <c r="N1092" s="47" t="s">
        <v>515</v>
      </c>
      <c r="O1092" s="45" t="s">
        <v>382</v>
      </c>
      <c r="P1092" s="44" t="s">
        <v>309</v>
      </c>
      <c r="Q1092" s="59" t="str">
        <f>MID(Tabla1[[#This Row],[Aplicación]],14,1)</f>
        <v>2</v>
      </c>
      <c r="R1092" s="35" t="s">
        <v>298</v>
      </c>
      <c r="S1092" s="59" t="str">
        <f>MID(Tabla1[[#This Row],[Aplicación]],6,2)</f>
        <v>11</v>
      </c>
      <c r="T1092" s="35" t="str">
        <f>VLOOKUP(Tabla1[[#This Row],[AREA]],Hoja1!A:B,2,FALSE)</f>
        <v>11. Salud pública y seguridad ciudadana</v>
      </c>
      <c r="U1092" s="35" t="str">
        <f>MID(Tabla1[[#This Row],[Aplicación]],9,4)</f>
        <v>3111</v>
      </c>
      <c r="V1092" s="35" t="str">
        <f>VLOOKUP(Tabla1[[#This Row],[PROGRAMA]],Hoja1!A:B,2,FALSE)</f>
        <v>3111. Protección de la salubridad pública</v>
      </c>
      <c r="W1092" s="56" t="str">
        <f>MID(Tabla1[[#This Row],[Aplicación]],14,2)</f>
        <v>22</v>
      </c>
      <c r="X1092" s="56" t="str">
        <f>MID(Tabla1[[#This Row],[Aplicación]],14,6)</f>
        <v>22199</v>
      </c>
    </row>
    <row r="1093" spans="1:24" x14ac:dyDescent="0.25">
      <c r="A1093" s="46">
        <v>220230004043</v>
      </c>
      <c r="B1093" s="47" t="s">
        <v>1514</v>
      </c>
      <c r="C1093" s="52">
        <v>44974</v>
      </c>
      <c r="D1093" s="46">
        <v>22023001578</v>
      </c>
      <c r="E1093" s="47" t="s">
        <v>2275</v>
      </c>
      <c r="F1093" s="53">
        <v>4.0199999999999996</v>
      </c>
      <c r="G1093" s="47" t="s">
        <v>1372</v>
      </c>
      <c r="H1093" s="47" t="s">
        <v>2301</v>
      </c>
      <c r="I1093" s="46" t="s">
        <v>1517</v>
      </c>
      <c r="J1093" s="47" t="s">
        <v>519</v>
      </c>
      <c r="K1093" s="47" t="s">
        <v>519</v>
      </c>
      <c r="L1093" s="47" t="s">
        <v>552</v>
      </c>
      <c r="M1093" s="47" t="s">
        <v>514</v>
      </c>
      <c r="N1093" s="47" t="s">
        <v>515</v>
      </c>
      <c r="O1093" s="45" t="s">
        <v>382</v>
      </c>
      <c r="P1093" s="44" t="s">
        <v>309</v>
      </c>
      <c r="Q1093" s="59" t="str">
        <f>MID(Tabla1[[#This Row],[Aplicación]],14,1)</f>
        <v>2</v>
      </c>
      <c r="R1093" s="35" t="s">
        <v>298</v>
      </c>
      <c r="S1093" s="59" t="str">
        <f>MID(Tabla1[[#This Row],[Aplicación]],6,2)</f>
        <v>11</v>
      </c>
      <c r="T1093" s="35" t="str">
        <f>VLOOKUP(Tabla1[[#This Row],[AREA]],Hoja1!A:B,2,FALSE)</f>
        <v>11. Salud pública y seguridad ciudadana</v>
      </c>
      <c r="U1093" s="35" t="str">
        <f>MID(Tabla1[[#This Row],[Aplicación]],9,4)</f>
        <v>3111</v>
      </c>
      <c r="V1093" s="35" t="str">
        <f>VLOOKUP(Tabla1[[#This Row],[PROGRAMA]],Hoja1!A:B,2,FALSE)</f>
        <v>3111. Protección de la salubridad pública</v>
      </c>
      <c r="W1093" s="56" t="str">
        <f>MID(Tabla1[[#This Row],[Aplicación]],14,2)</f>
        <v>22</v>
      </c>
      <c r="X1093" s="56" t="str">
        <f>MID(Tabla1[[#This Row],[Aplicación]],14,6)</f>
        <v>22199</v>
      </c>
    </row>
    <row r="1094" spans="1:24" x14ac:dyDescent="0.25">
      <c r="A1094" s="46">
        <v>220230004005</v>
      </c>
      <c r="B1094" s="47" t="s">
        <v>1514</v>
      </c>
      <c r="C1094" s="52">
        <v>44974</v>
      </c>
      <c r="D1094" s="46">
        <v>22023001514</v>
      </c>
      <c r="E1094" s="47" t="s">
        <v>1285</v>
      </c>
      <c r="F1094" s="53">
        <v>121.97</v>
      </c>
      <c r="G1094" s="47" t="s">
        <v>1351</v>
      </c>
      <c r="H1094" s="47" t="s">
        <v>2302</v>
      </c>
      <c r="I1094" s="46" t="s">
        <v>1517</v>
      </c>
      <c r="J1094" s="47" t="s">
        <v>519</v>
      </c>
      <c r="K1094" s="47" t="s">
        <v>519</v>
      </c>
      <c r="L1094" s="47" t="s">
        <v>552</v>
      </c>
      <c r="M1094" s="47" t="s">
        <v>514</v>
      </c>
      <c r="N1094" s="47" t="s">
        <v>515</v>
      </c>
      <c r="O1094" s="45" t="s">
        <v>382</v>
      </c>
      <c r="P1094" s="44" t="s">
        <v>309</v>
      </c>
      <c r="Q1094" s="59" t="str">
        <f>MID(Tabla1[[#This Row],[Aplicación]],14,1)</f>
        <v>2</v>
      </c>
      <c r="R1094" s="35" t="s">
        <v>298</v>
      </c>
      <c r="S1094" s="59" t="str">
        <f>MID(Tabla1[[#This Row],[Aplicación]],6,2)</f>
        <v>11</v>
      </c>
      <c r="T1094" s="35" t="str">
        <f>VLOOKUP(Tabla1[[#This Row],[AREA]],Hoja1!A:B,2,FALSE)</f>
        <v>11. Salud pública y seguridad ciudadana</v>
      </c>
      <c r="U1094" s="35" t="str">
        <f>MID(Tabla1[[#This Row],[Aplicación]],9,4)</f>
        <v>1361</v>
      </c>
      <c r="V1094" s="35" t="str">
        <f>VLOOKUP(Tabla1[[#This Row],[PROGRAMA]],Hoja1!A:B,2,FALSE)</f>
        <v>1361. Prevención y extinción de incencios</v>
      </c>
      <c r="W1094" s="56" t="str">
        <f>MID(Tabla1[[#This Row],[Aplicación]],14,2)</f>
        <v>22</v>
      </c>
      <c r="X1094" s="56" t="str">
        <f>MID(Tabla1[[#This Row],[Aplicación]],14,6)</f>
        <v>22199</v>
      </c>
    </row>
    <row r="1095" spans="1:24" x14ac:dyDescent="0.25">
      <c r="A1095" s="46">
        <v>220230003904</v>
      </c>
      <c r="B1095" s="47" t="s">
        <v>1337</v>
      </c>
      <c r="C1095" s="52">
        <v>44974</v>
      </c>
      <c r="D1095" s="46">
        <v>22023000913</v>
      </c>
      <c r="E1095" s="47" t="s">
        <v>578</v>
      </c>
      <c r="F1095" s="53">
        <v>-185040</v>
      </c>
      <c r="G1095" s="47" t="s">
        <v>581</v>
      </c>
      <c r="H1095" s="47" t="s">
        <v>2303</v>
      </c>
      <c r="I1095" s="46" t="s">
        <v>511</v>
      </c>
      <c r="J1095" s="47" t="s">
        <v>519</v>
      </c>
      <c r="K1095" s="47" t="s">
        <v>519</v>
      </c>
      <c r="L1095" s="47" t="s">
        <v>520</v>
      </c>
      <c r="M1095" s="47" t="s">
        <v>514</v>
      </c>
      <c r="N1095" s="47" t="s">
        <v>515</v>
      </c>
      <c r="O1095" s="54" t="s">
        <v>371</v>
      </c>
      <c r="P1095" s="44" t="s">
        <v>309</v>
      </c>
      <c r="Q1095" s="59" t="str">
        <f>MID(Tabla1[[#This Row],[Aplicación]],14,1)</f>
        <v>2</v>
      </c>
      <c r="R1095" s="35" t="s">
        <v>298</v>
      </c>
      <c r="S1095" s="59" t="str">
        <f>MID(Tabla1[[#This Row],[Aplicación]],6,2)</f>
        <v>06</v>
      </c>
      <c r="T1095" s="35" t="str">
        <f>VLOOKUP(Tabla1[[#This Row],[AREA]],Hoja1!A:B,2,FALSE)</f>
        <v>06. Educación, infancia, juventud e igualdad</v>
      </c>
      <c r="U1095" s="35" t="str">
        <f>MID(Tabla1[[#This Row],[Aplicación]],9,4)</f>
        <v>3231</v>
      </c>
      <c r="V1095" s="35" t="str">
        <f>VLOOKUP(Tabla1[[#This Row],[PROGRAMA]],Hoja1!A:B,2,FALSE)</f>
        <v>3231. Escuelas infantiles</v>
      </c>
      <c r="W1095" s="56" t="str">
        <f>MID(Tabla1[[#This Row],[Aplicación]],14,2)</f>
        <v>22</v>
      </c>
      <c r="X1095" s="56" t="str">
        <f>MID(Tabla1[[#This Row],[Aplicación]],14,6)</f>
        <v>22799</v>
      </c>
    </row>
    <row r="1096" spans="1:24" x14ac:dyDescent="0.25">
      <c r="A1096" s="46">
        <v>220230003910</v>
      </c>
      <c r="B1096" s="47" t="s">
        <v>1337</v>
      </c>
      <c r="C1096" s="52">
        <v>44974</v>
      </c>
      <c r="D1096" s="46">
        <v>22023000915</v>
      </c>
      <c r="E1096" s="47" t="s">
        <v>578</v>
      </c>
      <c r="F1096" s="53">
        <v>-524840</v>
      </c>
      <c r="G1096" s="47" t="s">
        <v>581</v>
      </c>
      <c r="H1096" s="47" t="s">
        <v>2304</v>
      </c>
      <c r="I1096" s="46" t="s">
        <v>511</v>
      </c>
      <c r="J1096" s="47" t="s">
        <v>519</v>
      </c>
      <c r="K1096" s="47" t="s">
        <v>519</v>
      </c>
      <c r="L1096" s="47" t="s">
        <v>520</v>
      </c>
      <c r="M1096" s="47" t="s">
        <v>514</v>
      </c>
      <c r="N1096" s="47" t="s">
        <v>515</v>
      </c>
      <c r="O1096" s="54" t="s">
        <v>371</v>
      </c>
      <c r="P1096" s="44" t="s">
        <v>309</v>
      </c>
      <c r="Q1096" s="59" t="str">
        <f>MID(Tabla1[[#This Row],[Aplicación]],14,1)</f>
        <v>2</v>
      </c>
      <c r="R1096" s="35" t="s">
        <v>298</v>
      </c>
      <c r="S1096" s="59" t="str">
        <f>MID(Tabla1[[#This Row],[Aplicación]],6,2)</f>
        <v>06</v>
      </c>
      <c r="T1096" s="35" t="str">
        <f>VLOOKUP(Tabla1[[#This Row],[AREA]],Hoja1!A:B,2,FALSE)</f>
        <v>06. Educación, infancia, juventud e igualdad</v>
      </c>
      <c r="U1096" s="35" t="str">
        <f>MID(Tabla1[[#This Row],[Aplicación]],9,4)</f>
        <v>3231</v>
      </c>
      <c r="V1096" s="35" t="str">
        <f>VLOOKUP(Tabla1[[#This Row],[PROGRAMA]],Hoja1!A:B,2,FALSE)</f>
        <v>3231. Escuelas infantiles</v>
      </c>
      <c r="W1096" s="56" t="str">
        <f>MID(Tabla1[[#This Row],[Aplicación]],14,2)</f>
        <v>22</v>
      </c>
      <c r="X1096" s="56" t="str">
        <f>MID(Tabla1[[#This Row],[Aplicación]],14,6)</f>
        <v>22799</v>
      </c>
    </row>
    <row r="1097" spans="1:24" x14ac:dyDescent="0.25">
      <c r="A1097" s="46">
        <v>220229000639</v>
      </c>
      <c r="B1097" s="47" t="s">
        <v>507</v>
      </c>
      <c r="C1097" s="52">
        <v>44927</v>
      </c>
      <c r="D1097" s="46">
        <v>22023000471</v>
      </c>
      <c r="E1097" s="47" t="s">
        <v>1187</v>
      </c>
      <c r="F1097" s="53">
        <v>20479.25</v>
      </c>
      <c r="G1097" s="47" t="s">
        <v>2305</v>
      </c>
      <c r="H1097" s="47" t="s">
        <v>2306</v>
      </c>
      <c r="I1097" s="46" t="s">
        <v>511</v>
      </c>
      <c r="J1097" s="47" t="s">
        <v>2307</v>
      </c>
      <c r="K1097" s="47" t="s">
        <v>565</v>
      </c>
      <c r="L1097" s="47" t="s">
        <v>520</v>
      </c>
      <c r="M1097" s="47" t="s">
        <v>514</v>
      </c>
      <c r="N1097" s="47" t="s">
        <v>515</v>
      </c>
      <c r="O1097" s="45" t="s">
        <v>371</v>
      </c>
      <c r="P1097" s="44" t="s">
        <v>309</v>
      </c>
      <c r="Q1097" s="59" t="str">
        <f>MID(Tabla1[[#This Row],[Aplicación]],14,1)</f>
        <v>2</v>
      </c>
      <c r="R1097" s="35" t="s">
        <v>298</v>
      </c>
      <c r="S1097" s="59" t="str">
        <f>MID(Tabla1[[#This Row],[Aplicación]],6,2)</f>
        <v>01</v>
      </c>
      <c r="T1097" s="35" t="str">
        <f>VLOOKUP(Tabla1[[#This Row],[AREA]],Hoja1!A:B,2,FALSE)</f>
        <v>01. Alcaldía</v>
      </c>
      <c r="U1097" s="35" t="str">
        <f>MID(Tabla1[[#This Row],[Aplicación]],9,4)</f>
        <v>9312</v>
      </c>
      <c r="V1097" s="35" t="str">
        <f>VLOOKUP(Tabla1[[#This Row],[PROGRAMA]],Hoja1!A:B,2,FALSE)</f>
        <v>9312. Intervención general</v>
      </c>
      <c r="W1097" s="56" t="str">
        <f>MID(Tabla1[[#This Row],[Aplicación]],14,2)</f>
        <v>22</v>
      </c>
      <c r="X1097" s="56" t="str">
        <f>MID(Tabla1[[#This Row],[Aplicación]],14,6)</f>
        <v>22706</v>
      </c>
    </row>
    <row r="1098" spans="1:24" x14ac:dyDescent="0.25">
      <c r="A1098" s="46">
        <v>220230003990</v>
      </c>
      <c r="B1098" s="47" t="s">
        <v>1514</v>
      </c>
      <c r="C1098" s="52">
        <v>44974</v>
      </c>
      <c r="D1098" s="46">
        <v>22023001130</v>
      </c>
      <c r="E1098" s="47" t="s">
        <v>1072</v>
      </c>
      <c r="F1098" s="53">
        <v>108.89</v>
      </c>
      <c r="G1098" s="47" t="s">
        <v>2115</v>
      </c>
      <c r="H1098" s="47" t="s">
        <v>2308</v>
      </c>
      <c r="I1098" s="46" t="s">
        <v>1517</v>
      </c>
      <c r="J1098" s="47" t="s">
        <v>519</v>
      </c>
      <c r="K1098" s="47" t="s">
        <v>519</v>
      </c>
      <c r="L1098" s="47" t="s">
        <v>520</v>
      </c>
      <c r="M1098" s="47" t="s">
        <v>514</v>
      </c>
      <c r="N1098" s="47" t="s">
        <v>515</v>
      </c>
      <c r="O1098" s="45" t="s">
        <v>382</v>
      </c>
      <c r="P1098" s="44" t="s">
        <v>309</v>
      </c>
      <c r="Q1098" s="59" t="str">
        <f>MID(Tabla1[[#This Row],[Aplicación]],14,1)</f>
        <v>2</v>
      </c>
      <c r="R1098" s="35" t="s">
        <v>298</v>
      </c>
      <c r="S1098" s="59" t="str">
        <f>MID(Tabla1[[#This Row],[Aplicación]],6,2)</f>
        <v>07</v>
      </c>
      <c r="T1098" s="35" t="str">
        <f>VLOOKUP(Tabla1[[#This Row],[AREA]],Hoja1!A:B,2,FALSE)</f>
        <v>07. Medio ambiente y desarrollo sostenible</v>
      </c>
      <c r="U1098" s="35" t="str">
        <f>MID(Tabla1[[#This Row],[Aplicación]],9,4)</f>
        <v>1721</v>
      </c>
      <c r="V1098" s="35" t="str">
        <f>VLOOKUP(Tabla1[[#This Row],[PROGRAMA]],Hoja1!A:B,2,FALSE)</f>
        <v>1721. Protección del medio ambiente</v>
      </c>
      <c r="W1098" s="56" t="str">
        <f>MID(Tabla1[[#This Row],[Aplicación]],14,2)</f>
        <v>22</v>
      </c>
      <c r="X1098" s="56" t="str">
        <f>MID(Tabla1[[#This Row],[Aplicación]],14,6)</f>
        <v>22199</v>
      </c>
    </row>
    <row r="1099" spans="1:24" x14ac:dyDescent="0.25">
      <c r="A1099" s="46">
        <v>220229000825</v>
      </c>
      <c r="B1099" s="47" t="s">
        <v>507</v>
      </c>
      <c r="C1099" s="52">
        <v>44927</v>
      </c>
      <c r="D1099" s="46">
        <v>22023001891</v>
      </c>
      <c r="E1099" s="47" t="s">
        <v>1479</v>
      </c>
      <c r="F1099" s="53">
        <v>14000</v>
      </c>
      <c r="G1099" s="47" t="s">
        <v>466</v>
      </c>
      <c r="H1099" s="47" t="s">
        <v>2309</v>
      </c>
      <c r="I1099" s="46" t="s">
        <v>511</v>
      </c>
      <c r="J1099" s="47" t="s">
        <v>519</v>
      </c>
      <c r="K1099" s="47" t="s">
        <v>519</v>
      </c>
      <c r="L1099" s="47" t="s">
        <v>520</v>
      </c>
      <c r="M1099" s="47" t="s">
        <v>976</v>
      </c>
      <c r="N1099" s="47" t="s">
        <v>839</v>
      </c>
      <c r="O1099" s="45" t="s">
        <v>383</v>
      </c>
      <c r="P1099" s="44" t="s">
        <v>309</v>
      </c>
      <c r="Q1099" s="59" t="str">
        <f>MID(Tabla1[[#This Row],[Aplicación]],14,1)</f>
        <v>2</v>
      </c>
      <c r="R1099" s="35" t="s">
        <v>298</v>
      </c>
      <c r="S1099" s="59" t="str">
        <f>MID(Tabla1[[#This Row],[Aplicación]],6,2)</f>
        <v>03</v>
      </c>
      <c r="T1099" s="35" t="str">
        <f>VLOOKUP(Tabla1[[#This Row],[AREA]],Hoja1!A:B,2,FALSE)</f>
        <v>03. Participación ciudadana y deportes</v>
      </c>
      <c r="U1099" s="35" t="str">
        <f>MID(Tabla1[[#This Row],[Aplicación]],9,4)</f>
        <v>9241</v>
      </c>
      <c r="V1099" s="35" t="str">
        <f>VLOOKUP(Tabla1[[#This Row],[PROGRAMA]],Hoja1!A:B,2,FALSE)</f>
        <v>9241. Participación ciudadana</v>
      </c>
      <c r="W1099" s="56" t="str">
        <f>MID(Tabla1[[#This Row],[Aplicación]],14,2)</f>
        <v>22</v>
      </c>
      <c r="X1099" s="56" t="str">
        <f>MID(Tabla1[[#This Row],[Aplicación]],14,6)</f>
        <v>22609</v>
      </c>
    </row>
    <row r="1100" spans="1:24" x14ac:dyDescent="0.25">
      <c r="A1100" s="46">
        <v>220230001967</v>
      </c>
      <c r="B1100" s="47" t="s">
        <v>507</v>
      </c>
      <c r="C1100" s="52">
        <v>44960</v>
      </c>
      <c r="D1100" s="46">
        <v>22023001458</v>
      </c>
      <c r="E1100" s="47" t="s">
        <v>2310</v>
      </c>
      <c r="F1100" s="53">
        <v>38</v>
      </c>
      <c r="G1100" s="47" t="s">
        <v>506</v>
      </c>
      <c r="H1100" s="47" t="s">
        <v>2311</v>
      </c>
      <c r="I1100" s="46" t="s">
        <v>511</v>
      </c>
      <c r="J1100" s="47" t="s">
        <v>519</v>
      </c>
      <c r="K1100" s="47" t="s">
        <v>519</v>
      </c>
      <c r="L1100" s="47" t="s">
        <v>552</v>
      </c>
      <c r="M1100" s="47" t="s">
        <v>976</v>
      </c>
      <c r="N1100" s="47" t="s">
        <v>839</v>
      </c>
      <c r="O1100" s="45" t="s">
        <v>383</v>
      </c>
      <c r="P1100" s="44" t="s">
        <v>309</v>
      </c>
      <c r="Q1100" s="59" t="str">
        <f>MID(Tabla1[[#This Row],[Aplicación]],14,1)</f>
        <v>2</v>
      </c>
      <c r="R1100" s="35" t="s">
        <v>298</v>
      </c>
      <c r="S1100" s="59" t="str">
        <f>MID(Tabla1[[#This Row],[Aplicación]],6,2)</f>
        <v>11</v>
      </c>
      <c r="T1100" s="35" t="str">
        <f>VLOOKUP(Tabla1[[#This Row],[AREA]],Hoja1!A:B,2,FALSE)</f>
        <v>11. Salud pública y seguridad ciudadana</v>
      </c>
      <c r="U1100" s="35" t="str">
        <f>MID(Tabla1[[#This Row],[Aplicación]],9,4)</f>
        <v>1321</v>
      </c>
      <c r="V1100" s="35" t="str">
        <f>VLOOKUP(Tabla1[[#This Row],[PROGRAMA]],Hoja1!A:B,2,FALSE)</f>
        <v>1321. Policía municipal</v>
      </c>
      <c r="W1100" s="56" t="str">
        <f>MID(Tabla1[[#This Row],[Aplicación]],14,2)</f>
        <v>22</v>
      </c>
      <c r="X1100" s="56" t="str">
        <f>MID(Tabla1[[#This Row],[Aplicación]],14,6)</f>
        <v>22199</v>
      </c>
    </row>
    <row r="1101" spans="1:24" x14ac:dyDescent="0.25">
      <c r="A1101" s="46">
        <v>220229000676</v>
      </c>
      <c r="B1101" s="47" t="s">
        <v>507</v>
      </c>
      <c r="C1101" s="52">
        <v>44927</v>
      </c>
      <c r="D1101" s="46">
        <v>22023001279</v>
      </c>
      <c r="E1101" s="47" t="s">
        <v>1191</v>
      </c>
      <c r="F1101" s="53">
        <v>166.98</v>
      </c>
      <c r="G1101" s="47" t="s">
        <v>504</v>
      </c>
      <c r="H1101" s="47" t="s">
        <v>2312</v>
      </c>
      <c r="I1101" s="46" t="s">
        <v>511</v>
      </c>
      <c r="J1101" s="47" t="s">
        <v>519</v>
      </c>
      <c r="K1101" s="47" t="s">
        <v>519</v>
      </c>
      <c r="L1101" s="47" t="s">
        <v>520</v>
      </c>
      <c r="M1101" s="47" t="s">
        <v>976</v>
      </c>
      <c r="N1101" s="47" t="s">
        <v>839</v>
      </c>
      <c r="O1101" s="45" t="s">
        <v>383</v>
      </c>
      <c r="P1101" s="44" t="s">
        <v>309</v>
      </c>
      <c r="Q1101" s="59" t="str">
        <f>MID(Tabla1[[#This Row],[Aplicación]],14,1)</f>
        <v>2</v>
      </c>
      <c r="R1101" s="35" t="s">
        <v>298</v>
      </c>
      <c r="S1101" s="59" t="str">
        <f>MID(Tabla1[[#This Row],[Aplicación]],6,2)</f>
        <v>06</v>
      </c>
      <c r="T1101" s="35" t="str">
        <f>VLOOKUP(Tabla1[[#This Row],[AREA]],Hoja1!A:B,2,FALSE)</f>
        <v>06. Educación, infancia, juventud e igualdad</v>
      </c>
      <c r="U1101" s="35" t="str">
        <f>MID(Tabla1[[#This Row],[Aplicación]],9,4)</f>
        <v>2315</v>
      </c>
      <c r="V1101" s="35" t="str">
        <f>VLOOKUP(Tabla1[[#This Row],[PROGRAMA]],Hoja1!A:B,2,FALSE)</f>
        <v>2315. Políticas de Igualdad e infancia</v>
      </c>
      <c r="W1101" s="56" t="str">
        <f>MID(Tabla1[[#This Row],[Aplicación]],14,2)</f>
        <v>22</v>
      </c>
      <c r="X1101" s="56" t="str">
        <f>MID(Tabla1[[#This Row],[Aplicación]],14,6)</f>
        <v>22611</v>
      </c>
    </row>
    <row r="1102" spans="1:24" x14ac:dyDescent="0.25">
      <c r="A1102" s="46">
        <v>220230003961</v>
      </c>
      <c r="B1102" s="47" t="s">
        <v>1514</v>
      </c>
      <c r="C1102" s="52">
        <v>44974</v>
      </c>
      <c r="D1102" s="46">
        <v>22023001956</v>
      </c>
      <c r="E1102" s="47" t="s">
        <v>1982</v>
      </c>
      <c r="F1102" s="53">
        <v>117.08</v>
      </c>
      <c r="G1102" s="47" t="s">
        <v>2009</v>
      </c>
      <c r="H1102" s="47" t="s">
        <v>2313</v>
      </c>
      <c r="I1102" s="46" t="s">
        <v>1517</v>
      </c>
      <c r="J1102" s="47" t="s">
        <v>519</v>
      </c>
      <c r="K1102" s="47" t="s">
        <v>519</v>
      </c>
      <c r="L1102" s="47" t="s">
        <v>520</v>
      </c>
      <c r="M1102" s="47" t="s">
        <v>514</v>
      </c>
      <c r="N1102" s="47" t="s">
        <v>515</v>
      </c>
      <c r="O1102" s="45" t="s">
        <v>382</v>
      </c>
      <c r="P1102" s="44" t="s">
        <v>309</v>
      </c>
      <c r="Q1102" s="59" t="str">
        <f>MID(Tabla1[[#This Row],[Aplicación]],14,1)</f>
        <v>2</v>
      </c>
      <c r="R1102" s="35" t="s">
        <v>298</v>
      </c>
      <c r="S1102" s="59" t="str">
        <f>MID(Tabla1[[#This Row],[Aplicación]],6,2)</f>
        <v>07</v>
      </c>
      <c r="T1102" s="35" t="str">
        <f>VLOOKUP(Tabla1[[#This Row],[AREA]],Hoja1!A:B,2,FALSE)</f>
        <v>07. Medio ambiente y desarrollo sostenible</v>
      </c>
      <c r="U1102" s="35" t="str">
        <f>MID(Tabla1[[#This Row],[Aplicación]],9,4)</f>
        <v>1711</v>
      </c>
      <c r="V1102" s="35" t="str">
        <f>VLOOKUP(Tabla1[[#This Row],[PROGRAMA]],Hoja1!A:B,2,FALSE)</f>
        <v>1711. Parques y jardines</v>
      </c>
      <c r="W1102" s="56" t="str">
        <f>MID(Tabla1[[#This Row],[Aplicación]],14,2)</f>
        <v>21</v>
      </c>
      <c r="X1102" s="56" t="str">
        <f>MID(Tabla1[[#This Row],[Aplicación]],14,6)</f>
        <v>214</v>
      </c>
    </row>
    <row r="1103" spans="1:24" x14ac:dyDescent="0.25">
      <c r="A1103" s="46">
        <v>220230004035</v>
      </c>
      <c r="B1103" s="47" t="s">
        <v>1514</v>
      </c>
      <c r="C1103" s="52">
        <v>44974</v>
      </c>
      <c r="D1103" s="46">
        <v>22023001578</v>
      </c>
      <c r="E1103" s="47" t="s">
        <v>2275</v>
      </c>
      <c r="F1103" s="53">
        <v>28.76</v>
      </c>
      <c r="G1103" s="47" t="s">
        <v>98</v>
      </c>
      <c r="H1103" s="47" t="s">
        <v>2314</v>
      </c>
      <c r="I1103" s="46" t="s">
        <v>1517</v>
      </c>
      <c r="J1103" s="47" t="s">
        <v>519</v>
      </c>
      <c r="K1103" s="47" t="s">
        <v>519</v>
      </c>
      <c r="L1103" s="47" t="s">
        <v>552</v>
      </c>
      <c r="M1103" s="47" t="s">
        <v>514</v>
      </c>
      <c r="N1103" s="47" t="s">
        <v>515</v>
      </c>
      <c r="O1103" s="45" t="s">
        <v>382</v>
      </c>
      <c r="P1103" s="44" t="s">
        <v>309</v>
      </c>
      <c r="Q1103" s="59" t="str">
        <f>MID(Tabla1[[#This Row],[Aplicación]],14,1)</f>
        <v>2</v>
      </c>
      <c r="R1103" s="35" t="s">
        <v>298</v>
      </c>
      <c r="S1103" s="59" t="str">
        <f>MID(Tabla1[[#This Row],[Aplicación]],6,2)</f>
        <v>11</v>
      </c>
      <c r="T1103" s="35" t="str">
        <f>VLOOKUP(Tabla1[[#This Row],[AREA]],Hoja1!A:B,2,FALSE)</f>
        <v>11. Salud pública y seguridad ciudadana</v>
      </c>
      <c r="U1103" s="35" t="str">
        <f>MID(Tabla1[[#This Row],[Aplicación]],9,4)</f>
        <v>3111</v>
      </c>
      <c r="V1103" s="35" t="str">
        <f>VLOOKUP(Tabla1[[#This Row],[PROGRAMA]],Hoja1!A:B,2,FALSE)</f>
        <v>3111. Protección de la salubridad pública</v>
      </c>
      <c r="W1103" s="56" t="str">
        <f>MID(Tabla1[[#This Row],[Aplicación]],14,2)</f>
        <v>22</v>
      </c>
      <c r="X1103" s="56" t="str">
        <f>MID(Tabla1[[#This Row],[Aplicación]],14,6)</f>
        <v>22199</v>
      </c>
    </row>
    <row r="1104" spans="1:24" x14ac:dyDescent="0.25">
      <c r="A1104" s="46">
        <v>220230005916</v>
      </c>
      <c r="B1104" s="47" t="s">
        <v>507</v>
      </c>
      <c r="C1104" s="52">
        <v>44980</v>
      </c>
      <c r="D1104" s="46">
        <v>22023002619</v>
      </c>
      <c r="E1104" s="47" t="s">
        <v>1430</v>
      </c>
      <c r="F1104" s="53">
        <v>167</v>
      </c>
      <c r="G1104" s="47" t="s">
        <v>504</v>
      </c>
      <c r="H1104" s="47" t="s">
        <v>2315</v>
      </c>
      <c r="I1104" s="46" t="s">
        <v>511</v>
      </c>
      <c r="J1104" s="47" t="s">
        <v>519</v>
      </c>
      <c r="K1104" s="47" t="s">
        <v>519</v>
      </c>
      <c r="L1104" s="47" t="s">
        <v>520</v>
      </c>
      <c r="M1104" s="47" t="s">
        <v>976</v>
      </c>
      <c r="N1104" s="47" t="s">
        <v>839</v>
      </c>
      <c r="O1104" s="45" t="s">
        <v>383</v>
      </c>
      <c r="P1104" s="44" t="s">
        <v>309</v>
      </c>
      <c r="Q1104" s="59" t="str">
        <f>MID(Tabla1[[#This Row],[Aplicación]],14,1)</f>
        <v>2</v>
      </c>
      <c r="R1104" s="35" t="s">
        <v>298</v>
      </c>
      <c r="S1104" s="59" t="str">
        <f>MID(Tabla1[[#This Row],[Aplicación]],6,2)</f>
        <v>06</v>
      </c>
      <c r="T1104" s="35" t="str">
        <f>VLOOKUP(Tabla1[[#This Row],[AREA]],Hoja1!A:B,2,FALSE)</f>
        <v>06. Educación, infancia, juventud e igualdad</v>
      </c>
      <c r="U1104" s="35" t="str">
        <f>MID(Tabla1[[#This Row],[Aplicación]],9,4)</f>
        <v>2315</v>
      </c>
      <c r="V1104" s="35" t="str">
        <f>VLOOKUP(Tabla1[[#This Row],[PROGRAMA]],Hoja1!A:B,2,FALSE)</f>
        <v>2315. Políticas de Igualdad e infancia</v>
      </c>
      <c r="W1104" s="56" t="str">
        <f>MID(Tabla1[[#This Row],[Aplicación]],14,2)</f>
        <v>22</v>
      </c>
      <c r="X1104" s="56" t="str">
        <f>MID(Tabla1[[#This Row],[Aplicación]],14,6)</f>
        <v>22614</v>
      </c>
    </row>
    <row r="1105" spans="1:24" x14ac:dyDescent="0.25">
      <c r="A1105" s="46">
        <v>220230008577</v>
      </c>
      <c r="B1105" s="47" t="s">
        <v>507</v>
      </c>
      <c r="C1105" s="52">
        <v>45000</v>
      </c>
      <c r="D1105" s="46">
        <v>22023002980</v>
      </c>
      <c r="E1105" s="47" t="s">
        <v>1479</v>
      </c>
      <c r="F1105" s="53">
        <v>500</v>
      </c>
      <c r="G1105" s="47" t="s">
        <v>2316</v>
      </c>
      <c r="H1105" s="47" t="s">
        <v>2317</v>
      </c>
      <c r="I1105" s="46" t="s">
        <v>511</v>
      </c>
      <c r="J1105" s="47" t="s">
        <v>519</v>
      </c>
      <c r="K1105" s="47" t="s">
        <v>519</v>
      </c>
      <c r="L1105" s="47" t="s">
        <v>520</v>
      </c>
      <c r="M1105" s="47" t="s">
        <v>976</v>
      </c>
      <c r="N1105" s="47" t="s">
        <v>839</v>
      </c>
      <c r="O1105" s="54" t="s">
        <v>383</v>
      </c>
      <c r="P1105" s="44" t="s">
        <v>309</v>
      </c>
      <c r="Q1105" s="59" t="str">
        <f>MID(Tabla1[[#This Row],[Aplicación]],14,1)</f>
        <v>2</v>
      </c>
      <c r="R1105" s="35" t="s">
        <v>298</v>
      </c>
      <c r="S1105" s="59" t="str">
        <f>MID(Tabla1[[#This Row],[Aplicación]],6,2)</f>
        <v>03</v>
      </c>
      <c r="T1105" s="35" t="str">
        <f>VLOOKUP(Tabla1[[#This Row],[AREA]],Hoja1!A:B,2,FALSE)</f>
        <v>03. Participación ciudadana y deportes</v>
      </c>
      <c r="U1105" s="35" t="str">
        <f>MID(Tabla1[[#This Row],[Aplicación]],9,4)</f>
        <v>9241</v>
      </c>
      <c r="V1105" s="35" t="str">
        <f>VLOOKUP(Tabla1[[#This Row],[PROGRAMA]],Hoja1!A:B,2,FALSE)</f>
        <v>9241. Participación ciudadana</v>
      </c>
      <c r="W1105" s="56" t="str">
        <f>MID(Tabla1[[#This Row],[Aplicación]],14,2)</f>
        <v>22</v>
      </c>
      <c r="X1105" s="56" t="str">
        <f>MID(Tabla1[[#This Row],[Aplicación]],14,6)</f>
        <v>22609</v>
      </c>
    </row>
    <row r="1106" spans="1:24" x14ac:dyDescent="0.25">
      <c r="A1106" s="46">
        <v>220230005420</v>
      </c>
      <c r="B1106" s="47" t="s">
        <v>507</v>
      </c>
      <c r="C1106" s="52">
        <v>44979</v>
      </c>
      <c r="D1106" s="46">
        <v>22023002644</v>
      </c>
      <c r="E1106" s="47" t="s">
        <v>1382</v>
      </c>
      <c r="F1106" s="53">
        <v>412.5</v>
      </c>
      <c r="G1106" s="47" t="s">
        <v>2318</v>
      </c>
      <c r="H1106" s="47" t="s">
        <v>2319</v>
      </c>
      <c r="I1106" s="46" t="s">
        <v>511</v>
      </c>
      <c r="J1106" s="47" t="s">
        <v>519</v>
      </c>
      <c r="K1106" s="47" t="s">
        <v>519</v>
      </c>
      <c r="L1106" s="47" t="s">
        <v>552</v>
      </c>
      <c r="M1106" s="47" t="s">
        <v>976</v>
      </c>
      <c r="N1106" s="47" t="s">
        <v>839</v>
      </c>
      <c r="O1106" s="45" t="s">
        <v>383</v>
      </c>
      <c r="P1106" s="44" t="s">
        <v>309</v>
      </c>
      <c r="Q1106" s="59" t="str">
        <f>MID(Tabla1[[#This Row],[Aplicación]],14,1)</f>
        <v>2</v>
      </c>
      <c r="R1106" s="35" t="s">
        <v>298</v>
      </c>
      <c r="S1106" s="59" t="str">
        <f>MID(Tabla1[[#This Row],[Aplicación]],6,2)</f>
        <v>03</v>
      </c>
      <c r="T1106" s="35" t="str">
        <f>VLOOKUP(Tabla1[[#This Row],[AREA]],Hoja1!A:B,2,FALSE)</f>
        <v>03. Participación ciudadana y deportes</v>
      </c>
      <c r="U1106" s="35" t="str">
        <f>MID(Tabla1[[#This Row],[Aplicación]],9,4)</f>
        <v>9241</v>
      </c>
      <c r="V1106" s="35" t="str">
        <f>VLOOKUP(Tabla1[[#This Row],[PROGRAMA]],Hoja1!A:B,2,FALSE)</f>
        <v>9241. Participación ciudadana</v>
      </c>
      <c r="W1106" s="56" t="str">
        <f>MID(Tabla1[[#This Row],[Aplicación]],14,2)</f>
        <v>22</v>
      </c>
      <c r="X1106" s="56" t="str">
        <f>MID(Tabla1[[#This Row],[Aplicación]],14,6)</f>
        <v>22699</v>
      </c>
    </row>
    <row r="1107" spans="1:24" x14ac:dyDescent="0.25">
      <c r="A1107" s="46">
        <v>220230004199</v>
      </c>
      <c r="B1107" s="47" t="s">
        <v>507</v>
      </c>
      <c r="C1107" s="52">
        <v>44977</v>
      </c>
      <c r="D1107" s="46">
        <v>22023002602</v>
      </c>
      <c r="E1107" s="47" t="s">
        <v>1191</v>
      </c>
      <c r="F1107" s="53">
        <v>870</v>
      </c>
      <c r="G1107" s="47" t="s">
        <v>2320</v>
      </c>
      <c r="H1107" s="47" t="s">
        <v>2321</v>
      </c>
      <c r="I1107" s="46" t="s">
        <v>511</v>
      </c>
      <c r="J1107" s="47" t="s">
        <v>2322</v>
      </c>
      <c r="K1107" s="47" t="s">
        <v>2323</v>
      </c>
      <c r="L1107" s="47" t="s">
        <v>520</v>
      </c>
      <c r="M1107" s="47" t="s">
        <v>976</v>
      </c>
      <c r="N1107" s="47" t="s">
        <v>839</v>
      </c>
      <c r="O1107" s="45" t="s">
        <v>383</v>
      </c>
      <c r="P1107" s="44" t="s">
        <v>309</v>
      </c>
      <c r="Q1107" s="59" t="str">
        <f>MID(Tabla1[[#This Row],[Aplicación]],14,1)</f>
        <v>2</v>
      </c>
      <c r="R1107" s="35" t="s">
        <v>298</v>
      </c>
      <c r="S1107" s="59" t="str">
        <f>MID(Tabla1[[#This Row],[Aplicación]],6,2)</f>
        <v>06</v>
      </c>
      <c r="T1107" s="35" t="str">
        <f>VLOOKUP(Tabla1[[#This Row],[AREA]],Hoja1!A:B,2,FALSE)</f>
        <v>06. Educación, infancia, juventud e igualdad</v>
      </c>
      <c r="U1107" s="35" t="str">
        <f>MID(Tabla1[[#This Row],[Aplicación]],9,4)</f>
        <v>2315</v>
      </c>
      <c r="V1107" s="35" t="str">
        <f>VLOOKUP(Tabla1[[#This Row],[PROGRAMA]],Hoja1!A:B,2,FALSE)</f>
        <v>2315. Políticas de Igualdad e infancia</v>
      </c>
      <c r="W1107" s="56" t="str">
        <f>MID(Tabla1[[#This Row],[Aplicación]],14,2)</f>
        <v>22</v>
      </c>
      <c r="X1107" s="56" t="str">
        <f>MID(Tabla1[[#This Row],[Aplicación]],14,6)</f>
        <v>22611</v>
      </c>
    </row>
    <row r="1108" spans="1:24" x14ac:dyDescent="0.25">
      <c r="A1108" s="46">
        <v>220230002011</v>
      </c>
      <c r="B1108" s="47" t="s">
        <v>507</v>
      </c>
      <c r="C1108" s="52">
        <v>44960</v>
      </c>
      <c r="D1108" s="46">
        <v>22023001501</v>
      </c>
      <c r="E1108" s="47" t="s">
        <v>777</v>
      </c>
      <c r="F1108" s="53">
        <v>834.9</v>
      </c>
      <c r="G1108" s="47" t="s">
        <v>2324</v>
      </c>
      <c r="H1108" s="47" t="s">
        <v>2325</v>
      </c>
      <c r="I1108" s="46" t="s">
        <v>511</v>
      </c>
      <c r="J1108" s="47" t="s">
        <v>2326</v>
      </c>
      <c r="K1108" s="47" t="s">
        <v>837</v>
      </c>
      <c r="L1108" s="47" t="s">
        <v>520</v>
      </c>
      <c r="M1108" s="47" t="s">
        <v>976</v>
      </c>
      <c r="N1108" s="47" t="s">
        <v>839</v>
      </c>
      <c r="O1108" s="45" t="s">
        <v>383</v>
      </c>
      <c r="P1108" s="44" t="s">
        <v>309</v>
      </c>
      <c r="Q1108" s="59" t="str">
        <f>MID(Tabla1[[#This Row],[Aplicación]],14,1)</f>
        <v>2</v>
      </c>
      <c r="R1108" s="35" t="s">
        <v>298</v>
      </c>
      <c r="S1108" s="59" t="str">
        <f>MID(Tabla1[[#This Row],[Aplicación]],6,2)</f>
        <v>03</v>
      </c>
      <c r="T1108" s="35" t="str">
        <f>VLOOKUP(Tabla1[[#This Row],[AREA]],Hoja1!A:B,2,FALSE)</f>
        <v>03. Participación ciudadana y deportes</v>
      </c>
      <c r="U1108" s="35" t="str">
        <f>MID(Tabla1[[#This Row],[Aplicación]],9,4)</f>
        <v>9241</v>
      </c>
      <c r="V1108" s="35" t="str">
        <f>VLOOKUP(Tabla1[[#This Row],[PROGRAMA]],Hoja1!A:B,2,FALSE)</f>
        <v>9241. Participación ciudadana</v>
      </c>
      <c r="W1108" s="56" t="str">
        <f>MID(Tabla1[[#This Row],[Aplicación]],14,2)</f>
        <v>22</v>
      </c>
      <c r="X1108" s="56" t="str">
        <f>MID(Tabla1[[#This Row],[Aplicación]],14,6)</f>
        <v>22799</v>
      </c>
    </row>
    <row r="1109" spans="1:24" x14ac:dyDescent="0.25">
      <c r="A1109" s="46">
        <v>220230006129</v>
      </c>
      <c r="B1109" s="47" t="s">
        <v>1249</v>
      </c>
      <c r="C1109" s="52">
        <v>44980</v>
      </c>
      <c r="D1109" s="46">
        <v>22023002705</v>
      </c>
      <c r="E1109" s="47" t="s">
        <v>1241</v>
      </c>
      <c r="F1109" s="53">
        <v>41.41</v>
      </c>
      <c r="G1109" s="47" t="s">
        <v>33</v>
      </c>
      <c r="H1109" s="47" t="s">
        <v>2327</v>
      </c>
      <c r="I1109" s="46" t="s">
        <v>1251</v>
      </c>
      <c r="J1109" s="47" t="s">
        <v>519</v>
      </c>
      <c r="K1109" s="47" t="s">
        <v>519</v>
      </c>
      <c r="L1109" s="47" t="s">
        <v>520</v>
      </c>
      <c r="M1109" s="47" t="s">
        <v>514</v>
      </c>
      <c r="N1109" s="47" t="s">
        <v>515</v>
      </c>
      <c r="O1109" s="45" t="s">
        <v>371</v>
      </c>
      <c r="P1109" s="44" t="s">
        <v>309</v>
      </c>
      <c r="Q1109" s="59" t="str">
        <f>MID(Tabla1[[#This Row],[Aplicación]],14,1)</f>
        <v>2</v>
      </c>
      <c r="R1109" s="35" t="s">
        <v>298</v>
      </c>
      <c r="S1109" s="59" t="str">
        <f>MID(Tabla1[[#This Row],[Aplicación]],6,2)</f>
        <v>06</v>
      </c>
      <c r="T1109" s="35" t="str">
        <f>VLOOKUP(Tabla1[[#This Row],[AREA]],Hoja1!A:B,2,FALSE)</f>
        <v>06. Educación, infancia, juventud e igualdad</v>
      </c>
      <c r="U1109" s="35" t="str">
        <f>MID(Tabla1[[#This Row],[Aplicación]],9,4)</f>
        <v>3231</v>
      </c>
      <c r="V1109" s="35" t="str">
        <f>VLOOKUP(Tabla1[[#This Row],[PROGRAMA]],Hoja1!A:B,2,FALSE)</f>
        <v>3231. Escuelas infantiles</v>
      </c>
      <c r="W1109" s="56" t="str">
        <f>MID(Tabla1[[#This Row],[Aplicación]],14,2)</f>
        <v>21</v>
      </c>
      <c r="X1109" s="56" t="str">
        <f>MID(Tabla1[[#This Row],[Aplicación]],14,6)</f>
        <v>213</v>
      </c>
    </row>
    <row r="1110" spans="1:24" x14ac:dyDescent="0.25">
      <c r="A1110" s="46">
        <v>220230003254</v>
      </c>
      <c r="B1110" s="47" t="s">
        <v>507</v>
      </c>
      <c r="C1110" s="52">
        <v>44971</v>
      </c>
      <c r="D1110" s="46">
        <v>22023002203</v>
      </c>
      <c r="E1110" s="47" t="s">
        <v>1072</v>
      </c>
      <c r="F1110" s="53">
        <v>2009.04</v>
      </c>
      <c r="G1110" s="47" t="s">
        <v>2328</v>
      </c>
      <c r="H1110" s="47" t="s">
        <v>2329</v>
      </c>
      <c r="I1110" s="46" t="s">
        <v>511</v>
      </c>
      <c r="J1110" s="47" t="s">
        <v>852</v>
      </c>
      <c r="K1110" s="47" t="s">
        <v>852</v>
      </c>
      <c r="L1110" s="47" t="s">
        <v>552</v>
      </c>
      <c r="M1110" s="47" t="s">
        <v>976</v>
      </c>
      <c r="N1110" s="47" t="s">
        <v>839</v>
      </c>
      <c r="O1110" s="45" t="s">
        <v>383</v>
      </c>
      <c r="P1110" s="44" t="s">
        <v>309</v>
      </c>
      <c r="Q1110" s="59" t="str">
        <f>MID(Tabla1[[#This Row],[Aplicación]],14,1)</f>
        <v>2</v>
      </c>
      <c r="R1110" s="35" t="s">
        <v>298</v>
      </c>
      <c r="S1110" s="59" t="str">
        <f>MID(Tabla1[[#This Row],[Aplicación]],6,2)</f>
        <v>07</v>
      </c>
      <c r="T1110" s="35" t="str">
        <f>VLOOKUP(Tabla1[[#This Row],[AREA]],Hoja1!A:B,2,FALSE)</f>
        <v>07. Medio ambiente y desarrollo sostenible</v>
      </c>
      <c r="U1110" s="35" t="str">
        <f>MID(Tabla1[[#This Row],[Aplicación]],9,4)</f>
        <v>1721</v>
      </c>
      <c r="V1110" s="35" t="str">
        <f>VLOOKUP(Tabla1[[#This Row],[PROGRAMA]],Hoja1!A:B,2,FALSE)</f>
        <v>1721. Protección del medio ambiente</v>
      </c>
      <c r="W1110" s="56" t="str">
        <f>MID(Tabla1[[#This Row],[Aplicación]],14,2)</f>
        <v>22</v>
      </c>
      <c r="X1110" s="56" t="str">
        <f>MID(Tabla1[[#This Row],[Aplicación]],14,6)</f>
        <v>22199</v>
      </c>
    </row>
    <row r="1111" spans="1:24" x14ac:dyDescent="0.25">
      <c r="A1111" s="46">
        <v>220229000827</v>
      </c>
      <c r="B1111" s="47" t="s">
        <v>507</v>
      </c>
      <c r="C1111" s="52">
        <v>44927</v>
      </c>
      <c r="D1111" s="46">
        <v>22023001892</v>
      </c>
      <c r="E1111" s="47" t="s">
        <v>704</v>
      </c>
      <c r="F1111" s="53">
        <v>12947</v>
      </c>
      <c r="G1111" s="47" t="s">
        <v>2330</v>
      </c>
      <c r="H1111" s="47" t="s">
        <v>2331</v>
      </c>
      <c r="I1111" s="46" t="s">
        <v>511</v>
      </c>
      <c r="J1111" s="47" t="s">
        <v>519</v>
      </c>
      <c r="K1111" s="47" t="s">
        <v>519</v>
      </c>
      <c r="L1111" s="47" t="s">
        <v>520</v>
      </c>
      <c r="M1111" s="47" t="s">
        <v>976</v>
      </c>
      <c r="N1111" s="47" t="s">
        <v>839</v>
      </c>
      <c r="O1111" s="45" t="s">
        <v>383</v>
      </c>
      <c r="P1111" s="44" t="s">
        <v>309</v>
      </c>
      <c r="Q1111" s="59" t="str">
        <f>MID(Tabla1[[#This Row],[Aplicación]],14,1)</f>
        <v>2</v>
      </c>
      <c r="R1111" s="35" t="s">
        <v>298</v>
      </c>
      <c r="S1111" s="59" t="str">
        <f>MID(Tabla1[[#This Row],[Aplicación]],6,2)</f>
        <v>11</v>
      </c>
      <c r="T1111" s="35" t="str">
        <f>VLOOKUP(Tabla1[[#This Row],[AREA]],Hoja1!A:B,2,FALSE)</f>
        <v>11. Salud pública y seguridad ciudadana</v>
      </c>
      <c r="U1111" s="35" t="str">
        <f>MID(Tabla1[[#This Row],[Aplicación]],9,4)</f>
        <v>1321</v>
      </c>
      <c r="V1111" s="35" t="str">
        <f>VLOOKUP(Tabla1[[#This Row],[PROGRAMA]],Hoja1!A:B,2,FALSE)</f>
        <v>1321. Policía municipal</v>
      </c>
      <c r="W1111" s="56" t="str">
        <f>MID(Tabla1[[#This Row],[Aplicación]],14,2)</f>
        <v>22</v>
      </c>
      <c r="X1111" s="56" t="str">
        <f>MID(Tabla1[[#This Row],[Aplicación]],14,6)</f>
        <v>22799</v>
      </c>
    </row>
    <row r="1112" spans="1:24" x14ac:dyDescent="0.25">
      <c r="A1112" s="46">
        <v>220230003918</v>
      </c>
      <c r="B1112" s="47" t="s">
        <v>1337</v>
      </c>
      <c r="C1112" s="52">
        <v>44974</v>
      </c>
      <c r="D1112" s="46">
        <v>22023000587</v>
      </c>
      <c r="E1112" s="47" t="s">
        <v>1106</v>
      </c>
      <c r="F1112" s="53">
        <v>-55000</v>
      </c>
      <c r="G1112" s="47" t="s">
        <v>587</v>
      </c>
      <c r="H1112" s="47" t="s">
        <v>2332</v>
      </c>
      <c r="I1112" s="46" t="s">
        <v>511</v>
      </c>
      <c r="J1112" s="47" t="s">
        <v>589</v>
      </c>
      <c r="K1112" s="47" t="s">
        <v>590</v>
      </c>
      <c r="L1112" s="47" t="s">
        <v>552</v>
      </c>
      <c r="M1112" s="47" t="s">
        <v>514</v>
      </c>
      <c r="N1112" s="47" t="s">
        <v>604</v>
      </c>
      <c r="O1112" s="45" t="s">
        <v>371</v>
      </c>
      <c r="P1112" s="44" t="s">
        <v>309</v>
      </c>
      <c r="Q1112" s="59" t="str">
        <f>MID(Tabla1[[#This Row],[Aplicación]],14,1)</f>
        <v>2</v>
      </c>
      <c r="R1112" s="35" t="s">
        <v>298</v>
      </c>
      <c r="S1112" s="59" t="str">
        <f>MID(Tabla1[[#This Row],[Aplicación]],6,2)</f>
        <v>06</v>
      </c>
      <c r="T1112" s="35" t="str">
        <f>VLOOKUP(Tabla1[[#This Row],[AREA]],Hoja1!A:B,2,FALSE)</f>
        <v>06. Educación, infancia, juventud e igualdad</v>
      </c>
      <c r="U1112" s="35" t="str">
        <f>MID(Tabla1[[#This Row],[Aplicación]],9,4)</f>
        <v>3231</v>
      </c>
      <c r="V1112" s="35" t="str">
        <f>VLOOKUP(Tabla1[[#This Row],[PROGRAMA]],Hoja1!A:B,2,FALSE)</f>
        <v>3231. Escuelas infantiles</v>
      </c>
      <c r="W1112" s="56" t="str">
        <f>MID(Tabla1[[#This Row],[Aplicación]],14,2)</f>
        <v>22</v>
      </c>
      <c r="X1112" s="56" t="str">
        <f>MID(Tabla1[[#This Row],[Aplicación]],14,6)</f>
        <v>22100</v>
      </c>
    </row>
    <row r="1113" spans="1:24" x14ac:dyDescent="0.25">
      <c r="A1113" s="46">
        <v>220230003920</v>
      </c>
      <c r="B1113" s="47" t="s">
        <v>1337</v>
      </c>
      <c r="C1113" s="52">
        <v>44974</v>
      </c>
      <c r="D1113" s="46">
        <v>22023000950</v>
      </c>
      <c r="E1113" s="47" t="s">
        <v>880</v>
      </c>
      <c r="F1113" s="53">
        <v>-53680</v>
      </c>
      <c r="G1113" s="47" t="s">
        <v>16</v>
      </c>
      <c r="H1113" s="47" t="s">
        <v>2333</v>
      </c>
      <c r="I1113" s="46" t="s">
        <v>511</v>
      </c>
      <c r="J1113" s="47" t="s">
        <v>837</v>
      </c>
      <c r="K1113" s="47" t="s">
        <v>837</v>
      </c>
      <c r="L1113" s="47" t="s">
        <v>552</v>
      </c>
      <c r="M1113" s="47" t="s">
        <v>514</v>
      </c>
      <c r="N1113" s="47" t="s">
        <v>604</v>
      </c>
      <c r="O1113" s="45" t="s">
        <v>371</v>
      </c>
      <c r="P1113" s="44" t="s">
        <v>309</v>
      </c>
      <c r="Q1113" s="59" t="str">
        <f>MID(Tabla1[[#This Row],[Aplicación]],14,1)</f>
        <v>2</v>
      </c>
      <c r="R1113" s="35" t="s">
        <v>298</v>
      </c>
      <c r="S1113" s="59" t="str">
        <f>MID(Tabla1[[#This Row],[Aplicación]],6,2)</f>
        <v>06</v>
      </c>
      <c r="T1113" s="35" t="str">
        <f>VLOOKUP(Tabla1[[#This Row],[AREA]],Hoja1!A:B,2,FALSE)</f>
        <v>06. Educación, infancia, juventud e igualdad</v>
      </c>
      <c r="U1113" s="35" t="str">
        <f>MID(Tabla1[[#This Row],[Aplicación]],9,4)</f>
        <v>3231</v>
      </c>
      <c r="V1113" s="35" t="str">
        <f>VLOOKUP(Tabla1[[#This Row],[PROGRAMA]],Hoja1!A:B,2,FALSE)</f>
        <v>3231. Escuelas infantiles</v>
      </c>
      <c r="W1113" s="56" t="str">
        <f>MID(Tabla1[[#This Row],[Aplicación]],14,2)</f>
        <v>22</v>
      </c>
      <c r="X1113" s="56" t="str">
        <f>MID(Tabla1[[#This Row],[Aplicación]],14,6)</f>
        <v>22102</v>
      </c>
    </row>
    <row r="1114" spans="1:24" x14ac:dyDescent="0.25">
      <c r="A1114" s="46">
        <v>220230003995</v>
      </c>
      <c r="B1114" s="47" t="s">
        <v>1514</v>
      </c>
      <c r="C1114" s="52">
        <v>44974</v>
      </c>
      <c r="D1114" s="46">
        <v>22023001514</v>
      </c>
      <c r="E1114" s="47" t="s">
        <v>1285</v>
      </c>
      <c r="F1114" s="53">
        <v>104.58</v>
      </c>
      <c r="G1114" s="47" t="s">
        <v>97</v>
      </c>
      <c r="H1114" s="47" t="s">
        <v>2334</v>
      </c>
      <c r="I1114" s="46" t="s">
        <v>1517</v>
      </c>
      <c r="J1114" s="47" t="s">
        <v>519</v>
      </c>
      <c r="K1114" s="47" t="s">
        <v>519</v>
      </c>
      <c r="L1114" s="47" t="s">
        <v>552</v>
      </c>
      <c r="M1114" s="47" t="s">
        <v>514</v>
      </c>
      <c r="N1114" s="47" t="s">
        <v>515</v>
      </c>
      <c r="O1114" s="45" t="s">
        <v>382</v>
      </c>
      <c r="P1114" s="44" t="s">
        <v>309</v>
      </c>
      <c r="Q1114" s="59" t="str">
        <f>MID(Tabla1[[#This Row],[Aplicación]],14,1)</f>
        <v>2</v>
      </c>
      <c r="R1114" s="35" t="s">
        <v>298</v>
      </c>
      <c r="S1114" s="59" t="str">
        <f>MID(Tabla1[[#This Row],[Aplicación]],6,2)</f>
        <v>11</v>
      </c>
      <c r="T1114" s="35" t="str">
        <f>VLOOKUP(Tabla1[[#This Row],[AREA]],Hoja1!A:B,2,FALSE)</f>
        <v>11. Salud pública y seguridad ciudadana</v>
      </c>
      <c r="U1114" s="35" t="str">
        <f>MID(Tabla1[[#This Row],[Aplicación]],9,4)</f>
        <v>1361</v>
      </c>
      <c r="V1114" s="35" t="str">
        <f>VLOOKUP(Tabla1[[#This Row],[PROGRAMA]],Hoja1!A:B,2,FALSE)</f>
        <v>1361. Prevención y extinción de incencios</v>
      </c>
      <c r="W1114" s="56" t="str">
        <f>MID(Tabla1[[#This Row],[Aplicación]],14,2)</f>
        <v>22</v>
      </c>
      <c r="X1114" s="56" t="str">
        <f>MID(Tabla1[[#This Row],[Aplicación]],14,6)</f>
        <v>22199</v>
      </c>
    </row>
    <row r="1115" spans="1:24" x14ac:dyDescent="0.25">
      <c r="A1115" s="46">
        <v>220230000032</v>
      </c>
      <c r="B1115" s="47" t="s">
        <v>507</v>
      </c>
      <c r="C1115" s="52">
        <v>44927</v>
      </c>
      <c r="D1115" s="46">
        <v>22023000519</v>
      </c>
      <c r="E1115" s="47" t="s">
        <v>1841</v>
      </c>
      <c r="F1115" s="53">
        <v>4270.8900000000003</v>
      </c>
      <c r="G1115" s="47" t="s">
        <v>77</v>
      </c>
      <c r="H1115" s="47" t="s">
        <v>2335</v>
      </c>
      <c r="I1115" s="46" t="s">
        <v>511</v>
      </c>
      <c r="J1115" s="47" t="s">
        <v>2336</v>
      </c>
      <c r="K1115" s="47" t="s">
        <v>1359</v>
      </c>
      <c r="L1115" s="47" t="s">
        <v>520</v>
      </c>
      <c r="M1115" s="47" t="s">
        <v>514</v>
      </c>
      <c r="N1115" s="47" t="s">
        <v>515</v>
      </c>
      <c r="O1115" s="45" t="s">
        <v>371</v>
      </c>
      <c r="P1115" s="44" t="s">
        <v>309</v>
      </c>
      <c r="Q1115" s="59" t="str">
        <f>MID(Tabla1[[#This Row],[Aplicación]],14,1)</f>
        <v>2</v>
      </c>
      <c r="R1115" s="35" t="s">
        <v>298</v>
      </c>
      <c r="S1115" s="59" t="str">
        <f>MID(Tabla1[[#This Row],[Aplicación]],6,2)</f>
        <v>11</v>
      </c>
      <c r="T1115" s="35" t="str">
        <f>VLOOKUP(Tabla1[[#This Row],[AREA]],Hoja1!A:B,2,FALSE)</f>
        <v>11. Salud pública y seguridad ciudadana</v>
      </c>
      <c r="U1115" s="35" t="str">
        <f>MID(Tabla1[[#This Row],[Aplicación]],9,4)</f>
        <v>3111</v>
      </c>
      <c r="V1115" s="35" t="str">
        <f>VLOOKUP(Tabla1[[#This Row],[PROGRAMA]],Hoja1!A:B,2,FALSE)</f>
        <v>3111. Protección de la salubridad pública</v>
      </c>
      <c r="W1115" s="56" t="str">
        <f>MID(Tabla1[[#This Row],[Aplicación]],14,2)</f>
        <v>22</v>
      </c>
      <c r="X1115" s="56" t="str">
        <f>MID(Tabla1[[#This Row],[Aplicación]],14,6)</f>
        <v>22706</v>
      </c>
    </row>
    <row r="1116" spans="1:24" x14ac:dyDescent="0.25">
      <c r="A1116" s="46">
        <v>220230004028</v>
      </c>
      <c r="B1116" s="47" t="s">
        <v>1514</v>
      </c>
      <c r="C1116" s="52">
        <v>44974</v>
      </c>
      <c r="D1116" s="46">
        <v>22023001578</v>
      </c>
      <c r="E1116" s="47" t="s">
        <v>2275</v>
      </c>
      <c r="F1116" s="53">
        <v>165.17</v>
      </c>
      <c r="G1116" s="47" t="s">
        <v>1481</v>
      </c>
      <c r="H1116" s="47" t="s">
        <v>2337</v>
      </c>
      <c r="I1116" s="46" t="s">
        <v>1517</v>
      </c>
      <c r="J1116" s="47" t="s">
        <v>837</v>
      </c>
      <c r="K1116" s="47" t="s">
        <v>837</v>
      </c>
      <c r="L1116" s="47" t="s">
        <v>552</v>
      </c>
      <c r="M1116" s="47" t="s">
        <v>514</v>
      </c>
      <c r="N1116" s="47" t="s">
        <v>515</v>
      </c>
      <c r="O1116" s="45" t="s">
        <v>382</v>
      </c>
      <c r="P1116" s="44" t="s">
        <v>309</v>
      </c>
      <c r="Q1116" s="59" t="str">
        <f>MID(Tabla1[[#This Row],[Aplicación]],14,1)</f>
        <v>2</v>
      </c>
      <c r="R1116" s="35" t="s">
        <v>298</v>
      </c>
      <c r="S1116" s="59" t="str">
        <f>MID(Tabla1[[#This Row],[Aplicación]],6,2)</f>
        <v>11</v>
      </c>
      <c r="T1116" s="35" t="str">
        <f>VLOOKUP(Tabla1[[#This Row],[AREA]],Hoja1!A:B,2,FALSE)</f>
        <v>11. Salud pública y seguridad ciudadana</v>
      </c>
      <c r="U1116" s="35" t="str">
        <f>MID(Tabla1[[#This Row],[Aplicación]],9,4)</f>
        <v>3111</v>
      </c>
      <c r="V1116" s="35" t="str">
        <f>VLOOKUP(Tabla1[[#This Row],[PROGRAMA]],Hoja1!A:B,2,FALSE)</f>
        <v>3111. Protección de la salubridad pública</v>
      </c>
      <c r="W1116" s="56" t="str">
        <f>MID(Tabla1[[#This Row],[Aplicación]],14,2)</f>
        <v>22</v>
      </c>
      <c r="X1116" s="56" t="str">
        <f>MID(Tabla1[[#This Row],[Aplicación]],14,6)</f>
        <v>22199</v>
      </c>
    </row>
    <row r="1117" spans="1:24" x14ac:dyDescent="0.25">
      <c r="A1117" s="46">
        <v>220230004037</v>
      </c>
      <c r="B1117" s="47" t="s">
        <v>1514</v>
      </c>
      <c r="C1117" s="52">
        <v>44974</v>
      </c>
      <c r="D1117" s="46">
        <v>22023001578</v>
      </c>
      <c r="E1117" s="47" t="s">
        <v>2275</v>
      </c>
      <c r="F1117" s="53">
        <v>161.38999999999999</v>
      </c>
      <c r="G1117" s="47" t="s">
        <v>1481</v>
      </c>
      <c r="H1117" s="47" t="s">
        <v>2338</v>
      </c>
      <c r="I1117" s="46" t="s">
        <v>1517</v>
      </c>
      <c r="J1117" s="47" t="s">
        <v>837</v>
      </c>
      <c r="K1117" s="47" t="s">
        <v>837</v>
      </c>
      <c r="L1117" s="47" t="s">
        <v>552</v>
      </c>
      <c r="M1117" s="47" t="s">
        <v>514</v>
      </c>
      <c r="N1117" s="47" t="s">
        <v>515</v>
      </c>
      <c r="O1117" s="45" t="s">
        <v>382</v>
      </c>
      <c r="P1117" s="44" t="s">
        <v>309</v>
      </c>
      <c r="Q1117" s="59" t="str">
        <f>MID(Tabla1[[#This Row],[Aplicación]],14,1)</f>
        <v>2</v>
      </c>
      <c r="R1117" s="35" t="s">
        <v>298</v>
      </c>
      <c r="S1117" s="59" t="str">
        <f>MID(Tabla1[[#This Row],[Aplicación]],6,2)</f>
        <v>11</v>
      </c>
      <c r="T1117" s="35" t="str">
        <f>VLOOKUP(Tabla1[[#This Row],[AREA]],Hoja1!A:B,2,FALSE)</f>
        <v>11. Salud pública y seguridad ciudadana</v>
      </c>
      <c r="U1117" s="35" t="str">
        <f>MID(Tabla1[[#This Row],[Aplicación]],9,4)</f>
        <v>3111</v>
      </c>
      <c r="V1117" s="35" t="str">
        <f>VLOOKUP(Tabla1[[#This Row],[PROGRAMA]],Hoja1!A:B,2,FALSE)</f>
        <v>3111. Protección de la salubridad pública</v>
      </c>
      <c r="W1117" s="56" t="str">
        <f>MID(Tabla1[[#This Row],[Aplicación]],14,2)</f>
        <v>22</v>
      </c>
      <c r="X1117" s="56" t="str">
        <f>MID(Tabla1[[#This Row],[Aplicación]],14,6)</f>
        <v>22199</v>
      </c>
    </row>
    <row r="1118" spans="1:24" x14ac:dyDescent="0.25">
      <c r="A1118" s="46">
        <v>220230001977</v>
      </c>
      <c r="B1118" s="47" t="s">
        <v>507</v>
      </c>
      <c r="C1118" s="52">
        <v>44960</v>
      </c>
      <c r="D1118" s="46">
        <v>22023001539</v>
      </c>
      <c r="E1118" s="47" t="s">
        <v>1841</v>
      </c>
      <c r="F1118" s="53">
        <v>7260</v>
      </c>
      <c r="G1118" s="47" t="s">
        <v>77</v>
      </c>
      <c r="H1118" s="47" t="s">
        <v>2339</v>
      </c>
      <c r="I1118" s="46" t="s">
        <v>511</v>
      </c>
      <c r="J1118" s="47" t="s">
        <v>2336</v>
      </c>
      <c r="K1118" s="47" t="s">
        <v>1359</v>
      </c>
      <c r="L1118" s="47" t="s">
        <v>520</v>
      </c>
      <c r="M1118" s="47" t="s">
        <v>976</v>
      </c>
      <c r="N1118" s="47" t="s">
        <v>839</v>
      </c>
      <c r="O1118" s="45" t="s">
        <v>383</v>
      </c>
      <c r="P1118" s="44" t="s">
        <v>309</v>
      </c>
      <c r="Q1118" s="59" t="str">
        <f>MID(Tabla1[[#This Row],[Aplicación]],14,1)</f>
        <v>2</v>
      </c>
      <c r="R1118" s="35" t="s">
        <v>298</v>
      </c>
      <c r="S1118" s="59" t="str">
        <f>MID(Tabla1[[#This Row],[Aplicación]],6,2)</f>
        <v>11</v>
      </c>
      <c r="T1118" s="35" t="str">
        <f>VLOOKUP(Tabla1[[#This Row],[AREA]],Hoja1!A:B,2,FALSE)</f>
        <v>11. Salud pública y seguridad ciudadana</v>
      </c>
      <c r="U1118" s="35" t="str">
        <f>MID(Tabla1[[#This Row],[Aplicación]],9,4)</f>
        <v>3111</v>
      </c>
      <c r="V1118" s="35" t="str">
        <f>VLOOKUP(Tabla1[[#This Row],[PROGRAMA]],Hoja1!A:B,2,FALSE)</f>
        <v>3111. Protección de la salubridad pública</v>
      </c>
      <c r="W1118" s="56" t="str">
        <f>MID(Tabla1[[#This Row],[Aplicación]],14,2)</f>
        <v>22</v>
      </c>
      <c r="X1118" s="56" t="str">
        <f>MID(Tabla1[[#This Row],[Aplicación]],14,6)</f>
        <v>22706</v>
      </c>
    </row>
    <row r="1119" spans="1:24" x14ac:dyDescent="0.25">
      <c r="A1119" s="55">
        <v>220230008922</v>
      </c>
      <c r="B1119" s="47" t="s">
        <v>507</v>
      </c>
      <c r="C1119" s="52">
        <v>45002</v>
      </c>
      <c r="D1119" s="46">
        <v>22023003071</v>
      </c>
      <c r="E1119" s="47" t="s">
        <v>693</v>
      </c>
      <c r="F1119" s="53">
        <v>411.4</v>
      </c>
      <c r="G1119" s="47" t="s">
        <v>2340</v>
      </c>
      <c r="H1119" s="47" t="s">
        <v>2341</v>
      </c>
      <c r="I1119" s="46" t="s">
        <v>511</v>
      </c>
      <c r="J1119" s="47" t="s">
        <v>519</v>
      </c>
      <c r="K1119" s="47" t="s">
        <v>519</v>
      </c>
      <c r="L1119" s="47" t="s">
        <v>520</v>
      </c>
      <c r="M1119" s="47" t="s">
        <v>976</v>
      </c>
      <c r="N1119" s="47" t="s">
        <v>839</v>
      </c>
      <c r="O1119" s="54" t="s">
        <v>383</v>
      </c>
      <c r="P1119" s="44" t="s">
        <v>309</v>
      </c>
      <c r="Q1119" s="59" t="str">
        <f>MID(Tabla1[[#This Row],[Aplicación]],14,1)</f>
        <v>2</v>
      </c>
      <c r="R1119" s="35" t="s">
        <v>298</v>
      </c>
      <c r="S1119" s="59" t="str">
        <f>MID(Tabla1[[#This Row],[Aplicación]],6,2)</f>
        <v>11</v>
      </c>
      <c r="T1119" s="35" t="str">
        <f>VLOOKUP(Tabla1[[#This Row],[AREA]],Hoja1!A:B,2,FALSE)</f>
        <v>11. Salud pública y seguridad ciudadana</v>
      </c>
      <c r="U1119" s="35" t="str">
        <f>MID(Tabla1[[#This Row],[Aplicación]],9,4)</f>
        <v>1361</v>
      </c>
      <c r="V1119" s="35" t="str">
        <f>VLOOKUP(Tabla1[[#This Row],[PROGRAMA]],Hoja1!A:B,2,FALSE)</f>
        <v>1361. Prevención y extinción de incencios</v>
      </c>
      <c r="W1119" s="56" t="str">
        <f>MID(Tabla1[[#This Row],[Aplicación]],14,2)</f>
        <v>21</v>
      </c>
      <c r="X1119" s="56" t="str">
        <f>MID(Tabla1[[#This Row],[Aplicación]],14,6)</f>
        <v>213</v>
      </c>
    </row>
    <row r="1120" spans="1:24" x14ac:dyDescent="0.25">
      <c r="A1120" s="46">
        <v>220230008191</v>
      </c>
      <c r="B1120" s="47" t="s">
        <v>507</v>
      </c>
      <c r="C1120" s="52">
        <v>44998</v>
      </c>
      <c r="D1120" s="46">
        <v>22023003055</v>
      </c>
      <c r="E1120" s="47" t="s">
        <v>1285</v>
      </c>
      <c r="F1120" s="53">
        <v>600</v>
      </c>
      <c r="G1120" s="47" t="s">
        <v>114</v>
      </c>
      <c r="H1120" s="47" t="s">
        <v>2342</v>
      </c>
      <c r="I1120" s="46" t="s">
        <v>511</v>
      </c>
      <c r="J1120" s="47" t="s">
        <v>1049</v>
      </c>
      <c r="K1120" s="47" t="s">
        <v>519</v>
      </c>
      <c r="L1120" s="47" t="s">
        <v>552</v>
      </c>
      <c r="M1120" s="47" t="s">
        <v>976</v>
      </c>
      <c r="N1120" s="47" t="s">
        <v>839</v>
      </c>
      <c r="O1120" s="54" t="s">
        <v>383</v>
      </c>
      <c r="P1120" s="44" t="s">
        <v>309</v>
      </c>
      <c r="Q1120" s="59" t="str">
        <f>MID(Tabla1[[#This Row],[Aplicación]],14,1)</f>
        <v>2</v>
      </c>
      <c r="R1120" s="35" t="s">
        <v>298</v>
      </c>
      <c r="S1120" s="59" t="str">
        <f>MID(Tabla1[[#This Row],[Aplicación]],6,2)</f>
        <v>11</v>
      </c>
      <c r="T1120" s="35" t="str">
        <f>VLOOKUP(Tabla1[[#This Row],[AREA]],Hoja1!A:B,2,FALSE)</f>
        <v>11. Salud pública y seguridad ciudadana</v>
      </c>
      <c r="U1120" s="35" t="str">
        <f>MID(Tabla1[[#This Row],[Aplicación]],9,4)</f>
        <v>1361</v>
      </c>
      <c r="V1120" s="35" t="str">
        <f>VLOOKUP(Tabla1[[#This Row],[PROGRAMA]],Hoja1!A:B,2,FALSE)</f>
        <v>1361. Prevención y extinción de incencios</v>
      </c>
      <c r="W1120" s="56" t="str">
        <f>MID(Tabla1[[#This Row],[Aplicación]],14,2)</f>
        <v>22</v>
      </c>
      <c r="X1120" s="56" t="str">
        <f>MID(Tabla1[[#This Row],[Aplicación]],14,6)</f>
        <v>22199</v>
      </c>
    </row>
    <row r="1121" spans="1:24" x14ac:dyDescent="0.25">
      <c r="A1121" s="46">
        <v>220230004011</v>
      </c>
      <c r="B1121" s="47" t="s">
        <v>1514</v>
      </c>
      <c r="C1121" s="52">
        <v>44974</v>
      </c>
      <c r="D1121" s="46">
        <v>22023001513</v>
      </c>
      <c r="E1121" s="47" t="s">
        <v>2019</v>
      </c>
      <c r="F1121" s="53">
        <v>380.82</v>
      </c>
      <c r="G1121" s="47" t="s">
        <v>2343</v>
      </c>
      <c r="H1121" s="47" t="s">
        <v>2344</v>
      </c>
      <c r="I1121" s="46" t="s">
        <v>1517</v>
      </c>
      <c r="J1121" s="47" t="s">
        <v>519</v>
      </c>
      <c r="K1121" s="47" t="s">
        <v>519</v>
      </c>
      <c r="L1121" s="47" t="s">
        <v>520</v>
      </c>
      <c r="M1121" s="47" t="s">
        <v>514</v>
      </c>
      <c r="N1121" s="47" t="s">
        <v>515</v>
      </c>
      <c r="O1121" s="45" t="s">
        <v>382</v>
      </c>
      <c r="P1121" s="44" t="s">
        <v>309</v>
      </c>
      <c r="Q1121" s="59" t="str">
        <f>MID(Tabla1[[#This Row],[Aplicación]],14,1)</f>
        <v>2</v>
      </c>
      <c r="R1121" s="35" t="s">
        <v>298</v>
      </c>
      <c r="S1121" s="59" t="str">
        <f>MID(Tabla1[[#This Row],[Aplicación]],6,2)</f>
        <v>11</v>
      </c>
      <c r="T1121" s="35" t="str">
        <f>VLOOKUP(Tabla1[[#This Row],[AREA]],Hoja1!A:B,2,FALSE)</f>
        <v>11. Salud pública y seguridad ciudadana</v>
      </c>
      <c r="U1121" s="35" t="str">
        <f>MID(Tabla1[[#This Row],[Aplicación]],9,4)</f>
        <v>1361</v>
      </c>
      <c r="V1121" s="35" t="str">
        <f>VLOOKUP(Tabla1[[#This Row],[PROGRAMA]],Hoja1!A:B,2,FALSE)</f>
        <v>1361. Prevención y extinción de incencios</v>
      </c>
      <c r="W1121" s="56" t="str">
        <f>MID(Tabla1[[#This Row],[Aplicación]],14,2)</f>
        <v>21</v>
      </c>
      <c r="X1121" s="56" t="str">
        <f>MID(Tabla1[[#This Row],[Aplicación]],14,6)</f>
        <v>214</v>
      </c>
    </row>
    <row r="1122" spans="1:24" x14ac:dyDescent="0.25">
      <c r="A1122" s="46">
        <v>220230004015</v>
      </c>
      <c r="B1122" s="47" t="s">
        <v>1514</v>
      </c>
      <c r="C1122" s="52">
        <v>44974</v>
      </c>
      <c r="D1122" s="46">
        <v>22023001513</v>
      </c>
      <c r="E1122" s="47" t="s">
        <v>2019</v>
      </c>
      <c r="F1122" s="53">
        <v>269.70999999999998</v>
      </c>
      <c r="G1122" s="47" t="s">
        <v>2343</v>
      </c>
      <c r="H1122" s="47" t="s">
        <v>2345</v>
      </c>
      <c r="I1122" s="46" t="s">
        <v>1517</v>
      </c>
      <c r="J1122" s="47" t="s">
        <v>519</v>
      </c>
      <c r="K1122" s="47" t="s">
        <v>519</v>
      </c>
      <c r="L1122" s="47" t="s">
        <v>520</v>
      </c>
      <c r="M1122" s="47" t="s">
        <v>514</v>
      </c>
      <c r="N1122" s="47" t="s">
        <v>515</v>
      </c>
      <c r="O1122" s="45" t="s">
        <v>382</v>
      </c>
      <c r="P1122" s="44" t="s">
        <v>309</v>
      </c>
      <c r="Q1122" s="59" t="str">
        <f>MID(Tabla1[[#This Row],[Aplicación]],14,1)</f>
        <v>2</v>
      </c>
      <c r="R1122" s="35" t="s">
        <v>298</v>
      </c>
      <c r="S1122" s="59" t="str">
        <f>MID(Tabla1[[#This Row],[Aplicación]],6,2)</f>
        <v>11</v>
      </c>
      <c r="T1122" s="35" t="str">
        <f>VLOOKUP(Tabla1[[#This Row],[AREA]],Hoja1!A:B,2,FALSE)</f>
        <v>11. Salud pública y seguridad ciudadana</v>
      </c>
      <c r="U1122" s="35" t="str">
        <f>MID(Tabla1[[#This Row],[Aplicación]],9,4)</f>
        <v>1361</v>
      </c>
      <c r="V1122" s="35" t="str">
        <f>VLOOKUP(Tabla1[[#This Row],[PROGRAMA]],Hoja1!A:B,2,FALSE)</f>
        <v>1361. Prevención y extinción de incencios</v>
      </c>
      <c r="W1122" s="56" t="str">
        <f>MID(Tabla1[[#This Row],[Aplicación]],14,2)</f>
        <v>21</v>
      </c>
      <c r="X1122" s="56" t="str">
        <f>MID(Tabla1[[#This Row],[Aplicación]],14,6)</f>
        <v>214</v>
      </c>
    </row>
    <row r="1123" spans="1:24" x14ac:dyDescent="0.25">
      <c r="A1123" s="46">
        <v>220230004017</v>
      </c>
      <c r="B1123" s="47" t="s">
        <v>1514</v>
      </c>
      <c r="C1123" s="52">
        <v>44974</v>
      </c>
      <c r="D1123" s="46">
        <v>22023001513</v>
      </c>
      <c r="E1123" s="47" t="s">
        <v>2019</v>
      </c>
      <c r="F1123" s="53">
        <v>146.47</v>
      </c>
      <c r="G1123" s="47" t="s">
        <v>2343</v>
      </c>
      <c r="H1123" s="47" t="s">
        <v>2346</v>
      </c>
      <c r="I1123" s="46" t="s">
        <v>1517</v>
      </c>
      <c r="J1123" s="47" t="s">
        <v>519</v>
      </c>
      <c r="K1123" s="47" t="s">
        <v>519</v>
      </c>
      <c r="L1123" s="47" t="s">
        <v>520</v>
      </c>
      <c r="M1123" s="47" t="s">
        <v>514</v>
      </c>
      <c r="N1123" s="47" t="s">
        <v>515</v>
      </c>
      <c r="O1123" s="45" t="s">
        <v>382</v>
      </c>
      <c r="P1123" s="44" t="s">
        <v>309</v>
      </c>
      <c r="Q1123" s="59" t="str">
        <f>MID(Tabla1[[#This Row],[Aplicación]],14,1)</f>
        <v>2</v>
      </c>
      <c r="R1123" s="35" t="s">
        <v>298</v>
      </c>
      <c r="S1123" s="59" t="str">
        <f>MID(Tabla1[[#This Row],[Aplicación]],6,2)</f>
        <v>11</v>
      </c>
      <c r="T1123" s="35" t="str">
        <f>VLOOKUP(Tabla1[[#This Row],[AREA]],Hoja1!A:B,2,FALSE)</f>
        <v>11. Salud pública y seguridad ciudadana</v>
      </c>
      <c r="U1123" s="35" t="str">
        <f>MID(Tabla1[[#This Row],[Aplicación]],9,4)</f>
        <v>1361</v>
      </c>
      <c r="V1123" s="35" t="str">
        <f>VLOOKUP(Tabla1[[#This Row],[PROGRAMA]],Hoja1!A:B,2,FALSE)</f>
        <v>1361. Prevención y extinción de incencios</v>
      </c>
      <c r="W1123" s="56" t="str">
        <f>MID(Tabla1[[#This Row],[Aplicación]],14,2)</f>
        <v>21</v>
      </c>
      <c r="X1123" s="56" t="str">
        <f>MID(Tabla1[[#This Row],[Aplicación]],14,6)</f>
        <v>214</v>
      </c>
    </row>
    <row r="1124" spans="1:24" x14ac:dyDescent="0.25">
      <c r="A1124" s="46">
        <v>220230008581</v>
      </c>
      <c r="B1124" s="47" t="s">
        <v>507</v>
      </c>
      <c r="C1124" s="52">
        <v>45000</v>
      </c>
      <c r="D1124" s="46">
        <v>22023002984</v>
      </c>
      <c r="E1124" s="47" t="s">
        <v>1479</v>
      </c>
      <c r="F1124" s="53">
        <v>605</v>
      </c>
      <c r="G1124" s="47" t="s">
        <v>2347</v>
      </c>
      <c r="H1124" s="47" t="s">
        <v>2348</v>
      </c>
      <c r="I1124" s="46" t="s">
        <v>511</v>
      </c>
      <c r="J1124" s="47" t="s">
        <v>1647</v>
      </c>
      <c r="K1124" s="47" t="s">
        <v>755</v>
      </c>
      <c r="L1124" s="47" t="s">
        <v>520</v>
      </c>
      <c r="M1124" s="47" t="s">
        <v>976</v>
      </c>
      <c r="N1124" s="47" t="s">
        <v>839</v>
      </c>
      <c r="O1124" s="54" t="s">
        <v>383</v>
      </c>
      <c r="P1124" s="44" t="s">
        <v>309</v>
      </c>
      <c r="Q1124" s="59" t="str">
        <f>MID(Tabla1[[#This Row],[Aplicación]],14,1)</f>
        <v>2</v>
      </c>
      <c r="R1124" s="35" t="s">
        <v>298</v>
      </c>
      <c r="S1124" s="59" t="str">
        <f>MID(Tabla1[[#This Row],[Aplicación]],6,2)</f>
        <v>03</v>
      </c>
      <c r="T1124" s="35" t="str">
        <f>VLOOKUP(Tabla1[[#This Row],[AREA]],Hoja1!A:B,2,FALSE)</f>
        <v>03. Participación ciudadana y deportes</v>
      </c>
      <c r="U1124" s="35" t="str">
        <f>MID(Tabla1[[#This Row],[Aplicación]],9,4)</f>
        <v>9241</v>
      </c>
      <c r="V1124" s="35" t="str">
        <f>VLOOKUP(Tabla1[[#This Row],[PROGRAMA]],Hoja1!A:B,2,FALSE)</f>
        <v>9241. Participación ciudadana</v>
      </c>
      <c r="W1124" s="56" t="str">
        <f>MID(Tabla1[[#This Row],[Aplicación]],14,2)</f>
        <v>22</v>
      </c>
      <c r="X1124" s="56" t="str">
        <f>MID(Tabla1[[#This Row],[Aplicación]],14,6)</f>
        <v>22609</v>
      </c>
    </row>
    <row r="1125" spans="1:24" x14ac:dyDescent="0.25">
      <c r="A1125" s="46">
        <v>220230004178</v>
      </c>
      <c r="B1125" s="47" t="s">
        <v>507</v>
      </c>
      <c r="C1125" s="52">
        <v>44977</v>
      </c>
      <c r="D1125" s="46">
        <v>22023001654</v>
      </c>
      <c r="E1125" s="47" t="s">
        <v>2226</v>
      </c>
      <c r="F1125" s="53">
        <v>9075</v>
      </c>
      <c r="G1125" s="47" t="s">
        <v>2349</v>
      </c>
      <c r="H1125" s="47" t="s">
        <v>2350</v>
      </c>
      <c r="I1125" s="46" t="s">
        <v>511</v>
      </c>
      <c r="J1125" s="47" t="s">
        <v>953</v>
      </c>
      <c r="K1125" s="47" t="s">
        <v>519</v>
      </c>
      <c r="L1125" s="47" t="s">
        <v>520</v>
      </c>
      <c r="M1125" s="47" t="s">
        <v>976</v>
      </c>
      <c r="N1125" s="47" t="s">
        <v>839</v>
      </c>
      <c r="O1125" s="45" t="s">
        <v>383</v>
      </c>
      <c r="P1125" s="44" t="s">
        <v>309</v>
      </c>
      <c r="Q1125" s="59" t="str">
        <f>MID(Tabla1[[#This Row],[Aplicación]],14,1)</f>
        <v>2</v>
      </c>
      <c r="R1125" s="35" t="s">
        <v>298</v>
      </c>
      <c r="S1125" s="59" t="str">
        <f>MID(Tabla1[[#This Row],[Aplicación]],6,2)</f>
        <v>11</v>
      </c>
      <c r="T1125" s="35" t="str">
        <f>VLOOKUP(Tabla1[[#This Row],[AREA]],Hoja1!A:B,2,FALSE)</f>
        <v>11. Salud pública y seguridad ciudadana</v>
      </c>
      <c r="U1125" s="35" t="str">
        <f>MID(Tabla1[[#This Row],[Aplicación]],9,4)</f>
        <v>1621</v>
      </c>
      <c r="V1125" s="35" t="str">
        <f>VLOOKUP(Tabla1[[#This Row],[PROGRAMA]],Hoja1!A:B,2,FALSE)</f>
        <v>1621. Servicio de limpieza</v>
      </c>
      <c r="W1125" s="56" t="str">
        <f>MID(Tabla1[[#This Row],[Aplicación]],14,2)</f>
        <v>21</v>
      </c>
      <c r="X1125" s="56" t="str">
        <f>MID(Tabla1[[#This Row],[Aplicación]],14,6)</f>
        <v>219</v>
      </c>
    </row>
    <row r="1126" spans="1:24" x14ac:dyDescent="0.25">
      <c r="A1126" s="46">
        <v>220230004001</v>
      </c>
      <c r="B1126" s="47" t="s">
        <v>1514</v>
      </c>
      <c r="C1126" s="52">
        <v>44974</v>
      </c>
      <c r="D1126" s="46">
        <v>22023001514</v>
      </c>
      <c r="E1126" s="47" t="s">
        <v>1285</v>
      </c>
      <c r="F1126" s="53">
        <v>1311.26</v>
      </c>
      <c r="G1126" s="47" t="s">
        <v>2351</v>
      </c>
      <c r="H1126" s="47" t="s">
        <v>2352</v>
      </c>
      <c r="I1126" s="46" t="s">
        <v>1517</v>
      </c>
      <c r="J1126" s="47" t="s">
        <v>519</v>
      </c>
      <c r="K1126" s="47" t="s">
        <v>519</v>
      </c>
      <c r="L1126" s="47" t="s">
        <v>552</v>
      </c>
      <c r="M1126" s="47" t="s">
        <v>514</v>
      </c>
      <c r="N1126" s="47" t="s">
        <v>515</v>
      </c>
      <c r="O1126" s="45" t="s">
        <v>382</v>
      </c>
      <c r="P1126" s="44" t="s">
        <v>309</v>
      </c>
      <c r="Q1126" s="59" t="str">
        <f>MID(Tabla1[[#This Row],[Aplicación]],14,1)</f>
        <v>2</v>
      </c>
      <c r="R1126" s="35" t="s">
        <v>298</v>
      </c>
      <c r="S1126" s="59" t="str">
        <f>MID(Tabla1[[#This Row],[Aplicación]],6,2)</f>
        <v>11</v>
      </c>
      <c r="T1126" s="35" t="str">
        <f>VLOOKUP(Tabla1[[#This Row],[AREA]],Hoja1!A:B,2,FALSE)</f>
        <v>11. Salud pública y seguridad ciudadana</v>
      </c>
      <c r="U1126" s="35" t="str">
        <f>MID(Tabla1[[#This Row],[Aplicación]],9,4)</f>
        <v>1361</v>
      </c>
      <c r="V1126" s="35" t="str">
        <f>VLOOKUP(Tabla1[[#This Row],[PROGRAMA]],Hoja1!A:B,2,FALSE)</f>
        <v>1361. Prevención y extinción de incencios</v>
      </c>
      <c r="W1126" s="56" t="str">
        <f>MID(Tabla1[[#This Row],[Aplicación]],14,2)</f>
        <v>22</v>
      </c>
      <c r="X1126" s="56" t="str">
        <f>MID(Tabla1[[#This Row],[Aplicación]],14,6)</f>
        <v>22199</v>
      </c>
    </row>
    <row r="1127" spans="1:24" x14ac:dyDescent="0.25">
      <c r="A1127" s="46">
        <v>220230005912</v>
      </c>
      <c r="B1127" s="47" t="s">
        <v>507</v>
      </c>
      <c r="C1127" s="52">
        <v>44980</v>
      </c>
      <c r="D1127" s="46">
        <v>22023002590</v>
      </c>
      <c r="E1127" s="47" t="s">
        <v>1191</v>
      </c>
      <c r="F1127" s="53">
        <v>600</v>
      </c>
      <c r="G1127" s="47" t="s">
        <v>2353</v>
      </c>
      <c r="H1127" s="47" t="s">
        <v>2354</v>
      </c>
      <c r="I1127" s="46" t="s">
        <v>511</v>
      </c>
      <c r="J1127" s="47" t="s">
        <v>519</v>
      </c>
      <c r="K1127" s="51" t="s">
        <v>519</v>
      </c>
      <c r="L1127" s="47" t="s">
        <v>520</v>
      </c>
      <c r="M1127" s="47" t="s">
        <v>976</v>
      </c>
      <c r="N1127" s="47" t="s">
        <v>839</v>
      </c>
      <c r="O1127" s="45" t="s">
        <v>383</v>
      </c>
      <c r="P1127" s="44" t="s">
        <v>309</v>
      </c>
      <c r="Q1127" s="59" t="str">
        <f>MID(Tabla1[[#This Row],[Aplicación]],14,1)</f>
        <v>2</v>
      </c>
      <c r="R1127" s="35" t="s">
        <v>298</v>
      </c>
      <c r="S1127" s="59" t="str">
        <f>MID(Tabla1[[#This Row],[Aplicación]],6,2)</f>
        <v>06</v>
      </c>
      <c r="T1127" s="35" t="str">
        <f>VLOOKUP(Tabla1[[#This Row],[AREA]],Hoja1!A:B,2,FALSE)</f>
        <v>06. Educación, infancia, juventud e igualdad</v>
      </c>
      <c r="U1127" s="35" t="str">
        <f>MID(Tabla1[[#This Row],[Aplicación]],9,4)</f>
        <v>2315</v>
      </c>
      <c r="V1127" s="35" t="str">
        <f>VLOOKUP(Tabla1[[#This Row],[PROGRAMA]],Hoja1!A:B,2,FALSE)</f>
        <v>2315. Políticas de Igualdad e infancia</v>
      </c>
      <c r="W1127" s="56" t="str">
        <f>MID(Tabla1[[#This Row],[Aplicación]],14,2)</f>
        <v>22</v>
      </c>
      <c r="X1127" s="56" t="str">
        <f>MID(Tabla1[[#This Row],[Aplicación]],14,6)</f>
        <v>22611</v>
      </c>
    </row>
    <row r="1128" spans="1:24" x14ac:dyDescent="0.25">
      <c r="A1128" s="46">
        <v>220230003999</v>
      </c>
      <c r="B1128" s="47" t="s">
        <v>1514</v>
      </c>
      <c r="C1128" s="52">
        <v>44974</v>
      </c>
      <c r="D1128" s="46">
        <v>22023001514</v>
      </c>
      <c r="E1128" s="47" t="s">
        <v>1285</v>
      </c>
      <c r="F1128" s="53">
        <v>510.32</v>
      </c>
      <c r="G1128" s="47" t="s">
        <v>2355</v>
      </c>
      <c r="H1128" s="47" t="s">
        <v>2356</v>
      </c>
      <c r="I1128" s="46" t="s">
        <v>1517</v>
      </c>
      <c r="J1128" s="47" t="s">
        <v>519</v>
      </c>
      <c r="K1128" s="47" t="s">
        <v>519</v>
      </c>
      <c r="L1128" s="47" t="s">
        <v>552</v>
      </c>
      <c r="M1128" s="47" t="s">
        <v>514</v>
      </c>
      <c r="N1128" s="47" t="s">
        <v>515</v>
      </c>
      <c r="O1128" s="45" t="s">
        <v>382</v>
      </c>
      <c r="P1128" s="44" t="s">
        <v>309</v>
      </c>
      <c r="Q1128" s="59" t="str">
        <f>MID(Tabla1[[#This Row],[Aplicación]],14,1)</f>
        <v>2</v>
      </c>
      <c r="R1128" s="35" t="s">
        <v>298</v>
      </c>
      <c r="S1128" s="59" t="str">
        <f>MID(Tabla1[[#This Row],[Aplicación]],6,2)</f>
        <v>11</v>
      </c>
      <c r="T1128" s="35" t="str">
        <f>VLOOKUP(Tabla1[[#This Row],[AREA]],Hoja1!A:B,2,FALSE)</f>
        <v>11. Salud pública y seguridad ciudadana</v>
      </c>
      <c r="U1128" s="35" t="str">
        <f>MID(Tabla1[[#This Row],[Aplicación]],9,4)</f>
        <v>1361</v>
      </c>
      <c r="V1128" s="35" t="str">
        <f>VLOOKUP(Tabla1[[#This Row],[PROGRAMA]],Hoja1!A:B,2,FALSE)</f>
        <v>1361. Prevención y extinción de incencios</v>
      </c>
      <c r="W1128" s="56" t="str">
        <f>MID(Tabla1[[#This Row],[Aplicación]],14,2)</f>
        <v>22</v>
      </c>
      <c r="X1128" s="56" t="str">
        <f>MID(Tabla1[[#This Row],[Aplicación]],14,6)</f>
        <v>22199</v>
      </c>
    </row>
    <row r="1129" spans="1:24" x14ac:dyDescent="0.25">
      <c r="A1129" s="46">
        <v>220230001780</v>
      </c>
      <c r="B1129" s="47" t="s">
        <v>507</v>
      </c>
      <c r="C1129" s="52">
        <v>44960</v>
      </c>
      <c r="D1129" s="46">
        <v>22023000035</v>
      </c>
      <c r="E1129" s="47" t="s">
        <v>1548</v>
      </c>
      <c r="F1129" s="53">
        <v>3448.5</v>
      </c>
      <c r="G1129" s="47" t="s">
        <v>502</v>
      </c>
      <c r="H1129" s="47" t="s">
        <v>2357</v>
      </c>
      <c r="I1129" s="46" t="s">
        <v>511</v>
      </c>
      <c r="J1129" s="47" t="s">
        <v>519</v>
      </c>
      <c r="K1129" s="47" t="s">
        <v>519</v>
      </c>
      <c r="L1129" s="47" t="s">
        <v>520</v>
      </c>
      <c r="M1129" s="47" t="s">
        <v>976</v>
      </c>
      <c r="N1129" s="47" t="s">
        <v>839</v>
      </c>
      <c r="O1129" s="45" t="s">
        <v>383</v>
      </c>
      <c r="P1129" s="44" t="s">
        <v>309</v>
      </c>
      <c r="Q1129" s="59" t="str">
        <f>MID(Tabla1[[#This Row],[Aplicación]],14,1)</f>
        <v>2</v>
      </c>
      <c r="R1129" s="35" t="s">
        <v>298</v>
      </c>
      <c r="S1129" s="59" t="str">
        <f>MID(Tabla1[[#This Row],[Aplicación]],6,2)</f>
        <v>07</v>
      </c>
      <c r="T1129" s="35" t="str">
        <f>VLOOKUP(Tabla1[[#This Row],[AREA]],Hoja1!A:B,2,FALSE)</f>
        <v>07. Medio ambiente y desarrollo sostenible</v>
      </c>
      <c r="U1129" s="35" t="str">
        <f>MID(Tabla1[[#This Row],[Aplicación]],9,4)</f>
        <v>1721</v>
      </c>
      <c r="V1129" s="35" t="str">
        <f>VLOOKUP(Tabla1[[#This Row],[PROGRAMA]],Hoja1!A:B,2,FALSE)</f>
        <v>1721. Protección del medio ambiente</v>
      </c>
      <c r="W1129" s="56" t="str">
        <f>MID(Tabla1[[#This Row],[Aplicación]],14,2)</f>
        <v>22</v>
      </c>
      <c r="X1129" s="56" t="str">
        <f>MID(Tabla1[[#This Row],[Aplicación]],14,6)</f>
        <v>22706</v>
      </c>
    </row>
    <row r="1130" spans="1:24" x14ac:dyDescent="0.25">
      <c r="A1130" s="46">
        <v>220230003959</v>
      </c>
      <c r="B1130" s="47" t="s">
        <v>1514</v>
      </c>
      <c r="C1130" s="52">
        <v>44974</v>
      </c>
      <c r="D1130" s="46">
        <v>22023002053</v>
      </c>
      <c r="E1130" s="47" t="s">
        <v>2107</v>
      </c>
      <c r="F1130" s="53">
        <v>211.08</v>
      </c>
      <c r="G1130" s="47" t="s">
        <v>2120</v>
      </c>
      <c r="H1130" s="47" t="s">
        <v>2358</v>
      </c>
      <c r="I1130" s="46" t="s">
        <v>1517</v>
      </c>
      <c r="J1130" s="47" t="s">
        <v>519</v>
      </c>
      <c r="K1130" s="47" t="s">
        <v>519</v>
      </c>
      <c r="L1130" s="47" t="s">
        <v>520</v>
      </c>
      <c r="M1130" s="47" t="s">
        <v>514</v>
      </c>
      <c r="N1130" s="47" t="s">
        <v>515</v>
      </c>
      <c r="O1130" s="45" t="s">
        <v>382</v>
      </c>
      <c r="P1130" s="44" t="s">
        <v>309</v>
      </c>
      <c r="Q1130" s="59" t="str">
        <f>MID(Tabla1[[#This Row],[Aplicación]],14,1)</f>
        <v>2</v>
      </c>
      <c r="R1130" s="35" t="s">
        <v>298</v>
      </c>
      <c r="S1130" s="59" t="str">
        <f>MID(Tabla1[[#This Row],[Aplicación]],6,2)</f>
        <v>07</v>
      </c>
      <c r="T1130" s="35" t="str">
        <f>VLOOKUP(Tabla1[[#This Row],[AREA]],Hoja1!A:B,2,FALSE)</f>
        <v>07. Medio ambiente y desarrollo sostenible</v>
      </c>
      <c r="U1130" s="35" t="str">
        <f>MID(Tabla1[[#This Row],[Aplicación]],9,4)</f>
        <v>1711</v>
      </c>
      <c r="V1130" s="35" t="str">
        <f>VLOOKUP(Tabla1[[#This Row],[PROGRAMA]],Hoja1!A:B,2,FALSE)</f>
        <v>1711. Parques y jardines</v>
      </c>
      <c r="W1130" s="56" t="str">
        <f>MID(Tabla1[[#This Row],[Aplicación]],14,2)</f>
        <v>21</v>
      </c>
      <c r="X1130" s="56" t="str">
        <f>MID(Tabla1[[#This Row],[Aplicación]],14,6)</f>
        <v>213</v>
      </c>
    </row>
    <row r="1131" spans="1:24" x14ac:dyDescent="0.25">
      <c r="A1131" s="46">
        <v>220230004181</v>
      </c>
      <c r="B1131" s="47" t="s">
        <v>507</v>
      </c>
      <c r="C1131" s="52">
        <v>44977</v>
      </c>
      <c r="D1131" s="46">
        <v>22023002227</v>
      </c>
      <c r="E1131" s="47" t="s">
        <v>759</v>
      </c>
      <c r="F1131" s="53">
        <v>157521.04</v>
      </c>
      <c r="G1131" s="47" t="s">
        <v>760</v>
      </c>
      <c r="H1131" s="47" t="s">
        <v>2359</v>
      </c>
      <c r="I1131" s="46" t="s">
        <v>511</v>
      </c>
      <c r="J1131" s="47" t="s">
        <v>512</v>
      </c>
      <c r="K1131" s="47" t="s">
        <v>512</v>
      </c>
      <c r="L1131" s="47" t="s">
        <v>520</v>
      </c>
      <c r="M1131" s="47" t="s">
        <v>514</v>
      </c>
      <c r="N1131" s="47" t="s">
        <v>515</v>
      </c>
      <c r="O1131" s="45" t="s">
        <v>371</v>
      </c>
      <c r="P1131" s="44" t="s">
        <v>309</v>
      </c>
      <c r="Q1131" s="59" t="str">
        <f>MID(Tabla1[[#This Row],[Aplicación]],14,1)</f>
        <v>2</v>
      </c>
      <c r="R1131" s="35" t="s">
        <v>298</v>
      </c>
      <c r="S1131" s="59" t="str">
        <f>MID(Tabla1[[#This Row],[Aplicación]],6,2)</f>
        <v>06</v>
      </c>
      <c r="T1131" s="35" t="str">
        <f>VLOOKUP(Tabla1[[#This Row],[AREA]],Hoja1!A:B,2,FALSE)</f>
        <v>06. Educación, infancia, juventud e igualdad</v>
      </c>
      <c r="U1131" s="35" t="str">
        <f>MID(Tabla1[[#This Row],[Aplicación]],9,4)</f>
        <v>3231</v>
      </c>
      <c r="V1131" s="35" t="str">
        <f>VLOOKUP(Tabla1[[#This Row],[PROGRAMA]],Hoja1!A:B,2,FALSE)</f>
        <v>3231. Escuelas infantiles</v>
      </c>
      <c r="W1131" s="56" t="str">
        <f>MID(Tabla1[[#This Row],[Aplicación]],14,2)</f>
        <v>22</v>
      </c>
      <c r="X1131" s="56" t="str">
        <f>MID(Tabla1[[#This Row],[Aplicación]],14,6)</f>
        <v>22700</v>
      </c>
    </row>
    <row r="1132" spans="1:24" x14ac:dyDescent="0.25">
      <c r="A1132" s="46">
        <v>220230004181</v>
      </c>
      <c r="B1132" s="47" t="s">
        <v>507</v>
      </c>
      <c r="C1132" s="52">
        <v>44977</v>
      </c>
      <c r="D1132" s="46">
        <v>22023002226</v>
      </c>
      <c r="E1132" s="47" t="s">
        <v>759</v>
      </c>
      <c r="F1132" s="53">
        <v>55577.72</v>
      </c>
      <c r="G1132" s="47" t="s">
        <v>760</v>
      </c>
      <c r="H1132" s="47" t="s">
        <v>2359</v>
      </c>
      <c r="I1132" s="46" t="s">
        <v>511</v>
      </c>
      <c r="J1132" s="47" t="s">
        <v>512</v>
      </c>
      <c r="K1132" s="47" t="s">
        <v>512</v>
      </c>
      <c r="L1132" s="47" t="s">
        <v>520</v>
      </c>
      <c r="M1132" s="47" t="s">
        <v>514</v>
      </c>
      <c r="N1132" s="47" t="s">
        <v>515</v>
      </c>
      <c r="O1132" s="45" t="s">
        <v>371</v>
      </c>
      <c r="P1132" s="44" t="s">
        <v>309</v>
      </c>
      <c r="Q1132" s="59" t="str">
        <f>MID(Tabla1[[#This Row],[Aplicación]],14,1)</f>
        <v>2</v>
      </c>
      <c r="R1132" s="35" t="s">
        <v>298</v>
      </c>
      <c r="S1132" s="59" t="str">
        <f>MID(Tabla1[[#This Row],[Aplicación]],6,2)</f>
        <v>06</v>
      </c>
      <c r="T1132" s="35" t="str">
        <f>VLOOKUP(Tabla1[[#This Row],[AREA]],Hoja1!A:B,2,FALSE)</f>
        <v>06. Educación, infancia, juventud e igualdad</v>
      </c>
      <c r="U1132" s="35" t="str">
        <f>MID(Tabla1[[#This Row],[Aplicación]],9,4)</f>
        <v>3231</v>
      </c>
      <c r="V1132" s="35" t="str">
        <f>VLOOKUP(Tabla1[[#This Row],[PROGRAMA]],Hoja1!A:B,2,FALSE)</f>
        <v>3231. Escuelas infantiles</v>
      </c>
      <c r="W1132" s="56" t="str">
        <f>MID(Tabla1[[#This Row],[Aplicación]],14,2)</f>
        <v>22</v>
      </c>
      <c r="X1132" s="56" t="str">
        <f>MID(Tabla1[[#This Row],[Aplicación]],14,6)</f>
        <v>22700</v>
      </c>
    </row>
    <row r="1133" spans="1:24" x14ac:dyDescent="0.25">
      <c r="A1133" s="46">
        <v>220230004192</v>
      </c>
      <c r="B1133" s="47" t="s">
        <v>507</v>
      </c>
      <c r="C1133" s="52">
        <v>44977</v>
      </c>
      <c r="D1133" s="46">
        <v>22023002548</v>
      </c>
      <c r="E1133" s="47" t="s">
        <v>1479</v>
      </c>
      <c r="F1133" s="53">
        <v>200</v>
      </c>
      <c r="G1133" s="47" t="s">
        <v>2360</v>
      </c>
      <c r="H1133" s="47" t="s">
        <v>2361</v>
      </c>
      <c r="I1133" s="46" t="s">
        <v>511</v>
      </c>
      <c r="J1133" s="47" t="s">
        <v>519</v>
      </c>
      <c r="K1133" s="47" t="s">
        <v>519</v>
      </c>
      <c r="L1133" s="47" t="s">
        <v>520</v>
      </c>
      <c r="M1133" s="47" t="s">
        <v>976</v>
      </c>
      <c r="N1133" s="47" t="s">
        <v>839</v>
      </c>
      <c r="O1133" s="45" t="s">
        <v>383</v>
      </c>
      <c r="P1133" s="44" t="s">
        <v>309</v>
      </c>
      <c r="Q1133" s="59" t="str">
        <f>MID(Tabla1[[#This Row],[Aplicación]],14,1)</f>
        <v>2</v>
      </c>
      <c r="R1133" s="35" t="s">
        <v>298</v>
      </c>
      <c r="S1133" s="59" t="str">
        <f>MID(Tabla1[[#This Row],[Aplicación]],6,2)</f>
        <v>03</v>
      </c>
      <c r="T1133" s="35" t="str">
        <f>VLOOKUP(Tabla1[[#This Row],[AREA]],Hoja1!A:B,2,FALSE)</f>
        <v>03. Participación ciudadana y deportes</v>
      </c>
      <c r="U1133" s="35" t="str">
        <f>MID(Tabla1[[#This Row],[Aplicación]],9,4)</f>
        <v>9241</v>
      </c>
      <c r="V1133" s="35" t="str">
        <f>VLOOKUP(Tabla1[[#This Row],[PROGRAMA]],Hoja1!A:B,2,FALSE)</f>
        <v>9241. Participación ciudadana</v>
      </c>
      <c r="W1133" s="56" t="str">
        <f>MID(Tabla1[[#This Row],[Aplicación]],14,2)</f>
        <v>22</v>
      </c>
      <c r="X1133" s="56" t="str">
        <f>MID(Tabla1[[#This Row],[Aplicación]],14,6)</f>
        <v>22609</v>
      </c>
    </row>
    <row r="1134" spans="1:24" x14ac:dyDescent="0.25">
      <c r="A1134" s="46">
        <v>220230004191</v>
      </c>
      <c r="B1134" s="47" t="s">
        <v>507</v>
      </c>
      <c r="C1134" s="52">
        <v>44977</v>
      </c>
      <c r="D1134" s="46">
        <v>22023002547</v>
      </c>
      <c r="E1134" s="47" t="s">
        <v>1479</v>
      </c>
      <c r="F1134" s="53">
        <v>450</v>
      </c>
      <c r="G1134" s="47" t="s">
        <v>2362</v>
      </c>
      <c r="H1134" s="47" t="s">
        <v>2363</v>
      </c>
      <c r="I1134" s="46" t="s">
        <v>511</v>
      </c>
      <c r="J1134" s="47" t="s">
        <v>2364</v>
      </c>
      <c r="K1134" s="47" t="s">
        <v>2365</v>
      </c>
      <c r="L1134" s="47" t="s">
        <v>520</v>
      </c>
      <c r="M1134" s="47" t="s">
        <v>976</v>
      </c>
      <c r="N1134" s="47" t="s">
        <v>839</v>
      </c>
      <c r="O1134" s="45" t="s">
        <v>383</v>
      </c>
      <c r="P1134" s="44" t="s">
        <v>309</v>
      </c>
      <c r="Q1134" s="59" t="str">
        <f>MID(Tabla1[[#This Row],[Aplicación]],14,1)</f>
        <v>2</v>
      </c>
      <c r="R1134" s="35" t="s">
        <v>298</v>
      </c>
      <c r="S1134" s="59" t="str">
        <f>MID(Tabla1[[#This Row],[Aplicación]],6,2)</f>
        <v>03</v>
      </c>
      <c r="T1134" s="35" t="str">
        <f>VLOOKUP(Tabla1[[#This Row],[AREA]],Hoja1!A:B,2,FALSE)</f>
        <v>03. Participación ciudadana y deportes</v>
      </c>
      <c r="U1134" s="35" t="str">
        <f>MID(Tabla1[[#This Row],[Aplicación]],9,4)</f>
        <v>9241</v>
      </c>
      <c r="V1134" s="35" t="str">
        <f>VLOOKUP(Tabla1[[#This Row],[PROGRAMA]],Hoja1!A:B,2,FALSE)</f>
        <v>9241. Participación ciudadana</v>
      </c>
      <c r="W1134" s="56" t="str">
        <f>MID(Tabla1[[#This Row],[Aplicación]],14,2)</f>
        <v>22</v>
      </c>
      <c r="X1134" s="56" t="str">
        <f>MID(Tabla1[[#This Row],[Aplicación]],14,6)</f>
        <v>22609</v>
      </c>
    </row>
    <row r="1135" spans="1:24" x14ac:dyDescent="0.25">
      <c r="A1135" s="46">
        <v>220230004193</v>
      </c>
      <c r="B1135" s="47" t="s">
        <v>507</v>
      </c>
      <c r="C1135" s="52">
        <v>44977</v>
      </c>
      <c r="D1135" s="46">
        <v>22023002549</v>
      </c>
      <c r="E1135" s="47" t="s">
        <v>1191</v>
      </c>
      <c r="F1135" s="53">
        <v>363</v>
      </c>
      <c r="G1135" s="47" t="s">
        <v>2366</v>
      </c>
      <c r="H1135" s="47" t="s">
        <v>2367</v>
      </c>
      <c r="I1135" s="46" t="s">
        <v>511</v>
      </c>
      <c r="J1135" s="47" t="s">
        <v>519</v>
      </c>
      <c r="K1135" s="47" t="s">
        <v>519</v>
      </c>
      <c r="L1135" s="47" t="s">
        <v>520</v>
      </c>
      <c r="M1135" s="47" t="s">
        <v>976</v>
      </c>
      <c r="N1135" s="47" t="s">
        <v>839</v>
      </c>
      <c r="O1135" s="45" t="s">
        <v>383</v>
      </c>
      <c r="P1135" s="44" t="s">
        <v>309</v>
      </c>
      <c r="Q1135" s="59" t="str">
        <f>MID(Tabla1[[#This Row],[Aplicación]],14,1)</f>
        <v>2</v>
      </c>
      <c r="R1135" s="35" t="s">
        <v>298</v>
      </c>
      <c r="S1135" s="59" t="str">
        <f>MID(Tabla1[[#This Row],[Aplicación]],6,2)</f>
        <v>06</v>
      </c>
      <c r="T1135" s="35" t="str">
        <f>VLOOKUP(Tabla1[[#This Row],[AREA]],Hoja1!A:B,2,FALSE)</f>
        <v>06. Educación, infancia, juventud e igualdad</v>
      </c>
      <c r="U1135" s="35" t="str">
        <f>MID(Tabla1[[#This Row],[Aplicación]],9,4)</f>
        <v>2315</v>
      </c>
      <c r="V1135" s="35" t="str">
        <f>VLOOKUP(Tabla1[[#This Row],[PROGRAMA]],Hoja1!A:B,2,FALSE)</f>
        <v>2315. Políticas de Igualdad e infancia</v>
      </c>
      <c r="W1135" s="56" t="str">
        <f>MID(Tabla1[[#This Row],[Aplicación]],14,2)</f>
        <v>22</v>
      </c>
      <c r="X1135" s="56" t="str">
        <f>MID(Tabla1[[#This Row],[Aplicación]],14,6)</f>
        <v>22611</v>
      </c>
    </row>
    <row r="1136" spans="1:24" x14ac:dyDescent="0.25">
      <c r="A1136" s="46">
        <v>220230002073</v>
      </c>
      <c r="B1136" s="47" t="s">
        <v>507</v>
      </c>
      <c r="C1136" s="52">
        <v>44963</v>
      </c>
      <c r="D1136" s="46">
        <v>22023001844</v>
      </c>
      <c r="E1136" s="47" t="s">
        <v>1382</v>
      </c>
      <c r="F1136" s="53">
        <v>125.45</v>
      </c>
      <c r="G1136" s="47" t="s">
        <v>93</v>
      </c>
      <c r="H1136" s="47" t="s">
        <v>2368</v>
      </c>
      <c r="I1136" s="46" t="s">
        <v>511</v>
      </c>
      <c r="J1136" s="47" t="s">
        <v>519</v>
      </c>
      <c r="K1136" s="47" t="s">
        <v>519</v>
      </c>
      <c r="L1136" s="47" t="s">
        <v>552</v>
      </c>
      <c r="M1136" s="47" t="s">
        <v>976</v>
      </c>
      <c r="N1136" s="47" t="s">
        <v>839</v>
      </c>
      <c r="O1136" s="45" t="s">
        <v>383</v>
      </c>
      <c r="P1136" s="44" t="s">
        <v>309</v>
      </c>
      <c r="Q1136" s="59" t="str">
        <f>MID(Tabla1[[#This Row],[Aplicación]],14,1)</f>
        <v>2</v>
      </c>
      <c r="R1136" s="35" t="s">
        <v>298</v>
      </c>
      <c r="S1136" s="59" t="str">
        <f>MID(Tabla1[[#This Row],[Aplicación]],6,2)</f>
        <v>03</v>
      </c>
      <c r="T1136" s="35" t="str">
        <f>VLOOKUP(Tabla1[[#This Row],[AREA]],Hoja1!A:B,2,FALSE)</f>
        <v>03. Participación ciudadana y deportes</v>
      </c>
      <c r="U1136" s="35" t="str">
        <f>MID(Tabla1[[#This Row],[Aplicación]],9,4)</f>
        <v>9241</v>
      </c>
      <c r="V1136" s="35" t="str">
        <f>VLOOKUP(Tabla1[[#This Row],[PROGRAMA]],Hoja1!A:B,2,FALSE)</f>
        <v>9241. Participación ciudadana</v>
      </c>
      <c r="W1136" s="56" t="str">
        <f>MID(Tabla1[[#This Row],[Aplicación]],14,2)</f>
        <v>22</v>
      </c>
      <c r="X1136" s="56" t="str">
        <f>MID(Tabla1[[#This Row],[Aplicación]],14,6)</f>
        <v>22699</v>
      </c>
    </row>
    <row r="1137" spans="1:24" x14ac:dyDescent="0.25">
      <c r="A1137" s="46">
        <v>220230002587</v>
      </c>
      <c r="B1137" s="47" t="s">
        <v>507</v>
      </c>
      <c r="C1137" s="52">
        <v>44965</v>
      </c>
      <c r="D1137" s="46">
        <v>22023002021</v>
      </c>
      <c r="E1137" s="47" t="s">
        <v>1515</v>
      </c>
      <c r="F1137" s="53">
        <v>1500</v>
      </c>
      <c r="G1137" s="47" t="s">
        <v>93</v>
      </c>
      <c r="H1137" s="47" t="s">
        <v>2369</v>
      </c>
      <c r="I1137" s="46" t="s">
        <v>511</v>
      </c>
      <c r="J1137" s="47" t="s">
        <v>519</v>
      </c>
      <c r="K1137" s="47" t="s">
        <v>519</v>
      </c>
      <c r="L1137" s="47" t="s">
        <v>552</v>
      </c>
      <c r="M1137" s="47" t="s">
        <v>976</v>
      </c>
      <c r="N1137" s="47" t="s">
        <v>839</v>
      </c>
      <c r="O1137" s="45" t="s">
        <v>383</v>
      </c>
      <c r="P1137" s="44" t="s">
        <v>309</v>
      </c>
      <c r="Q1137" s="59" t="str">
        <f>MID(Tabla1[[#This Row],[Aplicación]],14,1)</f>
        <v>2</v>
      </c>
      <c r="R1137" s="35" t="s">
        <v>298</v>
      </c>
      <c r="S1137" s="59" t="str">
        <f>MID(Tabla1[[#This Row],[Aplicación]],6,2)</f>
        <v>07</v>
      </c>
      <c r="T1137" s="35" t="str">
        <f>VLOOKUP(Tabla1[[#This Row],[AREA]],Hoja1!A:B,2,FALSE)</f>
        <v>07. Medio ambiente y desarrollo sostenible</v>
      </c>
      <c r="U1137" s="35" t="str">
        <f>MID(Tabla1[[#This Row],[Aplicación]],9,4)</f>
        <v>1711</v>
      </c>
      <c r="V1137" s="35" t="str">
        <f>VLOOKUP(Tabla1[[#This Row],[PROGRAMA]],Hoja1!A:B,2,FALSE)</f>
        <v>1711. Parques y jardines</v>
      </c>
      <c r="W1137" s="56" t="str">
        <f>MID(Tabla1[[#This Row],[Aplicación]],14,2)</f>
        <v>22</v>
      </c>
      <c r="X1137" s="56" t="str">
        <f>MID(Tabla1[[#This Row],[Aplicación]],14,6)</f>
        <v>22199</v>
      </c>
    </row>
    <row r="1138" spans="1:24" x14ac:dyDescent="0.25">
      <c r="A1138" s="46">
        <v>220230003641</v>
      </c>
      <c r="B1138" s="47" t="s">
        <v>507</v>
      </c>
      <c r="C1138" s="52">
        <v>44973</v>
      </c>
      <c r="D1138" s="46">
        <v>22023002430</v>
      </c>
      <c r="E1138" s="47" t="s">
        <v>1479</v>
      </c>
      <c r="F1138" s="53">
        <v>1452</v>
      </c>
      <c r="G1138" s="47" t="s">
        <v>2370</v>
      </c>
      <c r="H1138" s="47" t="s">
        <v>2371</v>
      </c>
      <c r="I1138" s="46" t="s">
        <v>511</v>
      </c>
      <c r="J1138" s="47" t="s">
        <v>519</v>
      </c>
      <c r="K1138" s="47" t="s">
        <v>519</v>
      </c>
      <c r="L1138" s="47" t="s">
        <v>520</v>
      </c>
      <c r="M1138" s="47" t="s">
        <v>976</v>
      </c>
      <c r="N1138" s="47" t="s">
        <v>839</v>
      </c>
      <c r="O1138" s="45" t="s">
        <v>383</v>
      </c>
      <c r="P1138" s="44" t="s">
        <v>309</v>
      </c>
      <c r="Q1138" s="59" t="str">
        <f>MID(Tabla1[[#This Row],[Aplicación]],14,1)</f>
        <v>2</v>
      </c>
      <c r="R1138" s="35" t="s">
        <v>298</v>
      </c>
      <c r="S1138" s="59" t="str">
        <f>MID(Tabla1[[#This Row],[Aplicación]],6,2)</f>
        <v>03</v>
      </c>
      <c r="T1138" s="35" t="str">
        <f>VLOOKUP(Tabla1[[#This Row],[AREA]],Hoja1!A:B,2,FALSE)</f>
        <v>03. Participación ciudadana y deportes</v>
      </c>
      <c r="U1138" s="35" t="str">
        <f>MID(Tabla1[[#This Row],[Aplicación]],9,4)</f>
        <v>9241</v>
      </c>
      <c r="V1138" s="35" t="str">
        <f>VLOOKUP(Tabla1[[#This Row],[PROGRAMA]],Hoja1!A:B,2,FALSE)</f>
        <v>9241. Participación ciudadana</v>
      </c>
      <c r="W1138" s="56" t="str">
        <f>MID(Tabla1[[#This Row],[Aplicación]],14,2)</f>
        <v>22</v>
      </c>
      <c r="X1138" s="56" t="str">
        <f>MID(Tabla1[[#This Row],[Aplicación]],14,6)</f>
        <v>22609</v>
      </c>
    </row>
    <row r="1139" spans="1:24" x14ac:dyDescent="0.25">
      <c r="A1139" s="46">
        <v>220230005926</v>
      </c>
      <c r="B1139" s="47" t="s">
        <v>507</v>
      </c>
      <c r="C1139" s="52">
        <v>44980</v>
      </c>
      <c r="D1139" s="46">
        <v>22023002665</v>
      </c>
      <c r="E1139" s="47" t="s">
        <v>1191</v>
      </c>
      <c r="F1139" s="53">
        <v>2847</v>
      </c>
      <c r="G1139" s="47" t="s">
        <v>2372</v>
      </c>
      <c r="H1139" s="47" t="s">
        <v>2373</v>
      </c>
      <c r="I1139" s="46" t="s">
        <v>511</v>
      </c>
      <c r="J1139" s="47" t="s">
        <v>2374</v>
      </c>
      <c r="K1139" s="47" t="s">
        <v>512</v>
      </c>
      <c r="L1139" s="47" t="s">
        <v>520</v>
      </c>
      <c r="M1139" s="47" t="s">
        <v>976</v>
      </c>
      <c r="N1139" s="47" t="s">
        <v>839</v>
      </c>
      <c r="O1139" s="45" t="s">
        <v>383</v>
      </c>
      <c r="P1139" s="44" t="s">
        <v>309</v>
      </c>
      <c r="Q1139" s="59" t="str">
        <f>MID(Tabla1[[#This Row],[Aplicación]],14,1)</f>
        <v>2</v>
      </c>
      <c r="R1139" s="35" t="s">
        <v>298</v>
      </c>
      <c r="S1139" s="59" t="str">
        <f>MID(Tabla1[[#This Row],[Aplicación]],6,2)</f>
        <v>06</v>
      </c>
      <c r="T1139" s="35" t="str">
        <f>VLOOKUP(Tabla1[[#This Row],[AREA]],Hoja1!A:B,2,FALSE)</f>
        <v>06. Educación, infancia, juventud e igualdad</v>
      </c>
      <c r="U1139" s="35" t="str">
        <f>MID(Tabla1[[#This Row],[Aplicación]],9,4)</f>
        <v>2315</v>
      </c>
      <c r="V1139" s="35" t="str">
        <f>VLOOKUP(Tabla1[[#This Row],[PROGRAMA]],Hoja1!A:B,2,FALSE)</f>
        <v>2315. Políticas de Igualdad e infancia</v>
      </c>
      <c r="W1139" s="56" t="str">
        <f>MID(Tabla1[[#This Row],[Aplicación]],14,2)</f>
        <v>22</v>
      </c>
      <c r="X1139" s="56" t="str">
        <f>MID(Tabla1[[#This Row],[Aplicación]],14,6)</f>
        <v>22611</v>
      </c>
    </row>
    <row r="1140" spans="1:24" x14ac:dyDescent="0.25">
      <c r="A1140" s="46">
        <v>220230005917</v>
      </c>
      <c r="B1140" s="47" t="s">
        <v>507</v>
      </c>
      <c r="C1140" s="52">
        <v>44980</v>
      </c>
      <c r="D1140" s="46">
        <v>22023002623</v>
      </c>
      <c r="E1140" s="47" t="s">
        <v>1191</v>
      </c>
      <c r="F1140" s="53">
        <v>108.9</v>
      </c>
      <c r="G1140" s="47" t="s">
        <v>2375</v>
      </c>
      <c r="H1140" s="47" t="s">
        <v>2376</v>
      </c>
      <c r="I1140" s="46" t="s">
        <v>511</v>
      </c>
      <c r="J1140" s="47" t="s">
        <v>519</v>
      </c>
      <c r="K1140" s="47" t="s">
        <v>519</v>
      </c>
      <c r="L1140" s="47" t="s">
        <v>520</v>
      </c>
      <c r="M1140" s="47" t="s">
        <v>976</v>
      </c>
      <c r="N1140" s="47" t="s">
        <v>839</v>
      </c>
      <c r="O1140" s="45" t="s">
        <v>383</v>
      </c>
      <c r="P1140" s="44" t="s">
        <v>309</v>
      </c>
      <c r="Q1140" s="59" t="str">
        <f>MID(Tabla1[[#This Row],[Aplicación]],14,1)</f>
        <v>2</v>
      </c>
      <c r="R1140" s="35" t="s">
        <v>298</v>
      </c>
      <c r="S1140" s="59" t="str">
        <f>MID(Tabla1[[#This Row],[Aplicación]],6,2)</f>
        <v>06</v>
      </c>
      <c r="T1140" s="35" t="str">
        <f>VLOOKUP(Tabla1[[#This Row],[AREA]],Hoja1!A:B,2,FALSE)</f>
        <v>06. Educación, infancia, juventud e igualdad</v>
      </c>
      <c r="U1140" s="35" t="str">
        <f>MID(Tabla1[[#This Row],[Aplicación]],9,4)</f>
        <v>2315</v>
      </c>
      <c r="V1140" s="35" t="str">
        <f>VLOOKUP(Tabla1[[#This Row],[PROGRAMA]],Hoja1!A:B,2,FALSE)</f>
        <v>2315. Políticas de Igualdad e infancia</v>
      </c>
      <c r="W1140" s="56" t="str">
        <f>MID(Tabla1[[#This Row],[Aplicación]],14,2)</f>
        <v>22</v>
      </c>
      <c r="X1140" s="56" t="str">
        <f>MID(Tabla1[[#This Row],[Aplicación]],14,6)</f>
        <v>22611</v>
      </c>
    </row>
    <row r="1141" spans="1:24" x14ac:dyDescent="0.25">
      <c r="A1141" s="55">
        <v>220230011733</v>
      </c>
      <c r="B1141" s="47" t="s">
        <v>507</v>
      </c>
      <c r="C1141" s="52">
        <v>45014</v>
      </c>
      <c r="D1141" s="46">
        <v>22023002623</v>
      </c>
      <c r="E1141" s="47" t="s">
        <v>1191</v>
      </c>
      <c r="F1141" s="53">
        <v>109</v>
      </c>
      <c r="G1141" s="47" t="s">
        <v>2375</v>
      </c>
      <c r="H1141" s="47" t="s">
        <v>2377</v>
      </c>
      <c r="I1141" s="46" t="s">
        <v>511</v>
      </c>
      <c r="J1141" s="47" t="s">
        <v>519</v>
      </c>
      <c r="K1141" s="47" t="s">
        <v>519</v>
      </c>
      <c r="L1141" s="47" t="s">
        <v>520</v>
      </c>
      <c r="M1141" s="47" t="s">
        <v>976</v>
      </c>
      <c r="N1141" s="47" t="s">
        <v>839</v>
      </c>
      <c r="O1141" s="54" t="s">
        <v>383</v>
      </c>
      <c r="P1141" s="44" t="s">
        <v>309</v>
      </c>
      <c r="Q1141" s="59" t="str">
        <f>MID(Tabla1[[#This Row],[Aplicación]],14,1)</f>
        <v>2</v>
      </c>
      <c r="R1141" s="35" t="s">
        <v>298</v>
      </c>
      <c r="S1141" s="59" t="str">
        <f>MID(Tabla1[[#This Row],[Aplicación]],6,2)</f>
        <v>06</v>
      </c>
      <c r="T1141" s="35" t="str">
        <f>VLOOKUP(Tabla1[[#This Row],[AREA]],Hoja1!A:B,2,FALSE)</f>
        <v>06. Educación, infancia, juventud e igualdad</v>
      </c>
      <c r="U1141" s="35" t="str">
        <f>MID(Tabla1[[#This Row],[Aplicación]],9,4)</f>
        <v>2315</v>
      </c>
      <c r="V1141" s="35" t="str">
        <f>VLOOKUP(Tabla1[[#This Row],[PROGRAMA]],Hoja1!A:B,2,FALSE)</f>
        <v>2315. Políticas de Igualdad e infancia</v>
      </c>
      <c r="W1141" s="56" t="str">
        <f>MID(Tabla1[[#This Row],[Aplicación]],14,2)</f>
        <v>22</v>
      </c>
      <c r="X1141" s="56" t="str">
        <f>MID(Tabla1[[#This Row],[Aplicación]],14,6)</f>
        <v>22611</v>
      </c>
    </row>
    <row r="1142" spans="1:24" x14ac:dyDescent="0.25">
      <c r="A1142" s="46">
        <v>220230001960</v>
      </c>
      <c r="B1142" s="47" t="s">
        <v>507</v>
      </c>
      <c r="C1142" s="52">
        <v>44960</v>
      </c>
      <c r="D1142" s="46">
        <v>22023001410</v>
      </c>
      <c r="E1142" s="47" t="s">
        <v>2378</v>
      </c>
      <c r="F1142" s="53">
        <v>1411</v>
      </c>
      <c r="G1142" s="47" t="s">
        <v>63</v>
      </c>
      <c r="H1142" s="47" t="s">
        <v>2379</v>
      </c>
      <c r="I1142" s="46" t="s">
        <v>511</v>
      </c>
      <c r="J1142" s="47" t="s">
        <v>519</v>
      </c>
      <c r="K1142" s="47" t="s">
        <v>519</v>
      </c>
      <c r="L1142" s="47" t="s">
        <v>552</v>
      </c>
      <c r="M1142" s="47" t="s">
        <v>976</v>
      </c>
      <c r="N1142" s="47" t="s">
        <v>839</v>
      </c>
      <c r="O1142" s="45" t="s">
        <v>383</v>
      </c>
      <c r="P1142" s="44" t="s">
        <v>309</v>
      </c>
      <c r="Q1142" s="59" t="str">
        <f>MID(Tabla1[[#This Row],[Aplicación]],14,1)</f>
        <v>2</v>
      </c>
      <c r="R1142" s="35" t="s">
        <v>298</v>
      </c>
      <c r="S1142" s="59" t="str">
        <f>MID(Tabla1[[#This Row],[Aplicación]],6,2)</f>
        <v>07</v>
      </c>
      <c r="T1142" s="35" t="str">
        <f>VLOOKUP(Tabla1[[#This Row],[AREA]],Hoja1!A:B,2,FALSE)</f>
        <v>07. Medio ambiente y desarrollo sostenible</v>
      </c>
      <c r="U1142" s="35" t="str">
        <f>MID(Tabla1[[#This Row],[Aplicación]],9,4)</f>
        <v>1701</v>
      </c>
      <c r="V1142" s="35" t="str">
        <f>VLOOKUP(Tabla1[[#This Row],[PROGRAMA]],Hoja1!A:B,2,FALSE)</f>
        <v>1701. Dirección del área de medio ambiente</v>
      </c>
      <c r="W1142" s="56" t="str">
        <f>MID(Tabla1[[#This Row],[Aplicación]],14,2)</f>
        <v>22</v>
      </c>
      <c r="X1142" s="56" t="str">
        <f>MID(Tabla1[[#This Row],[Aplicación]],14,6)</f>
        <v>22110</v>
      </c>
    </row>
    <row r="1143" spans="1:24" x14ac:dyDescent="0.25">
      <c r="A1143" s="46">
        <v>220230003234</v>
      </c>
      <c r="B1143" s="47" t="s">
        <v>507</v>
      </c>
      <c r="C1143" s="52">
        <v>44971</v>
      </c>
      <c r="D1143" s="46">
        <v>22023002287</v>
      </c>
      <c r="E1143" s="47" t="s">
        <v>2380</v>
      </c>
      <c r="F1143" s="53">
        <v>3500</v>
      </c>
      <c r="G1143" s="47" t="s">
        <v>63</v>
      </c>
      <c r="H1143" s="47" t="s">
        <v>2381</v>
      </c>
      <c r="I1143" s="46" t="s">
        <v>511</v>
      </c>
      <c r="J1143" s="47" t="s">
        <v>519</v>
      </c>
      <c r="K1143" s="47" t="s">
        <v>519</v>
      </c>
      <c r="L1143" s="47" t="s">
        <v>552</v>
      </c>
      <c r="M1143" s="47" t="s">
        <v>976</v>
      </c>
      <c r="N1143" s="47" t="s">
        <v>839</v>
      </c>
      <c r="O1143" s="45" t="s">
        <v>383</v>
      </c>
      <c r="P1143" s="44" t="s">
        <v>309</v>
      </c>
      <c r="Q1143" s="59" t="str">
        <f>MID(Tabla1[[#This Row],[Aplicación]],14,1)</f>
        <v>2</v>
      </c>
      <c r="R1143" s="35" t="s">
        <v>298</v>
      </c>
      <c r="S1143" s="59" t="str">
        <f>MID(Tabla1[[#This Row],[Aplicación]],6,2)</f>
        <v>07</v>
      </c>
      <c r="T1143" s="35" t="str">
        <f>VLOOKUP(Tabla1[[#This Row],[AREA]],Hoja1!A:B,2,FALSE)</f>
        <v>07. Medio ambiente y desarrollo sostenible</v>
      </c>
      <c r="U1143" s="35" t="str">
        <f>MID(Tabla1[[#This Row],[Aplicación]],9,4)</f>
        <v>1711</v>
      </c>
      <c r="V1143" s="35" t="str">
        <f>VLOOKUP(Tabla1[[#This Row],[PROGRAMA]],Hoja1!A:B,2,FALSE)</f>
        <v>1711. Parques y jardines</v>
      </c>
      <c r="W1143" s="56" t="str">
        <f>MID(Tabla1[[#This Row],[Aplicación]],14,2)</f>
        <v>22</v>
      </c>
      <c r="X1143" s="56" t="str">
        <f>MID(Tabla1[[#This Row],[Aplicación]],14,6)</f>
        <v>22110</v>
      </c>
    </row>
    <row r="1144" spans="1:24" x14ac:dyDescent="0.25">
      <c r="A1144" s="46">
        <v>220230002036</v>
      </c>
      <c r="B1144" s="47" t="s">
        <v>507</v>
      </c>
      <c r="C1144" s="52">
        <v>44960</v>
      </c>
      <c r="D1144" s="46">
        <v>22023001809</v>
      </c>
      <c r="E1144" s="47" t="s">
        <v>1846</v>
      </c>
      <c r="F1144" s="53">
        <v>363</v>
      </c>
      <c r="G1144" s="47" t="s">
        <v>501</v>
      </c>
      <c r="H1144" s="47" t="s">
        <v>2382</v>
      </c>
      <c r="I1144" s="46" t="s">
        <v>511</v>
      </c>
      <c r="J1144" s="47" t="s">
        <v>519</v>
      </c>
      <c r="K1144" s="47" t="s">
        <v>519</v>
      </c>
      <c r="L1144" s="47" t="s">
        <v>520</v>
      </c>
      <c r="M1144" s="47" t="s">
        <v>976</v>
      </c>
      <c r="N1144" s="47" t="s">
        <v>839</v>
      </c>
      <c r="O1144" s="45" t="s">
        <v>383</v>
      </c>
      <c r="P1144" s="44" t="s">
        <v>309</v>
      </c>
      <c r="Q1144" s="59" t="str">
        <f>MID(Tabla1[[#This Row],[Aplicación]],14,1)</f>
        <v>2</v>
      </c>
      <c r="R1144" s="35" t="s">
        <v>298</v>
      </c>
      <c r="S1144" s="59" t="str">
        <f>MID(Tabla1[[#This Row],[Aplicación]],6,2)</f>
        <v>07</v>
      </c>
      <c r="T1144" s="35" t="str">
        <f>VLOOKUP(Tabla1[[#This Row],[AREA]],Hoja1!A:B,2,FALSE)</f>
        <v>07. Medio ambiente y desarrollo sostenible</v>
      </c>
      <c r="U1144" s="35" t="str">
        <f>MID(Tabla1[[#This Row],[Aplicación]],9,4)</f>
        <v>1721</v>
      </c>
      <c r="V1144" s="35" t="str">
        <f>VLOOKUP(Tabla1[[#This Row],[PROGRAMA]],Hoja1!A:B,2,FALSE)</f>
        <v>1721. Protección del medio ambiente</v>
      </c>
      <c r="W1144" s="56" t="str">
        <f>MID(Tabla1[[#This Row],[Aplicación]],14,2)</f>
        <v>21</v>
      </c>
      <c r="X1144" s="56" t="str">
        <f>MID(Tabla1[[#This Row],[Aplicación]],14,6)</f>
        <v>214</v>
      </c>
    </row>
    <row r="1145" spans="1:24" x14ac:dyDescent="0.25">
      <c r="A1145" s="46">
        <v>220230002029</v>
      </c>
      <c r="B1145" s="47" t="s">
        <v>507</v>
      </c>
      <c r="C1145" s="52">
        <v>44960</v>
      </c>
      <c r="D1145" s="46">
        <v>22023001685</v>
      </c>
      <c r="E1145" s="47" t="s">
        <v>659</v>
      </c>
      <c r="F1145" s="53">
        <v>4000</v>
      </c>
      <c r="G1145" s="47" t="s">
        <v>501</v>
      </c>
      <c r="H1145" s="47" t="s">
        <v>2383</v>
      </c>
      <c r="I1145" s="46" t="s">
        <v>511</v>
      </c>
      <c r="J1145" s="47" t="s">
        <v>519</v>
      </c>
      <c r="K1145" s="47" t="s">
        <v>519</v>
      </c>
      <c r="L1145" s="47" t="s">
        <v>520</v>
      </c>
      <c r="M1145" s="47" t="s">
        <v>976</v>
      </c>
      <c r="N1145" s="47" t="s">
        <v>839</v>
      </c>
      <c r="O1145" s="45" t="s">
        <v>383</v>
      </c>
      <c r="P1145" s="44" t="s">
        <v>309</v>
      </c>
      <c r="Q1145" s="59" t="str">
        <f>MID(Tabla1[[#This Row],[Aplicación]],14,1)</f>
        <v>2</v>
      </c>
      <c r="R1145" s="35" t="s">
        <v>298</v>
      </c>
      <c r="S1145" s="59" t="str">
        <f>MID(Tabla1[[#This Row],[Aplicación]],6,2)</f>
        <v>11</v>
      </c>
      <c r="T1145" s="35" t="str">
        <f>VLOOKUP(Tabla1[[#This Row],[AREA]],Hoja1!A:B,2,FALSE)</f>
        <v>11. Salud pública y seguridad ciudadana</v>
      </c>
      <c r="U1145" s="35" t="str">
        <f>MID(Tabla1[[#This Row],[Aplicación]],9,4)</f>
        <v>1321</v>
      </c>
      <c r="V1145" s="35" t="str">
        <f>VLOOKUP(Tabla1[[#This Row],[PROGRAMA]],Hoja1!A:B,2,FALSE)</f>
        <v>1321. Policía municipal</v>
      </c>
      <c r="W1145" s="56" t="str">
        <f>MID(Tabla1[[#This Row],[Aplicación]],14,2)</f>
        <v>21</v>
      </c>
      <c r="X1145" s="56" t="str">
        <f>MID(Tabla1[[#This Row],[Aplicación]],14,6)</f>
        <v>213</v>
      </c>
    </row>
    <row r="1146" spans="1:24" x14ac:dyDescent="0.25">
      <c r="A1146" s="46">
        <v>220230002943</v>
      </c>
      <c r="B1146" s="47" t="s">
        <v>507</v>
      </c>
      <c r="C1146" s="52">
        <v>44967</v>
      </c>
      <c r="D1146" s="46">
        <v>22023002031</v>
      </c>
      <c r="E1146" s="47" t="s">
        <v>2384</v>
      </c>
      <c r="F1146" s="53">
        <v>2420</v>
      </c>
      <c r="G1146" s="47" t="s">
        <v>2385</v>
      </c>
      <c r="H1146" s="47" t="s">
        <v>2386</v>
      </c>
      <c r="I1146" s="46" t="s">
        <v>511</v>
      </c>
      <c r="J1146" s="47" t="s">
        <v>2242</v>
      </c>
      <c r="K1146" s="47" t="s">
        <v>519</v>
      </c>
      <c r="L1146" s="47" t="s">
        <v>520</v>
      </c>
      <c r="M1146" s="47" t="s">
        <v>976</v>
      </c>
      <c r="N1146" s="47" t="s">
        <v>839</v>
      </c>
      <c r="O1146" s="45" t="s">
        <v>383</v>
      </c>
      <c r="P1146" s="44" t="s">
        <v>309</v>
      </c>
      <c r="Q1146" s="59" t="str">
        <f>MID(Tabla1[[#This Row],[Aplicación]],14,1)</f>
        <v>2</v>
      </c>
      <c r="R1146" s="35" t="s">
        <v>298</v>
      </c>
      <c r="S1146" s="59" t="str">
        <f>MID(Tabla1[[#This Row],[Aplicación]],6,2)</f>
        <v>04</v>
      </c>
      <c r="T1146" s="35" t="str">
        <f>VLOOKUP(Tabla1[[#This Row],[AREA]],Hoja1!A:B,2,FALSE)</f>
        <v>04. Planificación y recursos</v>
      </c>
      <c r="U1146" s="35" t="str">
        <f>MID(Tabla1[[#This Row],[Aplicación]],9,4)</f>
        <v>3121</v>
      </c>
      <c r="V1146" s="35" t="str">
        <f>VLOOKUP(Tabla1[[#This Row],[PROGRAMA]],Hoja1!A:B,2,FALSE)</f>
        <v>3121. Prevención y salud laboral</v>
      </c>
      <c r="W1146" s="56" t="str">
        <f>MID(Tabla1[[#This Row],[Aplicación]],14,2)</f>
        <v>22</v>
      </c>
      <c r="X1146" s="56" t="str">
        <f>MID(Tabla1[[#This Row],[Aplicación]],14,6)</f>
        <v>22199</v>
      </c>
    </row>
    <row r="1147" spans="1:24" x14ac:dyDescent="0.25">
      <c r="A1147" s="46">
        <v>220230004522</v>
      </c>
      <c r="B1147" s="47" t="s">
        <v>1249</v>
      </c>
      <c r="C1147" s="52">
        <v>44978</v>
      </c>
      <c r="D1147" s="46">
        <v>22023002604</v>
      </c>
      <c r="E1147" s="47" t="s">
        <v>2387</v>
      </c>
      <c r="F1147" s="53">
        <v>2470.41</v>
      </c>
      <c r="G1147" s="47" t="s">
        <v>77</v>
      </c>
      <c r="H1147" s="47" t="s">
        <v>2388</v>
      </c>
      <c r="I1147" s="46" t="s">
        <v>1251</v>
      </c>
      <c r="J1147" s="47" t="s">
        <v>2336</v>
      </c>
      <c r="K1147" s="47" t="s">
        <v>1359</v>
      </c>
      <c r="L1147" s="47" t="s">
        <v>520</v>
      </c>
      <c r="M1147" s="47" t="s">
        <v>514</v>
      </c>
      <c r="N1147" s="47" t="s">
        <v>515</v>
      </c>
      <c r="O1147" s="45" t="s">
        <v>371</v>
      </c>
      <c r="P1147" s="44" t="s">
        <v>309</v>
      </c>
      <c r="Q1147" s="59" t="str">
        <f>MID(Tabla1[[#This Row],[Aplicación]],14,1)</f>
        <v>2</v>
      </c>
      <c r="R1147" s="35" t="s">
        <v>298</v>
      </c>
      <c r="S1147" s="59" t="str">
        <f>MID(Tabla1[[#This Row],[Aplicación]],6,2)</f>
        <v>11</v>
      </c>
      <c r="T1147" s="35" t="str">
        <f>VLOOKUP(Tabla1[[#This Row],[AREA]],Hoja1!A:B,2,FALSE)</f>
        <v>11. Salud pública y seguridad ciudadana</v>
      </c>
      <c r="U1147" s="35" t="str">
        <f>MID(Tabla1[[#This Row],[Aplicación]],9,4)</f>
        <v>3111</v>
      </c>
      <c r="V1147" s="35" t="str">
        <f>VLOOKUP(Tabla1[[#This Row],[PROGRAMA]],Hoja1!A:B,2,FALSE)</f>
        <v>3111. Protección de la salubridad pública</v>
      </c>
      <c r="W1147" s="56" t="str">
        <f>MID(Tabla1[[#This Row],[Aplicación]],14,2)</f>
        <v>22</v>
      </c>
      <c r="X1147" s="56" t="str">
        <f>MID(Tabla1[[#This Row],[Aplicación]],14,6)</f>
        <v>22606</v>
      </c>
    </row>
    <row r="1148" spans="1:24" x14ac:dyDescent="0.25">
      <c r="A1148" s="46">
        <v>220230004473</v>
      </c>
      <c r="B1148" s="47" t="s">
        <v>1514</v>
      </c>
      <c r="C1148" s="52">
        <v>44978</v>
      </c>
      <c r="D1148" s="46">
        <v>22023000213</v>
      </c>
      <c r="E1148" s="47" t="s">
        <v>1694</v>
      </c>
      <c r="F1148" s="53">
        <v>6024.94</v>
      </c>
      <c r="G1148" s="47" t="s">
        <v>2389</v>
      </c>
      <c r="H1148" s="47" t="s">
        <v>2390</v>
      </c>
      <c r="I1148" s="46" t="s">
        <v>1517</v>
      </c>
      <c r="J1148" s="47" t="s">
        <v>519</v>
      </c>
      <c r="K1148" s="47" t="s">
        <v>519</v>
      </c>
      <c r="L1148" s="47" t="s">
        <v>520</v>
      </c>
      <c r="M1148" s="47" t="s">
        <v>514</v>
      </c>
      <c r="N1148" s="47" t="s">
        <v>515</v>
      </c>
      <c r="O1148" s="45" t="s">
        <v>382</v>
      </c>
      <c r="P1148" s="44" t="s">
        <v>309</v>
      </c>
      <c r="Q1148" s="59" t="str">
        <f>MID(Tabla1[[#This Row],[Aplicación]],14,1)</f>
        <v>2</v>
      </c>
      <c r="R1148" s="35" t="s">
        <v>298</v>
      </c>
      <c r="S1148" s="59" t="str">
        <f>MID(Tabla1[[#This Row],[Aplicación]],6,2)</f>
        <v>11</v>
      </c>
      <c r="T1148" s="35" t="str">
        <f>VLOOKUP(Tabla1[[#This Row],[AREA]],Hoja1!A:B,2,FALSE)</f>
        <v>11. Salud pública y seguridad ciudadana</v>
      </c>
      <c r="U1148" s="35" t="str">
        <f>MID(Tabla1[[#This Row],[Aplicación]],9,4)</f>
        <v>1321</v>
      </c>
      <c r="V1148" s="35" t="str">
        <f>VLOOKUP(Tabla1[[#This Row],[PROGRAMA]],Hoja1!A:B,2,FALSE)</f>
        <v>1321. Policía municipal</v>
      </c>
      <c r="W1148" s="56" t="str">
        <f>MID(Tabla1[[#This Row],[Aplicación]],14,2)</f>
        <v>21</v>
      </c>
      <c r="X1148" s="56" t="str">
        <f>MID(Tabla1[[#This Row],[Aplicación]],14,6)</f>
        <v>214</v>
      </c>
    </row>
    <row r="1149" spans="1:24" x14ac:dyDescent="0.25">
      <c r="A1149" s="46">
        <v>220230004516</v>
      </c>
      <c r="B1149" s="47" t="s">
        <v>1514</v>
      </c>
      <c r="C1149" s="52">
        <v>44978</v>
      </c>
      <c r="D1149" s="46">
        <v>22023000270</v>
      </c>
      <c r="E1149" s="47" t="s">
        <v>1694</v>
      </c>
      <c r="F1149" s="53">
        <v>1193.05</v>
      </c>
      <c r="G1149" s="47" t="s">
        <v>2391</v>
      </c>
      <c r="H1149" s="47" t="s">
        <v>2392</v>
      </c>
      <c r="I1149" s="46" t="s">
        <v>1517</v>
      </c>
      <c r="J1149" s="47" t="s">
        <v>519</v>
      </c>
      <c r="K1149" s="47" t="s">
        <v>519</v>
      </c>
      <c r="L1149" s="47" t="s">
        <v>520</v>
      </c>
      <c r="M1149" s="47" t="s">
        <v>514</v>
      </c>
      <c r="N1149" s="47" t="s">
        <v>515</v>
      </c>
      <c r="O1149" s="54" t="s">
        <v>382</v>
      </c>
      <c r="P1149" s="44" t="s">
        <v>309</v>
      </c>
      <c r="Q1149" s="59" t="str">
        <f>MID(Tabla1[[#This Row],[Aplicación]],14,1)</f>
        <v>2</v>
      </c>
      <c r="R1149" s="35" t="s">
        <v>298</v>
      </c>
      <c r="S1149" s="59" t="str">
        <f>MID(Tabla1[[#This Row],[Aplicación]],6,2)</f>
        <v>11</v>
      </c>
      <c r="T1149" s="35" t="str">
        <f>VLOOKUP(Tabla1[[#This Row],[AREA]],Hoja1!A:B,2,FALSE)</f>
        <v>11. Salud pública y seguridad ciudadana</v>
      </c>
      <c r="U1149" s="35" t="str">
        <f>MID(Tabla1[[#This Row],[Aplicación]],9,4)</f>
        <v>1321</v>
      </c>
      <c r="V1149" s="35" t="str">
        <f>VLOOKUP(Tabla1[[#This Row],[PROGRAMA]],Hoja1!A:B,2,FALSE)</f>
        <v>1321. Policía municipal</v>
      </c>
      <c r="W1149" s="56" t="str">
        <f>MID(Tabla1[[#This Row],[Aplicación]],14,2)</f>
        <v>21</v>
      </c>
      <c r="X1149" s="56" t="str">
        <f>MID(Tabla1[[#This Row],[Aplicación]],14,6)</f>
        <v>214</v>
      </c>
    </row>
    <row r="1150" spans="1:24" x14ac:dyDescent="0.25">
      <c r="A1150" s="46">
        <v>220230004459</v>
      </c>
      <c r="B1150" s="47" t="s">
        <v>1249</v>
      </c>
      <c r="C1150" s="52">
        <v>44978</v>
      </c>
      <c r="D1150" s="46">
        <v>22023002515</v>
      </c>
      <c r="E1150" s="47" t="s">
        <v>2393</v>
      </c>
      <c r="F1150" s="53">
        <v>2461.14</v>
      </c>
      <c r="G1150" s="47" t="s">
        <v>2394</v>
      </c>
      <c r="H1150" s="47" t="s">
        <v>2395</v>
      </c>
      <c r="I1150" s="46" t="s">
        <v>1251</v>
      </c>
      <c r="J1150" s="47" t="s">
        <v>519</v>
      </c>
      <c r="K1150" s="47" t="s">
        <v>519</v>
      </c>
      <c r="L1150" s="47" t="s">
        <v>552</v>
      </c>
      <c r="M1150" s="47" t="s">
        <v>976</v>
      </c>
      <c r="N1150" s="47" t="s">
        <v>839</v>
      </c>
      <c r="O1150" s="45" t="s">
        <v>383</v>
      </c>
      <c r="P1150" s="44" t="s">
        <v>309</v>
      </c>
      <c r="Q1150" s="59" t="str">
        <f>MID(Tabla1[[#This Row],[Aplicación]],14,1)</f>
        <v>2</v>
      </c>
      <c r="R1150" s="35" t="s">
        <v>298</v>
      </c>
      <c r="S1150" s="59" t="str">
        <f>MID(Tabla1[[#This Row],[Aplicación]],6,2)</f>
        <v>06</v>
      </c>
      <c r="T1150" s="35" t="str">
        <f>VLOOKUP(Tabla1[[#This Row],[AREA]],Hoja1!A:B,2,FALSE)</f>
        <v>06. Educación, infancia, juventud e igualdad</v>
      </c>
      <c r="U1150" s="35" t="str">
        <f>MID(Tabla1[[#This Row],[Aplicación]],9,4)</f>
        <v>3321</v>
      </c>
      <c r="V1150" s="35" t="str">
        <f>VLOOKUP(Tabla1[[#This Row],[PROGRAMA]],Hoja1!A:B,2,FALSE)</f>
        <v>3321. Bibliotecas públicas</v>
      </c>
      <c r="W1150" s="56" t="str">
        <f>MID(Tabla1[[#This Row],[Aplicación]],14,2)</f>
        <v>22</v>
      </c>
      <c r="X1150" s="56" t="str">
        <f>MID(Tabla1[[#This Row],[Aplicación]],14,6)</f>
        <v>22699</v>
      </c>
    </row>
    <row r="1151" spans="1:24" x14ac:dyDescent="0.25">
      <c r="A1151" s="46">
        <v>220230004434</v>
      </c>
      <c r="B1151" s="47" t="s">
        <v>1514</v>
      </c>
      <c r="C1151" s="52">
        <v>44978</v>
      </c>
      <c r="D1151" s="46">
        <v>22023001514</v>
      </c>
      <c r="E1151" s="47" t="s">
        <v>1285</v>
      </c>
      <c r="F1151" s="53">
        <v>182.71</v>
      </c>
      <c r="G1151" s="47" t="s">
        <v>1979</v>
      </c>
      <c r="H1151" s="47" t="s">
        <v>2396</v>
      </c>
      <c r="I1151" s="46" t="s">
        <v>1517</v>
      </c>
      <c r="J1151" s="47" t="s">
        <v>519</v>
      </c>
      <c r="K1151" s="47" t="s">
        <v>519</v>
      </c>
      <c r="L1151" s="47" t="s">
        <v>552</v>
      </c>
      <c r="M1151" s="47" t="s">
        <v>514</v>
      </c>
      <c r="N1151" s="47" t="s">
        <v>515</v>
      </c>
      <c r="O1151" s="45" t="s">
        <v>382</v>
      </c>
      <c r="P1151" s="44" t="s">
        <v>309</v>
      </c>
      <c r="Q1151" s="59" t="str">
        <f>MID(Tabla1[[#This Row],[Aplicación]],14,1)</f>
        <v>2</v>
      </c>
      <c r="R1151" s="35" t="s">
        <v>298</v>
      </c>
      <c r="S1151" s="59" t="str">
        <f>MID(Tabla1[[#This Row],[Aplicación]],6,2)</f>
        <v>11</v>
      </c>
      <c r="T1151" s="35" t="str">
        <f>VLOOKUP(Tabla1[[#This Row],[AREA]],Hoja1!A:B,2,FALSE)</f>
        <v>11. Salud pública y seguridad ciudadana</v>
      </c>
      <c r="U1151" s="35" t="str">
        <f>MID(Tabla1[[#This Row],[Aplicación]],9,4)</f>
        <v>1361</v>
      </c>
      <c r="V1151" s="35" t="str">
        <f>VLOOKUP(Tabla1[[#This Row],[PROGRAMA]],Hoja1!A:B,2,FALSE)</f>
        <v>1361. Prevención y extinción de incencios</v>
      </c>
      <c r="W1151" s="56" t="str">
        <f>MID(Tabla1[[#This Row],[Aplicación]],14,2)</f>
        <v>22</v>
      </c>
      <c r="X1151" s="56" t="str">
        <f>MID(Tabla1[[#This Row],[Aplicación]],14,6)</f>
        <v>22199</v>
      </c>
    </row>
    <row r="1152" spans="1:24" x14ac:dyDescent="0.25">
      <c r="A1152" s="46">
        <v>220230004518</v>
      </c>
      <c r="B1152" s="47" t="s">
        <v>1514</v>
      </c>
      <c r="C1152" s="52">
        <v>44978</v>
      </c>
      <c r="D1152" s="46">
        <v>22023000268</v>
      </c>
      <c r="E1152" s="47" t="s">
        <v>659</v>
      </c>
      <c r="F1152" s="53">
        <v>137.72999999999999</v>
      </c>
      <c r="G1152" s="47" t="s">
        <v>1979</v>
      </c>
      <c r="H1152" s="47" t="s">
        <v>2397</v>
      </c>
      <c r="I1152" s="46" t="s">
        <v>1517</v>
      </c>
      <c r="J1152" s="47" t="s">
        <v>519</v>
      </c>
      <c r="K1152" s="47" t="s">
        <v>519</v>
      </c>
      <c r="L1152" s="47" t="s">
        <v>552</v>
      </c>
      <c r="M1152" s="47" t="s">
        <v>514</v>
      </c>
      <c r="N1152" s="47" t="s">
        <v>515</v>
      </c>
      <c r="O1152" s="54" t="s">
        <v>382</v>
      </c>
      <c r="P1152" s="44" t="s">
        <v>309</v>
      </c>
      <c r="Q1152" s="59" t="str">
        <f>MID(Tabla1[[#This Row],[Aplicación]],14,1)</f>
        <v>2</v>
      </c>
      <c r="R1152" s="35" t="s">
        <v>298</v>
      </c>
      <c r="S1152" s="59" t="str">
        <f>MID(Tabla1[[#This Row],[Aplicación]],6,2)</f>
        <v>11</v>
      </c>
      <c r="T1152" s="35" t="str">
        <f>VLOOKUP(Tabla1[[#This Row],[AREA]],Hoja1!A:B,2,FALSE)</f>
        <v>11. Salud pública y seguridad ciudadana</v>
      </c>
      <c r="U1152" s="35" t="str">
        <f>MID(Tabla1[[#This Row],[Aplicación]],9,4)</f>
        <v>1321</v>
      </c>
      <c r="V1152" s="35" t="str">
        <f>VLOOKUP(Tabla1[[#This Row],[PROGRAMA]],Hoja1!A:B,2,FALSE)</f>
        <v>1321. Policía municipal</v>
      </c>
      <c r="W1152" s="56" t="str">
        <f>MID(Tabla1[[#This Row],[Aplicación]],14,2)</f>
        <v>21</v>
      </c>
      <c r="X1152" s="56" t="str">
        <f>MID(Tabla1[[#This Row],[Aplicación]],14,6)</f>
        <v>213</v>
      </c>
    </row>
    <row r="1153" spans="1:24" x14ac:dyDescent="0.25">
      <c r="A1153" s="46">
        <v>220230004423</v>
      </c>
      <c r="B1153" s="47" t="s">
        <v>1249</v>
      </c>
      <c r="C1153" s="52">
        <v>44978</v>
      </c>
      <c r="D1153" s="46">
        <v>22023002491</v>
      </c>
      <c r="E1153" s="47" t="s">
        <v>1150</v>
      </c>
      <c r="F1153" s="53">
        <v>1031.46</v>
      </c>
      <c r="G1153" s="47" t="s">
        <v>73</v>
      </c>
      <c r="H1153" s="47" t="s">
        <v>2398</v>
      </c>
      <c r="I1153" s="46" t="s">
        <v>1251</v>
      </c>
      <c r="J1153" s="47" t="s">
        <v>519</v>
      </c>
      <c r="K1153" s="47" t="s">
        <v>512</v>
      </c>
      <c r="L1153" s="47" t="s">
        <v>552</v>
      </c>
      <c r="M1153" s="47" t="s">
        <v>976</v>
      </c>
      <c r="N1153" s="47" t="s">
        <v>839</v>
      </c>
      <c r="O1153" s="45" t="s">
        <v>383</v>
      </c>
      <c r="P1153" s="44" t="s">
        <v>309</v>
      </c>
      <c r="Q1153" s="59" t="str">
        <f>MID(Tabla1[[#This Row],[Aplicación]],14,1)</f>
        <v>2</v>
      </c>
      <c r="R1153" s="35" t="s">
        <v>298</v>
      </c>
      <c r="S1153" s="59" t="str">
        <f>MID(Tabla1[[#This Row],[Aplicación]],6,2)</f>
        <v>03</v>
      </c>
      <c r="T1153" s="35" t="str">
        <f>VLOOKUP(Tabla1[[#This Row],[AREA]],Hoja1!A:B,2,FALSE)</f>
        <v>03. Participación ciudadana y deportes</v>
      </c>
      <c r="U1153" s="35" t="str">
        <f>MID(Tabla1[[#This Row],[Aplicación]],9,4)</f>
        <v>9241</v>
      </c>
      <c r="V1153" s="35" t="str">
        <f>VLOOKUP(Tabla1[[#This Row],[PROGRAMA]],Hoja1!A:B,2,FALSE)</f>
        <v>9241. Participación ciudadana</v>
      </c>
      <c r="W1153" s="56" t="str">
        <f>MID(Tabla1[[#This Row],[Aplicación]],14,2)</f>
        <v>21</v>
      </c>
      <c r="X1153" s="56" t="str">
        <f>MID(Tabla1[[#This Row],[Aplicación]],14,6)</f>
        <v>213</v>
      </c>
    </row>
    <row r="1154" spans="1:24" x14ac:dyDescent="0.25">
      <c r="A1154" s="46">
        <v>220230004484</v>
      </c>
      <c r="B1154" s="47" t="s">
        <v>1514</v>
      </c>
      <c r="C1154" s="52">
        <v>44978</v>
      </c>
      <c r="D1154" s="46">
        <v>22023000213</v>
      </c>
      <c r="E1154" s="47" t="s">
        <v>1694</v>
      </c>
      <c r="F1154" s="53">
        <v>4658.74</v>
      </c>
      <c r="G1154" s="47" t="s">
        <v>1983</v>
      </c>
      <c r="H1154" s="47" t="s">
        <v>2399</v>
      </c>
      <c r="I1154" s="46" t="s">
        <v>1517</v>
      </c>
      <c r="J1154" s="47" t="s">
        <v>519</v>
      </c>
      <c r="K1154" s="47" t="s">
        <v>519</v>
      </c>
      <c r="L1154" s="47" t="s">
        <v>520</v>
      </c>
      <c r="M1154" s="47" t="s">
        <v>514</v>
      </c>
      <c r="N1154" s="47" t="s">
        <v>515</v>
      </c>
      <c r="O1154" s="54" t="s">
        <v>382</v>
      </c>
      <c r="P1154" s="44" t="s">
        <v>309</v>
      </c>
      <c r="Q1154" s="59" t="str">
        <f>MID(Tabla1[[#This Row],[Aplicación]],14,1)</f>
        <v>2</v>
      </c>
      <c r="R1154" s="35" t="s">
        <v>298</v>
      </c>
      <c r="S1154" s="59" t="str">
        <f>MID(Tabla1[[#This Row],[Aplicación]],6,2)</f>
        <v>11</v>
      </c>
      <c r="T1154" s="35" t="str">
        <f>VLOOKUP(Tabla1[[#This Row],[AREA]],Hoja1!A:B,2,FALSE)</f>
        <v>11. Salud pública y seguridad ciudadana</v>
      </c>
      <c r="U1154" s="35" t="str">
        <f>MID(Tabla1[[#This Row],[Aplicación]],9,4)</f>
        <v>1321</v>
      </c>
      <c r="V1154" s="35" t="str">
        <f>VLOOKUP(Tabla1[[#This Row],[PROGRAMA]],Hoja1!A:B,2,FALSE)</f>
        <v>1321. Policía municipal</v>
      </c>
      <c r="W1154" s="56" t="str">
        <f>MID(Tabla1[[#This Row],[Aplicación]],14,2)</f>
        <v>21</v>
      </c>
      <c r="X1154" s="56" t="str">
        <f>MID(Tabla1[[#This Row],[Aplicación]],14,6)</f>
        <v>214</v>
      </c>
    </row>
    <row r="1155" spans="1:24" x14ac:dyDescent="0.25">
      <c r="A1155" s="46">
        <v>220230004505</v>
      </c>
      <c r="B1155" s="47" t="s">
        <v>1514</v>
      </c>
      <c r="C1155" s="52">
        <v>44978</v>
      </c>
      <c r="D1155" s="46">
        <v>22023000213</v>
      </c>
      <c r="E1155" s="47" t="s">
        <v>1694</v>
      </c>
      <c r="F1155" s="53">
        <v>3866.81</v>
      </c>
      <c r="G1155" s="47" t="s">
        <v>1985</v>
      </c>
      <c r="H1155" s="47" t="s">
        <v>2400</v>
      </c>
      <c r="I1155" s="46" t="s">
        <v>1517</v>
      </c>
      <c r="J1155" s="47" t="s">
        <v>519</v>
      </c>
      <c r="K1155" s="47" t="s">
        <v>519</v>
      </c>
      <c r="L1155" s="47" t="s">
        <v>520</v>
      </c>
      <c r="M1155" s="47" t="s">
        <v>514</v>
      </c>
      <c r="N1155" s="47" t="s">
        <v>515</v>
      </c>
      <c r="O1155" s="54" t="s">
        <v>382</v>
      </c>
      <c r="P1155" s="44" t="s">
        <v>309</v>
      </c>
      <c r="Q1155" s="59" t="str">
        <f>MID(Tabla1[[#This Row],[Aplicación]],14,1)</f>
        <v>2</v>
      </c>
      <c r="R1155" s="35" t="s">
        <v>298</v>
      </c>
      <c r="S1155" s="59" t="str">
        <f>MID(Tabla1[[#This Row],[Aplicación]],6,2)</f>
        <v>11</v>
      </c>
      <c r="T1155" s="35" t="str">
        <f>VLOOKUP(Tabla1[[#This Row],[AREA]],Hoja1!A:B,2,FALSE)</f>
        <v>11. Salud pública y seguridad ciudadana</v>
      </c>
      <c r="U1155" s="35" t="str">
        <f>MID(Tabla1[[#This Row],[Aplicación]],9,4)</f>
        <v>1321</v>
      </c>
      <c r="V1155" s="35" t="str">
        <f>VLOOKUP(Tabla1[[#This Row],[PROGRAMA]],Hoja1!A:B,2,FALSE)</f>
        <v>1321. Policía municipal</v>
      </c>
      <c r="W1155" s="56" t="str">
        <f>MID(Tabla1[[#This Row],[Aplicación]],14,2)</f>
        <v>21</v>
      </c>
      <c r="X1155" s="56" t="str">
        <f>MID(Tabla1[[#This Row],[Aplicación]],14,6)</f>
        <v>214</v>
      </c>
    </row>
    <row r="1156" spans="1:24" x14ac:dyDescent="0.25">
      <c r="A1156" s="46">
        <v>220230004424</v>
      </c>
      <c r="B1156" s="47" t="s">
        <v>1249</v>
      </c>
      <c r="C1156" s="52">
        <v>44978</v>
      </c>
      <c r="D1156" s="46">
        <v>22023002492</v>
      </c>
      <c r="E1156" s="47" t="s">
        <v>1150</v>
      </c>
      <c r="F1156" s="53">
        <v>808.12</v>
      </c>
      <c r="G1156" s="47" t="s">
        <v>73</v>
      </c>
      <c r="H1156" s="47" t="s">
        <v>2401</v>
      </c>
      <c r="I1156" s="46" t="s">
        <v>1251</v>
      </c>
      <c r="J1156" s="47" t="s">
        <v>519</v>
      </c>
      <c r="K1156" s="47" t="s">
        <v>512</v>
      </c>
      <c r="L1156" s="47" t="s">
        <v>552</v>
      </c>
      <c r="M1156" s="47" t="s">
        <v>976</v>
      </c>
      <c r="N1156" s="47" t="s">
        <v>839</v>
      </c>
      <c r="O1156" s="45" t="s">
        <v>383</v>
      </c>
      <c r="P1156" s="44" t="s">
        <v>309</v>
      </c>
      <c r="Q1156" s="59" t="str">
        <f>MID(Tabla1[[#This Row],[Aplicación]],14,1)</f>
        <v>2</v>
      </c>
      <c r="R1156" s="35" t="s">
        <v>298</v>
      </c>
      <c r="S1156" s="59" t="str">
        <f>MID(Tabla1[[#This Row],[Aplicación]],6,2)</f>
        <v>03</v>
      </c>
      <c r="T1156" s="35" t="str">
        <f>VLOOKUP(Tabla1[[#This Row],[AREA]],Hoja1!A:B,2,FALSE)</f>
        <v>03. Participación ciudadana y deportes</v>
      </c>
      <c r="U1156" s="35" t="str">
        <f>MID(Tabla1[[#This Row],[Aplicación]],9,4)</f>
        <v>9241</v>
      </c>
      <c r="V1156" s="35" t="str">
        <f>VLOOKUP(Tabla1[[#This Row],[PROGRAMA]],Hoja1!A:B,2,FALSE)</f>
        <v>9241. Participación ciudadana</v>
      </c>
      <c r="W1156" s="56" t="str">
        <f>MID(Tabla1[[#This Row],[Aplicación]],14,2)</f>
        <v>21</v>
      </c>
      <c r="X1156" s="56" t="str">
        <f>MID(Tabla1[[#This Row],[Aplicación]],14,6)</f>
        <v>213</v>
      </c>
    </row>
    <row r="1157" spans="1:24" x14ac:dyDescent="0.25">
      <c r="A1157" s="46">
        <v>220230004529</v>
      </c>
      <c r="B1157" s="47" t="s">
        <v>1514</v>
      </c>
      <c r="C1157" s="52">
        <v>44978</v>
      </c>
      <c r="D1157" s="46">
        <v>22023000260</v>
      </c>
      <c r="E1157" s="47" t="s">
        <v>2402</v>
      </c>
      <c r="F1157" s="53">
        <v>16843.75</v>
      </c>
      <c r="G1157" s="47" t="s">
        <v>2403</v>
      </c>
      <c r="H1157" s="47" t="s">
        <v>2404</v>
      </c>
      <c r="I1157" s="46" t="s">
        <v>1517</v>
      </c>
      <c r="J1157" s="47" t="s">
        <v>519</v>
      </c>
      <c r="K1157" s="47" t="s">
        <v>519</v>
      </c>
      <c r="L1157" s="47" t="s">
        <v>520</v>
      </c>
      <c r="M1157" s="47" t="s">
        <v>514</v>
      </c>
      <c r="N1157" s="47" t="s">
        <v>515</v>
      </c>
      <c r="O1157" s="45" t="s">
        <v>371</v>
      </c>
      <c r="P1157" s="44" t="s">
        <v>309</v>
      </c>
      <c r="Q1157" s="59" t="str">
        <f>MID(Tabla1[[#This Row],[Aplicación]],14,1)</f>
        <v>2</v>
      </c>
      <c r="R1157" s="35" t="s">
        <v>298</v>
      </c>
      <c r="S1157" s="59" t="str">
        <f>MID(Tabla1[[#This Row],[Aplicación]],6,2)</f>
        <v>04</v>
      </c>
      <c r="T1157" s="35" t="str">
        <f>VLOOKUP(Tabla1[[#This Row],[AREA]],Hoja1!A:B,2,FALSE)</f>
        <v>04. Planificación y recursos</v>
      </c>
      <c r="U1157" s="35" t="str">
        <f>MID(Tabla1[[#This Row],[Aplicación]],9,4)</f>
        <v>3121</v>
      </c>
      <c r="V1157" s="35" t="str">
        <f>VLOOKUP(Tabla1[[#This Row],[PROGRAMA]],Hoja1!A:B,2,FALSE)</f>
        <v>3121. Prevención y salud laboral</v>
      </c>
      <c r="W1157" s="56" t="str">
        <f>MID(Tabla1[[#This Row],[Aplicación]],14,2)</f>
        <v>22</v>
      </c>
      <c r="X1157" s="56" t="str">
        <f>MID(Tabla1[[#This Row],[Aplicación]],14,6)</f>
        <v>22706</v>
      </c>
    </row>
    <row r="1158" spans="1:24" x14ac:dyDescent="0.25">
      <c r="A1158" s="46">
        <v>220230004486</v>
      </c>
      <c r="B1158" s="47" t="s">
        <v>1514</v>
      </c>
      <c r="C1158" s="52">
        <v>44978</v>
      </c>
      <c r="D1158" s="46">
        <v>22023000273</v>
      </c>
      <c r="E1158" s="47" t="s">
        <v>2310</v>
      </c>
      <c r="F1158" s="53">
        <v>438.63</v>
      </c>
      <c r="G1158" s="47" t="s">
        <v>70</v>
      </c>
      <c r="H1158" s="47" t="s">
        <v>2405</v>
      </c>
      <c r="I1158" s="46" t="s">
        <v>1517</v>
      </c>
      <c r="J1158" s="47" t="s">
        <v>519</v>
      </c>
      <c r="K1158" s="47" t="s">
        <v>519</v>
      </c>
      <c r="L1158" s="47" t="s">
        <v>552</v>
      </c>
      <c r="M1158" s="47" t="s">
        <v>514</v>
      </c>
      <c r="N1158" s="47" t="s">
        <v>515</v>
      </c>
      <c r="O1158" s="54" t="s">
        <v>382</v>
      </c>
      <c r="P1158" s="44" t="s">
        <v>309</v>
      </c>
      <c r="Q1158" s="59" t="str">
        <f>MID(Tabla1[[#This Row],[Aplicación]],14,1)</f>
        <v>2</v>
      </c>
      <c r="R1158" s="35" t="s">
        <v>298</v>
      </c>
      <c r="S1158" s="59" t="str">
        <f>MID(Tabla1[[#This Row],[Aplicación]],6,2)</f>
        <v>11</v>
      </c>
      <c r="T1158" s="35" t="str">
        <f>VLOOKUP(Tabla1[[#This Row],[AREA]],Hoja1!A:B,2,FALSE)</f>
        <v>11. Salud pública y seguridad ciudadana</v>
      </c>
      <c r="U1158" s="35" t="str">
        <f>MID(Tabla1[[#This Row],[Aplicación]],9,4)</f>
        <v>1321</v>
      </c>
      <c r="V1158" s="35" t="str">
        <f>VLOOKUP(Tabla1[[#This Row],[PROGRAMA]],Hoja1!A:B,2,FALSE)</f>
        <v>1321. Policía municipal</v>
      </c>
      <c r="W1158" s="56" t="str">
        <f>MID(Tabla1[[#This Row],[Aplicación]],14,2)</f>
        <v>22</v>
      </c>
      <c r="X1158" s="56" t="str">
        <f>MID(Tabla1[[#This Row],[Aplicación]],14,6)</f>
        <v>22199</v>
      </c>
    </row>
    <row r="1159" spans="1:24" x14ac:dyDescent="0.25">
      <c r="A1159" s="46">
        <v>220230004523</v>
      </c>
      <c r="B1159" s="47" t="s">
        <v>1514</v>
      </c>
      <c r="C1159" s="52">
        <v>44978</v>
      </c>
      <c r="D1159" s="46">
        <v>22023000273</v>
      </c>
      <c r="E1159" s="47" t="s">
        <v>2310</v>
      </c>
      <c r="F1159" s="53">
        <v>438.63</v>
      </c>
      <c r="G1159" s="47" t="s">
        <v>70</v>
      </c>
      <c r="H1159" s="47" t="s">
        <v>2406</v>
      </c>
      <c r="I1159" s="46" t="s">
        <v>1517</v>
      </c>
      <c r="J1159" s="47" t="s">
        <v>519</v>
      </c>
      <c r="K1159" s="47" t="s">
        <v>519</v>
      </c>
      <c r="L1159" s="47" t="s">
        <v>552</v>
      </c>
      <c r="M1159" s="47" t="s">
        <v>514</v>
      </c>
      <c r="N1159" s="47" t="s">
        <v>515</v>
      </c>
      <c r="O1159" s="54" t="s">
        <v>382</v>
      </c>
      <c r="P1159" s="44" t="s">
        <v>309</v>
      </c>
      <c r="Q1159" s="59" t="str">
        <f>MID(Tabla1[[#This Row],[Aplicación]],14,1)</f>
        <v>2</v>
      </c>
      <c r="R1159" s="35" t="s">
        <v>298</v>
      </c>
      <c r="S1159" s="59" t="str">
        <f>MID(Tabla1[[#This Row],[Aplicación]],6,2)</f>
        <v>11</v>
      </c>
      <c r="T1159" s="35" t="str">
        <f>VLOOKUP(Tabla1[[#This Row],[AREA]],Hoja1!A:B,2,FALSE)</f>
        <v>11. Salud pública y seguridad ciudadana</v>
      </c>
      <c r="U1159" s="35" t="str">
        <f>MID(Tabla1[[#This Row],[Aplicación]],9,4)</f>
        <v>1321</v>
      </c>
      <c r="V1159" s="35" t="str">
        <f>VLOOKUP(Tabla1[[#This Row],[PROGRAMA]],Hoja1!A:B,2,FALSE)</f>
        <v>1321. Policía municipal</v>
      </c>
      <c r="W1159" s="56" t="str">
        <f>MID(Tabla1[[#This Row],[Aplicación]],14,2)</f>
        <v>22</v>
      </c>
      <c r="X1159" s="56" t="str">
        <f>MID(Tabla1[[#This Row],[Aplicación]],14,6)</f>
        <v>22199</v>
      </c>
    </row>
    <row r="1160" spans="1:24" x14ac:dyDescent="0.25">
      <c r="A1160" s="46">
        <v>220230004481</v>
      </c>
      <c r="B1160" s="47" t="s">
        <v>1514</v>
      </c>
      <c r="C1160" s="52">
        <v>44978</v>
      </c>
      <c r="D1160" s="46">
        <v>22023000213</v>
      </c>
      <c r="E1160" s="47" t="s">
        <v>1694</v>
      </c>
      <c r="F1160" s="53">
        <v>544.04999999999995</v>
      </c>
      <c r="G1160" s="47" t="s">
        <v>1993</v>
      </c>
      <c r="H1160" s="47" t="s">
        <v>2407</v>
      </c>
      <c r="I1160" s="46" t="s">
        <v>1517</v>
      </c>
      <c r="J1160" s="47" t="s">
        <v>519</v>
      </c>
      <c r="K1160" s="47" t="s">
        <v>519</v>
      </c>
      <c r="L1160" s="47" t="s">
        <v>520</v>
      </c>
      <c r="M1160" s="47" t="s">
        <v>514</v>
      </c>
      <c r="N1160" s="47" t="s">
        <v>515</v>
      </c>
      <c r="O1160" s="54" t="s">
        <v>382</v>
      </c>
      <c r="P1160" s="44" t="s">
        <v>309</v>
      </c>
      <c r="Q1160" s="59" t="str">
        <f>MID(Tabla1[[#This Row],[Aplicación]],14,1)</f>
        <v>2</v>
      </c>
      <c r="R1160" s="35" t="s">
        <v>298</v>
      </c>
      <c r="S1160" s="59" t="str">
        <f>MID(Tabla1[[#This Row],[Aplicación]],6,2)</f>
        <v>11</v>
      </c>
      <c r="T1160" s="35" t="str">
        <f>VLOOKUP(Tabla1[[#This Row],[AREA]],Hoja1!A:B,2,FALSE)</f>
        <v>11. Salud pública y seguridad ciudadana</v>
      </c>
      <c r="U1160" s="35" t="str">
        <f>MID(Tabla1[[#This Row],[Aplicación]],9,4)</f>
        <v>1321</v>
      </c>
      <c r="V1160" s="35" t="str">
        <f>VLOOKUP(Tabla1[[#This Row],[PROGRAMA]],Hoja1!A:B,2,FALSE)</f>
        <v>1321. Policía municipal</v>
      </c>
      <c r="W1160" s="56" t="str">
        <f>MID(Tabla1[[#This Row],[Aplicación]],14,2)</f>
        <v>21</v>
      </c>
      <c r="X1160" s="56" t="str">
        <f>MID(Tabla1[[#This Row],[Aplicación]],14,6)</f>
        <v>214</v>
      </c>
    </row>
    <row r="1161" spans="1:24" x14ac:dyDescent="0.25">
      <c r="A1161" s="46">
        <v>220230004479</v>
      </c>
      <c r="B1161" s="47" t="s">
        <v>1514</v>
      </c>
      <c r="C1161" s="52">
        <v>44978</v>
      </c>
      <c r="D1161" s="46">
        <v>22023000213</v>
      </c>
      <c r="E1161" s="47" t="s">
        <v>1694</v>
      </c>
      <c r="F1161" s="53">
        <v>403.99</v>
      </c>
      <c r="G1161" s="47" t="s">
        <v>1993</v>
      </c>
      <c r="H1161" s="47" t="s">
        <v>2408</v>
      </c>
      <c r="I1161" s="46" t="s">
        <v>1517</v>
      </c>
      <c r="J1161" s="47" t="s">
        <v>519</v>
      </c>
      <c r="K1161" s="47" t="s">
        <v>519</v>
      </c>
      <c r="L1161" s="47" t="s">
        <v>520</v>
      </c>
      <c r="M1161" s="47" t="s">
        <v>514</v>
      </c>
      <c r="N1161" s="47" t="s">
        <v>515</v>
      </c>
      <c r="O1161" s="45" t="s">
        <v>382</v>
      </c>
      <c r="P1161" s="44" t="s">
        <v>309</v>
      </c>
      <c r="Q1161" s="59" t="str">
        <f>MID(Tabla1[[#This Row],[Aplicación]],14,1)</f>
        <v>2</v>
      </c>
      <c r="R1161" s="35" t="s">
        <v>298</v>
      </c>
      <c r="S1161" s="59" t="str">
        <f>MID(Tabla1[[#This Row],[Aplicación]],6,2)</f>
        <v>11</v>
      </c>
      <c r="T1161" s="35" t="str">
        <f>VLOOKUP(Tabla1[[#This Row],[AREA]],Hoja1!A:B,2,FALSE)</f>
        <v>11. Salud pública y seguridad ciudadana</v>
      </c>
      <c r="U1161" s="35" t="str">
        <f>MID(Tabla1[[#This Row],[Aplicación]],9,4)</f>
        <v>1321</v>
      </c>
      <c r="V1161" s="35" t="str">
        <f>VLOOKUP(Tabla1[[#This Row],[PROGRAMA]],Hoja1!A:B,2,FALSE)</f>
        <v>1321. Policía municipal</v>
      </c>
      <c r="W1161" s="56" t="str">
        <f>MID(Tabla1[[#This Row],[Aplicación]],14,2)</f>
        <v>21</v>
      </c>
      <c r="X1161" s="56" t="str">
        <f>MID(Tabla1[[#This Row],[Aplicación]],14,6)</f>
        <v>214</v>
      </c>
    </row>
    <row r="1162" spans="1:24" x14ac:dyDescent="0.25">
      <c r="A1162" s="46">
        <v>220230004475</v>
      </c>
      <c r="B1162" s="47" t="s">
        <v>1514</v>
      </c>
      <c r="C1162" s="52">
        <v>44978</v>
      </c>
      <c r="D1162" s="46">
        <v>22023000268</v>
      </c>
      <c r="E1162" s="47" t="s">
        <v>659</v>
      </c>
      <c r="F1162" s="53">
        <v>60.51</v>
      </c>
      <c r="G1162" s="47" t="s">
        <v>1351</v>
      </c>
      <c r="H1162" s="47" t="s">
        <v>2409</v>
      </c>
      <c r="I1162" s="46" t="s">
        <v>1517</v>
      </c>
      <c r="J1162" s="47" t="s">
        <v>519</v>
      </c>
      <c r="K1162" s="47" t="s">
        <v>519</v>
      </c>
      <c r="L1162" s="47" t="s">
        <v>552</v>
      </c>
      <c r="M1162" s="47" t="s">
        <v>514</v>
      </c>
      <c r="N1162" s="47" t="s">
        <v>515</v>
      </c>
      <c r="O1162" s="54" t="s">
        <v>382</v>
      </c>
      <c r="P1162" s="44" t="s">
        <v>309</v>
      </c>
      <c r="Q1162" s="59" t="str">
        <f>MID(Tabla1[[#This Row],[Aplicación]],14,1)</f>
        <v>2</v>
      </c>
      <c r="R1162" s="35" t="s">
        <v>298</v>
      </c>
      <c r="S1162" s="59" t="str">
        <f>MID(Tabla1[[#This Row],[Aplicación]],6,2)</f>
        <v>11</v>
      </c>
      <c r="T1162" s="35" t="str">
        <f>VLOOKUP(Tabla1[[#This Row],[AREA]],Hoja1!A:B,2,FALSE)</f>
        <v>11. Salud pública y seguridad ciudadana</v>
      </c>
      <c r="U1162" s="35" t="str">
        <f>MID(Tabla1[[#This Row],[Aplicación]],9,4)</f>
        <v>1321</v>
      </c>
      <c r="V1162" s="35" t="str">
        <f>VLOOKUP(Tabla1[[#This Row],[PROGRAMA]],Hoja1!A:B,2,FALSE)</f>
        <v>1321. Policía municipal</v>
      </c>
      <c r="W1162" s="56" t="str">
        <f>MID(Tabla1[[#This Row],[Aplicación]],14,2)</f>
        <v>21</v>
      </c>
      <c r="X1162" s="56" t="str">
        <f>MID(Tabla1[[#This Row],[Aplicación]],14,6)</f>
        <v>213</v>
      </c>
    </row>
    <row r="1163" spans="1:24" x14ac:dyDescent="0.25">
      <c r="A1163" s="46">
        <v>220230004488</v>
      </c>
      <c r="B1163" s="47" t="s">
        <v>1514</v>
      </c>
      <c r="C1163" s="52">
        <v>44978</v>
      </c>
      <c r="D1163" s="46">
        <v>22023000268</v>
      </c>
      <c r="E1163" s="47" t="s">
        <v>659</v>
      </c>
      <c r="F1163" s="53">
        <v>20.329999999999998</v>
      </c>
      <c r="G1163" s="47" t="s">
        <v>1351</v>
      </c>
      <c r="H1163" s="47" t="s">
        <v>2410</v>
      </c>
      <c r="I1163" s="46" t="s">
        <v>1517</v>
      </c>
      <c r="J1163" s="47" t="s">
        <v>519</v>
      </c>
      <c r="K1163" s="47" t="s">
        <v>519</v>
      </c>
      <c r="L1163" s="47" t="s">
        <v>520</v>
      </c>
      <c r="M1163" s="47" t="s">
        <v>514</v>
      </c>
      <c r="N1163" s="47" t="s">
        <v>515</v>
      </c>
      <c r="O1163" s="54" t="s">
        <v>382</v>
      </c>
      <c r="P1163" s="44" t="s">
        <v>309</v>
      </c>
      <c r="Q1163" s="59" t="str">
        <f>MID(Tabla1[[#This Row],[Aplicación]],14,1)</f>
        <v>2</v>
      </c>
      <c r="R1163" s="35" t="s">
        <v>298</v>
      </c>
      <c r="S1163" s="59" t="str">
        <f>MID(Tabla1[[#This Row],[Aplicación]],6,2)</f>
        <v>11</v>
      </c>
      <c r="T1163" s="35" t="str">
        <f>VLOOKUP(Tabla1[[#This Row],[AREA]],Hoja1!A:B,2,FALSE)</f>
        <v>11. Salud pública y seguridad ciudadana</v>
      </c>
      <c r="U1163" s="35" t="str">
        <f>MID(Tabla1[[#This Row],[Aplicación]],9,4)</f>
        <v>1321</v>
      </c>
      <c r="V1163" s="35" t="str">
        <f>VLOOKUP(Tabla1[[#This Row],[PROGRAMA]],Hoja1!A:B,2,FALSE)</f>
        <v>1321. Policía municipal</v>
      </c>
      <c r="W1163" s="56" t="str">
        <f>MID(Tabla1[[#This Row],[Aplicación]],14,2)</f>
        <v>21</v>
      </c>
      <c r="X1163" s="56" t="str">
        <f>MID(Tabla1[[#This Row],[Aplicación]],14,6)</f>
        <v>213</v>
      </c>
    </row>
    <row r="1164" spans="1:24" x14ac:dyDescent="0.25">
      <c r="A1164" s="46">
        <v>220230004436</v>
      </c>
      <c r="B1164" s="47" t="s">
        <v>1514</v>
      </c>
      <c r="C1164" s="52">
        <v>44978</v>
      </c>
      <c r="D1164" s="46">
        <v>22023001514</v>
      </c>
      <c r="E1164" s="47" t="s">
        <v>1285</v>
      </c>
      <c r="F1164" s="53">
        <v>20.059999999999999</v>
      </c>
      <c r="G1164" s="47" t="s">
        <v>2115</v>
      </c>
      <c r="H1164" s="47" t="s">
        <v>2411</v>
      </c>
      <c r="I1164" s="46" t="s">
        <v>1517</v>
      </c>
      <c r="J1164" s="47" t="s">
        <v>519</v>
      </c>
      <c r="K1164" s="47" t="s">
        <v>519</v>
      </c>
      <c r="L1164" s="47" t="s">
        <v>552</v>
      </c>
      <c r="M1164" s="47" t="s">
        <v>514</v>
      </c>
      <c r="N1164" s="47" t="s">
        <v>515</v>
      </c>
      <c r="O1164" s="45" t="s">
        <v>382</v>
      </c>
      <c r="P1164" s="44" t="s">
        <v>309</v>
      </c>
      <c r="Q1164" s="59" t="str">
        <f>MID(Tabla1[[#This Row],[Aplicación]],14,1)</f>
        <v>2</v>
      </c>
      <c r="R1164" s="35" t="s">
        <v>298</v>
      </c>
      <c r="S1164" s="59" t="str">
        <f>MID(Tabla1[[#This Row],[Aplicación]],6,2)</f>
        <v>11</v>
      </c>
      <c r="T1164" s="35" t="str">
        <f>VLOOKUP(Tabla1[[#This Row],[AREA]],Hoja1!A:B,2,FALSE)</f>
        <v>11. Salud pública y seguridad ciudadana</v>
      </c>
      <c r="U1164" s="35" t="str">
        <f>MID(Tabla1[[#This Row],[Aplicación]],9,4)</f>
        <v>1361</v>
      </c>
      <c r="V1164" s="35" t="str">
        <f>VLOOKUP(Tabla1[[#This Row],[PROGRAMA]],Hoja1!A:B,2,FALSE)</f>
        <v>1361. Prevención y extinción de incencios</v>
      </c>
      <c r="W1164" s="56" t="str">
        <f>MID(Tabla1[[#This Row],[Aplicación]],14,2)</f>
        <v>22</v>
      </c>
      <c r="X1164" s="56" t="str">
        <f>MID(Tabla1[[#This Row],[Aplicación]],14,6)</f>
        <v>22199</v>
      </c>
    </row>
    <row r="1165" spans="1:24" x14ac:dyDescent="0.25">
      <c r="A1165" s="46">
        <v>220230004507</v>
      </c>
      <c r="B1165" s="47" t="s">
        <v>1514</v>
      </c>
      <c r="C1165" s="52">
        <v>44978</v>
      </c>
      <c r="D1165" s="46">
        <v>22023000273</v>
      </c>
      <c r="E1165" s="47" t="s">
        <v>2310</v>
      </c>
      <c r="F1165" s="53">
        <v>82.98</v>
      </c>
      <c r="G1165" s="47" t="s">
        <v>2115</v>
      </c>
      <c r="H1165" s="47" t="s">
        <v>2412</v>
      </c>
      <c r="I1165" s="46" t="s">
        <v>1517</v>
      </c>
      <c r="J1165" s="47" t="s">
        <v>519</v>
      </c>
      <c r="K1165" s="47" t="s">
        <v>519</v>
      </c>
      <c r="L1165" s="47" t="s">
        <v>552</v>
      </c>
      <c r="M1165" s="47" t="s">
        <v>514</v>
      </c>
      <c r="N1165" s="47" t="s">
        <v>515</v>
      </c>
      <c r="O1165" s="54" t="s">
        <v>382</v>
      </c>
      <c r="P1165" s="44" t="s">
        <v>309</v>
      </c>
      <c r="Q1165" s="59" t="str">
        <f>MID(Tabla1[[#This Row],[Aplicación]],14,1)</f>
        <v>2</v>
      </c>
      <c r="R1165" s="35" t="s">
        <v>298</v>
      </c>
      <c r="S1165" s="59" t="str">
        <f>MID(Tabla1[[#This Row],[Aplicación]],6,2)</f>
        <v>11</v>
      </c>
      <c r="T1165" s="35" t="str">
        <f>VLOOKUP(Tabla1[[#This Row],[AREA]],Hoja1!A:B,2,FALSE)</f>
        <v>11. Salud pública y seguridad ciudadana</v>
      </c>
      <c r="U1165" s="35" t="str">
        <f>MID(Tabla1[[#This Row],[Aplicación]],9,4)</f>
        <v>1321</v>
      </c>
      <c r="V1165" s="35" t="str">
        <f>VLOOKUP(Tabla1[[#This Row],[PROGRAMA]],Hoja1!A:B,2,FALSE)</f>
        <v>1321. Policía municipal</v>
      </c>
      <c r="W1165" s="56" t="str">
        <f>MID(Tabla1[[#This Row],[Aplicación]],14,2)</f>
        <v>22</v>
      </c>
      <c r="X1165" s="56" t="str">
        <f>MID(Tabla1[[#This Row],[Aplicación]],14,6)</f>
        <v>22199</v>
      </c>
    </row>
    <row r="1166" spans="1:24" x14ac:dyDescent="0.25">
      <c r="A1166" s="46">
        <v>220230004438</v>
      </c>
      <c r="B1166" s="47" t="s">
        <v>1514</v>
      </c>
      <c r="C1166" s="52">
        <v>44978</v>
      </c>
      <c r="D1166" s="46">
        <v>22023001514</v>
      </c>
      <c r="E1166" s="47" t="s">
        <v>1285</v>
      </c>
      <c r="F1166" s="53">
        <v>55.13</v>
      </c>
      <c r="G1166" s="47" t="s">
        <v>98</v>
      </c>
      <c r="H1166" s="47" t="s">
        <v>2413</v>
      </c>
      <c r="I1166" s="46" t="s">
        <v>1517</v>
      </c>
      <c r="J1166" s="47" t="s">
        <v>519</v>
      </c>
      <c r="K1166" s="47" t="s">
        <v>519</v>
      </c>
      <c r="L1166" s="47" t="s">
        <v>552</v>
      </c>
      <c r="M1166" s="47" t="s">
        <v>514</v>
      </c>
      <c r="N1166" s="47" t="s">
        <v>515</v>
      </c>
      <c r="O1166" s="45" t="s">
        <v>382</v>
      </c>
      <c r="P1166" s="44" t="s">
        <v>309</v>
      </c>
      <c r="Q1166" s="59" t="str">
        <f>MID(Tabla1[[#This Row],[Aplicación]],14,1)</f>
        <v>2</v>
      </c>
      <c r="R1166" s="35" t="s">
        <v>298</v>
      </c>
      <c r="S1166" s="59" t="str">
        <f>MID(Tabla1[[#This Row],[Aplicación]],6,2)</f>
        <v>11</v>
      </c>
      <c r="T1166" s="35" t="str">
        <f>VLOOKUP(Tabla1[[#This Row],[AREA]],Hoja1!A:B,2,FALSE)</f>
        <v>11. Salud pública y seguridad ciudadana</v>
      </c>
      <c r="U1166" s="35" t="str">
        <f>MID(Tabla1[[#This Row],[Aplicación]],9,4)</f>
        <v>1361</v>
      </c>
      <c r="V1166" s="35" t="str">
        <f>VLOOKUP(Tabla1[[#This Row],[PROGRAMA]],Hoja1!A:B,2,FALSE)</f>
        <v>1361. Prevención y extinción de incencios</v>
      </c>
      <c r="W1166" s="56" t="str">
        <f>MID(Tabla1[[#This Row],[Aplicación]],14,2)</f>
        <v>22</v>
      </c>
      <c r="X1166" s="56" t="str">
        <f>MID(Tabla1[[#This Row],[Aplicación]],14,6)</f>
        <v>22199</v>
      </c>
    </row>
    <row r="1167" spans="1:24" x14ac:dyDescent="0.25">
      <c r="A1167" s="46">
        <v>220230004520</v>
      </c>
      <c r="B1167" s="47" t="s">
        <v>1514</v>
      </c>
      <c r="C1167" s="52">
        <v>44978</v>
      </c>
      <c r="D1167" s="46">
        <v>22023000273</v>
      </c>
      <c r="E1167" s="47" t="s">
        <v>2310</v>
      </c>
      <c r="F1167" s="53">
        <v>36.840000000000003</v>
      </c>
      <c r="G1167" s="47" t="s">
        <v>98</v>
      </c>
      <c r="H1167" s="47" t="s">
        <v>2414</v>
      </c>
      <c r="I1167" s="46" t="s">
        <v>1517</v>
      </c>
      <c r="J1167" s="47" t="s">
        <v>519</v>
      </c>
      <c r="K1167" s="47" t="s">
        <v>519</v>
      </c>
      <c r="L1167" s="47" t="s">
        <v>552</v>
      </c>
      <c r="M1167" s="47" t="s">
        <v>514</v>
      </c>
      <c r="N1167" s="47" t="s">
        <v>515</v>
      </c>
      <c r="O1167" s="54" t="s">
        <v>382</v>
      </c>
      <c r="P1167" s="44" t="s">
        <v>309</v>
      </c>
      <c r="Q1167" s="59" t="str">
        <f>MID(Tabla1[[#This Row],[Aplicación]],14,1)</f>
        <v>2</v>
      </c>
      <c r="R1167" s="35" t="s">
        <v>298</v>
      </c>
      <c r="S1167" s="59" t="str">
        <f>MID(Tabla1[[#This Row],[Aplicación]],6,2)</f>
        <v>11</v>
      </c>
      <c r="T1167" s="35" t="str">
        <f>VLOOKUP(Tabla1[[#This Row],[AREA]],Hoja1!A:B,2,FALSE)</f>
        <v>11. Salud pública y seguridad ciudadana</v>
      </c>
      <c r="U1167" s="35" t="str">
        <f>MID(Tabla1[[#This Row],[Aplicación]],9,4)</f>
        <v>1321</v>
      </c>
      <c r="V1167" s="35" t="str">
        <f>VLOOKUP(Tabla1[[#This Row],[PROGRAMA]],Hoja1!A:B,2,FALSE)</f>
        <v>1321. Policía municipal</v>
      </c>
      <c r="W1167" s="56" t="str">
        <f>MID(Tabla1[[#This Row],[Aplicación]],14,2)</f>
        <v>22</v>
      </c>
      <c r="X1167" s="56" t="str">
        <f>MID(Tabla1[[#This Row],[Aplicación]],14,6)</f>
        <v>22199</v>
      </c>
    </row>
    <row r="1168" spans="1:24" x14ac:dyDescent="0.25">
      <c r="A1168" s="46">
        <v>220230004394</v>
      </c>
      <c r="B1168" s="47" t="s">
        <v>1249</v>
      </c>
      <c r="C1168" s="52">
        <v>44978</v>
      </c>
      <c r="D1168" s="46">
        <v>22023002482</v>
      </c>
      <c r="E1168" s="47" t="s">
        <v>1512</v>
      </c>
      <c r="F1168" s="53">
        <v>40.29</v>
      </c>
      <c r="G1168" s="47" t="s">
        <v>98</v>
      </c>
      <c r="H1168" s="47" t="s">
        <v>2415</v>
      </c>
      <c r="I1168" s="46" t="s">
        <v>1251</v>
      </c>
      <c r="J1168" s="47" t="s">
        <v>519</v>
      </c>
      <c r="K1168" s="47" t="s">
        <v>519</v>
      </c>
      <c r="L1168" s="47" t="s">
        <v>552</v>
      </c>
      <c r="M1168" s="47" t="s">
        <v>514</v>
      </c>
      <c r="N1168" s="47" t="s">
        <v>515</v>
      </c>
      <c r="O1168" s="45" t="s">
        <v>382</v>
      </c>
      <c r="P1168" s="44" t="s">
        <v>309</v>
      </c>
      <c r="Q1168" s="59" t="str">
        <f>MID(Tabla1[[#This Row],[Aplicación]],14,1)</f>
        <v>2</v>
      </c>
      <c r="R1168" s="35" t="s">
        <v>298</v>
      </c>
      <c r="S1168" s="59" t="str">
        <f>MID(Tabla1[[#This Row],[Aplicación]],6,2)</f>
        <v>10</v>
      </c>
      <c r="T1168" s="35" t="str">
        <f>VLOOKUP(Tabla1[[#This Row],[AREA]],Hoja1!A:B,2,FALSE)</f>
        <v>10. Servicios sociales y mediación comunitaria</v>
      </c>
      <c r="U1168" s="35" t="str">
        <f>MID(Tabla1[[#This Row],[Aplicación]],9,4)</f>
        <v>2312</v>
      </c>
      <c r="V1168" s="35" t="str">
        <f>VLOOKUP(Tabla1[[#This Row],[PROGRAMA]],Hoja1!A:B,2,FALSE)</f>
        <v>2312. Iniciativas sociales</v>
      </c>
      <c r="W1168" s="56" t="str">
        <f>MID(Tabla1[[#This Row],[Aplicación]],14,2)</f>
        <v>21</v>
      </c>
      <c r="X1168" s="56" t="str">
        <f>MID(Tabla1[[#This Row],[Aplicación]],14,6)</f>
        <v>212</v>
      </c>
    </row>
    <row r="1169" spans="1:24" x14ac:dyDescent="0.25">
      <c r="A1169" s="46">
        <v>220230004446</v>
      </c>
      <c r="B1169" s="47" t="s">
        <v>1514</v>
      </c>
      <c r="C1169" s="52">
        <v>44978</v>
      </c>
      <c r="D1169" s="46">
        <v>22023001514</v>
      </c>
      <c r="E1169" s="47" t="s">
        <v>1285</v>
      </c>
      <c r="F1169" s="53">
        <v>59.04</v>
      </c>
      <c r="G1169" s="47" t="s">
        <v>97</v>
      </c>
      <c r="H1169" s="47" t="s">
        <v>2416</v>
      </c>
      <c r="I1169" s="46" t="s">
        <v>1517</v>
      </c>
      <c r="J1169" s="47" t="s">
        <v>519</v>
      </c>
      <c r="K1169" s="47" t="s">
        <v>519</v>
      </c>
      <c r="L1169" s="47" t="s">
        <v>552</v>
      </c>
      <c r="M1169" s="47" t="s">
        <v>514</v>
      </c>
      <c r="N1169" s="47" t="s">
        <v>515</v>
      </c>
      <c r="O1169" s="45" t="s">
        <v>382</v>
      </c>
      <c r="P1169" s="44" t="s">
        <v>309</v>
      </c>
      <c r="Q1169" s="59" t="str">
        <f>MID(Tabla1[[#This Row],[Aplicación]],14,1)</f>
        <v>2</v>
      </c>
      <c r="R1169" s="35" t="s">
        <v>298</v>
      </c>
      <c r="S1169" s="59" t="str">
        <f>MID(Tabla1[[#This Row],[Aplicación]],6,2)</f>
        <v>11</v>
      </c>
      <c r="T1169" s="35" t="str">
        <f>VLOOKUP(Tabla1[[#This Row],[AREA]],Hoja1!A:B,2,FALSE)</f>
        <v>11. Salud pública y seguridad ciudadana</v>
      </c>
      <c r="U1169" s="35" t="str">
        <f>MID(Tabla1[[#This Row],[Aplicación]],9,4)</f>
        <v>1361</v>
      </c>
      <c r="V1169" s="35" t="str">
        <f>VLOOKUP(Tabla1[[#This Row],[PROGRAMA]],Hoja1!A:B,2,FALSE)</f>
        <v>1361. Prevención y extinción de incencios</v>
      </c>
      <c r="W1169" s="56" t="str">
        <f>MID(Tabla1[[#This Row],[Aplicación]],14,2)</f>
        <v>22</v>
      </c>
      <c r="X1169" s="56" t="str">
        <f>MID(Tabla1[[#This Row],[Aplicación]],14,6)</f>
        <v>22199</v>
      </c>
    </row>
    <row r="1170" spans="1:24" x14ac:dyDescent="0.25">
      <c r="A1170" s="46">
        <v>220230004509</v>
      </c>
      <c r="B1170" s="47" t="s">
        <v>1514</v>
      </c>
      <c r="C1170" s="52">
        <v>44978</v>
      </c>
      <c r="D1170" s="46">
        <v>22023000268</v>
      </c>
      <c r="E1170" s="47" t="s">
        <v>659</v>
      </c>
      <c r="F1170" s="53">
        <v>303.02</v>
      </c>
      <c r="G1170" s="47" t="s">
        <v>1481</v>
      </c>
      <c r="H1170" s="47" t="s">
        <v>2417</v>
      </c>
      <c r="I1170" s="46" t="s">
        <v>1517</v>
      </c>
      <c r="J1170" s="47" t="s">
        <v>837</v>
      </c>
      <c r="K1170" s="47" t="s">
        <v>837</v>
      </c>
      <c r="L1170" s="47" t="s">
        <v>520</v>
      </c>
      <c r="M1170" s="47" t="s">
        <v>514</v>
      </c>
      <c r="N1170" s="47" t="s">
        <v>515</v>
      </c>
      <c r="O1170" s="54" t="s">
        <v>382</v>
      </c>
      <c r="P1170" s="44" t="s">
        <v>309</v>
      </c>
      <c r="Q1170" s="59" t="str">
        <f>MID(Tabla1[[#This Row],[Aplicación]],14,1)</f>
        <v>2</v>
      </c>
      <c r="R1170" s="35" t="s">
        <v>298</v>
      </c>
      <c r="S1170" s="59" t="str">
        <f>MID(Tabla1[[#This Row],[Aplicación]],6,2)</f>
        <v>11</v>
      </c>
      <c r="T1170" s="35" t="str">
        <f>VLOOKUP(Tabla1[[#This Row],[AREA]],Hoja1!A:B,2,FALSE)</f>
        <v>11. Salud pública y seguridad ciudadana</v>
      </c>
      <c r="U1170" s="35" t="str">
        <f>MID(Tabla1[[#This Row],[Aplicación]],9,4)</f>
        <v>1321</v>
      </c>
      <c r="V1170" s="35" t="str">
        <f>VLOOKUP(Tabla1[[#This Row],[PROGRAMA]],Hoja1!A:B,2,FALSE)</f>
        <v>1321. Policía municipal</v>
      </c>
      <c r="W1170" s="56" t="str">
        <f>MID(Tabla1[[#This Row],[Aplicación]],14,2)</f>
        <v>21</v>
      </c>
      <c r="X1170" s="56" t="str">
        <f>MID(Tabla1[[#This Row],[Aplicación]],14,6)</f>
        <v>213</v>
      </c>
    </row>
    <row r="1171" spans="1:24" x14ac:dyDescent="0.25">
      <c r="A1171" s="46">
        <v>220230004440</v>
      </c>
      <c r="B1171" s="47" t="s">
        <v>1514</v>
      </c>
      <c r="C1171" s="52">
        <v>44978</v>
      </c>
      <c r="D1171" s="46">
        <v>22023001514</v>
      </c>
      <c r="E1171" s="47" t="s">
        <v>1285</v>
      </c>
      <c r="F1171" s="53">
        <v>223.85</v>
      </c>
      <c r="G1171" s="47" t="s">
        <v>1481</v>
      </c>
      <c r="H1171" s="47" t="s">
        <v>2418</v>
      </c>
      <c r="I1171" s="46" t="s">
        <v>1517</v>
      </c>
      <c r="J1171" s="47" t="s">
        <v>837</v>
      </c>
      <c r="K1171" s="47" t="s">
        <v>837</v>
      </c>
      <c r="L1171" s="47" t="s">
        <v>552</v>
      </c>
      <c r="M1171" s="47" t="s">
        <v>514</v>
      </c>
      <c r="N1171" s="47" t="s">
        <v>515</v>
      </c>
      <c r="O1171" s="45" t="s">
        <v>382</v>
      </c>
      <c r="P1171" s="44" t="s">
        <v>309</v>
      </c>
      <c r="Q1171" s="59" t="str">
        <f>MID(Tabla1[[#This Row],[Aplicación]],14,1)</f>
        <v>2</v>
      </c>
      <c r="R1171" s="35" t="s">
        <v>298</v>
      </c>
      <c r="S1171" s="59" t="str">
        <f>MID(Tabla1[[#This Row],[Aplicación]],6,2)</f>
        <v>11</v>
      </c>
      <c r="T1171" s="35" t="str">
        <f>VLOOKUP(Tabla1[[#This Row],[AREA]],Hoja1!A:B,2,FALSE)</f>
        <v>11. Salud pública y seguridad ciudadana</v>
      </c>
      <c r="U1171" s="35" t="str">
        <f>MID(Tabla1[[#This Row],[Aplicación]],9,4)</f>
        <v>1361</v>
      </c>
      <c r="V1171" s="35" t="str">
        <f>VLOOKUP(Tabla1[[#This Row],[PROGRAMA]],Hoja1!A:B,2,FALSE)</f>
        <v>1361. Prevención y extinción de incencios</v>
      </c>
      <c r="W1171" s="56" t="str">
        <f>MID(Tabla1[[#This Row],[Aplicación]],14,2)</f>
        <v>22</v>
      </c>
      <c r="X1171" s="56" t="str">
        <f>MID(Tabla1[[#This Row],[Aplicación]],14,6)</f>
        <v>22199</v>
      </c>
    </row>
    <row r="1172" spans="1:24" x14ac:dyDescent="0.25">
      <c r="A1172" s="55">
        <v>220230011699</v>
      </c>
      <c r="B1172" s="47" t="s">
        <v>507</v>
      </c>
      <c r="C1172" s="52">
        <v>45014</v>
      </c>
      <c r="D1172" s="46">
        <v>22023003603</v>
      </c>
      <c r="E1172" s="47" t="s">
        <v>2419</v>
      </c>
      <c r="F1172" s="53">
        <v>3496.9</v>
      </c>
      <c r="G1172" s="47" t="s">
        <v>2385</v>
      </c>
      <c r="H1172" s="47" t="s">
        <v>2420</v>
      </c>
      <c r="I1172" s="46" t="s">
        <v>511</v>
      </c>
      <c r="J1172" s="47" t="s">
        <v>2242</v>
      </c>
      <c r="K1172" s="47" t="s">
        <v>519</v>
      </c>
      <c r="L1172" s="47" t="s">
        <v>552</v>
      </c>
      <c r="M1172" s="47" t="s">
        <v>976</v>
      </c>
      <c r="N1172" s="47" t="s">
        <v>839</v>
      </c>
      <c r="O1172" s="54" t="s">
        <v>383</v>
      </c>
      <c r="P1172" s="44" t="s">
        <v>309</v>
      </c>
      <c r="Q1172" s="59" t="str">
        <f>MID(Tabla1[[#This Row],[Aplicación]],14,1)</f>
        <v>6</v>
      </c>
      <c r="R1172" s="35" t="s">
        <v>299</v>
      </c>
      <c r="S1172" s="59" t="str">
        <f>MID(Tabla1[[#This Row],[Aplicación]],6,2)</f>
        <v>04</v>
      </c>
      <c r="T1172" s="35" t="str">
        <f>VLOOKUP(Tabla1[[#This Row],[AREA]],Hoja1!A:B,2,FALSE)</f>
        <v>04. Planificación y recursos</v>
      </c>
      <c r="U1172" s="35" t="str">
        <f>MID(Tabla1[[#This Row],[Aplicación]],9,4)</f>
        <v>3121</v>
      </c>
      <c r="V1172" s="35" t="str">
        <f>VLOOKUP(Tabla1[[#This Row],[PROGRAMA]],Hoja1!A:B,2,FALSE)</f>
        <v>3121. Prevención y salud laboral</v>
      </c>
      <c r="W1172" s="56" t="str">
        <f>MID(Tabla1[[#This Row],[Aplicación]],14,2)</f>
        <v>62</v>
      </c>
      <c r="X1172" s="56" t="str">
        <f>MID(Tabla1[[#This Row],[Aplicación]],14,6)</f>
        <v>623</v>
      </c>
    </row>
    <row r="1173" spans="1:24" x14ac:dyDescent="0.25">
      <c r="A1173" s="46">
        <v>220230004494</v>
      </c>
      <c r="B1173" s="47" t="s">
        <v>1514</v>
      </c>
      <c r="C1173" s="52">
        <v>44978</v>
      </c>
      <c r="D1173" s="46">
        <v>22023000268</v>
      </c>
      <c r="E1173" s="47" t="s">
        <v>659</v>
      </c>
      <c r="F1173" s="53">
        <v>383.63</v>
      </c>
      <c r="G1173" s="47" t="s">
        <v>2351</v>
      </c>
      <c r="H1173" s="47" t="s">
        <v>2421</v>
      </c>
      <c r="I1173" s="46" t="s">
        <v>1517</v>
      </c>
      <c r="J1173" s="47" t="s">
        <v>519</v>
      </c>
      <c r="K1173" s="47" t="s">
        <v>519</v>
      </c>
      <c r="L1173" s="47" t="s">
        <v>552</v>
      </c>
      <c r="M1173" s="47" t="s">
        <v>514</v>
      </c>
      <c r="N1173" s="47" t="s">
        <v>515</v>
      </c>
      <c r="O1173" s="54" t="s">
        <v>382</v>
      </c>
      <c r="P1173" s="44" t="s">
        <v>309</v>
      </c>
      <c r="Q1173" s="59" t="str">
        <f>MID(Tabla1[[#This Row],[Aplicación]],14,1)</f>
        <v>2</v>
      </c>
      <c r="R1173" s="35" t="s">
        <v>298</v>
      </c>
      <c r="S1173" s="59" t="str">
        <f>MID(Tabla1[[#This Row],[Aplicación]],6,2)</f>
        <v>11</v>
      </c>
      <c r="T1173" s="35" t="str">
        <f>VLOOKUP(Tabla1[[#This Row],[AREA]],Hoja1!A:B,2,FALSE)</f>
        <v>11. Salud pública y seguridad ciudadana</v>
      </c>
      <c r="U1173" s="35" t="str">
        <f>MID(Tabla1[[#This Row],[Aplicación]],9,4)</f>
        <v>1321</v>
      </c>
      <c r="V1173" s="35" t="str">
        <f>VLOOKUP(Tabla1[[#This Row],[PROGRAMA]],Hoja1!A:B,2,FALSE)</f>
        <v>1321. Policía municipal</v>
      </c>
      <c r="W1173" s="56" t="str">
        <f>MID(Tabla1[[#This Row],[Aplicación]],14,2)</f>
        <v>21</v>
      </c>
      <c r="X1173" s="56" t="str">
        <f>MID(Tabla1[[#This Row],[Aplicación]],14,6)</f>
        <v>213</v>
      </c>
    </row>
    <row r="1174" spans="1:24" x14ac:dyDescent="0.25">
      <c r="A1174" s="46">
        <v>220230004442</v>
      </c>
      <c r="B1174" s="47" t="s">
        <v>1514</v>
      </c>
      <c r="C1174" s="52">
        <v>44978</v>
      </c>
      <c r="D1174" s="46">
        <v>22023001514</v>
      </c>
      <c r="E1174" s="47" t="s">
        <v>1285</v>
      </c>
      <c r="F1174" s="53">
        <v>341.23</v>
      </c>
      <c r="G1174" s="47" t="s">
        <v>2351</v>
      </c>
      <c r="H1174" s="47" t="s">
        <v>2422</v>
      </c>
      <c r="I1174" s="46" t="s">
        <v>1517</v>
      </c>
      <c r="J1174" s="47" t="s">
        <v>519</v>
      </c>
      <c r="K1174" s="47" t="s">
        <v>519</v>
      </c>
      <c r="L1174" s="47" t="s">
        <v>552</v>
      </c>
      <c r="M1174" s="47" t="s">
        <v>514</v>
      </c>
      <c r="N1174" s="47" t="s">
        <v>515</v>
      </c>
      <c r="O1174" s="45" t="s">
        <v>382</v>
      </c>
      <c r="P1174" s="44" t="s">
        <v>309</v>
      </c>
      <c r="Q1174" s="59" t="str">
        <f>MID(Tabla1[[#This Row],[Aplicación]],14,1)</f>
        <v>2</v>
      </c>
      <c r="R1174" s="35" t="s">
        <v>298</v>
      </c>
      <c r="S1174" s="59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35" t="str">
        <f>MID(Tabla1[[#This Row],[Aplicación]],9,4)</f>
        <v>1361</v>
      </c>
      <c r="V1174" s="35" t="str">
        <f>VLOOKUP(Tabla1[[#This Row],[PROGRAMA]],Hoja1!A:B,2,FALSE)</f>
        <v>1361. Prevención y extinción de incencios</v>
      </c>
      <c r="W1174" s="56" t="str">
        <f>MID(Tabla1[[#This Row],[Aplicación]],14,2)</f>
        <v>22</v>
      </c>
      <c r="X1174" s="56" t="str">
        <f>MID(Tabla1[[#This Row],[Aplicación]],14,6)</f>
        <v>22199</v>
      </c>
    </row>
    <row r="1175" spans="1:24" x14ac:dyDescent="0.25">
      <c r="A1175" s="46">
        <v>220230004467</v>
      </c>
      <c r="B1175" s="47" t="s">
        <v>1514</v>
      </c>
      <c r="C1175" s="52">
        <v>44978</v>
      </c>
      <c r="D1175" s="46">
        <v>22023000273</v>
      </c>
      <c r="E1175" s="47" t="s">
        <v>2310</v>
      </c>
      <c r="F1175" s="53">
        <v>38.72</v>
      </c>
      <c r="G1175" s="47" t="s">
        <v>2351</v>
      </c>
      <c r="H1175" s="47" t="s">
        <v>2423</v>
      </c>
      <c r="I1175" s="46" t="s">
        <v>1517</v>
      </c>
      <c r="J1175" s="47" t="s">
        <v>519</v>
      </c>
      <c r="K1175" s="47" t="s">
        <v>519</v>
      </c>
      <c r="L1175" s="47" t="s">
        <v>552</v>
      </c>
      <c r="M1175" s="47" t="s">
        <v>514</v>
      </c>
      <c r="N1175" s="47" t="s">
        <v>515</v>
      </c>
      <c r="O1175" s="54" t="s">
        <v>382</v>
      </c>
      <c r="P1175" s="44" t="s">
        <v>309</v>
      </c>
      <c r="Q1175" s="59" t="str">
        <f>MID(Tabla1[[#This Row],[Aplicación]],14,1)</f>
        <v>2</v>
      </c>
      <c r="R1175" s="35" t="s">
        <v>298</v>
      </c>
      <c r="S1175" s="59" t="str">
        <f>MID(Tabla1[[#This Row],[Aplicación]],6,2)</f>
        <v>11</v>
      </c>
      <c r="T1175" s="35" t="str">
        <f>VLOOKUP(Tabla1[[#This Row],[AREA]],Hoja1!A:B,2,FALSE)</f>
        <v>11. Salud pública y seguridad ciudadana</v>
      </c>
      <c r="U1175" s="35" t="str">
        <f>MID(Tabla1[[#This Row],[Aplicación]],9,4)</f>
        <v>1321</v>
      </c>
      <c r="V1175" s="35" t="str">
        <f>VLOOKUP(Tabla1[[#This Row],[PROGRAMA]],Hoja1!A:B,2,FALSE)</f>
        <v>1321. Policía municipal</v>
      </c>
      <c r="W1175" s="56" t="str">
        <f>MID(Tabla1[[#This Row],[Aplicación]],14,2)</f>
        <v>22</v>
      </c>
      <c r="X1175" s="56" t="str">
        <f>MID(Tabla1[[#This Row],[Aplicación]],14,6)</f>
        <v>22199</v>
      </c>
    </row>
    <row r="1176" spans="1:24" x14ac:dyDescent="0.25">
      <c r="A1176" s="46">
        <v>220230004499</v>
      </c>
      <c r="B1176" s="47" t="s">
        <v>1514</v>
      </c>
      <c r="C1176" s="52">
        <v>44978</v>
      </c>
      <c r="D1176" s="46">
        <v>22023000213</v>
      </c>
      <c r="E1176" s="47" t="s">
        <v>1694</v>
      </c>
      <c r="F1176" s="53">
        <v>2563.25</v>
      </c>
      <c r="G1176" s="47" t="s">
        <v>2424</v>
      </c>
      <c r="H1176" s="47" t="s">
        <v>2425</v>
      </c>
      <c r="I1176" s="46" t="s">
        <v>1517</v>
      </c>
      <c r="J1176" s="47" t="s">
        <v>519</v>
      </c>
      <c r="K1176" s="47" t="s">
        <v>519</v>
      </c>
      <c r="L1176" s="47" t="s">
        <v>520</v>
      </c>
      <c r="M1176" s="47" t="s">
        <v>514</v>
      </c>
      <c r="N1176" s="47" t="s">
        <v>515</v>
      </c>
      <c r="O1176" s="54" t="s">
        <v>382</v>
      </c>
      <c r="P1176" s="44" t="s">
        <v>309</v>
      </c>
      <c r="Q1176" s="59" t="str">
        <f>MID(Tabla1[[#This Row],[Aplicación]],14,1)</f>
        <v>2</v>
      </c>
      <c r="R1176" s="35" t="s">
        <v>298</v>
      </c>
      <c r="S1176" s="59" t="str">
        <f>MID(Tabla1[[#This Row],[Aplicación]],6,2)</f>
        <v>11</v>
      </c>
      <c r="T1176" s="35" t="str">
        <f>VLOOKUP(Tabla1[[#This Row],[AREA]],Hoja1!A:B,2,FALSE)</f>
        <v>11. Salud pública y seguridad ciudadana</v>
      </c>
      <c r="U1176" s="35" t="str">
        <f>MID(Tabla1[[#This Row],[Aplicación]],9,4)</f>
        <v>1321</v>
      </c>
      <c r="V1176" s="35" t="str">
        <f>VLOOKUP(Tabla1[[#This Row],[PROGRAMA]],Hoja1!A:B,2,FALSE)</f>
        <v>1321. Policía municipal</v>
      </c>
      <c r="W1176" s="56" t="str">
        <f>MID(Tabla1[[#This Row],[Aplicación]],14,2)</f>
        <v>21</v>
      </c>
      <c r="X1176" s="56" t="str">
        <f>MID(Tabla1[[#This Row],[Aplicación]],14,6)</f>
        <v>214</v>
      </c>
    </row>
    <row r="1177" spans="1:24" x14ac:dyDescent="0.25">
      <c r="A1177" s="46">
        <v>220230004450</v>
      </c>
      <c r="B1177" s="47" t="s">
        <v>1514</v>
      </c>
      <c r="C1177" s="52">
        <v>44978</v>
      </c>
      <c r="D1177" s="46">
        <v>22023001513</v>
      </c>
      <c r="E1177" s="47" t="s">
        <v>2019</v>
      </c>
      <c r="F1177" s="53">
        <v>2622.12</v>
      </c>
      <c r="G1177" s="47" t="s">
        <v>2424</v>
      </c>
      <c r="H1177" s="47" t="s">
        <v>2426</v>
      </c>
      <c r="I1177" s="46" t="s">
        <v>1517</v>
      </c>
      <c r="J1177" s="47" t="s">
        <v>519</v>
      </c>
      <c r="K1177" s="47" t="s">
        <v>519</v>
      </c>
      <c r="L1177" s="47" t="s">
        <v>520</v>
      </c>
      <c r="M1177" s="47" t="s">
        <v>514</v>
      </c>
      <c r="N1177" s="47" t="s">
        <v>515</v>
      </c>
      <c r="O1177" s="45" t="s">
        <v>382</v>
      </c>
      <c r="P1177" s="44" t="s">
        <v>309</v>
      </c>
      <c r="Q1177" s="59" t="str">
        <f>MID(Tabla1[[#This Row],[Aplicación]],14,1)</f>
        <v>2</v>
      </c>
      <c r="R1177" s="35" t="s">
        <v>298</v>
      </c>
      <c r="S1177" s="59" t="str">
        <f>MID(Tabla1[[#This Row],[Aplicación]],6,2)</f>
        <v>11</v>
      </c>
      <c r="T1177" s="35" t="str">
        <f>VLOOKUP(Tabla1[[#This Row],[AREA]],Hoja1!A:B,2,FALSE)</f>
        <v>11. Salud pública y seguridad ciudadana</v>
      </c>
      <c r="U1177" s="35" t="str">
        <f>MID(Tabla1[[#This Row],[Aplicación]],9,4)</f>
        <v>1361</v>
      </c>
      <c r="V1177" s="35" t="str">
        <f>VLOOKUP(Tabla1[[#This Row],[PROGRAMA]],Hoja1!A:B,2,FALSE)</f>
        <v>1361. Prevención y extinción de incencios</v>
      </c>
      <c r="W1177" s="56" t="str">
        <f>MID(Tabla1[[#This Row],[Aplicación]],14,2)</f>
        <v>21</v>
      </c>
      <c r="X1177" s="56" t="str">
        <f>MID(Tabla1[[#This Row],[Aplicación]],14,6)</f>
        <v>214</v>
      </c>
    </row>
    <row r="1178" spans="1:24" x14ac:dyDescent="0.25">
      <c r="A1178" s="46">
        <v>220230004492</v>
      </c>
      <c r="B1178" s="47" t="s">
        <v>1514</v>
      </c>
      <c r="C1178" s="52">
        <v>44978</v>
      </c>
      <c r="D1178" s="46">
        <v>22023000270</v>
      </c>
      <c r="E1178" s="47" t="s">
        <v>1694</v>
      </c>
      <c r="F1178" s="53">
        <v>644.57000000000005</v>
      </c>
      <c r="G1178" s="47" t="s">
        <v>2427</v>
      </c>
      <c r="H1178" s="47" t="s">
        <v>2428</v>
      </c>
      <c r="I1178" s="46" t="s">
        <v>1517</v>
      </c>
      <c r="J1178" s="47" t="s">
        <v>519</v>
      </c>
      <c r="K1178" s="47" t="s">
        <v>519</v>
      </c>
      <c r="L1178" s="47" t="s">
        <v>552</v>
      </c>
      <c r="M1178" s="47" t="s">
        <v>514</v>
      </c>
      <c r="N1178" s="47" t="s">
        <v>515</v>
      </c>
      <c r="O1178" s="54" t="s">
        <v>382</v>
      </c>
      <c r="P1178" s="44" t="s">
        <v>309</v>
      </c>
      <c r="Q1178" s="59" t="str">
        <f>MID(Tabla1[[#This Row],[Aplicación]],14,1)</f>
        <v>2</v>
      </c>
      <c r="R1178" s="35" t="s">
        <v>298</v>
      </c>
      <c r="S1178" s="59" t="str">
        <f>MID(Tabla1[[#This Row],[Aplicación]],6,2)</f>
        <v>11</v>
      </c>
      <c r="T1178" s="35" t="str">
        <f>VLOOKUP(Tabla1[[#This Row],[AREA]],Hoja1!A:B,2,FALSE)</f>
        <v>11. Salud pública y seguridad ciudadana</v>
      </c>
      <c r="U1178" s="35" t="str">
        <f>MID(Tabla1[[#This Row],[Aplicación]],9,4)</f>
        <v>1321</v>
      </c>
      <c r="V1178" s="35" t="str">
        <f>VLOOKUP(Tabla1[[#This Row],[PROGRAMA]],Hoja1!A:B,2,FALSE)</f>
        <v>1321. Policía municipal</v>
      </c>
      <c r="W1178" s="56" t="str">
        <f>MID(Tabla1[[#This Row],[Aplicación]],14,2)</f>
        <v>21</v>
      </c>
      <c r="X1178" s="56" t="str">
        <f>MID(Tabla1[[#This Row],[Aplicación]],14,6)</f>
        <v>214</v>
      </c>
    </row>
    <row r="1179" spans="1:24" x14ac:dyDescent="0.25">
      <c r="A1179" s="46">
        <v>220230004465</v>
      </c>
      <c r="B1179" s="47" t="s">
        <v>1514</v>
      </c>
      <c r="C1179" s="52">
        <v>44978</v>
      </c>
      <c r="D1179" s="46">
        <v>22023000270</v>
      </c>
      <c r="E1179" s="47" t="s">
        <v>1694</v>
      </c>
      <c r="F1179" s="53">
        <v>140.53</v>
      </c>
      <c r="G1179" s="47" t="s">
        <v>2427</v>
      </c>
      <c r="H1179" s="47" t="s">
        <v>2429</v>
      </c>
      <c r="I1179" s="46" t="s">
        <v>1517</v>
      </c>
      <c r="J1179" s="47" t="s">
        <v>519</v>
      </c>
      <c r="K1179" s="47" t="s">
        <v>519</v>
      </c>
      <c r="L1179" s="47" t="s">
        <v>552</v>
      </c>
      <c r="M1179" s="47" t="s">
        <v>514</v>
      </c>
      <c r="N1179" s="47" t="s">
        <v>515</v>
      </c>
      <c r="O1179" s="54" t="s">
        <v>382</v>
      </c>
      <c r="P1179" s="44" t="s">
        <v>309</v>
      </c>
      <c r="Q1179" s="59" t="str">
        <f>MID(Tabla1[[#This Row],[Aplicación]],14,1)</f>
        <v>2</v>
      </c>
      <c r="R1179" s="35" t="s">
        <v>298</v>
      </c>
      <c r="S1179" s="59" t="str">
        <f>MID(Tabla1[[#This Row],[Aplicación]],6,2)</f>
        <v>11</v>
      </c>
      <c r="T1179" s="35" t="str">
        <f>VLOOKUP(Tabla1[[#This Row],[AREA]],Hoja1!A:B,2,FALSE)</f>
        <v>11. Salud pública y seguridad ciudadana</v>
      </c>
      <c r="U1179" s="35" t="str">
        <f>MID(Tabla1[[#This Row],[Aplicación]],9,4)</f>
        <v>1321</v>
      </c>
      <c r="V1179" s="35" t="str">
        <f>VLOOKUP(Tabla1[[#This Row],[PROGRAMA]],Hoja1!A:B,2,FALSE)</f>
        <v>1321. Policía municipal</v>
      </c>
      <c r="W1179" s="56" t="str">
        <f>MID(Tabla1[[#This Row],[Aplicación]],14,2)</f>
        <v>21</v>
      </c>
      <c r="X1179" s="56" t="str">
        <f>MID(Tabla1[[#This Row],[Aplicación]],14,6)</f>
        <v>214</v>
      </c>
    </row>
    <row r="1180" spans="1:24" x14ac:dyDescent="0.25">
      <c r="A1180" s="46">
        <v>220230004511</v>
      </c>
      <c r="B1180" s="47" t="s">
        <v>1514</v>
      </c>
      <c r="C1180" s="52">
        <v>44978</v>
      </c>
      <c r="D1180" s="46">
        <v>22023000270</v>
      </c>
      <c r="E1180" s="47" t="s">
        <v>1694</v>
      </c>
      <c r="F1180" s="53">
        <v>474.08</v>
      </c>
      <c r="G1180" s="47" t="s">
        <v>2430</v>
      </c>
      <c r="H1180" s="47" t="s">
        <v>2431</v>
      </c>
      <c r="I1180" s="46" t="s">
        <v>1517</v>
      </c>
      <c r="J1180" s="47" t="s">
        <v>573</v>
      </c>
      <c r="K1180" s="47" t="s">
        <v>573</v>
      </c>
      <c r="L1180" s="47" t="s">
        <v>552</v>
      </c>
      <c r="M1180" s="47" t="s">
        <v>514</v>
      </c>
      <c r="N1180" s="47" t="s">
        <v>515</v>
      </c>
      <c r="O1180" s="54" t="s">
        <v>382</v>
      </c>
      <c r="P1180" s="44" t="s">
        <v>309</v>
      </c>
      <c r="Q1180" s="59" t="str">
        <f>MID(Tabla1[[#This Row],[Aplicación]],14,1)</f>
        <v>2</v>
      </c>
      <c r="R1180" s="35" t="s">
        <v>298</v>
      </c>
      <c r="S1180" s="59" t="str">
        <f>MID(Tabla1[[#This Row],[Aplicación]],6,2)</f>
        <v>11</v>
      </c>
      <c r="T1180" s="35" t="str">
        <f>VLOOKUP(Tabla1[[#This Row],[AREA]],Hoja1!A:B,2,FALSE)</f>
        <v>11. Salud pública y seguridad ciudadana</v>
      </c>
      <c r="U1180" s="35" t="str">
        <f>MID(Tabla1[[#This Row],[Aplicación]],9,4)</f>
        <v>1321</v>
      </c>
      <c r="V1180" s="35" t="str">
        <f>VLOOKUP(Tabla1[[#This Row],[PROGRAMA]],Hoja1!A:B,2,FALSE)</f>
        <v>1321. Policía municipal</v>
      </c>
      <c r="W1180" s="56" t="str">
        <f>MID(Tabla1[[#This Row],[Aplicación]],14,2)</f>
        <v>21</v>
      </c>
      <c r="X1180" s="56" t="str">
        <f>MID(Tabla1[[#This Row],[Aplicación]],14,6)</f>
        <v>214</v>
      </c>
    </row>
    <row r="1181" spans="1:24" x14ac:dyDescent="0.25">
      <c r="A1181" s="46">
        <v>220230004477</v>
      </c>
      <c r="B1181" s="47" t="s">
        <v>1514</v>
      </c>
      <c r="C1181" s="52">
        <v>44978</v>
      </c>
      <c r="D1181" s="46">
        <v>22023000270</v>
      </c>
      <c r="E1181" s="47" t="s">
        <v>1694</v>
      </c>
      <c r="F1181" s="53">
        <v>179.78</v>
      </c>
      <c r="G1181" s="47" t="s">
        <v>2430</v>
      </c>
      <c r="H1181" s="47" t="s">
        <v>2431</v>
      </c>
      <c r="I1181" s="46" t="s">
        <v>1517</v>
      </c>
      <c r="J1181" s="47" t="s">
        <v>573</v>
      </c>
      <c r="K1181" s="47" t="s">
        <v>573</v>
      </c>
      <c r="L1181" s="47" t="s">
        <v>552</v>
      </c>
      <c r="M1181" s="47" t="s">
        <v>514</v>
      </c>
      <c r="N1181" s="47" t="s">
        <v>515</v>
      </c>
      <c r="O1181" s="54" t="s">
        <v>382</v>
      </c>
      <c r="P1181" s="44" t="s">
        <v>309</v>
      </c>
      <c r="Q1181" s="59" t="str">
        <f>MID(Tabla1[[#This Row],[Aplicación]],14,1)</f>
        <v>2</v>
      </c>
      <c r="R1181" s="35" t="s">
        <v>298</v>
      </c>
      <c r="S1181" s="59" t="str">
        <f>MID(Tabla1[[#This Row],[Aplicación]],6,2)</f>
        <v>11</v>
      </c>
      <c r="T1181" s="35" t="str">
        <f>VLOOKUP(Tabla1[[#This Row],[AREA]],Hoja1!A:B,2,FALSE)</f>
        <v>11. Salud pública y seguridad ciudadana</v>
      </c>
      <c r="U1181" s="35" t="str">
        <f>MID(Tabla1[[#This Row],[Aplicación]],9,4)</f>
        <v>1321</v>
      </c>
      <c r="V1181" s="35" t="str">
        <f>VLOOKUP(Tabla1[[#This Row],[PROGRAMA]],Hoja1!A:B,2,FALSE)</f>
        <v>1321. Policía municipal</v>
      </c>
      <c r="W1181" s="56" t="str">
        <f>MID(Tabla1[[#This Row],[Aplicación]],14,2)</f>
        <v>21</v>
      </c>
      <c r="X1181" s="56" t="str">
        <f>MID(Tabla1[[#This Row],[Aplicación]],14,6)</f>
        <v>214</v>
      </c>
    </row>
    <row r="1182" spans="1:24" x14ac:dyDescent="0.25">
      <c r="A1182" s="46">
        <v>220230004444</v>
      </c>
      <c r="B1182" s="47" t="s">
        <v>1514</v>
      </c>
      <c r="C1182" s="52">
        <v>44978</v>
      </c>
      <c r="D1182" s="46">
        <v>22023001514</v>
      </c>
      <c r="E1182" s="47" t="s">
        <v>1285</v>
      </c>
      <c r="F1182" s="53">
        <v>8.08</v>
      </c>
      <c r="G1182" s="47" t="s">
        <v>2432</v>
      </c>
      <c r="H1182" s="47" t="s">
        <v>2433</v>
      </c>
      <c r="I1182" s="46" t="s">
        <v>1517</v>
      </c>
      <c r="J1182" s="47" t="s">
        <v>519</v>
      </c>
      <c r="K1182" s="47" t="s">
        <v>519</v>
      </c>
      <c r="L1182" s="47" t="s">
        <v>552</v>
      </c>
      <c r="M1182" s="47" t="s">
        <v>514</v>
      </c>
      <c r="N1182" s="47" t="s">
        <v>515</v>
      </c>
      <c r="O1182" s="45" t="s">
        <v>382</v>
      </c>
      <c r="P1182" s="44" t="s">
        <v>309</v>
      </c>
      <c r="Q1182" s="59" t="str">
        <f>MID(Tabla1[[#This Row],[Aplicación]],14,1)</f>
        <v>2</v>
      </c>
      <c r="R1182" s="35" t="s">
        <v>298</v>
      </c>
      <c r="S1182" s="59" t="str">
        <f>MID(Tabla1[[#This Row],[Aplicación]],6,2)</f>
        <v>11</v>
      </c>
      <c r="T1182" s="35" t="str">
        <f>VLOOKUP(Tabla1[[#This Row],[AREA]],Hoja1!A:B,2,FALSE)</f>
        <v>11. Salud pública y seguridad ciudadana</v>
      </c>
      <c r="U1182" s="35" t="str">
        <f>MID(Tabla1[[#This Row],[Aplicación]],9,4)</f>
        <v>1361</v>
      </c>
      <c r="V1182" s="35" t="str">
        <f>VLOOKUP(Tabla1[[#This Row],[PROGRAMA]],Hoja1!A:B,2,FALSE)</f>
        <v>1361. Prevención y extinción de incencios</v>
      </c>
      <c r="W1182" s="56" t="str">
        <f>MID(Tabla1[[#This Row],[Aplicación]],14,2)</f>
        <v>22</v>
      </c>
      <c r="X1182" s="56" t="str">
        <f>MID(Tabla1[[#This Row],[Aplicación]],14,6)</f>
        <v>22199</v>
      </c>
    </row>
    <row r="1183" spans="1:24" x14ac:dyDescent="0.25">
      <c r="A1183" s="46">
        <v>220230004497</v>
      </c>
      <c r="B1183" s="47" t="s">
        <v>1514</v>
      </c>
      <c r="C1183" s="52">
        <v>44978</v>
      </c>
      <c r="D1183" s="46">
        <v>22023000270</v>
      </c>
      <c r="E1183" s="47" t="s">
        <v>1694</v>
      </c>
      <c r="F1183" s="53">
        <v>585.6</v>
      </c>
      <c r="G1183" s="47" t="s">
        <v>2434</v>
      </c>
      <c r="H1183" s="47" t="s">
        <v>2431</v>
      </c>
      <c r="I1183" s="46" t="s">
        <v>1517</v>
      </c>
      <c r="J1183" s="47" t="s">
        <v>519</v>
      </c>
      <c r="K1183" s="47" t="s">
        <v>519</v>
      </c>
      <c r="L1183" s="47" t="s">
        <v>552</v>
      </c>
      <c r="M1183" s="47" t="s">
        <v>514</v>
      </c>
      <c r="N1183" s="47" t="s">
        <v>515</v>
      </c>
      <c r="O1183" s="54" t="s">
        <v>382</v>
      </c>
      <c r="P1183" s="44" t="s">
        <v>309</v>
      </c>
      <c r="Q1183" s="59" t="str">
        <f>MID(Tabla1[[#This Row],[Aplicación]],14,1)</f>
        <v>2</v>
      </c>
      <c r="R1183" s="35" t="s">
        <v>298</v>
      </c>
      <c r="S1183" s="59" t="str">
        <f>MID(Tabla1[[#This Row],[Aplicación]],6,2)</f>
        <v>11</v>
      </c>
      <c r="T1183" s="35" t="str">
        <f>VLOOKUP(Tabla1[[#This Row],[AREA]],Hoja1!A:B,2,FALSE)</f>
        <v>11. Salud pública y seguridad ciudadana</v>
      </c>
      <c r="U1183" s="35" t="str">
        <f>MID(Tabla1[[#This Row],[Aplicación]],9,4)</f>
        <v>1321</v>
      </c>
      <c r="V1183" s="35" t="str">
        <f>VLOOKUP(Tabla1[[#This Row],[PROGRAMA]],Hoja1!A:B,2,FALSE)</f>
        <v>1321. Policía municipal</v>
      </c>
      <c r="W1183" s="56" t="str">
        <f>MID(Tabla1[[#This Row],[Aplicación]],14,2)</f>
        <v>21</v>
      </c>
      <c r="X1183" s="56" t="str">
        <f>MID(Tabla1[[#This Row],[Aplicación]],14,6)</f>
        <v>214</v>
      </c>
    </row>
    <row r="1184" spans="1:24" x14ac:dyDescent="0.25">
      <c r="A1184" s="46">
        <v>220230004469</v>
      </c>
      <c r="B1184" s="47" t="s">
        <v>1514</v>
      </c>
      <c r="C1184" s="52">
        <v>44978</v>
      </c>
      <c r="D1184" s="46">
        <v>22023000270</v>
      </c>
      <c r="E1184" s="47" t="s">
        <v>1694</v>
      </c>
      <c r="F1184" s="53">
        <v>250.41</v>
      </c>
      <c r="G1184" s="47" t="s">
        <v>2434</v>
      </c>
      <c r="H1184" s="47" t="s">
        <v>2431</v>
      </c>
      <c r="I1184" s="46" t="s">
        <v>1517</v>
      </c>
      <c r="J1184" s="47" t="s">
        <v>519</v>
      </c>
      <c r="K1184" s="47" t="s">
        <v>519</v>
      </c>
      <c r="L1184" s="47" t="s">
        <v>552</v>
      </c>
      <c r="M1184" s="47" t="s">
        <v>514</v>
      </c>
      <c r="N1184" s="47" t="s">
        <v>515</v>
      </c>
      <c r="O1184" s="54" t="s">
        <v>382</v>
      </c>
      <c r="P1184" s="44" t="s">
        <v>309</v>
      </c>
      <c r="Q1184" s="59" t="str">
        <f>MID(Tabla1[[#This Row],[Aplicación]],14,1)</f>
        <v>2</v>
      </c>
      <c r="R1184" s="35" t="s">
        <v>298</v>
      </c>
      <c r="S1184" s="59" t="str">
        <f>MID(Tabla1[[#This Row],[Aplicación]],6,2)</f>
        <v>11</v>
      </c>
      <c r="T1184" s="35" t="str">
        <f>VLOOKUP(Tabla1[[#This Row],[AREA]],Hoja1!A:B,2,FALSE)</f>
        <v>11. Salud pública y seguridad ciudadana</v>
      </c>
      <c r="U1184" s="35" t="str">
        <f>MID(Tabla1[[#This Row],[Aplicación]],9,4)</f>
        <v>1321</v>
      </c>
      <c r="V1184" s="35" t="str">
        <f>VLOOKUP(Tabla1[[#This Row],[PROGRAMA]],Hoja1!A:B,2,FALSE)</f>
        <v>1321. Policía municipal</v>
      </c>
      <c r="W1184" s="56" t="str">
        <f>MID(Tabla1[[#This Row],[Aplicación]],14,2)</f>
        <v>21</v>
      </c>
      <c r="X1184" s="56" t="str">
        <f>MID(Tabla1[[#This Row],[Aplicación]],14,6)</f>
        <v>214</v>
      </c>
    </row>
    <row r="1185" spans="1:24" x14ac:dyDescent="0.25">
      <c r="A1185" s="46">
        <v>220230004448</v>
      </c>
      <c r="B1185" s="47" t="s">
        <v>1514</v>
      </c>
      <c r="C1185" s="52">
        <v>44978</v>
      </c>
      <c r="D1185" s="46">
        <v>22023001514</v>
      </c>
      <c r="E1185" s="47" t="s">
        <v>1285</v>
      </c>
      <c r="F1185" s="53">
        <v>580.79999999999995</v>
      </c>
      <c r="G1185" s="47" t="s">
        <v>2434</v>
      </c>
      <c r="H1185" s="47" t="s">
        <v>2435</v>
      </c>
      <c r="I1185" s="46" t="s">
        <v>1517</v>
      </c>
      <c r="J1185" s="47" t="s">
        <v>519</v>
      </c>
      <c r="K1185" s="47" t="s">
        <v>519</v>
      </c>
      <c r="L1185" s="47" t="s">
        <v>552</v>
      </c>
      <c r="M1185" s="47" t="s">
        <v>514</v>
      </c>
      <c r="N1185" s="47" t="s">
        <v>515</v>
      </c>
      <c r="O1185" s="45" t="s">
        <v>382</v>
      </c>
      <c r="P1185" s="44" t="s">
        <v>309</v>
      </c>
      <c r="Q1185" s="59" t="str">
        <f>MID(Tabla1[[#This Row],[Aplicación]],14,1)</f>
        <v>2</v>
      </c>
      <c r="R1185" s="35" t="s">
        <v>298</v>
      </c>
      <c r="S1185" s="59" t="str">
        <f>MID(Tabla1[[#This Row],[Aplicación]],6,2)</f>
        <v>11</v>
      </c>
      <c r="T1185" s="35" t="str">
        <f>VLOOKUP(Tabla1[[#This Row],[AREA]],Hoja1!A:B,2,FALSE)</f>
        <v>11. Salud pública y seguridad ciudadana</v>
      </c>
      <c r="U1185" s="35" t="str">
        <f>MID(Tabla1[[#This Row],[Aplicación]],9,4)</f>
        <v>1361</v>
      </c>
      <c r="V1185" s="35" t="str">
        <f>VLOOKUP(Tabla1[[#This Row],[PROGRAMA]],Hoja1!A:B,2,FALSE)</f>
        <v>1361. Prevención y extinción de incencios</v>
      </c>
      <c r="W1185" s="56" t="str">
        <f>MID(Tabla1[[#This Row],[Aplicación]],14,2)</f>
        <v>22</v>
      </c>
      <c r="X1185" s="56" t="str">
        <f>MID(Tabla1[[#This Row],[Aplicación]],14,6)</f>
        <v>22199</v>
      </c>
    </row>
    <row r="1186" spans="1:24" x14ac:dyDescent="0.25">
      <c r="A1186" s="46">
        <v>220230004395</v>
      </c>
      <c r="B1186" s="47" t="s">
        <v>1249</v>
      </c>
      <c r="C1186" s="52">
        <v>44978</v>
      </c>
      <c r="D1186" s="46">
        <v>22023002485</v>
      </c>
      <c r="E1186" s="47" t="s">
        <v>1512</v>
      </c>
      <c r="F1186" s="53">
        <v>13.01</v>
      </c>
      <c r="G1186" s="47" t="s">
        <v>2436</v>
      </c>
      <c r="H1186" s="47" t="s">
        <v>2437</v>
      </c>
      <c r="I1186" s="46" t="s">
        <v>1251</v>
      </c>
      <c r="J1186" s="47" t="s">
        <v>2438</v>
      </c>
      <c r="K1186" s="47" t="s">
        <v>1359</v>
      </c>
      <c r="L1186" s="47" t="s">
        <v>552</v>
      </c>
      <c r="M1186" s="47" t="s">
        <v>514</v>
      </c>
      <c r="N1186" s="47" t="s">
        <v>515</v>
      </c>
      <c r="O1186" s="45" t="s">
        <v>382</v>
      </c>
      <c r="P1186" s="44" t="s">
        <v>309</v>
      </c>
      <c r="Q1186" s="59" t="str">
        <f>MID(Tabla1[[#This Row],[Aplicación]],14,1)</f>
        <v>2</v>
      </c>
      <c r="R1186" s="35" t="s">
        <v>298</v>
      </c>
      <c r="S1186" s="59" t="str">
        <f>MID(Tabla1[[#This Row],[Aplicación]],6,2)</f>
        <v>10</v>
      </c>
      <c r="T1186" s="35" t="str">
        <f>VLOOKUP(Tabla1[[#This Row],[AREA]],Hoja1!A:B,2,FALSE)</f>
        <v>10. Servicios sociales y mediación comunitaria</v>
      </c>
      <c r="U1186" s="35" t="str">
        <f>MID(Tabla1[[#This Row],[Aplicación]],9,4)</f>
        <v>2312</v>
      </c>
      <c r="V1186" s="35" t="str">
        <f>VLOOKUP(Tabla1[[#This Row],[PROGRAMA]],Hoja1!A:B,2,FALSE)</f>
        <v>2312. Iniciativas sociales</v>
      </c>
      <c r="W1186" s="56" t="str">
        <f>MID(Tabla1[[#This Row],[Aplicación]],14,2)</f>
        <v>21</v>
      </c>
      <c r="X1186" s="56" t="str">
        <f>MID(Tabla1[[#This Row],[Aplicación]],14,6)</f>
        <v>212</v>
      </c>
    </row>
    <row r="1187" spans="1:24" x14ac:dyDescent="0.25">
      <c r="A1187" s="46">
        <v>220230004490</v>
      </c>
      <c r="B1187" s="47" t="s">
        <v>1514</v>
      </c>
      <c r="C1187" s="52">
        <v>44978</v>
      </c>
      <c r="D1187" s="46">
        <v>22023000213</v>
      </c>
      <c r="E1187" s="47" t="s">
        <v>1694</v>
      </c>
      <c r="F1187" s="53">
        <v>673.75</v>
      </c>
      <c r="G1187" s="47" t="s">
        <v>1857</v>
      </c>
      <c r="H1187" s="47" t="s">
        <v>2439</v>
      </c>
      <c r="I1187" s="46" t="s">
        <v>1517</v>
      </c>
      <c r="J1187" s="47" t="s">
        <v>519</v>
      </c>
      <c r="K1187" s="47" t="s">
        <v>519</v>
      </c>
      <c r="L1187" s="47" t="s">
        <v>520</v>
      </c>
      <c r="M1187" s="47" t="s">
        <v>514</v>
      </c>
      <c r="N1187" s="47" t="s">
        <v>515</v>
      </c>
      <c r="O1187" s="54" t="s">
        <v>382</v>
      </c>
      <c r="P1187" s="44" t="s">
        <v>309</v>
      </c>
      <c r="Q1187" s="59" t="str">
        <f>MID(Tabla1[[#This Row],[Aplicación]],14,1)</f>
        <v>2</v>
      </c>
      <c r="R1187" s="35" t="s">
        <v>298</v>
      </c>
      <c r="S1187" s="59" t="str">
        <f>MID(Tabla1[[#This Row],[Aplicación]],6,2)</f>
        <v>11</v>
      </c>
      <c r="T1187" s="35" t="str">
        <f>VLOOKUP(Tabla1[[#This Row],[AREA]],Hoja1!A:B,2,FALSE)</f>
        <v>11. Salud pública y seguridad ciudadana</v>
      </c>
      <c r="U1187" s="35" t="str">
        <f>MID(Tabla1[[#This Row],[Aplicación]],9,4)</f>
        <v>1321</v>
      </c>
      <c r="V1187" s="35" t="str">
        <f>VLOOKUP(Tabla1[[#This Row],[PROGRAMA]],Hoja1!A:B,2,FALSE)</f>
        <v>1321. Policía municipal</v>
      </c>
      <c r="W1187" s="56" t="str">
        <f>MID(Tabla1[[#This Row],[Aplicación]],14,2)</f>
        <v>21</v>
      </c>
      <c r="X1187" s="56" t="str">
        <f>MID(Tabla1[[#This Row],[Aplicación]],14,6)</f>
        <v>214</v>
      </c>
    </row>
    <row r="1188" spans="1:24" x14ac:dyDescent="0.25">
      <c r="A1188" s="46">
        <v>220230004471</v>
      </c>
      <c r="B1188" s="47" t="s">
        <v>1514</v>
      </c>
      <c r="C1188" s="52">
        <v>44978</v>
      </c>
      <c r="D1188" s="46">
        <v>22023000213</v>
      </c>
      <c r="E1188" s="47" t="s">
        <v>1694</v>
      </c>
      <c r="F1188" s="53">
        <v>210.04</v>
      </c>
      <c r="G1188" s="47" t="s">
        <v>317</v>
      </c>
      <c r="H1188" s="47" t="s">
        <v>2440</v>
      </c>
      <c r="I1188" s="46" t="s">
        <v>1517</v>
      </c>
      <c r="J1188" s="47" t="s">
        <v>519</v>
      </c>
      <c r="K1188" s="47" t="s">
        <v>519</v>
      </c>
      <c r="L1188" s="47" t="s">
        <v>520</v>
      </c>
      <c r="M1188" s="47" t="s">
        <v>514</v>
      </c>
      <c r="N1188" s="47" t="s">
        <v>515</v>
      </c>
      <c r="O1188" s="54" t="s">
        <v>382</v>
      </c>
      <c r="P1188" s="44" t="s">
        <v>309</v>
      </c>
      <c r="Q1188" s="59" t="str">
        <f>MID(Tabla1[[#This Row],[Aplicación]],14,1)</f>
        <v>2</v>
      </c>
      <c r="R1188" s="35" t="s">
        <v>298</v>
      </c>
      <c r="S1188" s="59" t="str">
        <f>MID(Tabla1[[#This Row],[Aplicación]],6,2)</f>
        <v>11</v>
      </c>
      <c r="T1188" s="35" t="str">
        <f>VLOOKUP(Tabla1[[#This Row],[AREA]],Hoja1!A:B,2,FALSE)</f>
        <v>11. Salud pública y seguridad ciudadana</v>
      </c>
      <c r="U1188" s="35" t="str">
        <f>MID(Tabla1[[#This Row],[Aplicación]],9,4)</f>
        <v>1321</v>
      </c>
      <c r="V1188" s="35" t="str">
        <f>VLOOKUP(Tabla1[[#This Row],[PROGRAMA]],Hoja1!A:B,2,FALSE)</f>
        <v>1321. Policía municipal</v>
      </c>
      <c r="W1188" s="56" t="str">
        <f>MID(Tabla1[[#This Row],[Aplicación]],14,2)</f>
        <v>21</v>
      </c>
      <c r="X1188" s="56" t="str">
        <f>MID(Tabla1[[#This Row],[Aplicación]],14,6)</f>
        <v>214</v>
      </c>
    </row>
    <row r="1189" spans="1:24" x14ac:dyDescent="0.25">
      <c r="A1189" s="46">
        <v>220230005531</v>
      </c>
      <c r="B1189" s="47" t="s">
        <v>1249</v>
      </c>
      <c r="C1189" s="52">
        <v>44979</v>
      </c>
      <c r="D1189" s="46">
        <v>22023002621</v>
      </c>
      <c r="E1189" s="47" t="s">
        <v>613</v>
      </c>
      <c r="F1189" s="53">
        <v>156.09</v>
      </c>
      <c r="G1189" s="47" t="s">
        <v>487</v>
      </c>
      <c r="H1189" s="47" t="s">
        <v>2441</v>
      </c>
      <c r="I1189" s="46" t="s">
        <v>1251</v>
      </c>
      <c r="J1189" s="47" t="s">
        <v>2260</v>
      </c>
      <c r="K1189" s="47" t="s">
        <v>512</v>
      </c>
      <c r="L1189" s="47" t="s">
        <v>520</v>
      </c>
      <c r="M1189" s="47" t="s">
        <v>976</v>
      </c>
      <c r="N1189" s="47" t="s">
        <v>839</v>
      </c>
      <c r="O1189" s="45" t="s">
        <v>383</v>
      </c>
      <c r="P1189" s="44" t="s">
        <v>309</v>
      </c>
      <c r="Q1189" s="59" t="str">
        <f>MID(Tabla1[[#This Row],[Aplicación]],14,1)</f>
        <v>2</v>
      </c>
      <c r="R1189" s="35" t="s">
        <v>298</v>
      </c>
      <c r="S1189" s="59" t="str">
        <f>MID(Tabla1[[#This Row],[Aplicación]],6,2)</f>
        <v>10</v>
      </c>
      <c r="T1189" s="35" t="str">
        <f>VLOOKUP(Tabla1[[#This Row],[AREA]],Hoja1!A:B,2,FALSE)</f>
        <v>10. Servicios sociales y mediación comunitaria</v>
      </c>
      <c r="U1189" s="35" t="str">
        <f>MID(Tabla1[[#This Row],[Aplicación]],9,4)</f>
        <v>2312</v>
      </c>
      <c r="V1189" s="35" t="str">
        <f>VLOOKUP(Tabla1[[#This Row],[PROGRAMA]],Hoja1!A:B,2,FALSE)</f>
        <v>2312. Iniciativas sociales</v>
      </c>
      <c r="W1189" s="56" t="str">
        <f>MID(Tabla1[[#This Row],[Aplicación]],14,2)</f>
        <v>21</v>
      </c>
      <c r="X1189" s="56" t="str">
        <f>MID(Tabla1[[#This Row],[Aplicación]],14,6)</f>
        <v>213</v>
      </c>
    </row>
    <row r="1190" spans="1:24" x14ac:dyDescent="0.25">
      <c r="A1190" s="46">
        <v>220230005531</v>
      </c>
      <c r="B1190" s="47" t="s">
        <v>1249</v>
      </c>
      <c r="C1190" s="52">
        <v>44979</v>
      </c>
      <c r="D1190" s="46">
        <v>22023002622</v>
      </c>
      <c r="E1190" s="47" t="s">
        <v>613</v>
      </c>
      <c r="F1190" s="53">
        <v>312.18</v>
      </c>
      <c r="G1190" s="47" t="s">
        <v>487</v>
      </c>
      <c r="H1190" s="47" t="s">
        <v>2441</v>
      </c>
      <c r="I1190" s="46" t="s">
        <v>1251</v>
      </c>
      <c r="J1190" s="47" t="s">
        <v>2260</v>
      </c>
      <c r="K1190" s="47" t="s">
        <v>512</v>
      </c>
      <c r="L1190" s="47" t="s">
        <v>520</v>
      </c>
      <c r="M1190" s="47" t="s">
        <v>976</v>
      </c>
      <c r="N1190" s="47" t="s">
        <v>839</v>
      </c>
      <c r="O1190" s="45" t="s">
        <v>383</v>
      </c>
      <c r="P1190" s="44" t="s">
        <v>309</v>
      </c>
      <c r="Q1190" s="59" t="str">
        <f>MID(Tabla1[[#This Row],[Aplicación]],14,1)</f>
        <v>2</v>
      </c>
      <c r="R1190" s="35" t="s">
        <v>298</v>
      </c>
      <c r="S1190" s="59" t="str">
        <f>MID(Tabla1[[#This Row],[Aplicación]],6,2)</f>
        <v>10</v>
      </c>
      <c r="T1190" s="35" t="str">
        <f>VLOOKUP(Tabla1[[#This Row],[AREA]],Hoja1!A:B,2,FALSE)</f>
        <v>10. Servicios sociales y mediación comunitaria</v>
      </c>
      <c r="U1190" s="35" t="str">
        <f>MID(Tabla1[[#This Row],[Aplicación]],9,4)</f>
        <v>2312</v>
      </c>
      <c r="V1190" s="35" t="str">
        <f>VLOOKUP(Tabla1[[#This Row],[PROGRAMA]],Hoja1!A:B,2,FALSE)</f>
        <v>2312. Iniciativas sociales</v>
      </c>
      <c r="W1190" s="56" t="str">
        <f>MID(Tabla1[[#This Row],[Aplicación]],14,2)</f>
        <v>21</v>
      </c>
      <c r="X1190" s="56" t="str">
        <f>MID(Tabla1[[#This Row],[Aplicación]],14,6)</f>
        <v>213</v>
      </c>
    </row>
    <row r="1191" spans="1:24" x14ac:dyDescent="0.25">
      <c r="A1191" s="46">
        <v>220230005423</v>
      </c>
      <c r="B1191" s="47" t="s">
        <v>507</v>
      </c>
      <c r="C1191" s="52">
        <v>44979</v>
      </c>
      <c r="D1191" s="46">
        <v>22023002683</v>
      </c>
      <c r="E1191" s="47" t="s">
        <v>944</v>
      </c>
      <c r="F1191" s="53">
        <v>4885.3599999999997</v>
      </c>
      <c r="G1191" s="47" t="s">
        <v>2216</v>
      </c>
      <c r="H1191" s="47" t="s">
        <v>2442</v>
      </c>
      <c r="I1191" s="46" t="s">
        <v>511</v>
      </c>
      <c r="J1191" s="47" t="s">
        <v>519</v>
      </c>
      <c r="K1191" s="47" t="s">
        <v>519</v>
      </c>
      <c r="L1191" s="47" t="s">
        <v>520</v>
      </c>
      <c r="M1191" s="47" t="s">
        <v>976</v>
      </c>
      <c r="N1191" s="47" t="s">
        <v>839</v>
      </c>
      <c r="O1191" s="45" t="s">
        <v>383</v>
      </c>
      <c r="P1191" s="44" t="s">
        <v>309</v>
      </c>
      <c r="Q1191" s="59" t="str">
        <f>MID(Tabla1[[#This Row],[Aplicación]],14,1)</f>
        <v>2</v>
      </c>
      <c r="R1191" s="35" t="s">
        <v>298</v>
      </c>
      <c r="S1191" s="59" t="str">
        <f>MID(Tabla1[[#This Row],[Aplicación]],6,2)</f>
        <v>04</v>
      </c>
      <c r="T1191" s="35" t="str">
        <f>VLOOKUP(Tabla1[[#This Row],[AREA]],Hoja1!A:B,2,FALSE)</f>
        <v>04. Planificación y recursos</v>
      </c>
      <c r="U1191" s="35" t="str">
        <f>MID(Tabla1[[#This Row],[Aplicación]],9,4)</f>
        <v>9231</v>
      </c>
      <c r="V1191" s="35" t="str">
        <f>VLOOKUP(Tabla1[[#This Row],[PROGRAMA]],Hoja1!A:B,2,FALSE)</f>
        <v>9231. Información, registro y gestión del padrón</v>
      </c>
      <c r="W1191" s="56" t="str">
        <f>MID(Tabla1[[#This Row],[Aplicación]],14,2)</f>
        <v>22</v>
      </c>
      <c r="X1191" s="56" t="str">
        <f>MID(Tabla1[[#This Row],[Aplicación]],14,6)</f>
        <v>22799</v>
      </c>
    </row>
    <row r="1192" spans="1:24" x14ac:dyDescent="0.25">
      <c r="A1192" s="46">
        <v>220230005414</v>
      </c>
      <c r="B1192" s="47" t="s">
        <v>507</v>
      </c>
      <c r="C1192" s="52">
        <v>44979</v>
      </c>
      <c r="D1192" s="46">
        <v>22023002637</v>
      </c>
      <c r="E1192" s="47" t="s">
        <v>1305</v>
      </c>
      <c r="F1192" s="53">
        <v>791.34</v>
      </c>
      <c r="G1192" s="47" t="s">
        <v>2443</v>
      </c>
      <c r="H1192" s="47" t="s">
        <v>2444</v>
      </c>
      <c r="I1192" s="46" t="s">
        <v>511</v>
      </c>
      <c r="J1192" s="47" t="s">
        <v>519</v>
      </c>
      <c r="K1192" s="47" t="s">
        <v>519</v>
      </c>
      <c r="L1192" s="47" t="s">
        <v>552</v>
      </c>
      <c r="M1192" s="47" t="s">
        <v>976</v>
      </c>
      <c r="N1192" s="47" t="s">
        <v>839</v>
      </c>
      <c r="O1192" s="45" t="s">
        <v>383</v>
      </c>
      <c r="P1192" s="44" t="s">
        <v>309</v>
      </c>
      <c r="Q1192" s="59" t="str">
        <f>MID(Tabla1[[#This Row],[Aplicación]],14,1)</f>
        <v>2</v>
      </c>
      <c r="R1192" s="35" t="s">
        <v>298</v>
      </c>
      <c r="S1192" s="59" t="str">
        <f>MID(Tabla1[[#This Row],[Aplicación]],6,2)</f>
        <v>06</v>
      </c>
      <c r="T1192" s="35" t="str">
        <f>VLOOKUP(Tabla1[[#This Row],[AREA]],Hoja1!A:B,2,FALSE)</f>
        <v>06. Educación, infancia, juventud e igualdad</v>
      </c>
      <c r="U1192" s="35" t="str">
        <f>MID(Tabla1[[#This Row],[Aplicación]],9,4)</f>
        <v>3232</v>
      </c>
      <c r="V1192" s="35" t="str">
        <f>VLOOKUP(Tabla1[[#This Row],[PROGRAMA]],Hoja1!A:B,2,FALSE)</f>
        <v>3232. Conservación y mantenimiento centros educación infantil y primaria</v>
      </c>
      <c r="W1192" s="56" t="str">
        <f>MID(Tabla1[[#This Row],[Aplicación]],14,2)</f>
        <v>21</v>
      </c>
      <c r="X1192" s="56" t="str">
        <f>MID(Tabla1[[#This Row],[Aplicación]],14,6)</f>
        <v>212</v>
      </c>
    </row>
    <row r="1193" spans="1:24" x14ac:dyDescent="0.25">
      <c r="A1193" s="46">
        <v>220230005410</v>
      </c>
      <c r="B1193" s="47" t="s">
        <v>507</v>
      </c>
      <c r="C1193" s="52">
        <v>44979</v>
      </c>
      <c r="D1193" s="46">
        <v>22023002614</v>
      </c>
      <c r="E1193" s="47" t="s">
        <v>2445</v>
      </c>
      <c r="F1193" s="53">
        <v>605</v>
      </c>
      <c r="G1193" s="47" t="s">
        <v>315</v>
      </c>
      <c r="H1193" s="47" t="s">
        <v>2446</v>
      </c>
      <c r="I1193" s="46" t="s">
        <v>511</v>
      </c>
      <c r="J1193" s="47" t="s">
        <v>519</v>
      </c>
      <c r="K1193" s="47" t="s">
        <v>519</v>
      </c>
      <c r="L1193" s="47" t="s">
        <v>520</v>
      </c>
      <c r="M1193" s="47" t="s">
        <v>976</v>
      </c>
      <c r="N1193" s="47" t="s">
        <v>839</v>
      </c>
      <c r="O1193" s="45" t="s">
        <v>383</v>
      </c>
      <c r="P1193" s="44" t="s">
        <v>309</v>
      </c>
      <c r="Q1193" s="59" t="str">
        <f>MID(Tabla1[[#This Row],[Aplicación]],14,1)</f>
        <v>2</v>
      </c>
      <c r="R1193" s="35" t="s">
        <v>298</v>
      </c>
      <c r="S1193" s="59" t="str">
        <f>MID(Tabla1[[#This Row],[Aplicación]],6,2)</f>
        <v>10</v>
      </c>
      <c r="T1193" s="35" t="str">
        <f>VLOOKUP(Tabla1[[#This Row],[AREA]],Hoja1!A:B,2,FALSE)</f>
        <v>10. Servicios sociales y mediación comunitaria</v>
      </c>
      <c r="U1193" s="35" t="str">
        <f>MID(Tabla1[[#This Row],[Aplicación]],9,4)</f>
        <v>2312</v>
      </c>
      <c r="V1193" s="35" t="str">
        <f>VLOOKUP(Tabla1[[#This Row],[PROGRAMA]],Hoja1!A:B,2,FALSE)</f>
        <v>2312. Iniciativas sociales</v>
      </c>
      <c r="W1193" s="56" t="str">
        <f>MID(Tabla1[[#This Row],[Aplicación]],14,2)</f>
        <v>22</v>
      </c>
      <c r="X1193" s="56" t="str">
        <f>MID(Tabla1[[#This Row],[Aplicación]],14,6)</f>
        <v>22706</v>
      </c>
    </row>
    <row r="1194" spans="1:24" x14ac:dyDescent="0.25">
      <c r="A1194" s="46">
        <v>220230005416</v>
      </c>
      <c r="B1194" s="47" t="s">
        <v>507</v>
      </c>
      <c r="C1194" s="52">
        <v>44979</v>
      </c>
      <c r="D1194" s="46">
        <v>22023002639</v>
      </c>
      <c r="E1194" s="47" t="s">
        <v>1382</v>
      </c>
      <c r="F1194" s="53">
        <v>1085.93</v>
      </c>
      <c r="G1194" s="47" t="s">
        <v>991</v>
      </c>
      <c r="H1194" s="47" t="s">
        <v>2447</v>
      </c>
      <c r="I1194" s="46" t="s">
        <v>511</v>
      </c>
      <c r="J1194" s="47" t="s">
        <v>519</v>
      </c>
      <c r="K1194" s="47" t="s">
        <v>519</v>
      </c>
      <c r="L1194" s="47" t="s">
        <v>552</v>
      </c>
      <c r="M1194" s="47" t="s">
        <v>976</v>
      </c>
      <c r="N1194" s="47" t="s">
        <v>839</v>
      </c>
      <c r="O1194" s="45" t="s">
        <v>383</v>
      </c>
      <c r="P1194" s="44" t="s">
        <v>309</v>
      </c>
      <c r="Q1194" s="59" t="str">
        <f>MID(Tabla1[[#This Row],[Aplicación]],14,1)</f>
        <v>2</v>
      </c>
      <c r="R1194" s="35" t="s">
        <v>298</v>
      </c>
      <c r="S1194" s="59" t="str">
        <f>MID(Tabla1[[#This Row],[Aplicación]],6,2)</f>
        <v>03</v>
      </c>
      <c r="T1194" s="35" t="str">
        <f>VLOOKUP(Tabla1[[#This Row],[AREA]],Hoja1!A:B,2,FALSE)</f>
        <v>03. Participación ciudadana y deportes</v>
      </c>
      <c r="U1194" s="35" t="str">
        <f>MID(Tabla1[[#This Row],[Aplicación]],9,4)</f>
        <v>9241</v>
      </c>
      <c r="V1194" s="35" t="str">
        <f>VLOOKUP(Tabla1[[#This Row],[PROGRAMA]],Hoja1!A:B,2,FALSE)</f>
        <v>9241. Participación ciudadana</v>
      </c>
      <c r="W1194" s="56" t="str">
        <f>MID(Tabla1[[#This Row],[Aplicación]],14,2)</f>
        <v>22</v>
      </c>
      <c r="X1194" s="56" t="str">
        <f>MID(Tabla1[[#This Row],[Aplicación]],14,6)</f>
        <v>22699</v>
      </c>
    </row>
    <row r="1195" spans="1:24" x14ac:dyDescent="0.25">
      <c r="A1195" s="46">
        <v>220230005559</v>
      </c>
      <c r="B1195" s="47" t="s">
        <v>1514</v>
      </c>
      <c r="C1195" s="52">
        <v>44979</v>
      </c>
      <c r="D1195" s="46">
        <v>22023002181</v>
      </c>
      <c r="E1195" s="47" t="s">
        <v>1305</v>
      </c>
      <c r="F1195" s="53">
        <v>271.86</v>
      </c>
      <c r="G1195" s="47" t="s">
        <v>1979</v>
      </c>
      <c r="H1195" s="47" t="s">
        <v>2448</v>
      </c>
      <c r="I1195" s="46" t="s">
        <v>1517</v>
      </c>
      <c r="J1195" s="47" t="s">
        <v>519</v>
      </c>
      <c r="K1195" s="47" t="s">
        <v>519</v>
      </c>
      <c r="L1195" s="47" t="s">
        <v>552</v>
      </c>
      <c r="M1195" s="47" t="s">
        <v>514</v>
      </c>
      <c r="N1195" s="47" t="s">
        <v>515</v>
      </c>
      <c r="O1195" s="45" t="s">
        <v>382</v>
      </c>
      <c r="P1195" s="44" t="s">
        <v>309</v>
      </c>
      <c r="Q1195" s="59" t="str">
        <f>MID(Tabla1[[#This Row],[Aplicación]],14,1)</f>
        <v>2</v>
      </c>
      <c r="R1195" s="35" t="s">
        <v>298</v>
      </c>
      <c r="S1195" s="59" t="str">
        <f>MID(Tabla1[[#This Row],[Aplicación]],6,2)</f>
        <v>06</v>
      </c>
      <c r="T1195" s="35" t="str">
        <f>VLOOKUP(Tabla1[[#This Row],[AREA]],Hoja1!A:B,2,FALSE)</f>
        <v>06. Educación, infancia, juventud e igualdad</v>
      </c>
      <c r="U1195" s="35" t="str">
        <f>MID(Tabla1[[#This Row],[Aplicación]],9,4)</f>
        <v>3232</v>
      </c>
      <c r="V1195" s="35" t="str">
        <f>VLOOKUP(Tabla1[[#This Row],[PROGRAMA]],Hoja1!A:B,2,FALSE)</f>
        <v>3232. Conservación y mantenimiento centros educación infantil y primaria</v>
      </c>
      <c r="W1195" s="56" t="str">
        <f>MID(Tabla1[[#This Row],[Aplicación]],14,2)</f>
        <v>21</v>
      </c>
      <c r="X1195" s="56" t="str">
        <f>MID(Tabla1[[#This Row],[Aplicación]],14,6)</f>
        <v>212</v>
      </c>
    </row>
    <row r="1196" spans="1:24" x14ac:dyDescent="0.25">
      <c r="A1196" s="46">
        <v>220219001136</v>
      </c>
      <c r="B1196" s="47" t="s">
        <v>507</v>
      </c>
      <c r="C1196" s="52">
        <v>44927</v>
      </c>
      <c r="D1196" s="46">
        <v>22023003277</v>
      </c>
      <c r="E1196" s="47" t="s">
        <v>1055</v>
      </c>
      <c r="F1196" s="53">
        <v>4124.45</v>
      </c>
      <c r="G1196" s="47" t="s">
        <v>18</v>
      </c>
      <c r="H1196" s="47" t="s">
        <v>2449</v>
      </c>
      <c r="I1196" s="46" t="s">
        <v>511</v>
      </c>
      <c r="J1196" s="47" t="s">
        <v>519</v>
      </c>
      <c r="K1196" s="47" t="s">
        <v>519</v>
      </c>
      <c r="L1196" s="47" t="s">
        <v>520</v>
      </c>
      <c r="M1196" s="47" t="s">
        <v>514</v>
      </c>
      <c r="N1196" s="47" t="s">
        <v>515</v>
      </c>
      <c r="O1196" s="45" t="s">
        <v>371</v>
      </c>
      <c r="P1196" s="44" t="s">
        <v>309</v>
      </c>
      <c r="Q1196" s="59" t="str">
        <f>MID(Tabla1[[#This Row],[Aplicación]],14,1)</f>
        <v>2</v>
      </c>
      <c r="R1196" s="35" t="s">
        <v>298</v>
      </c>
      <c r="S1196" s="59" t="str">
        <f>MID(Tabla1[[#This Row],[Aplicación]],6,2)</f>
        <v>02</v>
      </c>
      <c r="T1196" s="35" t="str">
        <f>VLOOKUP(Tabla1[[#This Row],[AREA]],Hoja1!A:B,2,FALSE)</f>
        <v>02. Planeamiento urbanístico y vivienda</v>
      </c>
      <c r="U1196" s="35" t="str">
        <f>MID(Tabla1[[#This Row],[Aplicación]],9,4)</f>
        <v>9332</v>
      </c>
      <c r="V1196" s="35" t="str">
        <f>VLOOKUP(Tabla1[[#This Row],[PROGRAMA]],Hoja1!A:B,2,FALSE)</f>
        <v>9332. Mantenimiento de edificios e instalaciones municipales</v>
      </c>
      <c r="W1196" s="56" t="str">
        <f>MID(Tabla1[[#This Row],[Aplicación]],14,2)</f>
        <v>21</v>
      </c>
      <c r="X1196" s="56" t="str">
        <f>MID(Tabla1[[#This Row],[Aplicación]],14,6)</f>
        <v>213</v>
      </c>
    </row>
    <row r="1197" spans="1:24" x14ac:dyDescent="0.25">
      <c r="A1197" s="46">
        <v>220230005473</v>
      </c>
      <c r="B1197" s="47" t="s">
        <v>1514</v>
      </c>
      <c r="C1197" s="52">
        <v>44979</v>
      </c>
      <c r="D1197" s="46">
        <v>22023001411</v>
      </c>
      <c r="E1197" s="47" t="s">
        <v>1510</v>
      </c>
      <c r="F1197" s="53">
        <v>226.88</v>
      </c>
      <c r="G1197" s="47" t="s">
        <v>1979</v>
      </c>
      <c r="H1197" s="47" t="s">
        <v>2450</v>
      </c>
      <c r="I1197" s="46" t="s">
        <v>1517</v>
      </c>
      <c r="J1197" s="47" t="s">
        <v>519</v>
      </c>
      <c r="K1197" s="47" t="s">
        <v>519</v>
      </c>
      <c r="L1197" s="47" t="s">
        <v>552</v>
      </c>
      <c r="M1197" s="47" t="s">
        <v>514</v>
      </c>
      <c r="N1197" s="47" t="s">
        <v>515</v>
      </c>
      <c r="O1197" s="45" t="s">
        <v>382</v>
      </c>
      <c r="P1197" s="44" t="s">
        <v>309</v>
      </c>
      <c r="Q1197" s="59" t="str">
        <f>MID(Tabla1[[#This Row],[Aplicación]],14,1)</f>
        <v>2</v>
      </c>
      <c r="R1197" s="35" t="s">
        <v>298</v>
      </c>
      <c r="S1197" s="59" t="str">
        <f>MID(Tabla1[[#This Row],[Aplicación]],6,2)</f>
        <v>10</v>
      </c>
      <c r="T1197" s="35" t="str">
        <f>VLOOKUP(Tabla1[[#This Row],[AREA]],Hoja1!A:B,2,FALSE)</f>
        <v>10. Servicios sociales y mediación comunitaria</v>
      </c>
      <c r="U1197" s="35" t="str">
        <f>MID(Tabla1[[#This Row],[Aplicación]],9,4)</f>
        <v>2311</v>
      </c>
      <c r="V1197" s="35" t="str">
        <f>VLOOKUP(Tabla1[[#This Row],[PROGRAMA]],Hoja1!A:B,2,FALSE)</f>
        <v>2311. Intervención social</v>
      </c>
      <c r="W1197" s="56" t="str">
        <f>MID(Tabla1[[#This Row],[Aplicación]],14,2)</f>
        <v>21</v>
      </c>
      <c r="X1197" s="56" t="str">
        <f>MID(Tabla1[[#This Row],[Aplicación]],14,6)</f>
        <v>212</v>
      </c>
    </row>
    <row r="1198" spans="1:24" x14ac:dyDescent="0.25">
      <c r="A1198" s="46">
        <v>220230005622</v>
      </c>
      <c r="B1198" s="47" t="s">
        <v>1514</v>
      </c>
      <c r="C1198" s="52">
        <v>44979</v>
      </c>
      <c r="D1198" s="46">
        <v>22023002181</v>
      </c>
      <c r="E1198" s="47" t="s">
        <v>1305</v>
      </c>
      <c r="F1198" s="53">
        <v>133.32</v>
      </c>
      <c r="G1198" s="47" t="s">
        <v>1979</v>
      </c>
      <c r="H1198" s="47" t="s">
        <v>2451</v>
      </c>
      <c r="I1198" s="46" t="s">
        <v>1517</v>
      </c>
      <c r="J1198" s="47" t="s">
        <v>519</v>
      </c>
      <c r="K1198" s="47" t="s">
        <v>519</v>
      </c>
      <c r="L1198" s="47" t="s">
        <v>552</v>
      </c>
      <c r="M1198" s="47" t="s">
        <v>514</v>
      </c>
      <c r="N1198" s="47" t="s">
        <v>515</v>
      </c>
      <c r="O1198" s="45" t="s">
        <v>382</v>
      </c>
      <c r="P1198" s="44" t="s">
        <v>309</v>
      </c>
      <c r="Q1198" s="59" t="str">
        <f>MID(Tabla1[[#This Row],[Aplicación]],14,1)</f>
        <v>2</v>
      </c>
      <c r="R1198" s="35" t="s">
        <v>298</v>
      </c>
      <c r="S1198" s="59" t="str">
        <f>MID(Tabla1[[#This Row],[Aplicación]],6,2)</f>
        <v>06</v>
      </c>
      <c r="T1198" s="35" t="str">
        <f>VLOOKUP(Tabla1[[#This Row],[AREA]],Hoja1!A:B,2,FALSE)</f>
        <v>06. Educación, infancia, juventud e igualdad</v>
      </c>
      <c r="U1198" s="35" t="str">
        <f>MID(Tabla1[[#This Row],[Aplicación]],9,4)</f>
        <v>3232</v>
      </c>
      <c r="V1198" s="35" t="str">
        <f>VLOOKUP(Tabla1[[#This Row],[PROGRAMA]],Hoja1!A:B,2,FALSE)</f>
        <v>3232. Conservación y mantenimiento centros educación infantil y primaria</v>
      </c>
      <c r="W1198" s="56" t="str">
        <f>MID(Tabla1[[#This Row],[Aplicación]],14,2)</f>
        <v>21</v>
      </c>
      <c r="X1198" s="56" t="str">
        <f>MID(Tabla1[[#This Row],[Aplicación]],14,6)</f>
        <v>212</v>
      </c>
    </row>
    <row r="1199" spans="1:24" x14ac:dyDescent="0.25">
      <c r="A1199" s="46">
        <v>220230005396</v>
      </c>
      <c r="B1199" s="47" t="s">
        <v>507</v>
      </c>
      <c r="C1199" s="52">
        <v>44979</v>
      </c>
      <c r="D1199" s="46">
        <v>22023002673</v>
      </c>
      <c r="E1199" s="47" t="s">
        <v>1603</v>
      </c>
      <c r="F1199" s="53">
        <v>7260</v>
      </c>
      <c r="G1199" s="47" t="s">
        <v>48</v>
      </c>
      <c r="H1199" s="47" t="s">
        <v>2452</v>
      </c>
      <c r="I1199" s="46" t="s">
        <v>511</v>
      </c>
      <c r="J1199" s="47" t="s">
        <v>519</v>
      </c>
      <c r="K1199" s="47" t="s">
        <v>519</v>
      </c>
      <c r="L1199" s="47" t="s">
        <v>552</v>
      </c>
      <c r="M1199" s="47" t="s">
        <v>976</v>
      </c>
      <c r="N1199" s="47" t="s">
        <v>839</v>
      </c>
      <c r="O1199" s="45" t="s">
        <v>383</v>
      </c>
      <c r="P1199" s="44" t="s">
        <v>309</v>
      </c>
      <c r="Q1199" s="59" t="str">
        <f>MID(Tabla1[[#This Row],[Aplicación]],14,1)</f>
        <v>2</v>
      </c>
      <c r="R1199" s="35" t="s">
        <v>298</v>
      </c>
      <c r="S1199" s="59" t="str">
        <f>MID(Tabla1[[#This Row],[Aplicación]],6,2)</f>
        <v>08</v>
      </c>
      <c r="T1199" s="35" t="str">
        <f>VLOOKUP(Tabla1[[#This Row],[AREA]],Hoja1!A:B,2,FALSE)</f>
        <v>08. Movilidad y espacio urbano</v>
      </c>
      <c r="U1199" s="35" t="str">
        <f>MID(Tabla1[[#This Row],[Aplicación]],9,4)</f>
        <v>1532</v>
      </c>
      <c r="V1199" s="35" t="str">
        <f>VLOOKUP(Tabla1[[#This Row],[PROGRAMA]],Hoja1!A:B,2,FALSE)</f>
        <v>1532. Pavimentación vias públicas y otros servicios urbanísticos</v>
      </c>
      <c r="W1199" s="56" t="str">
        <f>MID(Tabla1[[#This Row],[Aplicación]],14,2)</f>
        <v>21</v>
      </c>
      <c r="X1199" s="56" t="str">
        <f>MID(Tabla1[[#This Row],[Aplicación]],14,6)</f>
        <v>210</v>
      </c>
    </row>
    <row r="1200" spans="1:24" x14ac:dyDescent="0.25">
      <c r="A1200" s="46">
        <v>220230005575</v>
      </c>
      <c r="B1200" s="47" t="s">
        <v>1514</v>
      </c>
      <c r="C1200" s="52">
        <v>44979</v>
      </c>
      <c r="D1200" s="46">
        <v>22023002181</v>
      </c>
      <c r="E1200" s="47" t="s">
        <v>1305</v>
      </c>
      <c r="F1200" s="53">
        <v>99.14</v>
      </c>
      <c r="G1200" s="47" t="s">
        <v>1979</v>
      </c>
      <c r="H1200" s="47" t="s">
        <v>2453</v>
      </c>
      <c r="I1200" s="46" t="s">
        <v>1517</v>
      </c>
      <c r="J1200" s="47" t="s">
        <v>519</v>
      </c>
      <c r="K1200" s="47" t="s">
        <v>519</v>
      </c>
      <c r="L1200" s="47" t="s">
        <v>552</v>
      </c>
      <c r="M1200" s="47" t="s">
        <v>514</v>
      </c>
      <c r="N1200" s="47" t="s">
        <v>515</v>
      </c>
      <c r="O1200" s="45" t="s">
        <v>382</v>
      </c>
      <c r="P1200" s="44" t="s">
        <v>309</v>
      </c>
      <c r="Q1200" s="59" t="str">
        <f>MID(Tabla1[[#This Row],[Aplicación]],14,1)</f>
        <v>2</v>
      </c>
      <c r="R1200" s="35" t="s">
        <v>298</v>
      </c>
      <c r="S1200" s="59" t="str">
        <f>MID(Tabla1[[#This Row],[Aplicación]],6,2)</f>
        <v>06</v>
      </c>
      <c r="T1200" s="35" t="str">
        <f>VLOOKUP(Tabla1[[#This Row],[AREA]],Hoja1!A:B,2,FALSE)</f>
        <v>06. Educación, infancia, juventud e igualdad</v>
      </c>
      <c r="U1200" s="35" t="str">
        <f>MID(Tabla1[[#This Row],[Aplicación]],9,4)</f>
        <v>3232</v>
      </c>
      <c r="V1200" s="35" t="str">
        <f>VLOOKUP(Tabla1[[#This Row],[PROGRAMA]],Hoja1!A:B,2,FALSE)</f>
        <v>3232. Conservación y mantenimiento centros educación infantil y primaria</v>
      </c>
      <c r="W1200" s="56" t="str">
        <f>MID(Tabla1[[#This Row],[Aplicación]],14,2)</f>
        <v>21</v>
      </c>
      <c r="X1200" s="56" t="str">
        <f>MID(Tabla1[[#This Row],[Aplicación]],14,6)</f>
        <v>212</v>
      </c>
    </row>
    <row r="1201" spans="1:24" x14ac:dyDescent="0.25">
      <c r="A1201" s="46">
        <v>220230005409</v>
      </c>
      <c r="B1201" s="47" t="s">
        <v>507</v>
      </c>
      <c r="C1201" s="52">
        <v>44979</v>
      </c>
      <c r="D1201" s="46">
        <v>22023002612</v>
      </c>
      <c r="E1201" s="47" t="s">
        <v>1191</v>
      </c>
      <c r="F1201" s="53">
        <v>170</v>
      </c>
      <c r="G1201" s="47" t="s">
        <v>90</v>
      </c>
      <c r="H1201" s="47" t="s">
        <v>2454</v>
      </c>
      <c r="I1201" s="46" t="s">
        <v>511</v>
      </c>
      <c r="J1201" s="47" t="s">
        <v>519</v>
      </c>
      <c r="K1201" s="47" t="s">
        <v>519</v>
      </c>
      <c r="L1201" s="47" t="s">
        <v>520</v>
      </c>
      <c r="M1201" s="47" t="s">
        <v>976</v>
      </c>
      <c r="N1201" s="47" t="s">
        <v>839</v>
      </c>
      <c r="O1201" s="45" t="s">
        <v>383</v>
      </c>
      <c r="P1201" s="44" t="s">
        <v>309</v>
      </c>
      <c r="Q1201" s="59" t="str">
        <f>MID(Tabla1[[#This Row],[Aplicación]],14,1)</f>
        <v>2</v>
      </c>
      <c r="R1201" s="35" t="s">
        <v>298</v>
      </c>
      <c r="S1201" s="59" t="str">
        <f>MID(Tabla1[[#This Row],[Aplicación]],6,2)</f>
        <v>06</v>
      </c>
      <c r="T1201" s="35" t="str">
        <f>VLOOKUP(Tabla1[[#This Row],[AREA]],Hoja1!A:B,2,FALSE)</f>
        <v>06. Educación, infancia, juventud e igualdad</v>
      </c>
      <c r="U1201" s="35" t="str">
        <f>MID(Tabla1[[#This Row],[Aplicación]],9,4)</f>
        <v>2315</v>
      </c>
      <c r="V1201" s="35" t="str">
        <f>VLOOKUP(Tabla1[[#This Row],[PROGRAMA]],Hoja1!A:B,2,FALSE)</f>
        <v>2315. Políticas de Igualdad e infancia</v>
      </c>
      <c r="W1201" s="56" t="str">
        <f>MID(Tabla1[[#This Row],[Aplicación]],14,2)</f>
        <v>22</v>
      </c>
      <c r="X1201" s="56" t="str">
        <f>MID(Tabla1[[#This Row],[Aplicación]],14,6)</f>
        <v>22611</v>
      </c>
    </row>
    <row r="1202" spans="1:24" x14ac:dyDescent="0.25">
      <c r="A1202" s="46">
        <v>220230005473</v>
      </c>
      <c r="B1202" s="47" t="s">
        <v>1514</v>
      </c>
      <c r="C1202" s="52">
        <v>44979</v>
      </c>
      <c r="D1202" s="46">
        <v>22023001412</v>
      </c>
      <c r="E1202" s="47" t="s">
        <v>1510</v>
      </c>
      <c r="F1202" s="53">
        <v>90.07</v>
      </c>
      <c r="G1202" s="47" t="s">
        <v>1979</v>
      </c>
      <c r="H1202" s="47" t="s">
        <v>2450</v>
      </c>
      <c r="I1202" s="46" t="s">
        <v>1517</v>
      </c>
      <c r="J1202" s="47" t="s">
        <v>519</v>
      </c>
      <c r="K1202" s="47" t="s">
        <v>519</v>
      </c>
      <c r="L1202" s="47" t="s">
        <v>552</v>
      </c>
      <c r="M1202" s="47" t="s">
        <v>514</v>
      </c>
      <c r="N1202" s="47" t="s">
        <v>515</v>
      </c>
      <c r="O1202" s="45" t="s">
        <v>382</v>
      </c>
      <c r="P1202" s="44" t="s">
        <v>309</v>
      </c>
      <c r="Q1202" s="59" t="str">
        <f>MID(Tabla1[[#This Row],[Aplicación]],14,1)</f>
        <v>2</v>
      </c>
      <c r="R1202" s="35" t="s">
        <v>298</v>
      </c>
      <c r="S1202" s="59" t="str">
        <f>MID(Tabla1[[#This Row],[Aplicación]],6,2)</f>
        <v>10</v>
      </c>
      <c r="T1202" s="35" t="str">
        <f>VLOOKUP(Tabla1[[#This Row],[AREA]],Hoja1!A:B,2,FALSE)</f>
        <v>10. Servicios sociales y mediación comunitaria</v>
      </c>
      <c r="U1202" s="35" t="str">
        <f>MID(Tabla1[[#This Row],[Aplicación]],9,4)</f>
        <v>2311</v>
      </c>
      <c r="V1202" s="35" t="str">
        <f>VLOOKUP(Tabla1[[#This Row],[PROGRAMA]],Hoja1!A:B,2,FALSE)</f>
        <v>2311. Intervención social</v>
      </c>
      <c r="W1202" s="56" t="str">
        <f>MID(Tabla1[[#This Row],[Aplicación]],14,2)</f>
        <v>21</v>
      </c>
      <c r="X1202" s="56" t="str">
        <f>MID(Tabla1[[#This Row],[Aplicación]],14,6)</f>
        <v>212</v>
      </c>
    </row>
    <row r="1203" spans="1:24" x14ac:dyDescent="0.25">
      <c r="A1203" s="46">
        <v>220230005394</v>
      </c>
      <c r="B1203" s="47" t="s">
        <v>507</v>
      </c>
      <c r="C1203" s="52">
        <v>44979</v>
      </c>
      <c r="D1203" s="46">
        <v>22023002654</v>
      </c>
      <c r="E1203" s="47" t="s">
        <v>1899</v>
      </c>
      <c r="F1203" s="53">
        <v>1900</v>
      </c>
      <c r="G1203" s="47" t="s">
        <v>35</v>
      </c>
      <c r="H1203" s="47" t="s">
        <v>2455</v>
      </c>
      <c r="I1203" s="46" t="s">
        <v>511</v>
      </c>
      <c r="J1203" s="47" t="s">
        <v>519</v>
      </c>
      <c r="K1203" s="47" t="s">
        <v>519</v>
      </c>
      <c r="L1203" s="47" t="s">
        <v>552</v>
      </c>
      <c r="M1203" s="47" t="s">
        <v>976</v>
      </c>
      <c r="N1203" s="47" t="s">
        <v>839</v>
      </c>
      <c r="O1203" s="45" t="s">
        <v>383</v>
      </c>
      <c r="P1203" s="44" t="s">
        <v>309</v>
      </c>
      <c r="Q1203" s="59" t="str">
        <f>MID(Tabla1[[#This Row],[Aplicación]],14,1)</f>
        <v>2</v>
      </c>
      <c r="R1203" s="35" t="s">
        <v>298</v>
      </c>
      <c r="S1203" s="59" t="str">
        <f>MID(Tabla1[[#This Row],[Aplicación]],6,2)</f>
        <v>11</v>
      </c>
      <c r="T1203" s="35" t="str">
        <f>VLOOKUP(Tabla1[[#This Row],[AREA]],Hoja1!A:B,2,FALSE)</f>
        <v>11. Salud pública y seguridad ciudadana</v>
      </c>
      <c r="U1203" s="35" t="str">
        <f>MID(Tabla1[[#This Row],[Aplicación]],9,4)</f>
        <v>3111</v>
      </c>
      <c r="V1203" s="35" t="str">
        <f>VLOOKUP(Tabla1[[#This Row],[PROGRAMA]],Hoja1!A:B,2,FALSE)</f>
        <v>3111. Protección de la salubridad pública</v>
      </c>
      <c r="W1203" s="56" t="str">
        <f>MID(Tabla1[[#This Row],[Aplicación]],14,2)</f>
        <v>22</v>
      </c>
      <c r="X1203" s="56" t="str">
        <f>MID(Tabla1[[#This Row],[Aplicación]],14,6)</f>
        <v>22103</v>
      </c>
    </row>
    <row r="1204" spans="1:24" x14ac:dyDescent="0.25">
      <c r="A1204" s="46">
        <v>220230005477</v>
      </c>
      <c r="B1204" s="47" t="s">
        <v>1514</v>
      </c>
      <c r="C1204" s="52">
        <v>44979</v>
      </c>
      <c r="D1204" s="46">
        <v>22023001412</v>
      </c>
      <c r="E1204" s="47" t="s">
        <v>1510</v>
      </c>
      <c r="F1204" s="53">
        <v>81.010000000000005</v>
      </c>
      <c r="G1204" s="47" t="s">
        <v>1979</v>
      </c>
      <c r="H1204" s="47" t="s">
        <v>2456</v>
      </c>
      <c r="I1204" s="46" t="s">
        <v>1517</v>
      </c>
      <c r="J1204" s="47" t="s">
        <v>519</v>
      </c>
      <c r="K1204" s="47" t="s">
        <v>519</v>
      </c>
      <c r="L1204" s="47" t="s">
        <v>552</v>
      </c>
      <c r="M1204" s="47" t="s">
        <v>514</v>
      </c>
      <c r="N1204" s="47" t="s">
        <v>515</v>
      </c>
      <c r="O1204" s="45" t="s">
        <v>382</v>
      </c>
      <c r="P1204" s="44" t="s">
        <v>309</v>
      </c>
      <c r="Q1204" s="59" t="str">
        <f>MID(Tabla1[[#This Row],[Aplicación]],14,1)</f>
        <v>2</v>
      </c>
      <c r="R1204" s="35" t="s">
        <v>298</v>
      </c>
      <c r="S1204" s="59" t="str">
        <f>MID(Tabla1[[#This Row],[Aplicación]],6,2)</f>
        <v>10</v>
      </c>
      <c r="T1204" s="35" t="str">
        <f>VLOOKUP(Tabla1[[#This Row],[AREA]],Hoja1!A:B,2,FALSE)</f>
        <v>10. Servicios sociales y mediación comunitaria</v>
      </c>
      <c r="U1204" s="35" t="str">
        <f>MID(Tabla1[[#This Row],[Aplicación]],9,4)</f>
        <v>2311</v>
      </c>
      <c r="V1204" s="35" t="str">
        <f>VLOOKUP(Tabla1[[#This Row],[PROGRAMA]],Hoja1!A:B,2,FALSE)</f>
        <v>2311. Intervención social</v>
      </c>
      <c r="W1204" s="56" t="str">
        <f>MID(Tabla1[[#This Row],[Aplicación]],14,2)</f>
        <v>21</v>
      </c>
      <c r="X1204" s="56" t="str">
        <f>MID(Tabla1[[#This Row],[Aplicación]],14,6)</f>
        <v>212</v>
      </c>
    </row>
    <row r="1205" spans="1:24" x14ac:dyDescent="0.25">
      <c r="A1205" s="46">
        <v>220230005509</v>
      </c>
      <c r="B1205" s="47" t="s">
        <v>1514</v>
      </c>
      <c r="C1205" s="52">
        <v>44979</v>
      </c>
      <c r="D1205" s="46">
        <v>22023001467</v>
      </c>
      <c r="E1205" s="47" t="s">
        <v>1512</v>
      </c>
      <c r="F1205" s="53">
        <v>28.25</v>
      </c>
      <c r="G1205" s="47" t="s">
        <v>1979</v>
      </c>
      <c r="H1205" s="47" t="s">
        <v>2457</v>
      </c>
      <c r="I1205" s="46" t="s">
        <v>1517</v>
      </c>
      <c r="J1205" s="47" t="s">
        <v>519</v>
      </c>
      <c r="K1205" s="47" t="s">
        <v>519</v>
      </c>
      <c r="L1205" s="47" t="s">
        <v>552</v>
      </c>
      <c r="M1205" s="47" t="s">
        <v>514</v>
      </c>
      <c r="N1205" s="47" t="s">
        <v>515</v>
      </c>
      <c r="O1205" s="45" t="s">
        <v>382</v>
      </c>
      <c r="P1205" s="44" t="s">
        <v>309</v>
      </c>
      <c r="Q1205" s="59" t="str">
        <f>MID(Tabla1[[#This Row],[Aplicación]],14,1)</f>
        <v>2</v>
      </c>
      <c r="R1205" s="35" t="s">
        <v>298</v>
      </c>
      <c r="S1205" s="59" t="str">
        <f>MID(Tabla1[[#This Row],[Aplicación]],6,2)</f>
        <v>10</v>
      </c>
      <c r="T1205" s="35" t="str">
        <f>VLOOKUP(Tabla1[[#This Row],[AREA]],Hoja1!A:B,2,FALSE)</f>
        <v>10. Servicios sociales y mediación comunitaria</v>
      </c>
      <c r="U1205" s="35" t="str">
        <f>MID(Tabla1[[#This Row],[Aplicación]],9,4)</f>
        <v>2312</v>
      </c>
      <c r="V1205" s="35" t="str">
        <f>VLOOKUP(Tabla1[[#This Row],[PROGRAMA]],Hoja1!A:B,2,FALSE)</f>
        <v>2312. Iniciativas sociales</v>
      </c>
      <c r="W1205" s="56" t="str">
        <f>MID(Tabla1[[#This Row],[Aplicación]],14,2)</f>
        <v>21</v>
      </c>
      <c r="X1205" s="56" t="str">
        <f>MID(Tabla1[[#This Row],[Aplicación]],14,6)</f>
        <v>212</v>
      </c>
    </row>
    <row r="1206" spans="1:24" x14ac:dyDescent="0.25">
      <c r="A1206" s="46">
        <v>220230005614</v>
      </c>
      <c r="B1206" s="47" t="s">
        <v>1514</v>
      </c>
      <c r="C1206" s="52">
        <v>44979</v>
      </c>
      <c r="D1206" s="46">
        <v>22023002185</v>
      </c>
      <c r="E1206" s="47" t="s">
        <v>2458</v>
      </c>
      <c r="F1206" s="53">
        <v>24.04</v>
      </c>
      <c r="G1206" s="47" t="s">
        <v>1979</v>
      </c>
      <c r="H1206" s="47" t="s">
        <v>2459</v>
      </c>
      <c r="I1206" s="46" t="s">
        <v>1517</v>
      </c>
      <c r="J1206" s="47" t="s">
        <v>519</v>
      </c>
      <c r="K1206" s="47" t="s">
        <v>519</v>
      </c>
      <c r="L1206" s="47" t="s">
        <v>552</v>
      </c>
      <c r="M1206" s="47" t="s">
        <v>514</v>
      </c>
      <c r="N1206" s="47" t="s">
        <v>515</v>
      </c>
      <c r="O1206" s="45" t="s">
        <v>382</v>
      </c>
      <c r="P1206" s="44" t="s">
        <v>309</v>
      </c>
      <c r="Q1206" s="59" t="str">
        <f>MID(Tabla1[[#This Row],[Aplicación]],14,1)</f>
        <v>2</v>
      </c>
      <c r="R1206" s="35" t="s">
        <v>298</v>
      </c>
      <c r="S1206" s="59" t="str">
        <f>MID(Tabla1[[#This Row],[Aplicación]],6,2)</f>
        <v>06</v>
      </c>
      <c r="T1206" s="35" t="str">
        <f>VLOOKUP(Tabla1[[#This Row],[AREA]],Hoja1!A:B,2,FALSE)</f>
        <v>06. Educación, infancia, juventud e igualdad</v>
      </c>
      <c r="U1206" s="35" t="str">
        <f>MID(Tabla1[[#This Row],[Aplicación]],9,4)</f>
        <v>3231</v>
      </c>
      <c r="V1206" s="35" t="str">
        <f>VLOOKUP(Tabla1[[#This Row],[PROGRAMA]],Hoja1!A:B,2,FALSE)</f>
        <v>3231. Escuelas infantiles</v>
      </c>
      <c r="W1206" s="56" t="str">
        <f>MID(Tabla1[[#This Row],[Aplicación]],14,2)</f>
        <v>21</v>
      </c>
      <c r="X1206" s="56" t="str">
        <f>MID(Tabla1[[#This Row],[Aplicación]],14,6)</f>
        <v>212</v>
      </c>
    </row>
    <row r="1207" spans="1:24" x14ac:dyDescent="0.25">
      <c r="A1207" s="46">
        <v>220230005537</v>
      </c>
      <c r="B1207" s="47" t="s">
        <v>1514</v>
      </c>
      <c r="C1207" s="52">
        <v>44979</v>
      </c>
      <c r="D1207" s="46">
        <v>22023001131</v>
      </c>
      <c r="E1207" s="47" t="s">
        <v>1395</v>
      </c>
      <c r="F1207" s="53">
        <v>13.6</v>
      </c>
      <c r="G1207" s="47" t="s">
        <v>1979</v>
      </c>
      <c r="H1207" s="47" t="s">
        <v>2460</v>
      </c>
      <c r="I1207" s="46" t="s">
        <v>1517</v>
      </c>
      <c r="J1207" s="47" t="s">
        <v>519</v>
      </c>
      <c r="K1207" s="47" t="s">
        <v>519</v>
      </c>
      <c r="L1207" s="47" t="s">
        <v>552</v>
      </c>
      <c r="M1207" s="47" t="s">
        <v>514</v>
      </c>
      <c r="N1207" s="47" t="s">
        <v>515</v>
      </c>
      <c r="O1207" s="45" t="s">
        <v>382</v>
      </c>
      <c r="P1207" s="44" t="s">
        <v>309</v>
      </c>
      <c r="Q1207" s="59" t="str">
        <f>MID(Tabla1[[#This Row],[Aplicación]],14,1)</f>
        <v>2</v>
      </c>
      <c r="R1207" s="35" t="s">
        <v>298</v>
      </c>
      <c r="S1207" s="59" t="str">
        <f>MID(Tabla1[[#This Row],[Aplicación]],6,2)</f>
        <v>07</v>
      </c>
      <c r="T1207" s="35" t="str">
        <f>VLOOKUP(Tabla1[[#This Row],[AREA]],Hoja1!A:B,2,FALSE)</f>
        <v>07. Medio ambiente y desarrollo sostenible</v>
      </c>
      <c r="U1207" s="35" t="str">
        <f>MID(Tabla1[[#This Row],[Aplicación]],9,4)</f>
        <v>1721</v>
      </c>
      <c r="V1207" s="35" t="str">
        <f>VLOOKUP(Tabla1[[#This Row],[PROGRAMA]],Hoja1!A:B,2,FALSE)</f>
        <v>1721. Protección del medio ambiente</v>
      </c>
      <c r="W1207" s="56" t="str">
        <f>MID(Tabla1[[#This Row],[Aplicación]],14,2)</f>
        <v>22</v>
      </c>
      <c r="X1207" s="56" t="str">
        <f>MID(Tabla1[[#This Row],[Aplicación]],14,6)</f>
        <v>22112</v>
      </c>
    </row>
    <row r="1208" spans="1:24" x14ac:dyDescent="0.25">
      <c r="A1208" s="46">
        <v>220230005471</v>
      </c>
      <c r="B1208" s="47" t="s">
        <v>1514</v>
      </c>
      <c r="C1208" s="52">
        <v>44979</v>
      </c>
      <c r="D1208" s="46">
        <v>22023001412</v>
      </c>
      <c r="E1208" s="47" t="s">
        <v>1510</v>
      </c>
      <c r="F1208" s="53">
        <v>11.98</v>
      </c>
      <c r="G1208" s="47" t="s">
        <v>1979</v>
      </c>
      <c r="H1208" s="47" t="s">
        <v>2461</v>
      </c>
      <c r="I1208" s="46" t="s">
        <v>1517</v>
      </c>
      <c r="J1208" s="47" t="s">
        <v>519</v>
      </c>
      <c r="K1208" s="47" t="s">
        <v>519</v>
      </c>
      <c r="L1208" s="47" t="s">
        <v>552</v>
      </c>
      <c r="M1208" s="47" t="s">
        <v>514</v>
      </c>
      <c r="N1208" s="47" t="s">
        <v>515</v>
      </c>
      <c r="O1208" s="45" t="s">
        <v>382</v>
      </c>
      <c r="P1208" s="44" t="s">
        <v>309</v>
      </c>
      <c r="Q1208" s="59" t="str">
        <f>MID(Tabla1[[#This Row],[Aplicación]],14,1)</f>
        <v>2</v>
      </c>
      <c r="R1208" s="35" t="s">
        <v>298</v>
      </c>
      <c r="S1208" s="59" t="str">
        <f>MID(Tabla1[[#This Row],[Aplicación]],6,2)</f>
        <v>10</v>
      </c>
      <c r="T1208" s="35" t="str">
        <f>VLOOKUP(Tabla1[[#This Row],[AREA]],Hoja1!A:B,2,FALSE)</f>
        <v>10. Servicios sociales y mediación comunitaria</v>
      </c>
      <c r="U1208" s="35" t="str">
        <f>MID(Tabla1[[#This Row],[Aplicación]],9,4)</f>
        <v>2311</v>
      </c>
      <c r="V1208" s="35" t="str">
        <f>VLOOKUP(Tabla1[[#This Row],[PROGRAMA]],Hoja1!A:B,2,FALSE)</f>
        <v>2311. Intervención social</v>
      </c>
      <c r="W1208" s="56" t="str">
        <f>MID(Tabla1[[#This Row],[Aplicación]],14,2)</f>
        <v>21</v>
      </c>
      <c r="X1208" s="56" t="str">
        <f>MID(Tabla1[[#This Row],[Aplicación]],14,6)</f>
        <v>212</v>
      </c>
    </row>
    <row r="1209" spans="1:24" x14ac:dyDescent="0.25">
      <c r="A1209" s="46">
        <v>220230000191</v>
      </c>
      <c r="B1209" s="47" t="s">
        <v>507</v>
      </c>
      <c r="C1209" s="52">
        <v>44927</v>
      </c>
      <c r="D1209" s="46">
        <v>22023000826</v>
      </c>
      <c r="E1209" s="47" t="s">
        <v>2402</v>
      </c>
      <c r="F1209" s="53">
        <v>743.59</v>
      </c>
      <c r="G1209" s="47" t="s">
        <v>2462</v>
      </c>
      <c r="H1209" s="47" t="s">
        <v>2463</v>
      </c>
      <c r="I1209" s="46" t="s">
        <v>511</v>
      </c>
      <c r="J1209" s="47" t="s">
        <v>519</v>
      </c>
      <c r="K1209" s="47" t="s">
        <v>519</v>
      </c>
      <c r="L1209" s="47" t="s">
        <v>520</v>
      </c>
      <c r="M1209" s="47" t="s">
        <v>514</v>
      </c>
      <c r="N1209" s="47" t="s">
        <v>515</v>
      </c>
      <c r="O1209" s="45" t="s">
        <v>371</v>
      </c>
      <c r="P1209" s="44" t="s">
        <v>309</v>
      </c>
      <c r="Q1209" s="59" t="str">
        <f>MID(Tabla1[[#This Row],[Aplicación]],14,1)</f>
        <v>2</v>
      </c>
      <c r="R1209" s="35" t="s">
        <v>298</v>
      </c>
      <c r="S1209" s="59" t="str">
        <f>MID(Tabla1[[#This Row],[Aplicación]],6,2)</f>
        <v>04</v>
      </c>
      <c r="T1209" s="35" t="str">
        <f>VLOOKUP(Tabla1[[#This Row],[AREA]],Hoja1!A:B,2,FALSE)</f>
        <v>04. Planificación y recursos</v>
      </c>
      <c r="U1209" s="35" t="str">
        <f>MID(Tabla1[[#This Row],[Aplicación]],9,4)</f>
        <v>3121</v>
      </c>
      <c r="V1209" s="35" t="str">
        <f>VLOOKUP(Tabla1[[#This Row],[PROGRAMA]],Hoja1!A:B,2,FALSE)</f>
        <v>3121. Prevención y salud laboral</v>
      </c>
      <c r="W1209" s="56" t="str">
        <f>MID(Tabla1[[#This Row],[Aplicación]],14,2)</f>
        <v>22</v>
      </c>
      <c r="X1209" s="56" t="str">
        <f>MID(Tabla1[[#This Row],[Aplicación]],14,6)</f>
        <v>22706</v>
      </c>
    </row>
    <row r="1210" spans="1:24" x14ac:dyDescent="0.25">
      <c r="A1210" s="55">
        <v>220230010322</v>
      </c>
      <c r="B1210" s="47" t="s">
        <v>507</v>
      </c>
      <c r="C1210" s="52">
        <v>45008</v>
      </c>
      <c r="D1210" s="46">
        <v>22023002566</v>
      </c>
      <c r="E1210" s="47" t="s">
        <v>1362</v>
      </c>
      <c r="F1210" s="53">
        <v>9493.66</v>
      </c>
      <c r="G1210" s="47" t="s">
        <v>2464</v>
      </c>
      <c r="H1210" s="47" t="s">
        <v>2465</v>
      </c>
      <c r="I1210" s="46" t="s">
        <v>511</v>
      </c>
      <c r="J1210" s="47" t="s">
        <v>1165</v>
      </c>
      <c r="K1210" s="47" t="s">
        <v>837</v>
      </c>
      <c r="L1210" s="47" t="s">
        <v>652</v>
      </c>
      <c r="M1210" s="47" t="s">
        <v>976</v>
      </c>
      <c r="N1210" s="47" t="s">
        <v>839</v>
      </c>
      <c r="O1210" s="54" t="s">
        <v>383</v>
      </c>
      <c r="P1210" s="44" t="s">
        <v>309</v>
      </c>
      <c r="Q1210" s="59" t="str">
        <f>MID(Tabla1[[#This Row],[Aplicación]],14,1)</f>
        <v>2</v>
      </c>
      <c r="R1210" s="35" t="s">
        <v>298</v>
      </c>
      <c r="S1210" s="59" t="str">
        <f>MID(Tabla1[[#This Row],[Aplicación]],6,2)</f>
        <v>09</v>
      </c>
      <c r="T1210" s="35" t="str">
        <f>VLOOKUP(Tabla1[[#This Row],[AREA]],Hoja1!A:B,2,FALSE)</f>
        <v>09. Cultura y turismo</v>
      </c>
      <c r="U1210" s="35" t="str">
        <f>MID(Tabla1[[#This Row],[Aplicación]],9,4)</f>
        <v>3341</v>
      </c>
      <c r="V1210" s="35" t="str">
        <f>VLOOKUP(Tabla1[[#This Row],[PROGRAMA]],Hoja1!A:B,2,FALSE)</f>
        <v>3341. Coordinación de políticas culturales</v>
      </c>
      <c r="W1210" s="56" t="str">
        <f>MID(Tabla1[[#This Row],[Aplicación]],14,2)</f>
        <v>21</v>
      </c>
      <c r="X1210" s="56" t="str">
        <f>MID(Tabla1[[#This Row],[Aplicación]],14,6)</f>
        <v>213</v>
      </c>
    </row>
    <row r="1211" spans="1:24" x14ac:dyDescent="0.25">
      <c r="A1211" s="46">
        <v>220230008082</v>
      </c>
      <c r="B1211" s="47" t="s">
        <v>1249</v>
      </c>
      <c r="C1211" s="52">
        <v>44994</v>
      </c>
      <c r="D1211" s="46">
        <v>22023002661</v>
      </c>
      <c r="E1211" s="47" t="s">
        <v>2466</v>
      </c>
      <c r="F1211" s="53">
        <v>75.72</v>
      </c>
      <c r="G1211" s="47" t="s">
        <v>2467</v>
      </c>
      <c r="H1211" s="47" t="s">
        <v>2468</v>
      </c>
      <c r="I1211" s="46" t="s">
        <v>1251</v>
      </c>
      <c r="J1211" s="47" t="s">
        <v>1348</v>
      </c>
      <c r="K1211" s="47" t="s">
        <v>512</v>
      </c>
      <c r="L1211" s="47" t="s">
        <v>520</v>
      </c>
      <c r="M1211" s="47" t="s">
        <v>976</v>
      </c>
      <c r="N1211" s="47" t="s">
        <v>839</v>
      </c>
      <c r="O1211" s="54" t="s">
        <v>383</v>
      </c>
      <c r="P1211" s="44" t="s">
        <v>309</v>
      </c>
      <c r="Q1211" s="59" t="str">
        <f>MID(Tabla1[[#This Row],[Aplicación]],14,1)</f>
        <v>2</v>
      </c>
      <c r="R1211" s="35" t="s">
        <v>298</v>
      </c>
      <c r="S1211" s="59" t="str">
        <f>MID(Tabla1[[#This Row],[Aplicación]],6,2)</f>
        <v>11</v>
      </c>
      <c r="T1211" s="35" t="str">
        <f>VLOOKUP(Tabla1[[#This Row],[AREA]],Hoja1!A:B,2,FALSE)</f>
        <v>11. Salud pública y seguridad ciudadana</v>
      </c>
      <c r="U1211" s="35" t="str">
        <f>MID(Tabla1[[#This Row],[Aplicación]],9,4)</f>
        <v>1351</v>
      </c>
      <c r="V1211" s="35" t="str">
        <f>VLOOKUP(Tabla1[[#This Row],[PROGRAMA]],Hoja1!A:B,2,FALSE)</f>
        <v>1351. Protección civil</v>
      </c>
      <c r="W1211" s="56" t="str">
        <f>MID(Tabla1[[#This Row],[Aplicación]],14,2)</f>
        <v>22</v>
      </c>
      <c r="X1211" s="56" t="str">
        <f>MID(Tabla1[[#This Row],[Aplicación]],14,6)</f>
        <v>224</v>
      </c>
    </row>
    <row r="1212" spans="1:24" x14ac:dyDescent="0.25">
      <c r="A1212" s="46">
        <v>220230005509</v>
      </c>
      <c r="B1212" s="47" t="s">
        <v>1514</v>
      </c>
      <c r="C1212" s="52">
        <v>44979</v>
      </c>
      <c r="D1212" s="46">
        <v>22023001468</v>
      </c>
      <c r="E1212" s="47" t="s">
        <v>1512</v>
      </c>
      <c r="F1212" s="53">
        <v>6.37</v>
      </c>
      <c r="G1212" s="47" t="s">
        <v>1979</v>
      </c>
      <c r="H1212" s="47" t="s">
        <v>2457</v>
      </c>
      <c r="I1212" s="46" t="s">
        <v>1517</v>
      </c>
      <c r="J1212" s="47" t="s">
        <v>519</v>
      </c>
      <c r="K1212" s="47" t="s">
        <v>519</v>
      </c>
      <c r="L1212" s="47" t="s">
        <v>552</v>
      </c>
      <c r="M1212" s="47" t="s">
        <v>514</v>
      </c>
      <c r="N1212" s="47" t="s">
        <v>515</v>
      </c>
      <c r="O1212" s="45" t="s">
        <v>382</v>
      </c>
      <c r="P1212" s="44" t="s">
        <v>309</v>
      </c>
      <c r="Q1212" s="59" t="str">
        <f>MID(Tabla1[[#This Row],[Aplicación]],14,1)</f>
        <v>2</v>
      </c>
      <c r="R1212" s="35" t="s">
        <v>298</v>
      </c>
      <c r="S1212" s="59" t="str">
        <f>MID(Tabla1[[#This Row],[Aplicación]],6,2)</f>
        <v>10</v>
      </c>
      <c r="T1212" s="35" t="str">
        <f>VLOOKUP(Tabla1[[#This Row],[AREA]],Hoja1!A:B,2,FALSE)</f>
        <v>10. Servicios sociales y mediación comunitaria</v>
      </c>
      <c r="U1212" s="35" t="str">
        <f>MID(Tabla1[[#This Row],[Aplicación]],9,4)</f>
        <v>2312</v>
      </c>
      <c r="V1212" s="35" t="str">
        <f>VLOOKUP(Tabla1[[#This Row],[PROGRAMA]],Hoja1!A:B,2,FALSE)</f>
        <v>2312. Iniciativas sociales</v>
      </c>
      <c r="W1212" s="56" t="str">
        <f>MID(Tabla1[[#This Row],[Aplicación]],14,2)</f>
        <v>21</v>
      </c>
      <c r="X1212" s="56" t="str">
        <f>MID(Tabla1[[#This Row],[Aplicación]],14,6)</f>
        <v>212</v>
      </c>
    </row>
    <row r="1213" spans="1:24" x14ac:dyDescent="0.25">
      <c r="A1213" s="46">
        <v>220230008083</v>
      </c>
      <c r="B1213" s="47" t="s">
        <v>1249</v>
      </c>
      <c r="C1213" s="52">
        <v>44994</v>
      </c>
      <c r="D1213" s="46">
        <v>22023002662</v>
      </c>
      <c r="E1213" s="47" t="s">
        <v>2466</v>
      </c>
      <c r="F1213" s="53">
        <v>75.72</v>
      </c>
      <c r="G1213" s="47" t="s">
        <v>2467</v>
      </c>
      <c r="H1213" s="47" t="s">
        <v>2469</v>
      </c>
      <c r="I1213" s="46" t="s">
        <v>1251</v>
      </c>
      <c r="J1213" s="47" t="s">
        <v>1348</v>
      </c>
      <c r="K1213" s="47" t="s">
        <v>512</v>
      </c>
      <c r="L1213" s="47" t="s">
        <v>520</v>
      </c>
      <c r="M1213" s="47" t="s">
        <v>976</v>
      </c>
      <c r="N1213" s="47" t="s">
        <v>839</v>
      </c>
      <c r="O1213" s="54" t="s">
        <v>383</v>
      </c>
      <c r="P1213" s="44" t="s">
        <v>309</v>
      </c>
      <c r="Q1213" s="59" t="str">
        <f>MID(Tabla1[[#This Row],[Aplicación]],14,1)</f>
        <v>2</v>
      </c>
      <c r="R1213" s="35" t="s">
        <v>298</v>
      </c>
      <c r="S1213" s="59" t="str">
        <f>MID(Tabla1[[#This Row],[Aplicación]],6,2)</f>
        <v>11</v>
      </c>
      <c r="T1213" s="35" t="str">
        <f>VLOOKUP(Tabla1[[#This Row],[AREA]],Hoja1!A:B,2,FALSE)</f>
        <v>11. Salud pública y seguridad ciudadana</v>
      </c>
      <c r="U1213" s="35" t="str">
        <f>MID(Tabla1[[#This Row],[Aplicación]],9,4)</f>
        <v>1351</v>
      </c>
      <c r="V1213" s="35" t="str">
        <f>VLOOKUP(Tabla1[[#This Row],[PROGRAMA]],Hoja1!A:B,2,FALSE)</f>
        <v>1351. Protección civil</v>
      </c>
      <c r="W1213" s="56" t="str">
        <f>MID(Tabla1[[#This Row],[Aplicación]],14,2)</f>
        <v>22</v>
      </c>
      <c r="X1213" s="56" t="str">
        <f>MID(Tabla1[[#This Row],[Aplicación]],14,6)</f>
        <v>224</v>
      </c>
    </row>
    <row r="1214" spans="1:24" x14ac:dyDescent="0.25">
      <c r="A1214" s="46">
        <v>220230008084</v>
      </c>
      <c r="B1214" s="47" t="s">
        <v>1249</v>
      </c>
      <c r="C1214" s="52">
        <v>44994</v>
      </c>
      <c r="D1214" s="46">
        <v>22023002663</v>
      </c>
      <c r="E1214" s="47" t="s">
        <v>2466</v>
      </c>
      <c r="F1214" s="53">
        <v>75.72</v>
      </c>
      <c r="G1214" s="47" t="s">
        <v>2467</v>
      </c>
      <c r="H1214" s="47" t="s">
        <v>2470</v>
      </c>
      <c r="I1214" s="46" t="s">
        <v>1251</v>
      </c>
      <c r="J1214" s="47" t="s">
        <v>1348</v>
      </c>
      <c r="K1214" s="47" t="s">
        <v>512</v>
      </c>
      <c r="L1214" s="47" t="s">
        <v>520</v>
      </c>
      <c r="M1214" s="47" t="s">
        <v>976</v>
      </c>
      <c r="N1214" s="47" t="s">
        <v>839</v>
      </c>
      <c r="O1214" s="54" t="s">
        <v>383</v>
      </c>
      <c r="P1214" s="44" t="s">
        <v>309</v>
      </c>
      <c r="Q1214" s="59" t="str">
        <f>MID(Tabla1[[#This Row],[Aplicación]],14,1)</f>
        <v>2</v>
      </c>
      <c r="R1214" s="35" t="s">
        <v>298</v>
      </c>
      <c r="S1214" s="59" t="str">
        <f>MID(Tabla1[[#This Row],[Aplicación]],6,2)</f>
        <v>11</v>
      </c>
      <c r="T1214" s="35" t="str">
        <f>VLOOKUP(Tabla1[[#This Row],[AREA]],Hoja1!A:B,2,FALSE)</f>
        <v>11. Salud pública y seguridad ciudadana</v>
      </c>
      <c r="U1214" s="35" t="str">
        <f>MID(Tabla1[[#This Row],[Aplicación]],9,4)</f>
        <v>1351</v>
      </c>
      <c r="V1214" s="35" t="str">
        <f>VLOOKUP(Tabla1[[#This Row],[PROGRAMA]],Hoja1!A:B,2,FALSE)</f>
        <v>1351. Protección civil</v>
      </c>
      <c r="W1214" s="56" t="str">
        <f>MID(Tabla1[[#This Row],[Aplicación]],14,2)</f>
        <v>22</v>
      </c>
      <c r="X1214" s="56" t="str">
        <f>MID(Tabla1[[#This Row],[Aplicación]],14,6)</f>
        <v>224</v>
      </c>
    </row>
    <row r="1215" spans="1:24" x14ac:dyDescent="0.25">
      <c r="A1215" s="46">
        <v>220230005521</v>
      </c>
      <c r="B1215" s="47" t="s">
        <v>1514</v>
      </c>
      <c r="C1215" s="52">
        <v>44979</v>
      </c>
      <c r="D1215" s="46">
        <v>22023001956</v>
      </c>
      <c r="E1215" s="47" t="s">
        <v>1982</v>
      </c>
      <c r="F1215" s="53">
        <v>73.37</v>
      </c>
      <c r="G1215" s="47" t="s">
        <v>1985</v>
      </c>
      <c r="H1215" s="47" t="s">
        <v>2471</v>
      </c>
      <c r="I1215" s="46" t="s">
        <v>1517</v>
      </c>
      <c r="J1215" s="47" t="s">
        <v>519</v>
      </c>
      <c r="K1215" s="47" t="s">
        <v>519</v>
      </c>
      <c r="L1215" s="47" t="s">
        <v>520</v>
      </c>
      <c r="M1215" s="47" t="s">
        <v>514</v>
      </c>
      <c r="N1215" s="47" t="s">
        <v>515</v>
      </c>
      <c r="O1215" s="45" t="s">
        <v>382</v>
      </c>
      <c r="P1215" s="44" t="s">
        <v>309</v>
      </c>
      <c r="Q1215" s="59" t="str">
        <f>MID(Tabla1[[#This Row],[Aplicación]],14,1)</f>
        <v>2</v>
      </c>
      <c r="R1215" s="35" t="s">
        <v>298</v>
      </c>
      <c r="S1215" s="59" t="str">
        <f>MID(Tabla1[[#This Row],[Aplicación]],6,2)</f>
        <v>07</v>
      </c>
      <c r="T1215" s="35" t="str">
        <f>VLOOKUP(Tabla1[[#This Row],[AREA]],Hoja1!A:B,2,FALSE)</f>
        <v>07. Medio ambiente y desarrollo sostenible</v>
      </c>
      <c r="U1215" s="35" t="str">
        <f>MID(Tabla1[[#This Row],[Aplicación]],9,4)</f>
        <v>1711</v>
      </c>
      <c r="V1215" s="35" t="str">
        <f>VLOOKUP(Tabla1[[#This Row],[PROGRAMA]],Hoja1!A:B,2,FALSE)</f>
        <v>1711. Parques y jardines</v>
      </c>
      <c r="W1215" s="56" t="str">
        <f>MID(Tabla1[[#This Row],[Aplicación]],14,2)</f>
        <v>21</v>
      </c>
      <c r="X1215" s="56" t="str">
        <f>MID(Tabla1[[#This Row],[Aplicación]],14,6)</f>
        <v>214</v>
      </c>
    </row>
    <row r="1216" spans="1:24" x14ac:dyDescent="0.25">
      <c r="A1216" s="46">
        <v>220230008085</v>
      </c>
      <c r="B1216" s="47" t="s">
        <v>1249</v>
      </c>
      <c r="C1216" s="52">
        <v>44994</v>
      </c>
      <c r="D1216" s="46">
        <v>22023002664</v>
      </c>
      <c r="E1216" s="47" t="s">
        <v>2466</v>
      </c>
      <c r="F1216" s="53">
        <v>75.72</v>
      </c>
      <c r="G1216" s="47" t="s">
        <v>2467</v>
      </c>
      <c r="H1216" s="47" t="s">
        <v>2472</v>
      </c>
      <c r="I1216" s="46" t="s">
        <v>1251</v>
      </c>
      <c r="J1216" s="47" t="s">
        <v>1348</v>
      </c>
      <c r="K1216" s="47" t="s">
        <v>512</v>
      </c>
      <c r="L1216" s="47" t="s">
        <v>520</v>
      </c>
      <c r="M1216" s="47" t="s">
        <v>976</v>
      </c>
      <c r="N1216" s="47" t="s">
        <v>839</v>
      </c>
      <c r="O1216" s="54" t="s">
        <v>383</v>
      </c>
      <c r="P1216" s="44" t="s">
        <v>309</v>
      </c>
      <c r="Q1216" s="59" t="str">
        <f>MID(Tabla1[[#This Row],[Aplicación]],14,1)</f>
        <v>2</v>
      </c>
      <c r="R1216" s="35" t="s">
        <v>298</v>
      </c>
      <c r="S1216" s="59" t="str">
        <f>MID(Tabla1[[#This Row],[Aplicación]],6,2)</f>
        <v>11</v>
      </c>
      <c r="T1216" s="35" t="str">
        <f>VLOOKUP(Tabla1[[#This Row],[AREA]],Hoja1!A:B,2,FALSE)</f>
        <v>11. Salud pública y seguridad ciudadana</v>
      </c>
      <c r="U1216" s="35" t="str">
        <f>MID(Tabla1[[#This Row],[Aplicación]],9,4)</f>
        <v>1351</v>
      </c>
      <c r="V1216" s="35" t="str">
        <f>VLOOKUP(Tabla1[[#This Row],[PROGRAMA]],Hoja1!A:B,2,FALSE)</f>
        <v>1351. Protección civil</v>
      </c>
      <c r="W1216" s="56" t="str">
        <f>MID(Tabla1[[#This Row],[Aplicación]],14,2)</f>
        <v>22</v>
      </c>
      <c r="X1216" s="56" t="str">
        <f>MID(Tabla1[[#This Row],[Aplicación]],14,6)</f>
        <v>224</v>
      </c>
    </row>
    <row r="1217" spans="1:24" x14ac:dyDescent="0.25">
      <c r="A1217" s="46">
        <v>220230008086</v>
      </c>
      <c r="B1217" s="47" t="s">
        <v>1249</v>
      </c>
      <c r="C1217" s="52">
        <v>44994</v>
      </c>
      <c r="D1217" s="46">
        <v>22023002666</v>
      </c>
      <c r="E1217" s="47" t="s">
        <v>2466</v>
      </c>
      <c r="F1217" s="53">
        <v>270.70999999999998</v>
      </c>
      <c r="G1217" s="47" t="s">
        <v>2473</v>
      </c>
      <c r="H1217" s="47" t="s">
        <v>2474</v>
      </c>
      <c r="I1217" s="46" t="s">
        <v>1251</v>
      </c>
      <c r="J1217" s="47" t="s">
        <v>519</v>
      </c>
      <c r="K1217" s="47" t="s">
        <v>519</v>
      </c>
      <c r="L1217" s="47" t="s">
        <v>520</v>
      </c>
      <c r="M1217" s="47" t="s">
        <v>976</v>
      </c>
      <c r="N1217" s="47" t="s">
        <v>839</v>
      </c>
      <c r="O1217" s="54" t="s">
        <v>383</v>
      </c>
      <c r="P1217" s="44" t="s">
        <v>309</v>
      </c>
      <c r="Q1217" s="59" t="str">
        <f>MID(Tabla1[[#This Row],[Aplicación]],14,1)</f>
        <v>2</v>
      </c>
      <c r="R1217" s="35" t="s">
        <v>298</v>
      </c>
      <c r="S1217" s="59" t="str">
        <f>MID(Tabla1[[#This Row],[Aplicación]],6,2)</f>
        <v>11</v>
      </c>
      <c r="T1217" s="35" t="str">
        <f>VLOOKUP(Tabla1[[#This Row],[AREA]],Hoja1!A:B,2,FALSE)</f>
        <v>11. Salud pública y seguridad ciudadana</v>
      </c>
      <c r="U1217" s="35" t="str">
        <f>MID(Tabla1[[#This Row],[Aplicación]],9,4)</f>
        <v>1351</v>
      </c>
      <c r="V1217" s="35" t="str">
        <f>VLOOKUP(Tabla1[[#This Row],[PROGRAMA]],Hoja1!A:B,2,FALSE)</f>
        <v>1351. Protección civil</v>
      </c>
      <c r="W1217" s="56" t="str">
        <f>MID(Tabla1[[#This Row],[Aplicación]],14,2)</f>
        <v>22</v>
      </c>
      <c r="X1217" s="56" t="str">
        <f>MID(Tabla1[[#This Row],[Aplicación]],14,6)</f>
        <v>224</v>
      </c>
    </row>
    <row r="1218" spans="1:24" x14ac:dyDescent="0.25">
      <c r="A1218" s="46">
        <v>220230003229</v>
      </c>
      <c r="B1218" s="47" t="s">
        <v>507</v>
      </c>
      <c r="C1218" s="52">
        <v>44971</v>
      </c>
      <c r="D1218" s="46">
        <v>22023002092</v>
      </c>
      <c r="E1218" s="47" t="s">
        <v>618</v>
      </c>
      <c r="F1218" s="53">
        <v>175.45</v>
      </c>
      <c r="G1218" s="47" t="s">
        <v>2475</v>
      </c>
      <c r="H1218" s="47" t="s">
        <v>2476</v>
      </c>
      <c r="I1218" s="46" t="s">
        <v>511</v>
      </c>
      <c r="J1218" s="47" t="s">
        <v>1478</v>
      </c>
      <c r="K1218" s="47" t="s">
        <v>519</v>
      </c>
      <c r="L1218" s="47" t="s">
        <v>520</v>
      </c>
      <c r="M1218" s="47" t="s">
        <v>976</v>
      </c>
      <c r="N1218" s="47" t="s">
        <v>839</v>
      </c>
      <c r="O1218" s="45" t="s">
        <v>383</v>
      </c>
      <c r="P1218" s="44" t="s">
        <v>309</v>
      </c>
      <c r="Q1218" s="59" t="str">
        <f>MID(Tabla1[[#This Row],[Aplicación]],14,1)</f>
        <v>2</v>
      </c>
      <c r="R1218" s="35" t="s">
        <v>298</v>
      </c>
      <c r="S1218" s="59" t="str">
        <f>MID(Tabla1[[#This Row],[Aplicación]],6,2)</f>
        <v>10</v>
      </c>
      <c r="T1218" s="35" t="str">
        <f>VLOOKUP(Tabla1[[#This Row],[AREA]],Hoja1!A:B,2,FALSE)</f>
        <v>10. Servicios sociales y mediación comunitaria</v>
      </c>
      <c r="U1218" s="35" t="str">
        <f>MID(Tabla1[[#This Row],[Aplicación]],9,4)</f>
        <v>2311</v>
      </c>
      <c r="V1218" s="35" t="str">
        <f>VLOOKUP(Tabla1[[#This Row],[PROGRAMA]],Hoja1!A:B,2,FALSE)</f>
        <v>2311. Intervención social</v>
      </c>
      <c r="W1218" s="56" t="str">
        <f>MID(Tabla1[[#This Row],[Aplicación]],14,2)</f>
        <v>21</v>
      </c>
      <c r="X1218" s="56" t="str">
        <f>MID(Tabla1[[#This Row],[Aplicación]],14,6)</f>
        <v>213</v>
      </c>
    </row>
    <row r="1219" spans="1:24" x14ac:dyDescent="0.25">
      <c r="A1219" s="46">
        <v>220230005573</v>
      </c>
      <c r="B1219" s="47" t="s">
        <v>1514</v>
      </c>
      <c r="C1219" s="52">
        <v>44979</v>
      </c>
      <c r="D1219" s="46">
        <v>22023002181</v>
      </c>
      <c r="E1219" s="47" t="s">
        <v>1305</v>
      </c>
      <c r="F1219" s="53">
        <v>1160.54</v>
      </c>
      <c r="G1219" s="47" t="s">
        <v>2477</v>
      </c>
      <c r="H1219" s="47" t="s">
        <v>2478</v>
      </c>
      <c r="I1219" s="46" t="s">
        <v>1517</v>
      </c>
      <c r="J1219" s="47" t="s">
        <v>519</v>
      </c>
      <c r="K1219" s="47" t="s">
        <v>519</v>
      </c>
      <c r="L1219" s="47" t="s">
        <v>552</v>
      </c>
      <c r="M1219" s="47" t="s">
        <v>514</v>
      </c>
      <c r="N1219" s="47" t="s">
        <v>515</v>
      </c>
      <c r="O1219" s="45" t="s">
        <v>382</v>
      </c>
      <c r="P1219" s="44" t="s">
        <v>309</v>
      </c>
      <c r="Q1219" s="59" t="str">
        <f>MID(Tabla1[[#This Row],[Aplicación]],14,1)</f>
        <v>2</v>
      </c>
      <c r="R1219" s="35" t="s">
        <v>298</v>
      </c>
      <c r="S1219" s="59" t="str">
        <f>MID(Tabla1[[#This Row],[Aplicación]],6,2)</f>
        <v>06</v>
      </c>
      <c r="T1219" s="35" t="str">
        <f>VLOOKUP(Tabla1[[#This Row],[AREA]],Hoja1!A:B,2,FALSE)</f>
        <v>06. Educación, infancia, juventud e igualdad</v>
      </c>
      <c r="U1219" s="35" t="str">
        <f>MID(Tabla1[[#This Row],[Aplicación]],9,4)</f>
        <v>3232</v>
      </c>
      <c r="V1219" s="35" t="str">
        <f>VLOOKUP(Tabla1[[#This Row],[PROGRAMA]],Hoja1!A:B,2,FALSE)</f>
        <v>3232. Conservación y mantenimiento centros educación infantil y primaria</v>
      </c>
      <c r="W1219" s="56" t="str">
        <f>MID(Tabla1[[#This Row],[Aplicación]],14,2)</f>
        <v>21</v>
      </c>
      <c r="X1219" s="56" t="str">
        <f>MID(Tabla1[[#This Row],[Aplicación]],14,6)</f>
        <v>212</v>
      </c>
    </row>
    <row r="1220" spans="1:24" x14ac:dyDescent="0.25">
      <c r="A1220" s="46">
        <v>220230005528</v>
      </c>
      <c r="B1220" s="47" t="s">
        <v>1514</v>
      </c>
      <c r="C1220" s="52">
        <v>44979</v>
      </c>
      <c r="D1220" s="46">
        <v>22023002053</v>
      </c>
      <c r="E1220" s="47" t="s">
        <v>2107</v>
      </c>
      <c r="F1220" s="53">
        <v>210.76</v>
      </c>
      <c r="G1220" s="47" t="s">
        <v>2108</v>
      </c>
      <c r="H1220" s="47" t="s">
        <v>2479</v>
      </c>
      <c r="I1220" s="46" t="s">
        <v>1517</v>
      </c>
      <c r="J1220" s="47" t="s">
        <v>519</v>
      </c>
      <c r="K1220" s="47" t="s">
        <v>519</v>
      </c>
      <c r="L1220" s="47" t="s">
        <v>520</v>
      </c>
      <c r="M1220" s="47" t="s">
        <v>514</v>
      </c>
      <c r="N1220" s="47" t="s">
        <v>515</v>
      </c>
      <c r="O1220" s="45" t="s">
        <v>382</v>
      </c>
      <c r="P1220" s="44" t="s">
        <v>309</v>
      </c>
      <c r="Q1220" s="59" t="str">
        <f>MID(Tabla1[[#This Row],[Aplicación]],14,1)</f>
        <v>2</v>
      </c>
      <c r="R1220" s="35" t="s">
        <v>298</v>
      </c>
      <c r="S1220" s="59" t="str">
        <f>MID(Tabla1[[#This Row],[Aplicación]],6,2)</f>
        <v>07</v>
      </c>
      <c r="T1220" s="35" t="str">
        <f>VLOOKUP(Tabla1[[#This Row],[AREA]],Hoja1!A:B,2,FALSE)</f>
        <v>07. Medio ambiente y desarrollo sostenible</v>
      </c>
      <c r="U1220" s="35" t="str">
        <f>MID(Tabla1[[#This Row],[Aplicación]],9,4)</f>
        <v>1711</v>
      </c>
      <c r="V1220" s="35" t="str">
        <f>VLOOKUP(Tabla1[[#This Row],[PROGRAMA]],Hoja1!A:B,2,FALSE)</f>
        <v>1711. Parques y jardines</v>
      </c>
      <c r="W1220" s="56" t="str">
        <f>MID(Tabla1[[#This Row],[Aplicación]],14,2)</f>
        <v>21</v>
      </c>
      <c r="X1220" s="56" t="str">
        <f>MID(Tabla1[[#This Row],[Aplicación]],14,6)</f>
        <v>213</v>
      </c>
    </row>
    <row r="1221" spans="1:24" x14ac:dyDescent="0.25">
      <c r="A1221" s="46">
        <v>220230004183</v>
      </c>
      <c r="B1221" s="47" t="s">
        <v>507</v>
      </c>
      <c r="C1221" s="52">
        <v>44977</v>
      </c>
      <c r="D1221" s="46">
        <v>22023002410</v>
      </c>
      <c r="E1221" s="47" t="s">
        <v>1436</v>
      </c>
      <c r="F1221" s="53">
        <v>338</v>
      </c>
      <c r="G1221" s="47" t="s">
        <v>2480</v>
      </c>
      <c r="H1221" s="47" t="s">
        <v>2481</v>
      </c>
      <c r="I1221" s="46" t="s">
        <v>511</v>
      </c>
      <c r="J1221" s="47" t="s">
        <v>519</v>
      </c>
      <c r="K1221" s="47" t="s">
        <v>519</v>
      </c>
      <c r="L1221" s="47" t="s">
        <v>652</v>
      </c>
      <c r="M1221" s="47" t="s">
        <v>976</v>
      </c>
      <c r="N1221" s="47" t="s">
        <v>839</v>
      </c>
      <c r="O1221" s="45" t="s">
        <v>383</v>
      </c>
      <c r="P1221" s="44" t="s">
        <v>309</v>
      </c>
      <c r="Q1221" s="59" t="str">
        <f>MID(Tabla1[[#This Row],[Aplicación]],14,1)</f>
        <v>2</v>
      </c>
      <c r="R1221" s="35" t="s">
        <v>298</v>
      </c>
      <c r="S1221" s="59" t="str">
        <f>MID(Tabla1[[#This Row],[Aplicación]],6,2)</f>
        <v>04</v>
      </c>
      <c r="T1221" s="35" t="str">
        <f>VLOOKUP(Tabla1[[#This Row],[AREA]],Hoja1!A:B,2,FALSE)</f>
        <v>04. Planificación y recursos</v>
      </c>
      <c r="U1221" s="35" t="str">
        <f>MID(Tabla1[[#This Row],[Aplicación]],9,4)</f>
        <v>9202</v>
      </c>
      <c r="V1221" s="35" t="str">
        <f>VLOOKUP(Tabla1[[#This Row],[PROGRAMA]],Hoja1!A:B,2,FALSE)</f>
        <v>9202. Gestión de recursos humanos</v>
      </c>
      <c r="W1221" s="56" t="str">
        <f>MID(Tabla1[[#This Row],[Aplicación]],14,2)</f>
        <v>22</v>
      </c>
      <c r="X1221" s="56" t="str">
        <f>MID(Tabla1[[#This Row],[Aplicación]],14,6)</f>
        <v>22607</v>
      </c>
    </row>
    <row r="1222" spans="1:24" x14ac:dyDescent="0.25">
      <c r="A1222" s="46">
        <v>220230005532</v>
      </c>
      <c r="B1222" s="47" t="s">
        <v>1514</v>
      </c>
      <c r="C1222" s="52">
        <v>44979</v>
      </c>
      <c r="D1222" s="46">
        <v>22023001956</v>
      </c>
      <c r="E1222" s="47" t="s">
        <v>1982</v>
      </c>
      <c r="F1222" s="53">
        <v>85</v>
      </c>
      <c r="G1222" s="47" t="s">
        <v>1993</v>
      </c>
      <c r="H1222" s="47" t="s">
        <v>2482</v>
      </c>
      <c r="I1222" s="46" t="s">
        <v>1517</v>
      </c>
      <c r="J1222" s="47" t="s">
        <v>519</v>
      </c>
      <c r="K1222" s="47" t="s">
        <v>519</v>
      </c>
      <c r="L1222" s="47" t="s">
        <v>552</v>
      </c>
      <c r="M1222" s="47" t="s">
        <v>514</v>
      </c>
      <c r="N1222" s="47" t="s">
        <v>515</v>
      </c>
      <c r="O1222" s="45" t="s">
        <v>382</v>
      </c>
      <c r="P1222" s="44" t="s">
        <v>309</v>
      </c>
      <c r="Q1222" s="59" t="str">
        <f>MID(Tabla1[[#This Row],[Aplicación]],14,1)</f>
        <v>2</v>
      </c>
      <c r="R1222" s="35" t="s">
        <v>298</v>
      </c>
      <c r="S1222" s="59" t="str">
        <f>MID(Tabla1[[#This Row],[Aplicación]],6,2)</f>
        <v>07</v>
      </c>
      <c r="T1222" s="35" t="str">
        <f>VLOOKUP(Tabla1[[#This Row],[AREA]],Hoja1!A:B,2,FALSE)</f>
        <v>07. Medio ambiente y desarrollo sostenible</v>
      </c>
      <c r="U1222" s="35" t="str">
        <f>MID(Tabla1[[#This Row],[Aplicación]],9,4)</f>
        <v>1711</v>
      </c>
      <c r="V1222" s="35" t="str">
        <f>VLOOKUP(Tabla1[[#This Row],[PROGRAMA]],Hoja1!A:B,2,FALSE)</f>
        <v>1711. Parques y jardines</v>
      </c>
      <c r="W1222" s="56" t="str">
        <f>MID(Tabla1[[#This Row],[Aplicación]],14,2)</f>
        <v>21</v>
      </c>
      <c r="X1222" s="56" t="str">
        <f>MID(Tabla1[[#This Row],[Aplicación]],14,6)</f>
        <v>214</v>
      </c>
    </row>
    <row r="1223" spans="1:24" x14ac:dyDescent="0.25">
      <c r="A1223" s="46">
        <v>220230005565</v>
      </c>
      <c r="B1223" s="47" t="s">
        <v>1514</v>
      </c>
      <c r="C1223" s="52">
        <v>44979</v>
      </c>
      <c r="D1223" s="46">
        <v>22023002181</v>
      </c>
      <c r="E1223" s="47" t="s">
        <v>1305</v>
      </c>
      <c r="F1223" s="53">
        <v>36.49</v>
      </c>
      <c r="G1223" s="47" t="s">
        <v>1372</v>
      </c>
      <c r="H1223" s="47" t="s">
        <v>2483</v>
      </c>
      <c r="I1223" s="46" t="s">
        <v>1517</v>
      </c>
      <c r="J1223" s="47" t="s">
        <v>519</v>
      </c>
      <c r="K1223" s="47" t="s">
        <v>519</v>
      </c>
      <c r="L1223" s="47" t="s">
        <v>552</v>
      </c>
      <c r="M1223" s="47" t="s">
        <v>514</v>
      </c>
      <c r="N1223" s="47" t="s">
        <v>515</v>
      </c>
      <c r="O1223" s="45" t="s">
        <v>382</v>
      </c>
      <c r="P1223" s="44" t="s">
        <v>309</v>
      </c>
      <c r="Q1223" s="59" t="str">
        <f>MID(Tabla1[[#This Row],[Aplicación]],14,1)</f>
        <v>2</v>
      </c>
      <c r="R1223" s="35" t="s">
        <v>298</v>
      </c>
      <c r="S1223" s="59" t="str">
        <f>MID(Tabla1[[#This Row],[Aplicación]],6,2)</f>
        <v>06</v>
      </c>
      <c r="T1223" s="35" t="str">
        <f>VLOOKUP(Tabla1[[#This Row],[AREA]],Hoja1!A:B,2,FALSE)</f>
        <v>06. Educación, infancia, juventud e igualdad</v>
      </c>
      <c r="U1223" s="35" t="str">
        <f>MID(Tabla1[[#This Row],[Aplicación]],9,4)</f>
        <v>3232</v>
      </c>
      <c r="V1223" s="35" t="str">
        <f>VLOOKUP(Tabla1[[#This Row],[PROGRAMA]],Hoja1!A:B,2,FALSE)</f>
        <v>3232. Conservación y mantenimiento centros educación infantil y primaria</v>
      </c>
      <c r="W1223" s="56" t="str">
        <f>MID(Tabla1[[#This Row],[Aplicación]],14,2)</f>
        <v>21</v>
      </c>
      <c r="X1223" s="56" t="str">
        <f>MID(Tabla1[[#This Row],[Aplicación]],14,6)</f>
        <v>212</v>
      </c>
    </row>
    <row r="1224" spans="1:24" x14ac:dyDescent="0.25">
      <c r="A1224" s="46">
        <v>220230005616</v>
      </c>
      <c r="B1224" s="47" t="s">
        <v>1514</v>
      </c>
      <c r="C1224" s="52">
        <v>44979</v>
      </c>
      <c r="D1224" s="46">
        <v>22023002185</v>
      </c>
      <c r="E1224" s="47" t="s">
        <v>2458</v>
      </c>
      <c r="F1224" s="53">
        <v>21.86</v>
      </c>
      <c r="G1224" s="47" t="s">
        <v>1372</v>
      </c>
      <c r="H1224" s="47" t="s">
        <v>2484</v>
      </c>
      <c r="I1224" s="46" t="s">
        <v>1517</v>
      </c>
      <c r="J1224" s="47" t="s">
        <v>519</v>
      </c>
      <c r="K1224" s="47" t="s">
        <v>519</v>
      </c>
      <c r="L1224" s="47" t="s">
        <v>552</v>
      </c>
      <c r="M1224" s="47" t="s">
        <v>514</v>
      </c>
      <c r="N1224" s="47" t="s">
        <v>515</v>
      </c>
      <c r="O1224" s="45" t="s">
        <v>382</v>
      </c>
      <c r="P1224" s="44" t="s">
        <v>309</v>
      </c>
      <c r="Q1224" s="59" t="str">
        <f>MID(Tabla1[[#This Row],[Aplicación]],14,1)</f>
        <v>2</v>
      </c>
      <c r="R1224" s="35" t="s">
        <v>298</v>
      </c>
      <c r="S1224" s="59" t="str">
        <f>MID(Tabla1[[#This Row],[Aplicación]],6,2)</f>
        <v>06</v>
      </c>
      <c r="T1224" s="35" t="str">
        <f>VLOOKUP(Tabla1[[#This Row],[AREA]],Hoja1!A:B,2,FALSE)</f>
        <v>06. Educación, infancia, juventud e igualdad</v>
      </c>
      <c r="U1224" s="35" t="str">
        <f>MID(Tabla1[[#This Row],[Aplicación]],9,4)</f>
        <v>3231</v>
      </c>
      <c r="V1224" s="35" t="str">
        <f>VLOOKUP(Tabla1[[#This Row],[PROGRAMA]],Hoja1!A:B,2,FALSE)</f>
        <v>3231. Escuelas infantiles</v>
      </c>
      <c r="W1224" s="56" t="str">
        <f>MID(Tabla1[[#This Row],[Aplicación]],14,2)</f>
        <v>21</v>
      </c>
      <c r="X1224" s="56" t="str">
        <f>MID(Tabla1[[#This Row],[Aplicación]],14,6)</f>
        <v>212</v>
      </c>
    </row>
    <row r="1225" spans="1:24" x14ac:dyDescent="0.25">
      <c r="A1225" s="46">
        <v>220230005507</v>
      </c>
      <c r="B1225" s="47" t="s">
        <v>1514</v>
      </c>
      <c r="C1225" s="52">
        <v>44979</v>
      </c>
      <c r="D1225" s="46">
        <v>22023001565</v>
      </c>
      <c r="E1225" s="47" t="s">
        <v>741</v>
      </c>
      <c r="F1225" s="53">
        <v>660</v>
      </c>
      <c r="G1225" s="47" t="s">
        <v>2485</v>
      </c>
      <c r="H1225" s="47" t="s">
        <v>2486</v>
      </c>
      <c r="I1225" s="46" t="s">
        <v>1517</v>
      </c>
      <c r="J1225" s="47" t="s">
        <v>1535</v>
      </c>
      <c r="K1225" s="47" t="s">
        <v>512</v>
      </c>
      <c r="L1225" s="47" t="s">
        <v>552</v>
      </c>
      <c r="M1225" s="47" t="s">
        <v>514</v>
      </c>
      <c r="N1225" s="47" t="s">
        <v>515</v>
      </c>
      <c r="O1225" s="54" t="s">
        <v>382</v>
      </c>
      <c r="P1225" s="44" t="s">
        <v>309</v>
      </c>
      <c r="Q1225" s="59" t="str">
        <f>MID(Tabla1[[#This Row],[Aplicación]],14,1)</f>
        <v>6</v>
      </c>
      <c r="R1225" s="35" t="s">
        <v>299</v>
      </c>
      <c r="S1225" s="59" t="str">
        <f>MID(Tabla1[[#This Row],[Aplicación]],6,2)</f>
        <v>07</v>
      </c>
      <c r="T1225" s="35" t="str">
        <f>VLOOKUP(Tabla1[[#This Row],[AREA]],Hoja1!A:B,2,FALSE)</f>
        <v>07. Medio ambiente y desarrollo sostenible</v>
      </c>
      <c r="U1225" s="35" t="str">
        <f>MID(Tabla1[[#This Row],[Aplicación]],9,4)</f>
        <v>1711</v>
      </c>
      <c r="V1225" s="35" t="str">
        <f>VLOOKUP(Tabla1[[#This Row],[PROGRAMA]],Hoja1!A:B,2,FALSE)</f>
        <v>1711. Parques y jardines</v>
      </c>
      <c r="W1225" s="56" t="str">
        <f>MID(Tabla1[[#This Row],[Aplicación]],14,2)</f>
        <v>61</v>
      </c>
      <c r="X1225" s="56" t="str">
        <f>MID(Tabla1[[#This Row],[Aplicación]],14,6)</f>
        <v>619</v>
      </c>
    </row>
    <row r="1226" spans="1:24" x14ac:dyDescent="0.25">
      <c r="A1226" s="46">
        <v>220230005475</v>
      </c>
      <c r="B1226" s="47" t="s">
        <v>1514</v>
      </c>
      <c r="C1226" s="52">
        <v>44979</v>
      </c>
      <c r="D1226" s="46">
        <v>22023001412</v>
      </c>
      <c r="E1226" s="47" t="s">
        <v>1510</v>
      </c>
      <c r="F1226" s="53">
        <v>85.33</v>
      </c>
      <c r="G1226" s="47" t="s">
        <v>1351</v>
      </c>
      <c r="H1226" s="47" t="s">
        <v>2487</v>
      </c>
      <c r="I1226" s="46" t="s">
        <v>1517</v>
      </c>
      <c r="J1226" s="47" t="s">
        <v>519</v>
      </c>
      <c r="K1226" s="47" t="s">
        <v>519</v>
      </c>
      <c r="L1226" s="47" t="s">
        <v>552</v>
      </c>
      <c r="M1226" s="47" t="s">
        <v>514</v>
      </c>
      <c r="N1226" s="47" t="s">
        <v>515</v>
      </c>
      <c r="O1226" s="45" t="s">
        <v>382</v>
      </c>
      <c r="P1226" s="44" t="s">
        <v>309</v>
      </c>
      <c r="Q1226" s="59" t="str">
        <f>MID(Tabla1[[#This Row],[Aplicación]],14,1)</f>
        <v>2</v>
      </c>
      <c r="R1226" s="35" t="s">
        <v>298</v>
      </c>
      <c r="S1226" s="59" t="str">
        <f>MID(Tabla1[[#This Row],[Aplicación]],6,2)</f>
        <v>10</v>
      </c>
      <c r="T1226" s="35" t="str">
        <f>VLOOKUP(Tabla1[[#This Row],[AREA]],Hoja1!A:B,2,FALSE)</f>
        <v>10. Servicios sociales y mediación comunitaria</v>
      </c>
      <c r="U1226" s="35" t="str">
        <f>MID(Tabla1[[#This Row],[Aplicación]],9,4)</f>
        <v>2311</v>
      </c>
      <c r="V1226" s="35" t="str">
        <f>VLOOKUP(Tabla1[[#This Row],[PROGRAMA]],Hoja1!A:B,2,FALSE)</f>
        <v>2311. Intervención social</v>
      </c>
      <c r="W1226" s="56" t="str">
        <f>MID(Tabla1[[#This Row],[Aplicación]],14,2)</f>
        <v>21</v>
      </c>
      <c r="X1226" s="56" t="str">
        <f>MID(Tabla1[[#This Row],[Aplicación]],14,6)</f>
        <v>212</v>
      </c>
    </row>
    <row r="1227" spans="1:24" x14ac:dyDescent="0.25">
      <c r="A1227" s="46">
        <v>220230005547</v>
      </c>
      <c r="B1227" s="47" t="s">
        <v>1514</v>
      </c>
      <c r="C1227" s="52">
        <v>44979</v>
      </c>
      <c r="D1227" s="46">
        <v>22023002181</v>
      </c>
      <c r="E1227" s="47" t="s">
        <v>1305</v>
      </c>
      <c r="F1227" s="53">
        <v>1592.53</v>
      </c>
      <c r="G1227" s="47" t="s">
        <v>2115</v>
      </c>
      <c r="H1227" s="47" t="s">
        <v>2488</v>
      </c>
      <c r="I1227" s="46" t="s">
        <v>1517</v>
      </c>
      <c r="J1227" s="47" t="s">
        <v>519</v>
      </c>
      <c r="K1227" s="47" t="s">
        <v>519</v>
      </c>
      <c r="L1227" s="47" t="s">
        <v>552</v>
      </c>
      <c r="M1227" s="47" t="s">
        <v>514</v>
      </c>
      <c r="N1227" s="47" t="s">
        <v>515</v>
      </c>
      <c r="O1227" s="45" t="s">
        <v>382</v>
      </c>
      <c r="P1227" s="44" t="s">
        <v>309</v>
      </c>
      <c r="Q1227" s="59" t="str">
        <f>MID(Tabla1[[#This Row],[Aplicación]],14,1)</f>
        <v>2</v>
      </c>
      <c r="R1227" s="35" t="s">
        <v>298</v>
      </c>
      <c r="S1227" s="59" t="str">
        <f>MID(Tabla1[[#This Row],[Aplicación]],6,2)</f>
        <v>06</v>
      </c>
      <c r="T1227" s="35" t="str">
        <f>VLOOKUP(Tabla1[[#This Row],[AREA]],Hoja1!A:B,2,FALSE)</f>
        <v>06. Educación, infancia, juventud e igualdad</v>
      </c>
      <c r="U1227" s="35" t="str">
        <f>MID(Tabla1[[#This Row],[Aplicación]],9,4)</f>
        <v>3232</v>
      </c>
      <c r="V1227" s="35" t="str">
        <f>VLOOKUP(Tabla1[[#This Row],[PROGRAMA]],Hoja1!A:B,2,FALSE)</f>
        <v>3232. Conservación y mantenimiento centros educación infantil y primaria</v>
      </c>
      <c r="W1227" s="56" t="str">
        <f>MID(Tabla1[[#This Row],[Aplicación]],14,2)</f>
        <v>21</v>
      </c>
      <c r="X1227" s="56" t="str">
        <f>MID(Tabla1[[#This Row],[Aplicación]],14,6)</f>
        <v>212</v>
      </c>
    </row>
    <row r="1228" spans="1:24" x14ac:dyDescent="0.25">
      <c r="A1228" s="46">
        <v>220230005567</v>
      </c>
      <c r="B1228" s="47" t="s">
        <v>1514</v>
      </c>
      <c r="C1228" s="52">
        <v>44979</v>
      </c>
      <c r="D1228" s="46">
        <v>22023002181</v>
      </c>
      <c r="E1228" s="47" t="s">
        <v>1305</v>
      </c>
      <c r="F1228" s="53">
        <v>391.41</v>
      </c>
      <c r="G1228" s="47" t="s">
        <v>2115</v>
      </c>
      <c r="H1228" s="47" t="s">
        <v>2489</v>
      </c>
      <c r="I1228" s="46" t="s">
        <v>1517</v>
      </c>
      <c r="J1228" s="47" t="s">
        <v>519</v>
      </c>
      <c r="K1228" s="47" t="s">
        <v>519</v>
      </c>
      <c r="L1228" s="47" t="s">
        <v>552</v>
      </c>
      <c r="M1228" s="47" t="s">
        <v>514</v>
      </c>
      <c r="N1228" s="47" t="s">
        <v>515</v>
      </c>
      <c r="O1228" s="45" t="s">
        <v>382</v>
      </c>
      <c r="P1228" s="44" t="s">
        <v>309</v>
      </c>
      <c r="Q1228" s="59" t="str">
        <f>MID(Tabla1[[#This Row],[Aplicación]],14,1)</f>
        <v>2</v>
      </c>
      <c r="R1228" s="35" t="s">
        <v>298</v>
      </c>
      <c r="S1228" s="59" t="str">
        <f>MID(Tabla1[[#This Row],[Aplicación]],6,2)</f>
        <v>06</v>
      </c>
      <c r="T1228" s="35" t="str">
        <f>VLOOKUP(Tabla1[[#This Row],[AREA]],Hoja1!A:B,2,FALSE)</f>
        <v>06. Educación, infancia, juventud e igualdad</v>
      </c>
      <c r="U1228" s="35" t="str">
        <f>MID(Tabla1[[#This Row],[Aplicación]],9,4)</f>
        <v>3232</v>
      </c>
      <c r="V1228" s="35" t="str">
        <f>VLOOKUP(Tabla1[[#This Row],[PROGRAMA]],Hoja1!A:B,2,FALSE)</f>
        <v>3232. Conservación y mantenimiento centros educación infantil y primaria</v>
      </c>
      <c r="W1228" s="56" t="str">
        <f>MID(Tabla1[[#This Row],[Aplicación]],14,2)</f>
        <v>21</v>
      </c>
      <c r="X1228" s="56" t="str">
        <f>MID(Tabla1[[#This Row],[Aplicación]],14,6)</f>
        <v>212</v>
      </c>
    </row>
    <row r="1229" spans="1:24" x14ac:dyDescent="0.25">
      <c r="A1229" s="46">
        <v>220230005511</v>
      </c>
      <c r="B1229" s="47" t="s">
        <v>1514</v>
      </c>
      <c r="C1229" s="52">
        <v>44979</v>
      </c>
      <c r="D1229" s="46">
        <v>22023001468</v>
      </c>
      <c r="E1229" s="47" t="s">
        <v>1512</v>
      </c>
      <c r="F1229" s="53">
        <v>278.05</v>
      </c>
      <c r="G1229" s="47" t="s">
        <v>2115</v>
      </c>
      <c r="H1229" s="47" t="s">
        <v>2490</v>
      </c>
      <c r="I1229" s="46" t="s">
        <v>1517</v>
      </c>
      <c r="J1229" s="47" t="s">
        <v>519</v>
      </c>
      <c r="K1229" s="47" t="s">
        <v>519</v>
      </c>
      <c r="L1229" s="47" t="s">
        <v>552</v>
      </c>
      <c r="M1229" s="47" t="s">
        <v>514</v>
      </c>
      <c r="N1229" s="47" t="s">
        <v>515</v>
      </c>
      <c r="O1229" s="45" t="s">
        <v>382</v>
      </c>
      <c r="P1229" s="44" t="s">
        <v>309</v>
      </c>
      <c r="Q1229" s="59" t="str">
        <f>MID(Tabla1[[#This Row],[Aplicación]],14,1)</f>
        <v>2</v>
      </c>
      <c r="R1229" s="35" t="s">
        <v>298</v>
      </c>
      <c r="S1229" s="59" t="str">
        <f>MID(Tabla1[[#This Row],[Aplicación]],6,2)</f>
        <v>10</v>
      </c>
      <c r="T1229" s="35" t="str">
        <f>VLOOKUP(Tabla1[[#This Row],[AREA]],Hoja1!A:B,2,FALSE)</f>
        <v>10. Servicios sociales y mediación comunitaria</v>
      </c>
      <c r="U1229" s="35" t="str">
        <f>MID(Tabla1[[#This Row],[Aplicación]],9,4)</f>
        <v>2312</v>
      </c>
      <c r="V1229" s="35" t="str">
        <f>VLOOKUP(Tabla1[[#This Row],[PROGRAMA]],Hoja1!A:B,2,FALSE)</f>
        <v>2312. Iniciativas sociales</v>
      </c>
      <c r="W1229" s="56" t="str">
        <f>MID(Tabla1[[#This Row],[Aplicación]],14,2)</f>
        <v>21</v>
      </c>
      <c r="X1229" s="56" t="str">
        <f>MID(Tabla1[[#This Row],[Aplicación]],14,6)</f>
        <v>212</v>
      </c>
    </row>
    <row r="1230" spans="1:24" x14ac:dyDescent="0.25">
      <c r="A1230" s="46">
        <v>220230005618</v>
      </c>
      <c r="B1230" s="47" t="s">
        <v>1514</v>
      </c>
      <c r="C1230" s="52">
        <v>44979</v>
      </c>
      <c r="D1230" s="46">
        <v>22023002185</v>
      </c>
      <c r="E1230" s="47" t="s">
        <v>2458</v>
      </c>
      <c r="F1230" s="53">
        <v>61.64</v>
      </c>
      <c r="G1230" s="47" t="s">
        <v>2115</v>
      </c>
      <c r="H1230" s="47" t="s">
        <v>2491</v>
      </c>
      <c r="I1230" s="46" t="s">
        <v>1517</v>
      </c>
      <c r="J1230" s="47" t="s">
        <v>519</v>
      </c>
      <c r="K1230" s="47" t="s">
        <v>519</v>
      </c>
      <c r="L1230" s="47" t="s">
        <v>552</v>
      </c>
      <c r="M1230" s="47" t="s">
        <v>514</v>
      </c>
      <c r="N1230" s="47" t="s">
        <v>515</v>
      </c>
      <c r="O1230" s="45" t="s">
        <v>382</v>
      </c>
      <c r="P1230" s="44" t="s">
        <v>309</v>
      </c>
      <c r="Q1230" s="59" t="str">
        <f>MID(Tabla1[[#This Row],[Aplicación]],14,1)</f>
        <v>2</v>
      </c>
      <c r="R1230" s="35" t="s">
        <v>298</v>
      </c>
      <c r="S1230" s="59" t="str">
        <f>MID(Tabla1[[#This Row],[Aplicación]],6,2)</f>
        <v>06</v>
      </c>
      <c r="T1230" s="35" t="str">
        <f>VLOOKUP(Tabla1[[#This Row],[AREA]],Hoja1!A:B,2,FALSE)</f>
        <v>06. Educación, infancia, juventud e igualdad</v>
      </c>
      <c r="U1230" s="35" t="str">
        <f>MID(Tabla1[[#This Row],[Aplicación]],9,4)</f>
        <v>3231</v>
      </c>
      <c r="V1230" s="35" t="str">
        <f>VLOOKUP(Tabla1[[#This Row],[PROGRAMA]],Hoja1!A:B,2,FALSE)</f>
        <v>3231. Escuelas infantiles</v>
      </c>
      <c r="W1230" s="56" t="str">
        <f>MID(Tabla1[[#This Row],[Aplicación]],14,2)</f>
        <v>21</v>
      </c>
      <c r="X1230" s="56" t="str">
        <f>MID(Tabla1[[#This Row],[Aplicación]],14,6)</f>
        <v>212</v>
      </c>
    </row>
    <row r="1231" spans="1:24" x14ac:dyDescent="0.25">
      <c r="A1231" s="46">
        <v>220230005612</v>
      </c>
      <c r="B1231" s="47" t="s">
        <v>1514</v>
      </c>
      <c r="C1231" s="52">
        <v>44979</v>
      </c>
      <c r="D1231" s="46">
        <v>22023002185</v>
      </c>
      <c r="E1231" s="47" t="s">
        <v>2458</v>
      </c>
      <c r="F1231" s="53">
        <v>40.17</v>
      </c>
      <c r="G1231" s="47" t="s">
        <v>2115</v>
      </c>
      <c r="H1231" s="47" t="s">
        <v>2492</v>
      </c>
      <c r="I1231" s="46" t="s">
        <v>1517</v>
      </c>
      <c r="J1231" s="47" t="s">
        <v>519</v>
      </c>
      <c r="K1231" s="47" t="s">
        <v>519</v>
      </c>
      <c r="L1231" s="47" t="s">
        <v>552</v>
      </c>
      <c r="M1231" s="47" t="s">
        <v>514</v>
      </c>
      <c r="N1231" s="47" t="s">
        <v>515</v>
      </c>
      <c r="O1231" s="45" t="s">
        <v>382</v>
      </c>
      <c r="P1231" s="44" t="s">
        <v>309</v>
      </c>
      <c r="Q1231" s="59" t="str">
        <f>MID(Tabla1[[#This Row],[Aplicación]],14,1)</f>
        <v>2</v>
      </c>
      <c r="R1231" s="35" t="s">
        <v>298</v>
      </c>
      <c r="S1231" s="59" t="str">
        <f>MID(Tabla1[[#This Row],[Aplicación]],6,2)</f>
        <v>06</v>
      </c>
      <c r="T1231" s="35" t="str">
        <f>VLOOKUP(Tabla1[[#This Row],[AREA]],Hoja1!A:B,2,FALSE)</f>
        <v>06. Educación, infancia, juventud e igualdad</v>
      </c>
      <c r="U1231" s="35" t="str">
        <f>MID(Tabla1[[#This Row],[Aplicación]],9,4)</f>
        <v>3231</v>
      </c>
      <c r="V1231" s="35" t="str">
        <f>VLOOKUP(Tabla1[[#This Row],[PROGRAMA]],Hoja1!A:B,2,FALSE)</f>
        <v>3231. Escuelas infantiles</v>
      </c>
      <c r="W1231" s="56" t="str">
        <f>MID(Tabla1[[#This Row],[Aplicación]],14,2)</f>
        <v>21</v>
      </c>
      <c r="X1231" s="56" t="str">
        <f>MID(Tabla1[[#This Row],[Aplicación]],14,6)</f>
        <v>212</v>
      </c>
    </row>
    <row r="1232" spans="1:24" x14ac:dyDescent="0.25">
      <c r="A1232" s="46">
        <v>220230005593</v>
      </c>
      <c r="B1232" s="47" t="s">
        <v>1514</v>
      </c>
      <c r="C1232" s="52">
        <v>44979</v>
      </c>
      <c r="D1232" s="46">
        <v>22023001956</v>
      </c>
      <c r="E1232" s="47" t="s">
        <v>1982</v>
      </c>
      <c r="F1232" s="53">
        <v>891.67</v>
      </c>
      <c r="G1232" s="47" t="s">
        <v>2009</v>
      </c>
      <c r="H1232" s="47" t="s">
        <v>2493</v>
      </c>
      <c r="I1232" s="46" t="s">
        <v>1517</v>
      </c>
      <c r="J1232" s="47" t="s">
        <v>519</v>
      </c>
      <c r="K1232" s="47" t="s">
        <v>519</v>
      </c>
      <c r="L1232" s="47" t="s">
        <v>520</v>
      </c>
      <c r="M1232" s="47" t="s">
        <v>514</v>
      </c>
      <c r="N1232" s="47" t="s">
        <v>515</v>
      </c>
      <c r="O1232" s="45" t="s">
        <v>382</v>
      </c>
      <c r="P1232" s="44" t="s">
        <v>309</v>
      </c>
      <c r="Q1232" s="59" t="str">
        <f>MID(Tabla1[[#This Row],[Aplicación]],14,1)</f>
        <v>2</v>
      </c>
      <c r="R1232" s="35" t="s">
        <v>298</v>
      </c>
      <c r="S1232" s="59" t="str">
        <f>MID(Tabla1[[#This Row],[Aplicación]],6,2)</f>
        <v>07</v>
      </c>
      <c r="T1232" s="35" t="str">
        <f>VLOOKUP(Tabla1[[#This Row],[AREA]],Hoja1!A:B,2,FALSE)</f>
        <v>07. Medio ambiente y desarrollo sostenible</v>
      </c>
      <c r="U1232" s="35" t="str">
        <f>MID(Tabla1[[#This Row],[Aplicación]],9,4)</f>
        <v>1711</v>
      </c>
      <c r="V1232" s="35" t="str">
        <f>VLOOKUP(Tabla1[[#This Row],[PROGRAMA]],Hoja1!A:B,2,FALSE)</f>
        <v>1711. Parques y jardines</v>
      </c>
      <c r="W1232" s="56" t="str">
        <f>MID(Tabla1[[#This Row],[Aplicación]],14,2)</f>
        <v>21</v>
      </c>
      <c r="X1232" s="56" t="str">
        <f>MID(Tabla1[[#This Row],[Aplicación]],14,6)</f>
        <v>214</v>
      </c>
    </row>
    <row r="1233" spans="1:24" x14ac:dyDescent="0.25">
      <c r="A1233" s="46">
        <v>220230005496</v>
      </c>
      <c r="B1233" s="47" t="s">
        <v>1514</v>
      </c>
      <c r="C1233" s="52">
        <v>44979</v>
      </c>
      <c r="D1233" s="46">
        <v>22023001956</v>
      </c>
      <c r="E1233" s="47" t="s">
        <v>1982</v>
      </c>
      <c r="F1233" s="53">
        <v>532.44000000000005</v>
      </c>
      <c r="G1233" s="47" t="s">
        <v>2009</v>
      </c>
      <c r="H1233" s="47" t="s">
        <v>2494</v>
      </c>
      <c r="I1233" s="46" t="s">
        <v>1517</v>
      </c>
      <c r="J1233" s="47" t="s">
        <v>519</v>
      </c>
      <c r="K1233" s="47" t="s">
        <v>519</v>
      </c>
      <c r="L1233" s="47" t="s">
        <v>520</v>
      </c>
      <c r="M1233" s="47" t="s">
        <v>514</v>
      </c>
      <c r="N1233" s="47" t="s">
        <v>515</v>
      </c>
      <c r="O1233" s="45" t="s">
        <v>382</v>
      </c>
      <c r="P1233" s="44" t="s">
        <v>309</v>
      </c>
      <c r="Q1233" s="59" t="str">
        <f>MID(Tabla1[[#This Row],[Aplicación]],14,1)</f>
        <v>2</v>
      </c>
      <c r="R1233" s="35" t="s">
        <v>298</v>
      </c>
      <c r="S1233" s="59" t="str">
        <f>MID(Tabla1[[#This Row],[Aplicación]],6,2)</f>
        <v>07</v>
      </c>
      <c r="T1233" s="35" t="str">
        <f>VLOOKUP(Tabla1[[#This Row],[AREA]],Hoja1!A:B,2,FALSE)</f>
        <v>07. Medio ambiente y desarrollo sostenible</v>
      </c>
      <c r="U1233" s="35" t="str">
        <f>MID(Tabla1[[#This Row],[Aplicación]],9,4)</f>
        <v>1711</v>
      </c>
      <c r="V1233" s="35" t="str">
        <f>VLOOKUP(Tabla1[[#This Row],[PROGRAMA]],Hoja1!A:B,2,FALSE)</f>
        <v>1711. Parques y jardines</v>
      </c>
      <c r="W1233" s="56" t="str">
        <f>MID(Tabla1[[#This Row],[Aplicación]],14,2)</f>
        <v>21</v>
      </c>
      <c r="X1233" s="56" t="str">
        <f>MID(Tabla1[[#This Row],[Aplicación]],14,6)</f>
        <v>214</v>
      </c>
    </row>
    <row r="1234" spans="1:24" x14ac:dyDescent="0.25">
      <c r="A1234" s="46">
        <v>220230005903</v>
      </c>
      <c r="B1234" s="47" t="s">
        <v>507</v>
      </c>
      <c r="C1234" s="52">
        <v>44980</v>
      </c>
      <c r="D1234" s="46">
        <v>22023002699</v>
      </c>
      <c r="E1234" s="47" t="s">
        <v>1436</v>
      </c>
      <c r="F1234" s="53">
        <v>338.8</v>
      </c>
      <c r="G1234" s="47" t="s">
        <v>2480</v>
      </c>
      <c r="H1234" s="47" t="s">
        <v>2495</v>
      </c>
      <c r="I1234" s="46" t="s">
        <v>511</v>
      </c>
      <c r="J1234" s="47" t="s">
        <v>519</v>
      </c>
      <c r="K1234" s="47" t="s">
        <v>519</v>
      </c>
      <c r="L1234" s="47" t="s">
        <v>652</v>
      </c>
      <c r="M1234" s="47" t="s">
        <v>976</v>
      </c>
      <c r="N1234" s="47" t="s">
        <v>839</v>
      </c>
      <c r="O1234" s="45" t="s">
        <v>383</v>
      </c>
      <c r="P1234" s="44" t="s">
        <v>309</v>
      </c>
      <c r="Q1234" s="59" t="str">
        <f>MID(Tabla1[[#This Row],[Aplicación]],14,1)</f>
        <v>2</v>
      </c>
      <c r="R1234" s="35" t="s">
        <v>298</v>
      </c>
      <c r="S1234" s="59" t="str">
        <f>MID(Tabla1[[#This Row],[Aplicación]],6,2)</f>
        <v>04</v>
      </c>
      <c r="T1234" s="35" t="str">
        <f>VLOOKUP(Tabla1[[#This Row],[AREA]],Hoja1!A:B,2,FALSE)</f>
        <v>04. Planificación y recursos</v>
      </c>
      <c r="U1234" s="35" t="str">
        <f>MID(Tabla1[[#This Row],[Aplicación]],9,4)</f>
        <v>9202</v>
      </c>
      <c r="V1234" s="35" t="str">
        <f>VLOOKUP(Tabla1[[#This Row],[PROGRAMA]],Hoja1!A:B,2,FALSE)</f>
        <v>9202. Gestión de recursos humanos</v>
      </c>
      <c r="W1234" s="56" t="str">
        <f>MID(Tabla1[[#This Row],[Aplicación]],14,2)</f>
        <v>22</v>
      </c>
      <c r="X1234" s="56" t="str">
        <f>MID(Tabla1[[#This Row],[Aplicación]],14,6)</f>
        <v>22607</v>
      </c>
    </row>
    <row r="1235" spans="1:24" x14ac:dyDescent="0.25">
      <c r="A1235" s="46">
        <v>220230007165</v>
      </c>
      <c r="B1235" s="47" t="s">
        <v>1337</v>
      </c>
      <c r="C1235" s="52">
        <v>44987</v>
      </c>
      <c r="D1235" s="46">
        <v>22023002410</v>
      </c>
      <c r="E1235" s="47" t="s">
        <v>1436</v>
      </c>
      <c r="F1235" s="53">
        <v>-338</v>
      </c>
      <c r="G1235" s="47" t="s">
        <v>2480</v>
      </c>
      <c r="H1235" s="47" t="s">
        <v>2481</v>
      </c>
      <c r="I1235" s="46" t="s">
        <v>511</v>
      </c>
      <c r="J1235" s="47" t="s">
        <v>519</v>
      </c>
      <c r="K1235" s="47" t="s">
        <v>519</v>
      </c>
      <c r="L1235" s="47" t="s">
        <v>652</v>
      </c>
      <c r="M1235" s="47" t="s">
        <v>976</v>
      </c>
      <c r="N1235" s="47" t="s">
        <v>839</v>
      </c>
      <c r="O1235" s="54" t="s">
        <v>383</v>
      </c>
      <c r="P1235" s="44" t="s">
        <v>309</v>
      </c>
      <c r="Q1235" s="59" t="str">
        <f>MID(Tabla1[[#This Row],[Aplicación]],14,1)</f>
        <v>2</v>
      </c>
      <c r="R1235" s="35" t="s">
        <v>298</v>
      </c>
      <c r="S1235" s="59" t="str">
        <f>MID(Tabla1[[#This Row],[Aplicación]],6,2)</f>
        <v>04</v>
      </c>
      <c r="T1235" s="35" t="str">
        <f>VLOOKUP(Tabla1[[#This Row],[AREA]],Hoja1!A:B,2,FALSE)</f>
        <v>04. Planificación y recursos</v>
      </c>
      <c r="U1235" s="35" t="str">
        <f>MID(Tabla1[[#This Row],[Aplicación]],9,4)</f>
        <v>9202</v>
      </c>
      <c r="V1235" s="35" t="str">
        <f>VLOOKUP(Tabla1[[#This Row],[PROGRAMA]],Hoja1!A:B,2,FALSE)</f>
        <v>9202. Gestión de recursos humanos</v>
      </c>
      <c r="W1235" s="56" t="str">
        <f>MID(Tabla1[[#This Row],[Aplicación]],14,2)</f>
        <v>22</v>
      </c>
      <c r="X1235" s="56" t="str">
        <f>MID(Tabla1[[#This Row],[Aplicación]],14,6)</f>
        <v>22607</v>
      </c>
    </row>
    <row r="1236" spans="1:24" x14ac:dyDescent="0.25">
      <c r="A1236" s="46">
        <v>220230005517</v>
      </c>
      <c r="B1236" s="47" t="s">
        <v>1514</v>
      </c>
      <c r="C1236" s="52">
        <v>44979</v>
      </c>
      <c r="D1236" s="46">
        <v>22023001467</v>
      </c>
      <c r="E1236" s="47" t="s">
        <v>1512</v>
      </c>
      <c r="F1236" s="53">
        <v>126.92</v>
      </c>
      <c r="G1236" s="47" t="s">
        <v>98</v>
      </c>
      <c r="H1236" s="47" t="s">
        <v>2496</v>
      </c>
      <c r="I1236" s="46" t="s">
        <v>1517</v>
      </c>
      <c r="J1236" s="47" t="s">
        <v>519</v>
      </c>
      <c r="K1236" s="47" t="s">
        <v>519</v>
      </c>
      <c r="L1236" s="47" t="s">
        <v>552</v>
      </c>
      <c r="M1236" s="47" t="s">
        <v>514</v>
      </c>
      <c r="N1236" s="47" t="s">
        <v>515</v>
      </c>
      <c r="O1236" s="45" t="s">
        <v>382</v>
      </c>
      <c r="P1236" s="44" t="s">
        <v>309</v>
      </c>
      <c r="Q1236" s="59" t="str">
        <f>MID(Tabla1[[#This Row],[Aplicación]],14,1)</f>
        <v>2</v>
      </c>
      <c r="R1236" s="35" t="s">
        <v>298</v>
      </c>
      <c r="S1236" s="59" t="str">
        <f>MID(Tabla1[[#This Row],[Aplicación]],6,2)</f>
        <v>10</v>
      </c>
      <c r="T1236" s="35" t="str">
        <f>VLOOKUP(Tabla1[[#This Row],[AREA]],Hoja1!A:B,2,FALSE)</f>
        <v>10. Servicios sociales y mediación comunitaria</v>
      </c>
      <c r="U1236" s="35" t="str">
        <f>MID(Tabla1[[#This Row],[Aplicación]],9,4)</f>
        <v>2312</v>
      </c>
      <c r="V1236" s="35" t="str">
        <f>VLOOKUP(Tabla1[[#This Row],[PROGRAMA]],Hoja1!A:B,2,FALSE)</f>
        <v>2312. Iniciativas sociales</v>
      </c>
      <c r="W1236" s="56" t="str">
        <f>MID(Tabla1[[#This Row],[Aplicación]],14,2)</f>
        <v>21</v>
      </c>
      <c r="X1236" s="56" t="str">
        <f>MID(Tabla1[[#This Row],[Aplicación]],14,6)</f>
        <v>212</v>
      </c>
    </row>
    <row r="1237" spans="1:24" x14ac:dyDescent="0.25">
      <c r="A1237" s="46">
        <v>220230005569</v>
      </c>
      <c r="B1237" s="47" t="s">
        <v>1514</v>
      </c>
      <c r="C1237" s="52">
        <v>44979</v>
      </c>
      <c r="D1237" s="46">
        <v>22023002181</v>
      </c>
      <c r="E1237" s="47" t="s">
        <v>1305</v>
      </c>
      <c r="F1237" s="53">
        <v>108.48</v>
      </c>
      <c r="G1237" s="47" t="s">
        <v>98</v>
      </c>
      <c r="H1237" s="47" t="s">
        <v>2497</v>
      </c>
      <c r="I1237" s="46" t="s">
        <v>1517</v>
      </c>
      <c r="J1237" s="47" t="s">
        <v>519</v>
      </c>
      <c r="K1237" s="47" t="s">
        <v>519</v>
      </c>
      <c r="L1237" s="47" t="s">
        <v>552</v>
      </c>
      <c r="M1237" s="47" t="s">
        <v>514</v>
      </c>
      <c r="N1237" s="47" t="s">
        <v>515</v>
      </c>
      <c r="O1237" s="45" t="s">
        <v>382</v>
      </c>
      <c r="P1237" s="44" t="s">
        <v>309</v>
      </c>
      <c r="Q1237" s="59" t="str">
        <f>MID(Tabla1[[#This Row],[Aplicación]],14,1)</f>
        <v>2</v>
      </c>
      <c r="R1237" s="35" t="s">
        <v>298</v>
      </c>
      <c r="S1237" s="59" t="str">
        <f>MID(Tabla1[[#This Row],[Aplicación]],6,2)</f>
        <v>06</v>
      </c>
      <c r="T1237" s="35" t="str">
        <f>VLOOKUP(Tabla1[[#This Row],[AREA]],Hoja1!A:B,2,FALSE)</f>
        <v>06. Educación, infancia, juventud e igualdad</v>
      </c>
      <c r="U1237" s="35" t="str">
        <f>MID(Tabla1[[#This Row],[Aplicación]],9,4)</f>
        <v>3232</v>
      </c>
      <c r="V1237" s="35" t="str">
        <f>VLOOKUP(Tabla1[[#This Row],[PROGRAMA]],Hoja1!A:B,2,FALSE)</f>
        <v>3232. Conservación y mantenimiento centros educación infantil y primaria</v>
      </c>
      <c r="W1237" s="56" t="str">
        <f>MID(Tabla1[[#This Row],[Aplicación]],14,2)</f>
        <v>21</v>
      </c>
      <c r="X1237" s="56" t="str">
        <f>MID(Tabla1[[#This Row],[Aplicación]],14,6)</f>
        <v>212</v>
      </c>
    </row>
    <row r="1238" spans="1:24" x14ac:dyDescent="0.25">
      <c r="A1238" s="46">
        <v>220230005479</v>
      </c>
      <c r="B1238" s="47" t="s">
        <v>1514</v>
      </c>
      <c r="C1238" s="52">
        <v>44979</v>
      </c>
      <c r="D1238" s="46">
        <v>22023001412</v>
      </c>
      <c r="E1238" s="47" t="s">
        <v>1510</v>
      </c>
      <c r="F1238" s="53">
        <v>101.11</v>
      </c>
      <c r="G1238" s="47" t="s">
        <v>98</v>
      </c>
      <c r="H1238" s="47" t="s">
        <v>2498</v>
      </c>
      <c r="I1238" s="46" t="s">
        <v>1517</v>
      </c>
      <c r="J1238" s="47" t="s">
        <v>519</v>
      </c>
      <c r="K1238" s="47" t="s">
        <v>519</v>
      </c>
      <c r="L1238" s="47" t="s">
        <v>552</v>
      </c>
      <c r="M1238" s="47" t="s">
        <v>514</v>
      </c>
      <c r="N1238" s="47" t="s">
        <v>515</v>
      </c>
      <c r="O1238" s="45" t="s">
        <v>382</v>
      </c>
      <c r="P1238" s="44" t="s">
        <v>309</v>
      </c>
      <c r="Q1238" s="59" t="str">
        <f>MID(Tabla1[[#This Row],[Aplicación]],14,1)</f>
        <v>2</v>
      </c>
      <c r="R1238" s="35" t="s">
        <v>298</v>
      </c>
      <c r="S1238" s="59" t="str">
        <f>MID(Tabla1[[#This Row],[Aplicación]],6,2)</f>
        <v>10</v>
      </c>
      <c r="T1238" s="35" t="str">
        <f>VLOOKUP(Tabla1[[#This Row],[AREA]],Hoja1!A:B,2,FALSE)</f>
        <v>10. Servicios sociales y mediación comunitaria</v>
      </c>
      <c r="U1238" s="35" t="str">
        <f>MID(Tabla1[[#This Row],[Aplicación]],9,4)</f>
        <v>2311</v>
      </c>
      <c r="V1238" s="35" t="str">
        <f>VLOOKUP(Tabla1[[#This Row],[PROGRAMA]],Hoja1!A:B,2,FALSE)</f>
        <v>2311. Intervención social</v>
      </c>
      <c r="W1238" s="56" t="str">
        <f>MID(Tabla1[[#This Row],[Aplicación]],14,2)</f>
        <v>21</v>
      </c>
      <c r="X1238" s="56" t="str">
        <f>MID(Tabla1[[#This Row],[Aplicación]],14,6)</f>
        <v>212</v>
      </c>
    </row>
    <row r="1239" spans="1:24" x14ac:dyDescent="0.25">
      <c r="A1239" s="46">
        <v>220230005517</v>
      </c>
      <c r="B1239" s="47" t="s">
        <v>1514</v>
      </c>
      <c r="C1239" s="52">
        <v>44979</v>
      </c>
      <c r="D1239" s="46">
        <v>22023001468</v>
      </c>
      <c r="E1239" s="47" t="s">
        <v>1512</v>
      </c>
      <c r="F1239" s="53">
        <v>29.48</v>
      </c>
      <c r="G1239" s="47" t="s">
        <v>98</v>
      </c>
      <c r="H1239" s="47" t="s">
        <v>2496</v>
      </c>
      <c r="I1239" s="46" t="s">
        <v>1517</v>
      </c>
      <c r="J1239" s="47" t="s">
        <v>519</v>
      </c>
      <c r="K1239" s="47" t="s">
        <v>519</v>
      </c>
      <c r="L1239" s="47" t="s">
        <v>552</v>
      </c>
      <c r="M1239" s="47" t="s">
        <v>514</v>
      </c>
      <c r="N1239" s="47" t="s">
        <v>515</v>
      </c>
      <c r="O1239" s="45" t="s">
        <v>382</v>
      </c>
      <c r="P1239" s="44" t="s">
        <v>309</v>
      </c>
      <c r="Q1239" s="59" t="str">
        <f>MID(Tabla1[[#This Row],[Aplicación]],14,1)</f>
        <v>2</v>
      </c>
      <c r="R1239" s="35" t="s">
        <v>298</v>
      </c>
      <c r="S1239" s="59" t="str">
        <f>MID(Tabla1[[#This Row],[Aplicación]],6,2)</f>
        <v>10</v>
      </c>
      <c r="T1239" s="35" t="str">
        <f>VLOOKUP(Tabla1[[#This Row],[AREA]],Hoja1!A:B,2,FALSE)</f>
        <v>10. Servicios sociales y mediación comunitaria</v>
      </c>
      <c r="U1239" s="35" t="str">
        <f>MID(Tabla1[[#This Row],[Aplicación]],9,4)</f>
        <v>2312</v>
      </c>
      <c r="V1239" s="35" t="str">
        <f>VLOOKUP(Tabla1[[#This Row],[PROGRAMA]],Hoja1!A:B,2,FALSE)</f>
        <v>2312. Iniciativas sociales</v>
      </c>
      <c r="W1239" s="56" t="str">
        <f>MID(Tabla1[[#This Row],[Aplicación]],14,2)</f>
        <v>21</v>
      </c>
      <c r="X1239" s="56" t="str">
        <f>MID(Tabla1[[#This Row],[Aplicación]],14,6)</f>
        <v>212</v>
      </c>
    </row>
    <row r="1240" spans="1:24" x14ac:dyDescent="0.25">
      <c r="A1240" s="46">
        <v>220230005500</v>
      </c>
      <c r="B1240" s="47" t="s">
        <v>1514</v>
      </c>
      <c r="C1240" s="52">
        <v>44979</v>
      </c>
      <c r="D1240" s="46">
        <v>22023001467</v>
      </c>
      <c r="E1240" s="47" t="s">
        <v>1512</v>
      </c>
      <c r="F1240" s="53">
        <v>28.52</v>
      </c>
      <c r="G1240" s="47" t="s">
        <v>98</v>
      </c>
      <c r="H1240" s="47" t="s">
        <v>2499</v>
      </c>
      <c r="I1240" s="46" t="s">
        <v>1517</v>
      </c>
      <c r="J1240" s="47" t="s">
        <v>519</v>
      </c>
      <c r="K1240" s="47" t="s">
        <v>519</v>
      </c>
      <c r="L1240" s="47" t="s">
        <v>552</v>
      </c>
      <c r="M1240" s="47" t="s">
        <v>514</v>
      </c>
      <c r="N1240" s="47" t="s">
        <v>515</v>
      </c>
      <c r="O1240" s="45" t="s">
        <v>382</v>
      </c>
      <c r="P1240" s="44" t="s">
        <v>309</v>
      </c>
      <c r="Q1240" s="59" t="str">
        <f>MID(Tabla1[[#This Row],[Aplicación]],14,1)</f>
        <v>2</v>
      </c>
      <c r="R1240" s="35" t="s">
        <v>298</v>
      </c>
      <c r="S1240" s="59" t="str">
        <f>MID(Tabla1[[#This Row],[Aplicación]],6,2)</f>
        <v>10</v>
      </c>
      <c r="T1240" s="35" t="str">
        <f>VLOOKUP(Tabla1[[#This Row],[AREA]],Hoja1!A:B,2,FALSE)</f>
        <v>10. Servicios sociales y mediación comunitaria</v>
      </c>
      <c r="U1240" s="35" t="str">
        <f>MID(Tabla1[[#This Row],[Aplicación]],9,4)</f>
        <v>2312</v>
      </c>
      <c r="V1240" s="35" t="str">
        <f>VLOOKUP(Tabla1[[#This Row],[PROGRAMA]],Hoja1!A:B,2,FALSE)</f>
        <v>2312. Iniciativas sociales</v>
      </c>
      <c r="W1240" s="56" t="str">
        <f>MID(Tabla1[[#This Row],[Aplicación]],14,2)</f>
        <v>21</v>
      </c>
      <c r="X1240" s="56" t="str">
        <f>MID(Tabla1[[#This Row],[Aplicación]],14,6)</f>
        <v>212</v>
      </c>
    </row>
    <row r="1241" spans="1:24" x14ac:dyDescent="0.25">
      <c r="A1241" s="46">
        <v>220230004195</v>
      </c>
      <c r="B1241" s="47" t="s">
        <v>507</v>
      </c>
      <c r="C1241" s="52">
        <v>44977</v>
      </c>
      <c r="D1241" s="46">
        <v>22023002561</v>
      </c>
      <c r="E1241" s="47" t="s">
        <v>1191</v>
      </c>
      <c r="F1241" s="53">
        <v>968</v>
      </c>
      <c r="G1241" s="47" t="s">
        <v>2500</v>
      </c>
      <c r="H1241" s="47" t="s">
        <v>2501</v>
      </c>
      <c r="I1241" s="46" t="s">
        <v>511</v>
      </c>
      <c r="J1241" s="47" t="s">
        <v>519</v>
      </c>
      <c r="K1241" s="47" t="s">
        <v>519</v>
      </c>
      <c r="L1241" s="47" t="s">
        <v>520</v>
      </c>
      <c r="M1241" s="47" t="s">
        <v>976</v>
      </c>
      <c r="N1241" s="47" t="s">
        <v>839</v>
      </c>
      <c r="O1241" s="45" t="s">
        <v>383</v>
      </c>
      <c r="P1241" s="44" t="s">
        <v>309</v>
      </c>
      <c r="Q1241" s="59" t="str">
        <f>MID(Tabla1[[#This Row],[Aplicación]],14,1)</f>
        <v>2</v>
      </c>
      <c r="R1241" s="35" t="s">
        <v>298</v>
      </c>
      <c r="S1241" s="59" t="str">
        <f>MID(Tabla1[[#This Row],[Aplicación]],6,2)</f>
        <v>06</v>
      </c>
      <c r="T1241" s="35" t="str">
        <f>VLOOKUP(Tabla1[[#This Row],[AREA]],Hoja1!A:B,2,FALSE)</f>
        <v>06. Educación, infancia, juventud e igualdad</v>
      </c>
      <c r="U1241" s="35" t="str">
        <f>MID(Tabla1[[#This Row],[Aplicación]],9,4)</f>
        <v>2315</v>
      </c>
      <c r="V1241" s="35" t="str">
        <f>VLOOKUP(Tabla1[[#This Row],[PROGRAMA]],Hoja1!A:B,2,FALSE)</f>
        <v>2315. Políticas de Igualdad e infancia</v>
      </c>
      <c r="W1241" s="56" t="str">
        <f>MID(Tabla1[[#This Row],[Aplicación]],14,2)</f>
        <v>22</v>
      </c>
      <c r="X1241" s="56" t="str">
        <f>MID(Tabla1[[#This Row],[Aplicación]],14,6)</f>
        <v>22611</v>
      </c>
    </row>
    <row r="1242" spans="1:24" x14ac:dyDescent="0.25">
      <c r="A1242" s="46">
        <v>220230002074</v>
      </c>
      <c r="B1242" s="47" t="s">
        <v>507</v>
      </c>
      <c r="C1242" s="52">
        <v>44963</v>
      </c>
      <c r="D1242" s="46">
        <v>22023002020</v>
      </c>
      <c r="E1242" s="47" t="s">
        <v>1191</v>
      </c>
      <c r="F1242" s="53">
        <v>3600</v>
      </c>
      <c r="G1242" s="47" t="s">
        <v>2502</v>
      </c>
      <c r="H1242" s="47" t="s">
        <v>2503</v>
      </c>
      <c r="I1242" s="46" t="s">
        <v>511</v>
      </c>
      <c r="J1242" s="47" t="s">
        <v>519</v>
      </c>
      <c r="K1242" s="47" t="s">
        <v>519</v>
      </c>
      <c r="L1242" s="47" t="s">
        <v>520</v>
      </c>
      <c r="M1242" s="47" t="s">
        <v>976</v>
      </c>
      <c r="N1242" s="47" t="s">
        <v>839</v>
      </c>
      <c r="O1242" s="45" t="s">
        <v>383</v>
      </c>
      <c r="P1242" s="44" t="s">
        <v>309</v>
      </c>
      <c r="Q1242" s="59" t="str">
        <f>MID(Tabla1[[#This Row],[Aplicación]],14,1)</f>
        <v>2</v>
      </c>
      <c r="R1242" s="35" t="s">
        <v>298</v>
      </c>
      <c r="S1242" s="59" t="str">
        <f>MID(Tabla1[[#This Row],[Aplicación]],6,2)</f>
        <v>06</v>
      </c>
      <c r="T1242" s="35" t="str">
        <f>VLOOKUP(Tabla1[[#This Row],[AREA]],Hoja1!A:B,2,FALSE)</f>
        <v>06. Educación, infancia, juventud e igualdad</v>
      </c>
      <c r="U1242" s="35" t="str">
        <f>MID(Tabla1[[#This Row],[Aplicación]],9,4)</f>
        <v>2315</v>
      </c>
      <c r="V1242" s="35" t="str">
        <f>VLOOKUP(Tabla1[[#This Row],[PROGRAMA]],Hoja1!A:B,2,FALSE)</f>
        <v>2315. Políticas de Igualdad e infancia</v>
      </c>
      <c r="W1242" s="56" t="str">
        <f>MID(Tabla1[[#This Row],[Aplicación]],14,2)</f>
        <v>22</v>
      </c>
      <c r="X1242" s="56" t="str">
        <f>MID(Tabla1[[#This Row],[Aplicación]],14,6)</f>
        <v>22611</v>
      </c>
    </row>
    <row r="1243" spans="1:24" x14ac:dyDescent="0.25">
      <c r="A1243" s="55">
        <v>220230010312</v>
      </c>
      <c r="B1243" s="47" t="s">
        <v>507</v>
      </c>
      <c r="C1243" s="52">
        <v>45008</v>
      </c>
      <c r="D1243" s="46">
        <v>22023003487</v>
      </c>
      <c r="E1243" s="47" t="s">
        <v>1191</v>
      </c>
      <c r="F1243" s="53">
        <v>250</v>
      </c>
      <c r="G1243" s="47" t="s">
        <v>2502</v>
      </c>
      <c r="H1243" s="47" t="s">
        <v>2504</v>
      </c>
      <c r="I1243" s="46" t="s">
        <v>511</v>
      </c>
      <c r="J1243" s="47" t="s">
        <v>519</v>
      </c>
      <c r="K1243" s="47" t="s">
        <v>519</v>
      </c>
      <c r="L1243" s="47" t="s">
        <v>520</v>
      </c>
      <c r="M1243" s="47" t="s">
        <v>976</v>
      </c>
      <c r="N1243" s="47" t="s">
        <v>839</v>
      </c>
      <c r="O1243" s="54" t="s">
        <v>383</v>
      </c>
      <c r="P1243" s="44" t="s">
        <v>309</v>
      </c>
      <c r="Q1243" s="59" t="str">
        <f>MID(Tabla1[[#This Row],[Aplicación]],14,1)</f>
        <v>2</v>
      </c>
      <c r="R1243" s="35" t="s">
        <v>298</v>
      </c>
      <c r="S1243" s="59" t="str">
        <f>MID(Tabla1[[#This Row],[Aplicación]],6,2)</f>
        <v>06</v>
      </c>
      <c r="T1243" s="35" t="str">
        <f>VLOOKUP(Tabla1[[#This Row],[AREA]],Hoja1!A:B,2,FALSE)</f>
        <v>06. Educación, infancia, juventud e igualdad</v>
      </c>
      <c r="U1243" s="35" t="str">
        <f>MID(Tabla1[[#This Row],[Aplicación]],9,4)</f>
        <v>2315</v>
      </c>
      <c r="V1243" s="35" t="str">
        <f>VLOOKUP(Tabla1[[#This Row],[PROGRAMA]],Hoja1!A:B,2,FALSE)</f>
        <v>2315. Políticas de Igualdad e infancia</v>
      </c>
      <c r="W1243" s="56" t="str">
        <f>MID(Tabla1[[#This Row],[Aplicación]],14,2)</f>
        <v>22</v>
      </c>
      <c r="X1243" s="56" t="str">
        <f>MID(Tabla1[[#This Row],[Aplicación]],14,6)</f>
        <v>22611</v>
      </c>
    </row>
    <row r="1244" spans="1:24" x14ac:dyDescent="0.25">
      <c r="A1244" s="46">
        <v>220230001791</v>
      </c>
      <c r="B1244" s="47" t="s">
        <v>507</v>
      </c>
      <c r="C1244" s="52">
        <v>44960</v>
      </c>
      <c r="D1244" s="46">
        <v>22023000201</v>
      </c>
      <c r="E1244" s="47" t="s">
        <v>1191</v>
      </c>
      <c r="F1244" s="53">
        <v>2541</v>
      </c>
      <c r="G1244" s="47" t="s">
        <v>2505</v>
      </c>
      <c r="H1244" s="47" t="s">
        <v>2506</v>
      </c>
      <c r="I1244" s="46" t="s">
        <v>511</v>
      </c>
      <c r="J1244" s="47" t="s">
        <v>1623</v>
      </c>
      <c r="K1244" s="47" t="s">
        <v>1624</v>
      </c>
      <c r="L1244" s="47" t="s">
        <v>520</v>
      </c>
      <c r="M1244" s="47" t="s">
        <v>976</v>
      </c>
      <c r="N1244" s="47" t="s">
        <v>839</v>
      </c>
      <c r="O1244" s="45" t="s">
        <v>383</v>
      </c>
      <c r="P1244" s="44" t="s">
        <v>309</v>
      </c>
      <c r="Q1244" s="59" t="str">
        <f>MID(Tabla1[[#This Row],[Aplicación]],14,1)</f>
        <v>2</v>
      </c>
      <c r="R1244" s="35" t="s">
        <v>298</v>
      </c>
      <c r="S1244" s="59" t="str">
        <f>MID(Tabla1[[#This Row],[Aplicación]],6,2)</f>
        <v>06</v>
      </c>
      <c r="T1244" s="35" t="str">
        <f>VLOOKUP(Tabla1[[#This Row],[AREA]],Hoja1!A:B,2,FALSE)</f>
        <v>06. Educación, infancia, juventud e igualdad</v>
      </c>
      <c r="U1244" s="35" t="str">
        <f>MID(Tabla1[[#This Row],[Aplicación]],9,4)</f>
        <v>2315</v>
      </c>
      <c r="V1244" s="35" t="str">
        <f>VLOOKUP(Tabla1[[#This Row],[PROGRAMA]],Hoja1!A:B,2,FALSE)</f>
        <v>2315. Políticas de Igualdad e infancia</v>
      </c>
      <c r="W1244" s="56" t="str">
        <f>MID(Tabla1[[#This Row],[Aplicación]],14,2)</f>
        <v>22</v>
      </c>
      <c r="X1244" s="56" t="str">
        <f>MID(Tabla1[[#This Row],[Aplicación]],14,6)</f>
        <v>22611</v>
      </c>
    </row>
    <row r="1245" spans="1:24" x14ac:dyDescent="0.25">
      <c r="A1245" s="46">
        <v>220229000668</v>
      </c>
      <c r="B1245" s="47" t="s">
        <v>507</v>
      </c>
      <c r="C1245" s="52">
        <v>44927</v>
      </c>
      <c r="D1245" s="46">
        <v>22023001272</v>
      </c>
      <c r="E1245" s="47" t="s">
        <v>1913</v>
      </c>
      <c r="F1245" s="53">
        <v>713.78</v>
      </c>
      <c r="G1245" s="47" t="s">
        <v>67</v>
      </c>
      <c r="H1245" s="47" t="s">
        <v>2507</v>
      </c>
      <c r="I1245" s="46" t="s">
        <v>511</v>
      </c>
      <c r="J1245" s="47" t="s">
        <v>953</v>
      </c>
      <c r="K1245" s="47" t="s">
        <v>519</v>
      </c>
      <c r="L1245" s="47" t="s">
        <v>520</v>
      </c>
      <c r="M1245" s="47" t="s">
        <v>514</v>
      </c>
      <c r="N1245" s="47" t="s">
        <v>515</v>
      </c>
      <c r="O1245" s="54" t="s">
        <v>382</v>
      </c>
      <c r="P1245" s="44" t="s">
        <v>309</v>
      </c>
      <c r="Q1245" s="59" t="str">
        <f>MID(Tabla1[[#This Row],[Aplicación]],14,1)</f>
        <v>2</v>
      </c>
      <c r="R1245" s="35" t="s">
        <v>298</v>
      </c>
      <c r="S1245" s="59" t="str">
        <f>MID(Tabla1[[#This Row],[Aplicación]],6,2)</f>
        <v>05</v>
      </c>
      <c r="T1245" s="35" t="str">
        <f>VLOOKUP(Tabla1[[#This Row],[AREA]],Hoja1!A:B,2,FALSE)</f>
        <v>05. Innovación, desarrollo económico, empleo y comercio</v>
      </c>
      <c r="U1245" s="35" t="str">
        <f>MID(Tabla1[[#This Row],[Aplicación]],9,4)</f>
        <v>4312</v>
      </c>
      <c r="V1245" s="35" t="str">
        <f>VLOOKUP(Tabla1[[#This Row],[PROGRAMA]],Hoja1!A:B,2,FALSE)</f>
        <v>4312. Mercados, abastos y lonjas</v>
      </c>
      <c r="W1245" s="56" t="str">
        <f>MID(Tabla1[[#This Row],[Aplicación]],14,2)</f>
        <v>22</v>
      </c>
      <c r="X1245" s="56" t="str">
        <f>MID(Tabla1[[#This Row],[Aplicación]],14,6)</f>
        <v>22706</v>
      </c>
    </row>
    <row r="1246" spans="1:24" x14ac:dyDescent="0.25">
      <c r="A1246" s="46">
        <v>220230005387</v>
      </c>
      <c r="B1246" s="47" t="s">
        <v>1514</v>
      </c>
      <c r="C1246" s="52">
        <v>44979</v>
      </c>
      <c r="D1246" s="46">
        <v>22023001964</v>
      </c>
      <c r="E1246" s="47" t="s">
        <v>546</v>
      </c>
      <c r="F1246" s="53">
        <v>1667.65</v>
      </c>
      <c r="G1246" s="47" t="s">
        <v>400</v>
      </c>
      <c r="H1246" s="47" t="s">
        <v>2508</v>
      </c>
      <c r="I1246" s="46" t="s">
        <v>1517</v>
      </c>
      <c r="J1246" s="47" t="s">
        <v>519</v>
      </c>
      <c r="K1246" s="47" t="s">
        <v>519</v>
      </c>
      <c r="L1246" s="47" t="s">
        <v>527</v>
      </c>
      <c r="M1246" s="47" t="s">
        <v>514</v>
      </c>
      <c r="N1246" s="47" t="s">
        <v>515</v>
      </c>
      <c r="O1246" s="54" t="s">
        <v>371</v>
      </c>
      <c r="P1246" s="44" t="s">
        <v>309</v>
      </c>
      <c r="Q1246" s="59" t="str">
        <f>MID(Tabla1[[#This Row],[Aplicación]],14,1)</f>
        <v>6</v>
      </c>
      <c r="R1246" s="35" t="s">
        <v>299</v>
      </c>
      <c r="S1246" s="59" t="str">
        <f>MID(Tabla1[[#This Row],[Aplicación]],6,2)</f>
        <v>08</v>
      </c>
      <c r="T1246" s="35" t="str">
        <f>VLOOKUP(Tabla1[[#This Row],[AREA]],Hoja1!A:B,2,FALSE)</f>
        <v>08. Movilidad y espacio urbano</v>
      </c>
      <c r="U1246" s="35" t="str">
        <f>MID(Tabla1[[#This Row],[Aplicación]],9,4)</f>
        <v>1532</v>
      </c>
      <c r="V1246" s="35" t="str">
        <f>VLOOKUP(Tabla1[[#This Row],[PROGRAMA]],Hoja1!A:B,2,FALSE)</f>
        <v>1532. Pavimentación vias públicas y otros servicios urbanísticos</v>
      </c>
      <c r="W1246" s="56" t="str">
        <f>MID(Tabla1[[#This Row],[Aplicación]],14,2)</f>
        <v>61</v>
      </c>
      <c r="X1246" s="56" t="str">
        <f>MID(Tabla1[[#This Row],[Aplicación]],14,6)</f>
        <v>619</v>
      </c>
    </row>
    <row r="1247" spans="1:24" x14ac:dyDescent="0.25">
      <c r="A1247" s="46">
        <v>220230005505</v>
      </c>
      <c r="B1247" s="47" t="s">
        <v>1514</v>
      </c>
      <c r="C1247" s="52">
        <v>44979</v>
      </c>
      <c r="D1247" s="46">
        <v>22023001548</v>
      </c>
      <c r="E1247" s="47" t="s">
        <v>2509</v>
      </c>
      <c r="F1247" s="53">
        <v>50.71</v>
      </c>
      <c r="G1247" s="47" t="s">
        <v>2510</v>
      </c>
      <c r="H1247" s="47" t="s">
        <v>2511</v>
      </c>
      <c r="I1247" s="46" t="s">
        <v>1517</v>
      </c>
      <c r="J1247" s="47" t="s">
        <v>2512</v>
      </c>
      <c r="K1247" s="47" t="s">
        <v>519</v>
      </c>
      <c r="L1247" s="47" t="s">
        <v>552</v>
      </c>
      <c r="M1247" s="47" t="s">
        <v>514</v>
      </c>
      <c r="N1247" s="47" t="s">
        <v>515</v>
      </c>
      <c r="O1247" s="45" t="s">
        <v>382</v>
      </c>
      <c r="P1247" s="44" t="s">
        <v>309</v>
      </c>
      <c r="Q1247" s="59" t="str">
        <f>MID(Tabla1[[#This Row],[Aplicación]],14,1)</f>
        <v>2</v>
      </c>
      <c r="R1247" s="35" t="s">
        <v>298</v>
      </c>
      <c r="S1247" s="59" t="str">
        <f>MID(Tabla1[[#This Row],[Aplicación]],6,2)</f>
        <v>07</v>
      </c>
      <c r="T1247" s="35" t="str">
        <f>VLOOKUP(Tabla1[[#This Row],[AREA]],Hoja1!A:B,2,FALSE)</f>
        <v>07. Medio ambiente y desarrollo sostenible</v>
      </c>
      <c r="U1247" s="35" t="str">
        <f>MID(Tabla1[[#This Row],[Aplicación]],9,4)</f>
        <v>1711</v>
      </c>
      <c r="V1247" s="35" t="str">
        <f>VLOOKUP(Tabla1[[#This Row],[PROGRAMA]],Hoja1!A:B,2,FALSE)</f>
        <v>1711. Parques y jardines</v>
      </c>
      <c r="W1247" s="56" t="str">
        <f>MID(Tabla1[[#This Row],[Aplicación]],14,2)</f>
        <v>22</v>
      </c>
      <c r="X1247" s="56" t="str">
        <f>MID(Tabla1[[#This Row],[Aplicación]],14,6)</f>
        <v>22106</v>
      </c>
    </row>
    <row r="1248" spans="1:24" x14ac:dyDescent="0.25">
      <c r="A1248" s="46">
        <v>220230005579</v>
      </c>
      <c r="B1248" s="47" t="s">
        <v>1514</v>
      </c>
      <c r="C1248" s="52">
        <v>44979</v>
      </c>
      <c r="D1248" s="46">
        <v>22023002181</v>
      </c>
      <c r="E1248" s="47" t="s">
        <v>1305</v>
      </c>
      <c r="F1248" s="53">
        <v>251.11</v>
      </c>
      <c r="G1248" s="47" t="s">
        <v>97</v>
      </c>
      <c r="H1248" s="47" t="s">
        <v>2513</v>
      </c>
      <c r="I1248" s="46" t="s">
        <v>1517</v>
      </c>
      <c r="J1248" s="47" t="s">
        <v>519</v>
      </c>
      <c r="K1248" s="47" t="s">
        <v>519</v>
      </c>
      <c r="L1248" s="47" t="s">
        <v>552</v>
      </c>
      <c r="M1248" s="47" t="s">
        <v>514</v>
      </c>
      <c r="N1248" s="47" t="s">
        <v>515</v>
      </c>
      <c r="O1248" s="45" t="s">
        <v>382</v>
      </c>
      <c r="P1248" s="44" t="s">
        <v>309</v>
      </c>
      <c r="Q1248" s="59" t="str">
        <f>MID(Tabla1[[#This Row],[Aplicación]],14,1)</f>
        <v>2</v>
      </c>
      <c r="R1248" s="35" t="s">
        <v>298</v>
      </c>
      <c r="S1248" s="59" t="str">
        <f>MID(Tabla1[[#This Row],[Aplicación]],6,2)</f>
        <v>06</v>
      </c>
      <c r="T1248" s="35" t="str">
        <f>VLOOKUP(Tabla1[[#This Row],[AREA]],Hoja1!A:B,2,FALSE)</f>
        <v>06. Educación, infancia, juventud e igualdad</v>
      </c>
      <c r="U1248" s="35" t="str">
        <f>MID(Tabla1[[#This Row],[Aplicación]],9,4)</f>
        <v>3232</v>
      </c>
      <c r="V1248" s="35" t="str">
        <f>VLOOKUP(Tabla1[[#This Row],[PROGRAMA]],Hoja1!A:B,2,FALSE)</f>
        <v>3232. Conservación y mantenimiento centros educación infantil y primaria</v>
      </c>
      <c r="W1248" s="56" t="str">
        <f>MID(Tabla1[[#This Row],[Aplicación]],14,2)</f>
        <v>21</v>
      </c>
      <c r="X1248" s="56" t="str">
        <f>MID(Tabla1[[#This Row],[Aplicación]],14,6)</f>
        <v>212</v>
      </c>
    </row>
    <row r="1249" spans="1:24" x14ac:dyDescent="0.25">
      <c r="A1249" s="46">
        <v>220230005588</v>
      </c>
      <c r="B1249" s="47" t="s">
        <v>1514</v>
      </c>
      <c r="C1249" s="52">
        <v>44979</v>
      </c>
      <c r="D1249" s="46">
        <v>22023002181</v>
      </c>
      <c r="E1249" s="47" t="s">
        <v>1305</v>
      </c>
      <c r="F1249" s="53">
        <v>245.45</v>
      </c>
      <c r="G1249" s="47" t="s">
        <v>97</v>
      </c>
      <c r="H1249" s="47" t="s">
        <v>2514</v>
      </c>
      <c r="I1249" s="46" t="s">
        <v>1517</v>
      </c>
      <c r="J1249" s="47" t="s">
        <v>519</v>
      </c>
      <c r="K1249" s="47" t="s">
        <v>519</v>
      </c>
      <c r="L1249" s="47" t="s">
        <v>552</v>
      </c>
      <c r="M1249" s="47" t="s">
        <v>514</v>
      </c>
      <c r="N1249" s="47" t="s">
        <v>515</v>
      </c>
      <c r="O1249" s="45" t="s">
        <v>382</v>
      </c>
      <c r="P1249" s="44" t="s">
        <v>309</v>
      </c>
      <c r="Q1249" s="59" t="str">
        <f>MID(Tabla1[[#This Row],[Aplicación]],14,1)</f>
        <v>2</v>
      </c>
      <c r="R1249" s="35" t="s">
        <v>298</v>
      </c>
      <c r="S1249" s="59" t="str">
        <f>MID(Tabla1[[#This Row],[Aplicación]],6,2)</f>
        <v>06</v>
      </c>
      <c r="T1249" s="35" t="str">
        <f>VLOOKUP(Tabla1[[#This Row],[AREA]],Hoja1!A:B,2,FALSE)</f>
        <v>06. Educación, infancia, juventud e igualdad</v>
      </c>
      <c r="U1249" s="35" t="str">
        <f>MID(Tabla1[[#This Row],[Aplicación]],9,4)</f>
        <v>3232</v>
      </c>
      <c r="V1249" s="35" t="str">
        <f>VLOOKUP(Tabla1[[#This Row],[PROGRAMA]],Hoja1!A:B,2,FALSE)</f>
        <v>3232. Conservación y mantenimiento centros educación infantil y primaria</v>
      </c>
      <c r="W1249" s="56" t="str">
        <f>MID(Tabla1[[#This Row],[Aplicación]],14,2)</f>
        <v>21</v>
      </c>
      <c r="X1249" s="56" t="str">
        <f>MID(Tabla1[[#This Row],[Aplicación]],14,6)</f>
        <v>212</v>
      </c>
    </row>
    <row r="1250" spans="1:24" x14ac:dyDescent="0.25">
      <c r="A1250" s="46">
        <v>220230005556</v>
      </c>
      <c r="B1250" s="47" t="s">
        <v>1514</v>
      </c>
      <c r="C1250" s="52">
        <v>44979</v>
      </c>
      <c r="D1250" s="46">
        <v>22023002181</v>
      </c>
      <c r="E1250" s="47" t="s">
        <v>1305</v>
      </c>
      <c r="F1250" s="53">
        <v>202.55</v>
      </c>
      <c r="G1250" s="47" t="s">
        <v>97</v>
      </c>
      <c r="H1250" s="47" t="s">
        <v>2515</v>
      </c>
      <c r="I1250" s="46" t="s">
        <v>1517</v>
      </c>
      <c r="J1250" s="47" t="s">
        <v>519</v>
      </c>
      <c r="K1250" s="47" t="s">
        <v>519</v>
      </c>
      <c r="L1250" s="47" t="s">
        <v>552</v>
      </c>
      <c r="M1250" s="47" t="s">
        <v>514</v>
      </c>
      <c r="N1250" s="47" t="s">
        <v>515</v>
      </c>
      <c r="O1250" s="45" t="s">
        <v>382</v>
      </c>
      <c r="P1250" s="44" t="s">
        <v>309</v>
      </c>
      <c r="Q1250" s="59" t="str">
        <f>MID(Tabla1[[#This Row],[Aplicación]],14,1)</f>
        <v>2</v>
      </c>
      <c r="R1250" s="35" t="s">
        <v>298</v>
      </c>
      <c r="S1250" s="59" t="str">
        <f>MID(Tabla1[[#This Row],[Aplicación]],6,2)</f>
        <v>06</v>
      </c>
      <c r="T1250" s="35" t="str">
        <f>VLOOKUP(Tabla1[[#This Row],[AREA]],Hoja1!A:B,2,FALSE)</f>
        <v>06. Educación, infancia, juventud e igualdad</v>
      </c>
      <c r="U1250" s="35" t="str">
        <f>MID(Tabla1[[#This Row],[Aplicación]],9,4)</f>
        <v>3232</v>
      </c>
      <c r="V1250" s="35" t="str">
        <f>VLOOKUP(Tabla1[[#This Row],[PROGRAMA]],Hoja1!A:B,2,FALSE)</f>
        <v>3232. Conservación y mantenimiento centros educación infantil y primaria</v>
      </c>
      <c r="W1250" s="56" t="str">
        <f>MID(Tabla1[[#This Row],[Aplicación]],14,2)</f>
        <v>21</v>
      </c>
      <c r="X1250" s="56" t="str">
        <f>MID(Tabla1[[#This Row],[Aplicación]],14,6)</f>
        <v>212</v>
      </c>
    </row>
    <row r="1251" spans="1:24" x14ac:dyDescent="0.25">
      <c r="A1251" s="46">
        <v>220230005544</v>
      </c>
      <c r="B1251" s="47" t="s">
        <v>1514</v>
      </c>
      <c r="C1251" s="52">
        <v>44979</v>
      </c>
      <c r="D1251" s="46">
        <v>22023002181</v>
      </c>
      <c r="E1251" s="47" t="s">
        <v>1305</v>
      </c>
      <c r="F1251" s="53">
        <v>197.98</v>
      </c>
      <c r="G1251" s="47" t="s">
        <v>97</v>
      </c>
      <c r="H1251" s="47" t="s">
        <v>2516</v>
      </c>
      <c r="I1251" s="46" t="s">
        <v>1517</v>
      </c>
      <c r="J1251" s="47" t="s">
        <v>519</v>
      </c>
      <c r="K1251" s="47" t="s">
        <v>519</v>
      </c>
      <c r="L1251" s="47" t="s">
        <v>552</v>
      </c>
      <c r="M1251" s="47" t="s">
        <v>514</v>
      </c>
      <c r="N1251" s="47" t="s">
        <v>515</v>
      </c>
      <c r="O1251" s="45" t="s">
        <v>382</v>
      </c>
      <c r="P1251" s="44" t="s">
        <v>309</v>
      </c>
      <c r="Q1251" s="59" t="str">
        <f>MID(Tabla1[[#This Row],[Aplicación]],14,1)</f>
        <v>2</v>
      </c>
      <c r="R1251" s="35" t="s">
        <v>298</v>
      </c>
      <c r="S1251" s="59" t="str">
        <f>MID(Tabla1[[#This Row],[Aplicación]],6,2)</f>
        <v>06</v>
      </c>
      <c r="T1251" s="35" t="str">
        <f>VLOOKUP(Tabla1[[#This Row],[AREA]],Hoja1!A:B,2,FALSE)</f>
        <v>06. Educación, infancia, juventud e igualdad</v>
      </c>
      <c r="U1251" s="35" t="str">
        <f>MID(Tabla1[[#This Row],[Aplicación]],9,4)</f>
        <v>3232</v>
      </c>
      <c r="V1251" s="35" t="str">
        <f>VLOOKUP(Tabla1[[#This Row],[PROGRAMA]],Hoja1!A:B,2,FALSE)</f>
        <v>3232. Conservación y mantenimiento centros educación infantil y primaria</v>
      </c>
      <c r="W1251" s="56" t="str">
        <f>MID(Tabla1[[#This Row],[Aplicación]],14,2)</f>
        <v>21</v>
      </c>
      <c r="X1251" s="56" t="str">
        <f>MID(Tabla1[[#This Row],[Aplicación]],14,6)</f>
        <v>212</v>
      </c>
    </row>
    <row r="1252" spans="1:24" x14ac:dyDescent="0.25">
      <c r="A1252" s="46">
        <v>220230005554</v>
      </c>
      <c r="B1252" s="47" t="s">
        <v>1514</v>
      </c>
      <c r="C1252" s="52">
        <v>44979</v>
      </c>
      <c r="D1252" s="46">
        <v>22023002181</v>
      </c>
      <c r="E1252" s="47" t="s">
        <v>1305</v>
      </c>
      <c r="F1252" s="53">
        <v>147.21</v>
      </c>
      <c r="G1252" s="47" t="s">
        <v>97</v>
      </c>
      <c r="H1252" s="47" t="s">
        <v>2517</v>
      </c>
      <c r="I1252" s="46" t="s">
        <v>1517</v>
      </c>
      <c r="J1252" s="47" t="s">
        <v>519</v>
      </c>
      <c r="K1252" s="47" t="s">
        <v>519</v>
      </c>
      <c r="L1252" s="47" t="s">
        <v>552</v>
      </c>
      <c r="M1252" s="47" t="s">
        <v>514</v>
      </c>
      <c r="N1252" s="47" t="s">
        <v>515</v>
      </c>
      <c r="O1252" s="45" t="s">
        <v>382</v>
      </c>
      <c r="P1252" s="44" t="s">
        <v>309</v>
      </c>
      <c r="Q1252" s="59" t="str">
        <f>MID(Tabla1[[#This Row],[Aplicación]],14,1)</f>
        <v>2</v>
      </c>
      <c r="R1252" s="35" t="s">
        <v>298</v>
      </c>
      <c r="S1252" s="59" t="str">
        <f>MID(Tabla1[[#This Row],[Aplicación]],6,2)</f>
        <v>06</v>
      </c>
      <c r="T1252" s="35" t="str">
        <f>VLOOKUP(Tabla1[[#This Row],[AREA]],Hoja1!A:B,2,FALSE)</f>
        <v>06. Educación, infancia, juventud e igualdad</v>
      </c>
      <c r="U1252" s="35" t="str">
        <f>MID(Tabla1[[#This Row],[Aplicación]],9,4)</f>
        <v>3232</v>
      </c>
      <c r="V1252" s="35" t="str">
        <f>VLOOKUP(Tabla1[[#This Row],[PROGRAMA]],Hoja1!A:B,2,FALSE)</f>
        <v>3232. Conservación y mantenimiento centros educación infantil y primaria</v>
      </c>
      <c r="W1252" s="56" t="str">
        <f>MID(Tabla1[[#This Row],[Aplicación]],14,2)</f>
        <v>21</v>
      </c>
      <c r="X1252" s="56" t="str">
        <f>MID(Tabla1[[#This Row],[Aplicación]],14,6)</f>
        <v>212</v>
      </c>
    </row>
    <row r="1253" spans="1:24" x14ac:dyDescent="0.25">
      <c r="A1253" s="46">
        <v>220230008590</v>
      </c>
      <c r="B1253" s="47" t="s">
        <v>507</v>
      </c>
      <c r="C1253" s="52">
        <v>45000</v>
      </c>
      <c r="D1253" s="46">
        <v>22023002993</v>
      </c>
      <c r="E1253" s="47" t="s">
        <v>1479</v>
      </c>
      <c r="F1253" s="53">
        <v>605</v>
      </c>
      <c r="G1253" s="47" t="s">
        <v>1648</v>
      </c>
      <c r="H1253" s="47" t="s">
        <v>2518</v>
      </c>
      <c r="I1253" s="46" t="s">
        <v>511</v>
      </c>
      <c r="J1253" s="47" t="s">
        <v>519</v>
      </c>
      <c r="K1253" s="47" t="s">
        <v>519</v>
      </c>
      <c r="L1253" s="47" t="s">
        <v>520</v>
      </c>
      <c r="M1253" s="47" t="s">
        <v>976</v>
      </c>
      <c r="N1253" s="47" t="s">
        <v>839</v>
      </c>
      <c r="O1253" s="54" t="s">
        <v>383</v>
      </c>
      <c r="P1253" s="44" t="s">
        <v>309</v>
      </c>
      <c r="Q1253" s="59" t="str">
        <f>MID(Tabla1[[#This Row],[Aplicación]],14,1)</f>
        <v>2</v>
      </c>
      <c r="R1253" s="35" t="s">
        <v>298</v>
      </c>
      <c r="S1253" s="59" t="str">
        <f>MID(Tabla1[[#This Row],[Aplicación]],6,2)</f>
        <v>03</v>
      </c>
      <c r="T1253" s="35" t="str">
        <f>VLOOKUP(Tabla1[[#This Row],[AREA]],Hoja1!A:B,2,FALSE)</f>
        <v>03. Participación ciudadana y deportes</v>
      </c>
      <c r="U1253" s="35" t="str">
        <f>MID(Tabla1[[#This Row],[Aplicación]],9,4)</f>
        <v>9241</v>
      </c>
      <c r="V1253" s="35" t="str">
        <f>VLOOKUP(Tabla1[[#This Row],[PROGRAMA]],Hoja1!A:B,2,FALSE)</f>
        <v>9241. Participación ciudadana</v>
      </c>
      <c r="W1253" s="56" t="str">
        <f>MID(Tabla1[[#This Row],[Aplicación]],14,2)</f>
        <v>22</v>
      </c>
      <c r="X1253" s="56" t="str">
        <f>MID(Tabla1[[#This Row],[Aplicación]],14,6)</f>
        <v>22609</v>
      </c>
    </row>
    <row r="1254" spans="1:24" x14ac:dyDescent="0.25">
      <c r="A1254" s="46">
        <v>220230005577</v>
      </c>
      <c r="B1254" s="47" t="s">
        <v>1514</v>
      </c>
      <c r="C1254" s="52">
        <v>44979</v>
      </c>
      <c r="D1254" s="46">
        <v>22023002181</v>
      </c>
      <c r="E1254" s="47" t="s">
        <v>1305</v>
      </c>
      <c r="F1254" s="53">
        <v>47.35</v>
      </c>
      <c r="G1254" s="47" t="s">
        <v>97</v>
      </c>
      <c r="H1254" s="47" t="s">
        <v>2519</v>
      </c>
      <c r="I1254" s="46" t="s">
        <v>1517</v>
      </c>
      <c r="J1254" s="47" t="s">
        <v>519</v>
      </c>
      <c r="K1254" s="47" t="s">
        <v>519</v>
      </c>
      <c r="L1254" s="47" t="s">
        <v>552</v>
      </c>
      <c r="M1254" s="47" t="s">
        <v>514</v>
      </c>
      <c r="N1254" s="47" t="s">
        <v>515</v>
      </c>
      <c r="O1254" s="45" t="s">
        <v>382</v>
      </c>
      <c r="P1254" s="44" t="s">
        <v>309</v>
      </c>
      <c r="Q1254" s="59" t="str">
        <f>MID(Tabla1[[#This Row],[Aplicación]],14,1)</f>
        <v>2</v>
      </c>
      <c r="R1254" s="35" t="s">
        <v>298</v>
      </c>
      <c r="S1254" s="59" t="str">
        <f>MID(Tabla1[[#This Row],[Aplicación]],6,2)</f>
        <v>06</v>
      </c>
      <c r="T1254" s="35" t="str">
        <f>VLOOKUP(Tabla1[[#This Row],[AREA]],Hoja1!A:B,2,FALSE)</f>
        <v>06. Educación, infancia, juventud e igualdad</v>
      </c>
      <c r="U1254" s="35" t="str">
        <f>MID(Tabla1[[#This Row],[Aplicación]],9,4)</f>
        <v>3232</v>
      </c>
      <c r="V1254" s="35" t="str">
        <f>VLOOKUP(Tabla1[[#This Row],[PROGRAMA]],Hoja1!A:B,2,FALSE)</f>
        <v>3232. Conservación y mantenimiento centros educación infantil y primaria</v>
      </c>
      <c r="W1254" s="56" t="str">
        <f>MID(Tabla1[[#This Row],[Aplicación]],14,2)</f>
        <v>21</v>
      </c>
      <c r="X1254" s="56" t="str">
        <f>MID(Tabla1[[#This Row],[Aplicación]],14,6)</f>
        <v>212</v>
      </c>
    </row>
    <row r="1255" spans="1:24" x14ac:dyDescent="0.25">
      <c r="A1255" s="46">
        <v>220230005585</v>
      </c>
      <c r="B1255" s="47" t="s">
        <v>1514</v>
      </c>
      <c r="C1255" s="52">
        <v>44979</v>
      </c>
      <c r="D1255" s="46">
        <v>22023002181</v>
      </c>
      <c r="E1255" s="47" t="s">
        <v>1305</v>
      </c>
      <c r="F1255" s="53">
        <v>23.68</v>
      </c>
      <c r="G1255" s="47" t="s">
        <v>97</v>
      </c>
      <c r="H1255" s="47" t="s">
        <v>2520</v>
      </c>
      <c r="I1255" s="46" t="s">
        <v>1517</v>
      </c>
      <c r="J1255" s="47" t="s">
        <v>519</v>
      </c>
      <c r="K1255" s="47" t="s">
        <v>519</v>
      </c>
      <c r="L1255" s="47" t="s">
        <v>552</v>
      </c>
      <c r="M1255" s="47" t="s">
        <v>514</v>
      </c>
      <c r="N1255" s="47" t="s">
        <v>515</v>
      </c>
      <c r="O1255" s="45" t="s">
        <v>382</v>
      </c>
      <c r="P1255" s="44" t="s">
        <v>309</v>
      </c>
      <c r="Q1255" s="59" t="str">
        <f>MID(Tabla1[[#This Row],[Aplicación]],14,1)</f>
        <v>2</v>
      </c>
      <c r="R1255" s="35" t="s">
        <v>298</v>
      </c>
      <c r="S1255" s="59" t="str">
        <f>MID(Tabla1[[#This Row],[Aplicación]],6,2)</f>
        <v>06</v>
      </c>
      <c r="T1255" s="35" t="str">
        <f>VLOOKUP(Tabla1[[#This Row],[AREA]],Hoja1!A:B,2,FALSE)</f>
        <v>06. Educación, infancia, juventud e igualdad</v>
      </c>
      <c r="U1255" s="35" t="str">
        <f>MID(Tabla1[[#This Row],[Aplicación]],9,4)</f>
        <v>3232</v>
      </c>
      <c r="V1255" s="35" t="str">
        <f>VLOOKUP(Tabla1[[#This Row],[PROGRAMA]],Hoja1!A:B,2,FALSE)</f>
        <v>3232. Conservación y mantenimiento centros educación infantil y primaria</v>
      </c>
      <c r="W1255" s="56" t="str">
        <f>MID(Tabla1[[#This Row],[Aplicación]],14,2)</f>
        <v>21</v>
      </c>
      <c r="X1255" s="56" t="str">
        <f>MID(Tabla1[[#This Row],[Aplicación]],14,6)</f>
        <v>212</v>
      </c>
    </row>
    <row r="1256" spans="1:24" x14ac:dyDescent="0.25">
      <c r="A1256" s="46">
        <v>220229000677</v>
      </c>
      <c r="B1256" s="47" t="s">
        <v>507</v>
      </c>
      <c r="C1256" s="52">
        <v>44927</v>
      </c>
      <c r="D1256" s="46">
        <v>22023001280</v>
      </c>
      <c r="E1256" s="47" t="s">
        <v>1191</v>
      </c>
      <c r="F1256" s="53">
        <v>1300</v>
      </c>
      <c r="G1256" s="47" t="s">
        <v>443</v>
      </c>
      <c r="H1256" s="47" t="s">
        <v>2521</v>
      </c>
      <c r="I1256" s="46" t="s">
        <v>511</v>
      </c>
      <c r="J1256" s="47" t="s">
        <v>519</v>
      </c>
      <c r="K1256" s="47" t="s">
        <v>519</v>
      </c>
      <c r="L1256" s="47" t="s">
        <v>520</v>
      </c>
      <c r="M1256" s="47" t="s">
        <v>976</v>
      </c>
      <c r="N1256" s="47" t="s">
        <v>839</v>
      </c>
      <c r="O1256" s="45" t="s">
        <v>383</v>
      </c>
      <c r="P1256" s="44" t="s">
        <v>309</v>
      </c>
      <c r="Q1256" s="59" t="str">
        <f>MID(Tabla1[[#This Row],[Aplicación]],14,1)</f>
        <v>2</v>
      </c>
      <c r="R1256" s="35" t="s">
        <v>298</v>
      </c>
      <c r="S1256" s="59" t="str">
        <f>MID(Tabla1[[#This Row],[Aplicación]],6,2)</f>
        <v>06</v>
      </c>
      <c r="T1256" s="35" t="str">
        <f>VLOOKUP(Tabla1[[#This Row],[AREA]],Hoja1!A:B,2,FALSE)</f>
        <v>06. Educación, infancia, juventud e igualdad</v>
      </c>
      <c r="U1256" s="35" t="str">
        <f>MID(Tabla1[[#This Row],[Aplicación]],9,4)</f>
        <v>2315</v>
      </c>
      <c r="V1256" s="35" t="str">
        <f>VLOOKUP(Tabla1[[#This Row],[PROGRAMA]],Hoja1!A:B,2,FALSE)</f>
        <v>2315. Políticas de Igualdad e infancia</v>
      </c>
      <c r="W1256" s="56" t="str">
        <f>MID(Tabla1[[#This Row],[Aplicación]],14,2)</f>
        <v>22</v>
      </c>
      <c r="X1256" s="56" t="str">
        <f>MID(Tabla1[[#This Row],[Aplicación]],14,6)</f>
        <v>22611</v>
      </c>
    </row>
    <row r="1257" spans="1:24" x14ac:dyDescent="0.25">
      <c r="A1257" s="46">
        <v>220230005542</v>
      </c>
      <c r="B1257" s="47" t="s">
        <v>1514</v>
      </c>
      <c r="C1257" s="52">
        <v>44979</v>
      </c>
      <c r="D1257" s="46">
        <v>22023002181</v>
      </c>
      <c r="E1257" s="47" t="s">
        <v>1305</v>
      </c>
      <c r="F1257" s="53">
        <v>44.67</v>
      </c>
      <c r="G1257" s="47" t="s">
        <v>1481</v>
      </c>
      <c r="H1257" s="47" t="s">
        <v>2522</v>
      </c>
      <c r="I1257" s="46" t="s">
        <v>1517</v>
      </c>
      <c r="J1257" s="47" t="s">
        <v>837</v>
      </c>
      <c r="K1257" s="47" t="s">
        <v>837</v>
      </c>
      <c r="L1257" s="47" t="s">
        <v>552</v>
      </c>
      <c r="M1257" s="47" t="s">
        <v>514</v>
      </c>
      <c r="N1257" s="47" t="s">
        <v>515</v>
      </c>
      <c r="O1257" s="45" t="s">
        <v>382</v>
      </c>
      <c r="P1257" s="44" t="s">
        <v>309</v>
      </c>
      <c r="Q1257" s="59" t="str">
        <f>MID(Tabla1[[#This Row],[Aplicación]],14,1)</f>
        <v>2</v>
      </c>
      <c r="R1257" s="35" t="s">
        <v>298</v>
      </c>
      <c r="S1257" s="59" t="str">
        <f>MID(Tabla1[[#This Row],[Aplicación]],6,2)</f>
        <v>06</v>
      </c>
      <c r="T1257" s="35" t="str">
        <f>VLOOKUP(Tabla1[[#This Row],[AREA]],Hoja1!A:B,2,FALSE)</f>
        <v>06. Educación, infancia, juventud e igualdad</v>
      </c>
      <c r="U1257" s="35" t="str">
        <f>MID(Tabla1[[#This Row],[Aplicación]],9,4)</f>
        <v>3232</v>
      </c>
      <c r="V1257" s="35" t="str">
        <f>VLOOKUP(Tabla1[[#This Row],[PROGRAMA]],Hoja1!A:B,2,FALSE)</f>
        <v>3232. Conservación y mantenimiento centros educación infantil y primaria</v>
      </c>
      <c r="W1257" s="56" t="str">
        <f>MID(Tabla1[[#This Row],[Aplicación]],14,2)</f>
        <v>21</v>
      </c>
      <c r="X1257" s="56" t="str">
        <f>MID(Tabla1[[#This Row],[Aplicación]],14,6)</f>
        <v>212</v>
      </c>
    </row>
    <row r="1258" spans="1:24" x14ac:dyDescent="0.25">
      <c r="A1258" s="46">
        <v>220230005513</v>
      </c>
      <c r="B1258" s="47" t="s">
        <v>1514</v>
      </c>
      <c r="C1258" s="52">
        <v>44979</v>
      </c>
      <c r="D1258" s="46">
        <v>22023001468</v>
      </c>
      <c r="E1258" s="47" t="s">
        <v>1512</v>
      </c>
      <c r="F1258" s="53">
        <v>40.14</v>
      </c>
      <c r="G1258" s="47" t="s">
        <v>1481</v>
      </c>
      <c r="H1258" s="47" t="s">
        <v>2523</v>
      </c>
      <c r="I1258" s="46" t="s">
        <v>1517</v>
      </c>
      <c r="J1258" s="47" t="s">
        <v>837</v>
      </c>
      <c r="K1258" s="47" t="s">
        <v>837</v>
      </c>
      <c r="L1258" s="47" t="s">
        <v>552</v>
      </c>
      <c r="M1258" s="47" t="s">
        <v>514</v>
      </c>
      <c r="N1258" s="47" t="s">
        <v>515</v>
      </c>
      <c r="O1258" s="45" t="s">
        <v>382</v>
      </c>
      <c r="P1258" s="44" t="s">
        <v>309</v>
      </c>
      <c r="Q1258" s="59" t="str">
        <f>MID(Tabla1[[#This Row],[Aplicación]],14,1)</f>
        <v>2</v>
      </c>
      <c r="R1258" s="35" t="s">
        <v>298</v>
      </c>
      <c r="S1258" s="59" t="str">
        <f>MID(Tabla1[[#This Row],[Aplicación]],6,2)</f>
        <v>10</v>
      </c>
      <c r="T1258" s="35" t="str">
        <f>VLOOKUP(Tabla1[[#This Row],[AREA]],Hoja1!A:B,2,FALSE)</f>
        <v>10. Servicios sociales y mediación comunitaria</v>
      </c>
      <c r="U1258" s="35" t="str">
        <f>MID(Tabla1[[#This Row],[Aplicación]],9,4)</f>
        <v>2312</v>
      </c>
      <c r="V1258" s="35" t="str">
        <f>VLOOKUP(Tabla1[[#This Row],[PROGRAMA]],Hoja1!A:B,2,FALSE)</f>
        <v>2312. Iniciativas sociales</v>
      </c>
      <c r="W1258" s="56" t="str">
        <f>MID(Tabla1[[#This Row],[Aplicación]],14,2)</f>
        <v>21</v>
      </c>
      <c r="X1258" s="56" t="str">
        <f>MID(Tabla1[[#This Row],[Aplicación]],14,6)</f>
        <v>212</v>
      </c>
    </row>
    <row r="1259" spans="1:24" x14ac:dyDescent="0.25">
      <c r="A1259" s="46">
        <v>220230005513</v>
      </c>
      <c r="B1259" s="47" t="s">
        <v>1514</v>
      </c>
      <c r="C1259" s="52">
        <v>44979</v>
      </c>
      <c r="D1259" s="46">
        <v>22023001467</v>
      </c>
      <c r="E1259" s="47" t="s">
        <v>1512</v>
      </c>
      <c r="F1259" s="53">
        <v>29.23</v>
      </c>
      <c r="G1259" s="47" t="s">
        <v>1481</v>
      </c>
      <c r="H1259" s="47" t="s">
        <v>2523</v>
      </c>
      <c r="I1259" s="46" t="s">
        <v>1517</v>
      </c>
      <c r="J1259" s="47" t="s">
        <v>837</v>
      </c>
      <c r="K1259" s="47" t="s">
        <v>837</v>
      </c>
      <c r="L1259" s="47" t="s">
        <v>552</v>
      </c>
      <c r="M1259" s="47" t="s">
        <v>514</v>
      </c>
      <c r="N1259" s="47" t="s">
        <v>515</v>
      </c>
      <c r="O1259" s="45" t="s">
        <v>382</v>
      </c>
      <c r="P1259" s="44" t="s">
        <v>309</v>
      </c>
      <c r="Q1259" s="59" t="str">
        <f>MID(Tabla1[[#This Row],[Aplicación]],14,1)</f>
        <v>2</v>
      </c>
      <c r="R1259" s="35" t="s">
        <v>298</v>
      </c>
      <c r="S1259" s="59" t="str">
        <f>MID(Tabla1[[#This Row],[Aplicación]],6,2)</f>
        <v>10</v>
      </c>
      <c r="T1259" s="35" t="str">
        <f>VLOOKUP(Tabla1[[#This Row],[AREA]],Hoja1!A:B,2,FALSE)</f>
        <v>10. Servicios sociales y mediación comunitaria</v>
      </c>
      <c r="U1259" s="35" t="str">
        <f>MID(Tabla1[[#This Row],[Aplicación]],9,4)</f>
        <v>2312</v>
      </c>
      <c r="V1259" s="35" t="str">
        <f>VLOOKUP(Tabla1[[#This Row],[PROGRAMA]],Hoja1!A:B,2,FALSE)</f>
        <v>2312. Iniciativas sociales</v>
      </c>
      <c r="W1259" s="56" t="str">
        <f>MID(Tabla1[[#This Row],[Aplicación]],14,2)</f>
        <v>21</v>
      </c>
      <c r="X1259" s="56" t="str">
        <f>MID(Tabla1[[#This Row],[Aplicación]],14,6)</f>
        <v>212</v>
      </c>
    </row>
    <row r="1260" spans="1:24" x14ac:dyDescent="0.25">
      <c r="A1260" s="46">
        <v>220230002028</v>
      </c>
      <c r="B1260" s="47" t="s">
        <v>507</v>
      </c>
      <c r="C1260" s="52">
        <v>44960</v>
      </c>
      <c r="D1260" s="46">
        <v>22023001652</v>
      </c>
      <c r="E1260" s="47" t="s">
        <v>1191</v>
      </c>
      <c r="F1260" s="53">
        <v>2200</v>
      </c>
      <c r="G1260" s="47" t="s">
        <v>2524</v>
      </c>
      <c r="H1260" s="47" t="s">
        <v>2525</v>
      </c>
      <c r="I1260" s="46" t="s">
        <v>511</v>
      </c>
      <c r="J1260" s="47" t="s">
        <v>519</v>
      </c>
      <c r="K1260" s="47" t="s">
        <v>519</v>
      </c>
      <c r="L1260" s="47" t="s">
        <v>520</v>
      </c>
      <c r="M1260" s="47" t="s">
        <v>976</v>
      </c>
      <c r="N1260" s="47" t="s">
        <v>839</v>
      </c>
      <c r="O1260" s="45" t="s">
        <v>383</v>
      </c>
      <c r="P1260" s="44" t="s">
        <v>309</v>
      </c>
      <c r="Q1260" s="59" t="str">
        <f>MID(Tabla1[[#This Row],[Aplicación]],14,1)</f>
        <v>2</v>
      </c>
      <c r="R1260" s="35" t="s">
        <v>298</v>
      </c>
      <c r="S1260" s="59" t="str">
        <f>MID(Tabla1[[#This Row],[Aplicación]],6,2)</f>
        <v>06</v>
      </c>
      <c r="T1260" s="35" t="str">
        <f>VLOOKUP(Tabla1[[#This Row],[AREA]],Hoja1!A:B,2,FALSE)</f>
        <v>06. Educación, infancia, juventud e igualdad</v>
      </c>
      <c r="U1260" s="35" t="str">
        <f>MID(Tabla1[[#This Row],[Aplicación]],9,4)</f>
        <v>2315</v>
      </c>
      <c r="V1260" s="35" t="str">
        <f>VLOOKUP(Tabla1[[#This Row],[PROGRAMA]],Hoja1!A:B,2,FALSE)</f>
        <v>2315. Políticas de Igualdad e infancia</v>
      </c>
      <c r="W1260" s="56" t="str">
        <f>MID(Tabla1[[#This Row],[Aplicación]],14,2)</f>
        <v>22</v>
      </c>
      <c r="X1260" s="56" t="str">
        <f>MID(Tabla1[[#This Row],[Aplicación]],14,6)</f>
        <v>22611</v>
      </c>
    </row>
    <row r="1261" spans="1:24" x14ac:dyDescent="0.25">
      <c r="A1261" s="55">
        <v>220230011735</v>
      </c>
      <c r="B1261" s="47" t="s">
        <v>507</v>
      </c>
      <c r="C1261" s="52">
        <v>45014</v>
      </c>
      <c r="D1261" s="46">
        <v>22023003590</v>
      </c>
      <c r="E1261" s="47" t="s">
        <v>1191</v>
      </c>
      <c r="F1261" s="53">
        <v>726</v>
      </c>
      <c r="G1261" s="47" t="s">
        <v>2526</v>
      </c>
      <c r="H1261" s="47" t="s">
        <v>2527</v>
      </c>
      <c r="I1261" s="46" t="s">
        <v>511</v>
      </c>
      <c r="J1261" s="47" t="s">
        <v>2528</v>
      </c>
      <c r="K1261" s="47" t="s">
        <v>755</v>
      </c>
      <c r="L1261" s="47" t="s">
        <v>520</v>
      </c>
      <c r="M1261" s="47" t="s">
        <v>976</v>
      </c>
      <c r="N1261" s="47" t="s">
        <v>839</v>
      </c>
      <c r="O1261" s="54" t="s">
        <v>383</v>
      </c>
      <c r="P1261" s="44" t="s">
        <v>309</v>
      </c>
      <c r="Q1261" s="59" t="str">
        <f>MID(Tabla1[[#This Row],[Aplicación]],14,1)</f>
        <v>2</v>
      </c>
      <c r="R1261" s="35" t="s">
        <v>298</v>
      </c>
      <c r="S1261" s="59" t="str">
        <f>MID(Tabla1[[#This Row],[Aplicación]],6,2)</f>
        <v>06</v>
      </c>
      <c r="T1261" s="35" t="str">
        <f>VLOOKUP(Tabla1[[#This Row],[AREA]],Hoja1!A:B,2,FALSE)</f>
        <v>06. Educación, infancia, juventud e igualdad</v>
      </c>
      <c r="U1261" s="35" t="str">
        <f>MID(Tabla1[[#This Row],[Aplicación]],9,4)</f>
        <v>2315</v>
      </c>
      <c r="V1261" s="35" t="str">
        <f>VLOOKUP(Tabla1[[#This Row],[PROGRAMA]],Hoja1!A:B,2,FALSE)</f>
        <v>2315. Políticas de Igualdad e infancia</v>
      </c>
      <c r="W1261" s="56" t="str">
        <f>MID(Tabla1[[#This Row],[Aplicación]],14,2)</f>
        <v>22</v>
      </c>
      <c r="X1261" s="56" t="str">
        <f>MID(Tabla1[[#This Row],[Aplicación]],14,6)</f>
        <v>22611</v>
      </c>
    </row>
    <row r="1262" spans="1:24" x14ac:dyDescent="0.25">
      <c r="A1262" s="46">
        <v>220230000020</v>
      </c>
      <c r="B1262" s="47" t="s">
        <v>507</v>
      </c>
      <c r="C1262" s="52">
        <v>44927</v>
      </c>
      <c r="D1262" s="46">
        <v>22023000495</v>
      </c>
      <c r="E1262" s="47" t="s">
        <v>1428</v>
      </c>
      <c r="F1262" s="53">
        <v>7865</v>
      </c>
      <c r="G1262" s="47" t="s">
        <v>2529</v>
      </c>
      <c r="H1262" s="47" t="s">
        <v>2530</v>
      </c>
      <c r="I1262" s="46" t="s">
        <v>511</v>
      </c>
      <c r="J1262" s="47" t="s">
        <v>519</v>
      </c>
      <c r="K1262" s="47" t="s">
        <v>519</v>
      </c>
      <c r="L1262" s="47" t="s">
        <v>520</v>
      </c>
      <c r="M1262" s="47" t="s">
        <v>514</v>
      </c>
      <c r="N1262" s="47" t="s">
        <v>515</v>
      </c>
      <c r="O1262" s="45" t="s">
        <v>371</v>
      </c>
      <c r="P1262" s="44" t="s">
        <v>309</v>
      </c>
      <c r="Q1262" s="59" t="str">
        <f>MID(Tabla1[[#This Row],[Aplicación]],14,1)</f>
        <v>2</v>
      </c>
      <c r="R1262" s="35" t="s">
        <v>298</v>
      </c>
      <c r="S1262" s="59" t="str">
        <f>MID(Tabla1[[#This Row],[Aplicación]],6,2)</f>
        <v>09</v>
      </c>
      <c r="T1262" s="35" t="str">
        <f>VLOOKUP(Tabla1[[#This Row],[AREA]],Hoja1!A:B,2,FALSE)</f>
        <v>09. Cultura y turismo</v>
      </c>
      <c r="U1262" s="35" t="str">
        <f>MID(Tabla1[[#This Row],[Aplicación]],9,4)</f>
        <v>3301</v>
      </c>
      <c r="V1262" s="35" t="str">
        <f>VLOOKUP(Tabla1[[#This Row],[PROGRAMA]],Hoja1!A:B,2,FALSE)</f>
        <v>3301. Dirección del área de cultura</v>
      </c>
      <c r="W1262" s="56" t="str">
        <f>MID(Tabla1[[#This Row],[Aplicación]],14,2)</f>
        <v>22</v>
      </c>
      <c r="X1262" s="56" t="str">
        <f>MID(Tabla1[[#This Row],[Aplicación]],14,6)</f>
        <v>22799</v>
      </c>
    </row>
    <row r="1263" spans="1:24" x14ac:dyDescent="0.25">
      <c r="A1263" s="46">
        <v>220199000494</v>
      </c>
      <c r="B1263" s="47" t="s">
        <v>507</v>
      </c>
      <c r="C1263" s="52">
        <v>44927</v>
      </c>
      <c r="D1263" s="46">
        <v>22023003380</v>
      </c>
      <c r="E1263" s="47" t="s">
        <v>1428</v>
      </c>
      <c r="F1263" s="53">
        <v>3146</v>
      </c>
      <c r="G1263" s="47" t="s">
        <v>2529</v>
      </c>
      <c r="H1263" s="47" t="s">
        <v>2531</v>
      </c>
      <c r="I1263" s="46" t="s">
        <v>511</v>
      </c>
      <c r="J1263" s="47" t="s">
        <v>519</v>
      </c>
      <c r="K1263" s="47" t="s">
        <v>519</v>
      </c>
      <c r="L1263" s="47" t="s">
        <v>520</v>
      </c>
      <c r="M1263" s="47" t="s">
        <v>514</v>
      </c>
      <c r="N1263" s="47" t="s">
        <v>515</v>
      </c>
      <c r="O1263" s="45" t="s">
        <v>371</v>
      </c>
      <c r="P1263" s="44" t="s">
        <v>309</v>
      </c>
      <c r="Q1263" s="59" t="str">
        <f>MID(Tabla1[[#This Row],[Aplicación]],14,1)</f>
        <v>2</v>
      </c>
      <c r="R1263" s="35" t="s">
        <v>298</v>
      </c>
      <c r="S1263" s="59" t="str">
        <f>MID(Tabla1[[#This Row],[Aplicación]],6,2)</f>
        <v>09</v>
      </c>
      <c r="T1263" s="35" t="str">
        <f>VLOOKUP(Tabla1[[#This Row],[AREA]],Hoja1!A:B,2,FALSE)</f>
        <v>09. Cultura y turismo</v>
      </c>
      <c r="U1263" s="35" t="str">
        <f>MID(Tabla1[[#This Row],[Aplicación]],9,4)</f>
        <v>3301</v>
      </c>
      <c r="V1263" s="35" t="str">
        <f>VLOOKUP(Tabla1[[#This Row],[PROGRAMA]],Hoja1!A:B,2,FALSE)</f>
        <v>3301. Dirección del área de cultura</v>
      </c>
      <c r="W1263" s="56" t="str">
        <f>MID(Tabla1[[#This Row],[Aplicación]],14,2)</f>
        <v>22</v>
      </c>
      <c r="X1263" s="56" t="str">
        <f>MID(Tabla1[[#This Row],[Aplicación]],14,6)</f>
        <v>22799</v>
      </c>
    </row>
    <row r="1264" spans="1:24" x14ac:dyDescent="0.25">
      <c r="A1264" s="46">
        <v>220199000495</v>
      </c>
      <c r="B1264" s="47" t="s">
        <v>507</v>
      </c>
      <c r="C1264" s="52">
        <v>44927</v>
      </c>
      <c r="D1264" s="46">
        <v>22023000497</v>
      </c>
      <c r="E1264" s="47" t="s">
        <v>1428</v>
      </c>
      <c r="F1264" s="53">
        <v>1887.6</v>
      </c>
      <c r="G1264" s="47" t="s">
        <v>2529</v>
      </c>
      <c r="H1264" s="47" t="s">
        <v>2532</v>
      </c>
      <c r="I1264" s="46" t="s">
        <v>511</v>
      </c>
      <c r="J1264" s="47" t="s">
        <v>519</v>
      </c>
      <c r="K1264" s="47" t="s">
        <v>519</v>
      </c>
      <c r="L1264" s="47" t="s">
        <v>520</v>
      </c>
      <c r="M1264" s="47" t="s">
        <v>514</v>
      </c>
      <c r="N1264" s="47" t="s">
        <v>515</v>
      </c>
      <c r="O1264" s="45" t="s">
        <v>371</v>
      </c>
      <c r="P1264" s="44" t="s">
        <v>309</v>
      </c>
      <c r="Q1264" s="59" t="str">
        <f>MID(Tabla1[[#This Row],[Aplicación]],14,1)</f>
        <v>2</v>
      </c>
      <c r="R1264" s="35" t="s">
        <v>298</v>
      </c>
      <c r="S1264" s="59" t="str">
        <f>MID(Tabla1[[#This Row],[Aplicación]],6,2)</f>
        <v>09</v>
      </c>
      <c r="T1264" s="35" t="str">
        <f>VLOOKUP(Tabla1[[#This Row],[AREA]],Hoja1!A:B,2,FALSE)</f>
        <v>09. Cultura y turismo</v>
      </c>
      <c r="U1264" s="35" t="str">
        <f>MID(Tabla1[[#This Row],[Aplicación]],9,4)</f>
        <v>3301</v>
      </c>
      <c r="V1264" s="35" t="str">
        <f>VLOOKUP(Tabla1[[#This Row],[PROGRAMA]],Hoja1!A:B,2,FALSE)</f>
        <v>3301. Dirección del área de cultura</v>
      </c>
      <c r="W1264" s="56" t="str">
        <f>MID(Tabla1[[#This Row],[Aplicación]],14,2)</f>
        <v>22</v>
      </c>
      <c r="X1264" s="56" t="str">
        <f>MID(Tabla1[[#This Row],[Aplicación]],14,6)</f>
        <v>22799</v>
      </c>
    </row>
    <row r="1265" spans="1:24" x14ac:dyDescent="0.25">
      <c r="A1265" s="46">
        <v>220230005581</v>
      </c>
      <c r="B1265" s="47" t="s">
        <v>1514</v>
      </c>
      <c r="C1265" s="52">
        <v>44979</v>
      </c>
      <c r="D1265" s="46">
        <v>22023002181</v>
      </c>
      <c r="E1265" s="47" t="s">
        <v>1305</v>
      </c>
      <c r="F1265" s="53">
        <v>437.48</v>
      </c>
      <c r="G1265" s="47" t="s">
        <v>2432</v>
      </c>
      <c r="H1265" s="47" t="s">
        <v>2533</v>
      </c>
      <c r="I1265" s="46" t="s">
        <v>1517</v>
      </c>
      <c r="J1265" s="47" t="s">
        <v>519</v>
      </c>
      <c r="K1265" s="47" t="s">
        <v>519</v>
      </c>
      <c r="L1265" s="47" t="s">
        <v>552</v>
      </c>
      <c r="M1265" s="47" t="s">
        <v>514</v>
      </c>
      <c r="N1265" s="47" t="s">
        <v>515</v>
      </c>
      <c r="O1265" s="45" t="s">
        <v>382</v>
      </c>
      <c r="P1265" s="44" t="s">
        <v>309</v>
      </c>
      <c r="Q1265" s="59" t="str">
        <f>MID(Tabla1[[#This Row],[Aplicación]],14,1)</f>
        <v>2</v>
      </c>
      <c r="R1265" s="35" t="s">
        <v>298</v>
      </c>
      <c r="S1265" s="59" t="str">
        <f>MID(Tabla1[[#This Row],[Aplicación]],6,2)</f>
        <v>06</v>
      </c>
      <c r="T1265" s="35" t="str">
        <f>VLOOKUP(Tabla1[[#This Row],[AREA]],Hoja1!A:B,2,FALSE)</f>
        <v>06. Educación, infancia, juventud e igualdad</v>
      </c>
      <c r="U1265" s="35" t="str">
        <f>MID(Tabla1[[#This Row],[Aplicación]],9,4)</f>
        <v>3232</v>
      </c>
      <c r="V1265" s="35" t="str">
        <f>VLOOKUP(Tabla1[[#This Row],[PROGRAMA]],Hoja1!A:B,2,FALSE)</f>
        <v>3232. Conservación y mantenimiento centros educación infantil y primaria</v>
      </c>
      <c r="W1265" s="56" t="str">
        <f>MID(Tabla1[[#This Row],[Aplicación]],14,2)</f>
        <v>21</v>
      </c>
      <c r="X1265" s="56" t="str">
        <f>MID(Tabla1[[#This Row],[Aplicación]],14,6)</f>
        <v>212</v>
      </c>
    </row>
    <row r="1266" spans="1:24" x14ac:dyDescent="0.25">
      <c r="A1266" s="46">
        <v>220230005583</v>
      </c>
      <c r="B1266" s="47" t="s">
        <v>1514</v>
      </c>
      <c r="C1266" s="52">
        <v>44979</v>
      </c>
      <c r="D1266" s="46">
        <v>22023002181</v>
      </c>
      <c r="E1266" s="47" t="s">
        <v>1305</v>
      </c>
      <c r="F1266" s="53">
        <v>213.66</v>
      </c>
      <c r="G1266" s="47" t="s">
        <v>2432</v>
      </c>
      <c r="H1266" s="47" t="s">
        <v>2534</v>
      </c>
      <c r="I1266" s="46" t="s">
        <v>1517</v>
      </c>
      <c r="J1266" s="47" t="s">
        <v>519</v>
      </c>
      <c r="K1266" s="47" t="s">
        <v>519</v>
      </c>
      <c r="L1266" s="47" t="s">
        <v>552</v>
      </c>
      <c r="M1266" s="47" t="s">
        <v>514</v>
      </c>
      <c r="N1266" s="47" t="s">
        <v>515</v>
      </c>
      <c r="O1266" s="45" t="s">
        <v>382</v>
      </c>
      <c r="P1266" s="44" t="s">
        <v>309</v>
      </c>
      <c r="Q1266" s="59" t="str">
        <f>MID(Tabla1[[#This Row],[Aplicación]],14,1)</f>
        <v>2</v>
      </c>
      <c r="R1266" s="35" t="s">
        <v>298</v>
      </c>
      <c r="S1266" s="59" t="str">
        <f>MID(Tabla1[[#This Row],[Aplicación]],6,2)</f>
        <v>06</v>
      </c>
      <c r="T1266" s="35" t="str">
        <f>VLOOKUP(Tabla1[[#This Row],[AREA]],Hoja1!A:B,2,FALSE)</f>
        <v>06. Educación, infancia, juventud e igualdad</v>
      </c>
      <c r="U1266" s="35" t="str">
        <f>MID(Tabla1[[#This Row],[Aplicación]],9,4)</f>
        <v>3232</v>
      </c>
      <c r="V1266" s="35" t="str">
        <f>VLOOKUP(Tabla1[[#This Row],[PROGRAMA]],Hoja1!A:B,2,FALSE)</f>
        <v>3232. Conservación y mantenimiento centros educación infantil y primaria</v>
      </c>
      <c r="W1266" s="56" t="str">
        <f>MID(Tabla1[[#This Row],[Aplicación]],14,2)</f>
        <v>21</v>
      </c>
      <c r="X1266" s="56" t="str">
        <f>MID(Tabla1[[#This Row],[Aplicación]],14,6)</f>
        <v>212</v>
      </c>
    </row>
    <row r="1267" spans="1:24" x14ac:dyDescent="0.25">
      <c r="A1267" s="46">
        <v>220230005571</v>
      </c>
      <c r="B1267" s="47" t="s">
        <v>1514</v>
      </c>
      <c r="C1267" s="52">
        <v>44979</v>
      </c>
      <c r="D1267" s="46">
        <v>22023002181</v>
      </c>
      <c r="E1267" s="47" t="s">
        <v>1305</v>
      </c>
      <c r="F1267" s="53">
        <v>191.81</v>
      </c>
      <c r="G1267" s="47" t="s">
        <v>2432</v>
      </c>
      <c r="H1267" s="47" t="s">
        <v>2535</v>
      </c>
      <c r="I1267" s="46" t="s">
        <v>1517</v>
      </c>
      <c r="J1267" s="47" t="s">
        <v>519</v>
      </c>
      <c r="K1267" s="47" t="s">
        <v>519</v>
      </c>
      <c r="L1267" s="47" t="s">
        <v>552</v>
      </c>
      <c r="M1267" s="47" t="s">
        <v>514</v>
      </c>
      <c r="N1267" s="47" t="s">
        <v>515</v>
      </c>
      <c r="O1267" s="45" t="s">
        <v>382</v>
      </c>
      <c r="P1267" s="44" t="s">
        <v>309</v>
      </c>
      <c r="Q1267" s="59" t="str">
        <f>MID(Tabla1[[#This Row],[Aplicación]],14,1)</f>
        <v>2</v>
      </c>
      <c r="R1267" s="35" t="s">
        <v>298</v>
      </c>
      <c r="S1267" s="59" t="str">
        <f>MID(Tabla1[[#This Row],[Aplicación]],6,2)</f>
        <v>06</v>
      </c>
      <c r="T1267" s="35" t="str">
        <f>VLOOKUP(Tabla1[[#This Row],[AREA]],Hoja1!A:B,2,FALSE)</f>
        <v>06. Educación, infancia, juventud e igualdad</v>
      </c>
      <c r="U1267" s="35" t="str">
        <f>MID(Tabla1[[#This Row],[Aplicación]],9,4)</f>
        <v>3232</v>
      </c>
      <c r="V1267" s="35" t="str">
        <f>VLOOKUP(Tabla1[[#This Row],[PROGRAMA]],Hoja1!A:B,2,FALSE)</f>
        <v>3232. Conservación y mantenimiento centros educación infantil y primaria</v>
      </c>
      <c r="W1267" s="56" t="str">
        <f>MID(Tabla1[[#This Row],[Aplicación]],14,2)</f>
        <v>21</v>
      </c>
      <c r="X1267" s="56" t="str">
        <f>MID(Tabla1[[#This Row],[Aplicación]],14,6)</f>
        <v>212</v>
      </c>
    </row>
    <row r="1268" spans="1:24" x14ac:dyDescent="0.25">
      <c r="A1268" s="46">
        <v>220230005524</v>
      </c>
      <c r="B1268" s="47" t="s">
        <v>1514</v>
      </c>
      <c r="C1268" s="52">
        <v>44979</v>
      </c>
      <c r="D1268" s="46">
        <v>22023001548</v>
      </c>
      <c r="E1268" s="47" t="s">
        <v>2509</v>
      </c>
      <c r="F1268" s="53">
        <v>363</v>
      </c>
      <c r="G1268" s="47" t="s">
        <v>2536</v>
      </c>
      <c r="H1268" s="47" t="s">
        <v>2537</v>
      </c>
      <c r="I1268" s="46" t="s">
        <v>1517</v>
      </c>
      <c r="J1268" s="47" t="s">
        <v>2538</v>
      </c>
      <c r="K1268" s="47" t="s">
        <v>519</v>
      </c>
      <c r="L1268" s="47" t="s">
        <v>552</v>
      </c>
      <c r="M1268" s="47" t="s">
        <v>514</v>
      </c>
      <c r="N1268" s="47" t="s">
        <v>515</v>
      </c>
      <c r="O1268" s="45" t="s">
        <v>382</v>
      </c>
      <c r="P1268" s="44" t="s">
        <v>309</v>
      </c>
      <c r="Q1268" s="59" t="str">
        <f>MID(Tabla1[[#This Row],[Aplicación]],14,1)</f>
        <v>2</v>
      </c>
      <c r="R1268" s="35" t="s">
        <v>298</v>
      </c>
      <c r="S1268" s="59" t="str">
        <f>MID(Tabla1[[#This Row],[Aplicación]],6,2)</f>
        <v>07</v>
      </c>
      <c r="T1268" s="35" t="str">
        <f>VLOOKUP(Tabla1[[#This Row],[AREA]],Hoja1!A:B,2,FALSE)</f>
        <v>07. Medio ambiente y desarrollo sostenible</v>
      </c>
      <c r="U1268" s="35" t="str">
        <f>MID(Tabla1[[#This Row],[Aplicación]],9,4)</f>
        <v>1711</v>
      </c>
      <c r="V1268" s="35" t="str">
        <f>VLOOKUP(Tabla1[[#This Row],[PROGRAMA]],Hoja1!A:B,2,FALSE)</f>
        <v>1711. Parques y jardines</v>
      </c>
      <c r="W1268" s="56" t="str">
        <f>MID(Tabla1[[#This Row],[Aplicación]],14,2)</f>
        <v>22</v>
      </c>
      <c r="X1268" s="56" t="str">
        <f>MID(Tabla1[[#This Row],[Aplicación]],14,6)</f>
        <v>22106</v>
      </c>
    </row>
    <row r="1269" spans="1:24" x14ac:dyDescent="0.25">
      <c r="A1269" s="46">
        <v>220230005534</v>
      </c>
      <c r="B1269" s="47" t="s">
        <v>1514</v>
      </c>
      <c r="C1269" s="52">
        <v>44979</v>
      </c>
      <c r="D1269" s="46">
        <v>22023001547</v>
      </c>
      <c r="E1269" s="47" t="s">
        <v>1982</v>
      </c>
      <c r="F1269" s="53">
        <v>224.49</v>
      </c>
      <c r="G1269" s="47" t="s">
        <v>2434</v>
      </c>
      <c r="H1269" s="47" t="s">
        <v>2539</v>
      </c>
      <c r="I1269" s="46" t="s">
        <v>1517</v>
      </c>
      <c r="J1269" s="47" t="s">
        <v>519</v>
      </c>
      <c r="K1269" s="47" t="s">
        <v>519</v>
      </c>
      <c r="L1269" s="47" t="s">
        <v>552</v>
      </c>
      <c r="M1269" s="47" t="s">
        <v>514</v>
      </c>
      <c r="N1269" s="47" t="s">
        <v>515</v>
      </c>
      <c r="O1269" s="45" t="s">
        <v>382</v>
      </c>
      <c r="P1269" s="44" t="s">
        <v>309</v>
      </c>
      <c r="Q1269" s="59" t="str">
        <f>MID(Tabla1[[#This Row],[Aplicación]],14,1)</f>
        <v>2</v>
      </c>
      <c r="R1269" s="35" t="s">
        <v>298</v>
      </c>
      <c r="S1269" s="59" t="str">
        <f>MID(Tabla1[[#This Row],[Aplicación]],6,2)</f>
        <v>07</v>
      </c>
      <c r="T1269" s="35" t="str">
        <f>VLOOKUP(Tabla1[[#This Row],[AREA]],Hoja1!A:B,2,FALSE)</f>
        <v>07. Medio ambiente y desarrollo sostenible</v>
      </c>
      <c r="U1269" s="35" t="str">
        <f>MID(Tabla1[[#This Row],[Aplicación]],9,4)</f>
        <v>1711</v>
      </c>
      <c r="V1269" s="35" t="str">
        <f>VLOOKUP(Tabla1[[#This Row],[PROGRAMA]],Hoja1!A:B,2,FALSE)</f>
        <v>1711. Parques y jardines</v>
      </c>
      <c r="W1269" s="56" t="str">
        <f>MID(Tabla1[[#This Row],[Aplicación]],14,2)</f>
        <v>21</v>
      </c>
      <c r="X1269" s="56" t="str">
        <f>MID(Tabla1[[#This Row],[Aplicación]],14,6)</f>
        <v>214</v>
      </c>
    </row>
    <row r="1270" spans="1:24" x14ac:dyDescent="0.25">
      <c r="A1270" s="46">
        <v>220230005562</v>
      </c>
      <c r="B1270" s="47" t="s">
        <v>1514</v>
      </c>
      <c r="C1270" s="52">
        <v>44979</v>
      </c>
      <c r="D1270" s="46">
        <v>22023002181</v>
      </c>
      <c r="E1270" s="47" t="s">
        <v>1305</v>
      </c>
      <c r="F1270" s="53">
        <v>63.02</v>
      </c>
      <c r="G1270" s="47" t="s">
        <v>2540</v>
      </c>
      <c r="H1270" s="47" t="s">
        <v>2541</v>
      </c>
      <c r="I1270" s="46" t="s">
        <v>1517</v>
      </c>
      <c r="J1270" s="47" t="s">
        <v>519</v>
      </c>
      <c r="K1270" s="47" t="s">
        <v>519</v>
      </c>
      <c r="L1270" s="47" t="s">
        <v>552</v>
      </c>
      <c r="M1270" s="47" t="s">
        <v>514</v>
      </c>
      <c r="N1270" s="47" t="s">
        <v>515</v>
      </c>
      <c r="O1270" s="45" t="s">
        <v>382</v>
      </c>
      <c r="P1270" s="44" t="s">
        <v>309</v>
      </c>
      <c r="Q1270" s="59" t="str">
        <f>MID(Tabla1[[#This Row],[Aplicación]],14,1)</f>
        <v>2</v>
      </c>
      <c r="R1270" s="35" t="s">
        <v>298</v>
      </c>
      <c r="S1270" s="59" t="str">
        <f>MID(Tabla1[[#This Row],[Aplicación]],6,2)</f>
        <v>06</v>
      </c>
      <c r="T1270" s="35" t="str">
        <f>VLOOKUP(Tabla1[[#This Row],[AREA]],Hoja1!A:B,2,FALSE)</f>
        <v>06. Educación, infancia, juventud e igualdad</v>
      </c>
      <c r="U1270" s="35" t="str">
        <f>MID(Tabla1[[#This Row],[Aplicación]],9,4)</f>
        <v>3232</v>
      </c>
      <c r="V1270" s="35" t="str">
        <f>VLOOKUP(Tabla1[[#This Row],[PROGRAMA]],Hoja1!A:B,2,FALSE)</f>
        <v>3232. Conservación y mantenimiento centros educación infantil y primaria</v>
      </c>
      <c r="W1270" s="56" t="str">
        <f>MID(Tabla1[[#This Row],[Aplicación]],14,2)</f>
        <v>21</v>
      </c>
      <c r="X1270" s="56" t="str">
        <f>MID(Tabla1[[#This Row],[Aplicación]],14,6)</f>
        <v>212</v>
      </c>
    </row>
    <row r="1271" spans="1:24" x14ac:dyDescent="0.25">
      <c r="A1271" s="46">
        <v>220230002023</v>
      </c>
      <c r="B1271" s="47" t="s">
        <v>507</v>
      </c>
      <c r="C1271" s="52">
        <v>44960</v>
      </c>
      <c r="D1271" s="46">
        <v>22023001644</v>
      </c>
      <c r="E1271" s="47" t="s">
        <v>1191</v>
      </c>
      <c r="F1271" s="53">
        <v>1270.58</v>
      </c>
      <c r="G1271" s="47" t="s">
        <v>483</v>
      </c>
      <c r="H1271" s="47" t="s">
        <v>2542</v>
      </c>
      <c r="I1271" s="46" t="s">
        <v>511</v>
      </c>
      <c r="J1271" s="47" t="s">
        <v>519</v>
      </c>
      <c r="K1271" s="47" t="s">
        <v>519</v>
      </c>
      <c r="L1271" s="47" t="s">
        <v>520</v>
      </c>
      <c r="M1271" s="47" t="s">
        <v>976</v>
      </c>
      <c r="N1271" s="47" t="s">
        <v>839</v>
      </c>
      <c r="O1271" s="45" t="s">
        <v>383</v>
      </c>
      <c r="P1271" s="44" t="s">
        <v>309</v>
      </c>
      <c r="Q1271" s="59" t="str">
        <f>MID(Tabla1[[#This Row],[Aplicación]],14,1)</f>
        <v>2</v>
      </c>
      <c r="R1271" s="35" t="s">
        <v>298</v>
      </c>
      <c r="S1271" s="59" t="str">
        <f>MID(Tabla1[[#This Row],[Aplicación]],6,2)</f>
        <v>06</v>
      </c>
      <c r="T1271" s="35" t="str">
        <f>VLOOKUP(Tabla1[[#This Row],[AREA]],Hoja1!A:B,2,FALSE)</f>
        <v>06. Educación, infancia, juventud e igualdad</v>
      </c>
      <c r="U1271" s="35" t="str">
        <f>MID(Tabla1[[#This Row],[Aplicación]],9,4)</f>
        <v>2315</v>
      </c>
      <c r="V1271" s="35" t="str">
        <f>VLOOKUP(Tabla1[[#This Row],[PROGRAMA]],Hoja1!A:B,2,FALSE)</f>
        <v>2315. Políticas de Igualdad e infancia</v>
      </c>
      <c r="W1271" s="56" t="str">
        <f>MID(Tabla1[[#This Row],[Aplicación]],14,2)</f>
        <v>22</v>
      </c>
      <c r="X1271" s="56" t="str">
        <f>MID(Tabla1[[#This Row],[Aplicación]],14,6)</f>
        <v>22611</v>
      </c>
    </row>
    <row r="1272" spans="1:24" x14ac:dyDescent="0.25">
      <c r="A1272" s="46">
        <v>220230001922</v>
      </c>
      <c r="B1272" s="47" t="s">
        <v>507</v>
      </c>
      <c r="C1272" s="52">
        <v>44960</v>
      </c>
      <c r="D1272" s="46">
        <v>22023000256</v>
      </c>
      <c r="E1272" s="47" t="s">
        <v>1191</v>
      </c>
      <c r="F1272" s="53">
        <v>7250.32</v>
      </c>
      <c r="G1272" s="47" t="s">
        <v>40</v>
      </c>
      <c r="H1272" s="47" t="s">
        <v>2543</v>
      </c>
      <c r="I1272" s="46" t="s">
        <v>511</v>
      </c>
      <c r="J1272" s="47" t="s">
        <v>519</v>
      </c>
      <c r="K1272" s="47" t="s">
        <v>519</v>
      </c>
      <c r="L1272" s="47" t="s">
        <v>520</v>
      </c>
      <c r="M1272" s="47" t="s">
        <v>976</v>
      </c>
      <c r="N1272" s="47" t="s">
        <v>839</v>
      </c>
      <c r="O1272" s="45" t="s">
        <v>383</v>
      </c>
      <c r="P1272" s="44" t="s">
        <v>309</v>
      </c>
      <c r="Q1272" s="59" t="str">
        <f>MID(Tabla1[[#This Row],[Aplicación]],14,1)</f>
        <v>2</v>
      </c>
      <c r="R1272" s="35" t="s">
        <v>298</v>
      </c>
      <c r="S1272" s="59" t="str">
        <f>MID(Tabla1[[#This Row],[Aplicación]],6,2)</f>
        <v>06</v>
      </c>
      <c r="T1272" s="35" t="str">
        <f>VLOOKUP(Tabla1[[#This Row],[AREA]],Hoja1!A:B,2,FALSE)</f>
        <v>06. Educación, infancia, juventud e igualdad</v>
      </c>
      <c r="U1272" s="35" t="str">
        <f>MID(Tabla1[[#This Row],[Aplicación]],9,4)</f>
        <v>2315</v>
      </c>
      <c r="V1272" s="35" t="str">
        <f>VLOOKUP(Tabla1[[#This Row],[PROGRAMA]],Hoja1!A:B,2,FALSE)</f>
        <v>2315. Políticas de Igualdad e infancia</v>
      </c>
      <c r="W1272" s="56" t="str">
        <f>MID(Tabla1[[#This Row],[Aplicación]],14,2)</f>
        <v>22</v>
      </c>
      <c r="X1272" s="56" t="str">
        <f>MID(Tabla1[[#This Row],[Aplicación]],14,6)</f>
        <v>22611</v>
      </c>
    </row>
    <row r="1273" spans="1:24" x14ac:dyDescent="0.25">
      <c r="A1273" s="46">
        <v>220230005551</v>
      </c>
      <c r="B1273" s="47" t="s">
        <v>1514</v>
      </c>
      <c r="C1273" s="52">
        <v>44979</v>
      </c>
      <c r="D1273" s="46">
        <v>22023002181</v>
      </c>
      <c r="E1273" s="47" t="s">
        <v>1305</v>
      </c>
      <c r="F1273" s="53">
        <v>1192.6400000000001</v>
      </c>
      <c r="G1273" s="47" t="s">
        <v>2436</v>
      </c>
      <c r="H1273" s="47" t="s">
        <v>2544</v>
      </c>
      <c r="I1273" s="46" t="s">
        <v>1517</v>
      </c>
      <c r="J1273" s="47" t="s">
        <v>2438</v>
      </c>
      <c r="K1273" s="47" t="s">
        <v>1359</v>
      </c>
      <c r="L1273" s="47" t="s">
        <v>552</v>
      </c>
      <c r="M1273" s="47" t="s">
        <v>514</v>
      </c>
      <c r="N1273" s="47" t="s">
        <v>515</v>
      </c>
      <c r="O1273" s="45" t="s">
        <v>382</v>
      </c>
      <c r="P1273" s="44" t="s">
        <v>309</v>
      </c>
      <c r="Q1273" s="59" t="str">
        <f>MID(Tabla1[[#This Row],[Aplicación]],14,1)</f>
        <v>2</v>
      </c>
      <c r="R1273" s="35" t="s">
        <v>298</v>
      </c>
      <c r="S1273" s="59" t="str">
        <f>MID(Tabla1[[#This Row],[Aplicación]],6,2)</f>
        <v>06</v>
      </c>
      <c r="T1273" s="35" t="str">
        <f>VLOOKUP(Tabla1[[#This Row],[AREA]],Hoja1!A:B,2,FALSE)</f>
        <v>06. Educación, infancia, juventud e igualdad</v>
      </c>
      <c r="U1273" s="35" t="str">
        <f>MID(Tabla1[[#This Row],[Aplicación]],9,4)</f>
        <v>3232</v>
      </c>
      <c r="V1273" s="35" t="str">
        <f>VLOOKUP(Tabla1[[#This Row],[PROGRAMA]],Hoja1!A:B,2,FALSE)</f>
        <v>3232. Conservación y mantenimiento centros educación infantil y primaria</v>
      </c>
      <c r="W1273" s="56" t="str">
        <f>MID(Tabla1[[#This Row],[Aplicación]],14,2)</f>
        <v>21</v>
      </c>
      <c r="X1273" s="56" t="str">
        <f>MID(Tabla1[[#This Row],[Aplicación]],14,6)</f>
        <v>212</v>
      </c>
    </row>
    <row r="1274" spans="1:24" x14ac:dyDescent="0.25">
      <c r="A1274" s="46">
        <v>220230002591</v>
      </c>
      <c r="B1274" s="47" t="s">
        <v>507</v>
      </c>
      <c r="C1274" s="52">
        <v>44965</v>
      </c>
      <c r="D1274" s="46">
        <v>22023002175</v>
      </c>
      <c r="E1274" s="47" t="s">
        <v>1191</v>
      </c>
      <c r="F1274" s="53">
        <v>459.8</v>
      </c>
      <c r="G1274" s="47" t="s">
        <v>40</v>
      </c>
      <c r="H1274" s="47" t="s">
        <v>2545</v>
      </c>
      <c r="I1274" s="46" t="s">
        <v>511</v>
      </c>
      <c r="J1274" s="47" t="s">
        <v>519</v>
      </c>
      <c r="K1274" s="47" t="s">
        <v>519</v>
      </c>
      <c r="L1274" s="47" t="s">
        <v>520</v>
      </c>
      <c r="M1274" s="47" t="s">
        <v>976</v>
      </c>
      <c r="N1274" s="47" t="s">
        <v>839</v>
      </c>
      <c r="O1274" s="45" t="s">
        <v>383</v>
      </c>
      <c r="P1274" s="44" t="s">
        <v>309</v>
      </c>
      <c r="Q1274" s="59" t="str">
        <f>MID(Tabla1[[#This Row],[Aplicación]],14,1)</f>
        <v>2</v>
      </c>
      <c r="R1274" s="35" t="s">
        <v>298</v>
      </c>
      <c r="S1274" s="59" t="str">
        <f>MID(Tabla1[[#This Row],[Aplicación]],6,2)</f>
        <v>06</v>
      </c>
      <c r="T1274" s="35" t="str">
        <f>VLOOKUP(Tabla1[[#This Row],[AREA]],Hoja1!A:B,2,FALSE)</f>
        <v>06. Educación, infancia, juventud e igualdad</v>
      </c>
      <c r="U1274" s="35" t="str">
        <f>MID(Tabla1[[#This Row],[Aplicación]],9,4)</f>
        <v>2315</v>
      </c>
      <c r="V1274" s="35" t="str">
        <f>VLOOKUP(Tabla1[[#This Row],[PROGRAMA]],Hoja1!A:B,2,FALSE)</f>
        <v>2315. Políticas de Igualdad e infancia</v>
      </c>
      <c r="W1274" s="56" t="str">
        <f>MID(Tabla1[[#This Row],[Aplicación]],14,2)</f>
        <v>22</v>
      </c>
      <c r="X1274" s="56" t="str">
        <f>MID(Tabla1[[#This Row],[Aplicación]],14,6)</f>
        <v>22611</v>
      </c>
    </row>
    <row r="1275" spans="1:24" x14ac:dyDescent="0.25">
      <c r="A1275" s="46">
        <v>220230005502</v>
      </c>
      <c r="B1275" s="47" t="s">
        <v>1514</v>
      </c>
      <c r="C1275" s="52">
        <v>44979</v>
      </c>
      <c r="D1275" s="46">
        <v>22023001468</v>
      </c>
      <c r="E1275" s="47" t="s">
        <v>1512</v>
      </c>
      <c r="F1275" s="53">
        <v>52.97</v>
      </c>
      <c r="G1275" s="47" t="s">
        <v>2436</v>
      </c>
      <c r="H1275" s="47" t="s">
        <v>2546</v>
      </c>
      <c r="I1275" s="46" t="s">
        <v>1517</v>
      </c>
      <c r="J1275" s="47" t="s">
        <v>2438</v>
      </c>
      <c r="K1275" s="47" t="s">
        <v>1359</v>
      </c>
      <c r="L1275" s="47" t="s">
        <v>552</v>
      </c>
      <c r="M1275" s="47" t="s">
        <v>514</v>
      </c>
      <c r="N1275" s="47" t="s">
        <v>515</v>
      </c>
      <c r="O1275" s="45" t="s">
        <v>382</v>
      </c>
      <c r="P1275" s="44" t="s">
        <v>309</v>
      </c>
      <c r="Q1275" s="59" t="str">
        <f>MID(Tabla1[[#This Row],[Aplicación]],14,1)</f>
        <v>2</v>
      </c>
      <c r="R1275" s="35" t="s">
        <v>298</v>
      </c>
      <c r="S1275" s="59" t="str">
        <f>MID(Tabla1[[#This Row],[Aplicación]],6,2)</f>
        <v>10</v>
      </c>
      <c r="T1275" s="35" t="str">
        <f>VLOOKUP(Tabla1[[#This Row],[AREA]],Hoja1!A:B,2,FALSE)</f>
        <v>10. Servicios sociales y mediación comunitaria</v>
      </c>
      <c r="U1275" s="35" t="str">
        <f>MID(Tabla1[[#This Row],[Aplicación]],9,4)</f>
        <v>2312</v>
      </c>
      <c r="V1275" s="35" t="str">
        <f>VLOOKUP(Tabla1[[#This Row],[PROGRAMA]],Hoja1!A:B,2,FALSE)</f>
        <v>2312. Iniciativas sociales</v>
      </c>
      <c r="W1275" s="56" t="str">
        <f>MID(Tabla1[[#This Row],[Aplicación]],14,2)</f>
        <v>21</v>
      </c>
      <c r="X1275" s="56" t="str">
        <f>MID(Tabla1[[#This Row],[Aplicación]],14,6)</f>
        <v>212</v>
      </c>
    </row>
    <row r="1276" spans="1:24" x14ac:dyDescent="0.25">
      <c r="A1276" s="46">
        <v>220230007173</v>
      </c>
      <c r="B1276" s="47" t="s">
        <v>507</v>
      </c>
      <c r="C1276" s="52">
        <v>44987</v>
      </c>
      <c r="D1276" s="46">
        <v>22023003002</v>
      </c>
      <c r="E1276" s="47" t="s">
        <v>2547</v>
      </c>
      <c r="F1276" s="53">
        <v>907.5</v>
      </c>
      <c r="G1276" s="47" t="s">
        <v>40</v>
      </c>
      <c r="H1276" s="47" t="s">
        <v>2548</v>
      </c>
      <c r="I1276" s="46" t="s">
        <v>511</v>
      </c>
      <c r="J1276" s="47" t="s">
        <v>519</v>
      </c>
      <c r="K1276" s="47" t="s">
        <v>519</v>
      </c>
      <c r="L1276" s="47" t="s">
        <v>520</v>
      </c>
      <c r="M1276" s="47" t="s">
        <v>976</v>
      </c>
      <c r="N1276" s="47" t="s">
        <v>839</v>
      </c>
      <c r="O1276" s="45" t="s">
        <v>383</v>
      </c>
      <c r="P1276" s="44" t="s">
        <v>309</v>
      </c>
      <c r="Q1276" s="59" t="str">
        <f>MID(Tabla1[[#This Row],[Aplicación]],14,1)</f>
        <v>2</v>
      </c>
      <c r="R1276" s="35" t="s">
        <v>298</v>
      </c>
      <c r="S1276" s="59" t="str">
        <f>MID(Tabla1[[#This Row],[Aplicación]],6,2)</f>
        <v>06</v>
      </c>
      <c r="T1276" s="35" t="str">
        <f>VLOOKUP(Tabla1[[#This Row],[AREA]],Hoja1!A:B,2,FALSE)</f>
        <v>06. Educación, infancia, juventud e igualdad</v>
      </c>
      <c r="U1276" s="35" t="str">
        <f>MID(Tabla1[[#This Row],[Aplicación]],9,4)</f>
        <v>3231</v>
      </c>
      <c r="V1276" s="35" t="str">
        <f>VLOOKUP(Tabla1[[#This Row],[PROGRAMA]],Hoja1!A:B,2,FALSE)</f>
        <v>3231. Escuelas infantiles</v>
      </c>
      <c r="W1276" s="56" t="str">
        <f>MID(Tabla1[[#This Row],[Aplicación]],14,2)</f>
        <v>22</v>
      </c>
      <c r="X1276" s="56" t="str">
        <f>MID(Tabla1[[#This Row],[Aplicación]],14,6)</f>
        <v>22602</v>
      </c>
    </row>
    <row r="1277" spans="1:24" x14ac:dyDescent="0.25">
      <c r="A1277" s="46">
        <v>220230005498</v>
      </c>
      <c r="B1277" s="47" t="s">
        <v>1514</v>
      </c>
      <c r="C1277" s="52">
        <v>44979</v>
      </c>
      <c r="D1277" s="46">
        <v>22023002053</v>
      </c>
      <c r="E1277" s="47" t="s">
        <v>2107</v>
      </c>
      <c r="F1277" s="53">
        <v>576.23</v>
      </c>
      <c r="G1277" s="47" t="s">
        <v>2120</v>
      </c>
      <c r="H1277" s="47" t="s">
        <v>2549</v>
      </c>
      <c r="I1277" s="46" t="s">
        <v>1517</v>
      </c>
      <c r="J1277" s="47" t="s">
        <v>519</v>
      </c>
      <c r="K1277" s="47" t="s">
        <v>519</v>
      </c>
      <c r="L1277" s="47" t="s">
        <v>520</v>
      </c>
      <c r="M1277" s="47" t="s">
        <v>514</v>
      </c>
      <c r="N1277" s="47" t="s">
        <v>515</v>
      </c>
      <c r="O1277" s="45" t="s">
        <v>382</v>
      </c>
      <c r="P1277" s="44" t="s">
        <v>309</v>
      </c>
      <c r="Q1277" s="59" t="str">
        <f>MID(Tabla1[[#This Row],[Aplicación]],14,1)</f>
        <v>2</v>
      </c>
      <c r="R1277" s="35" t="s">
        <v>298</v>
      </c>
      <c r="S1277" s="59" t="str">
        <f>MID(Tabla1[[#This Row],[Aplicación]],6,2)</f>
        <v>07</v>
      </c>
      <c r="T1277" s="35" t="str">
        <f>VLOOKUP(Tabla1[[#This Row],[AREA]],Hoja1!A:B,2,FALSE)</f>
        <v>07. Medio ambiente y desarrollo sostenible</v>
      </c>
      <c r="U1277" s="35" t="str">
        <f>MID(Tabla1[[#This Row],[Aplicación]],9,4)</f>
        <v>1711</v>
      </c>
      <c r="V1277" s="35" t="str">
        <f>VLOOKUP(Tabla1[[#This Row],[PROGRAMA]],Hoja1!A:B,2,FALSE)</f>
        <v>1711. Parques y jardines</v>
      </c>
      <c r="W1277" s="56" t="str">
        <f>MID(Tabla1[[#This Row],[Aplicación]],14,2)</f>
        <v>21</v>
      </c>
      <c r="X1277" s="56" t="str">
        <f>MID(Tabla1[[#This Row],[Aplicación]],14,6)</f>
        <v>213</v>
      </c>
    </row>
    <row r="1278" spans="1:24" x14ac:dyDescent="0.25">
      <c r="A1278" s="55">
        <v>220230011681</v>
      </c>
      <c r="B1278" s="47" t="s">
        <v>507</v>
      </c>
      <c r="C1278" s="52">
        <v>45013</v>
      </c>
      <c r="D1278" s="46">
        <v>22023003509</v>
      </c>
      <c r="E1278" s="47" t="s">
        <v>1285</v>
      </c>
      <c r="F1278" s="53">
        <v>78.17</v>
      </c>
      <c r="G1278" s="47" t="s">
        <v>406</v>
      </c>
      <c r="H1278" s="47" t="s">
        <v>2550</v>
      </c>
      <c r="I1278" s="46" t="s">
        <v>511</v>
      </c>
      <c r="J1278" s="47" t="s">
        <v>519</v>
      </c>
      <c r="K1278" s="47" t="s">
        <v>519</v>
      </c>
      <c r="L1278" s="47" t="s">
        <v>520</v>
      </c>
      <c r="M1278" s="47" t="s">
        <v>976</v>
      </c>
      <c r="N1278" s="47" t="s">
        <v>839</v>
      </c>
      <c r="O1278" s="54" t="s">
        <v>383</v>
      </c>
      <c r="P1278" s="44" t="s">
        <v>309</v>
      </c>
      <c r="Q1278" s="59" t="str">
        <f>MID(Tabla1[[#This Row],[Aplicación]],14,1)</f>
        <v>2</v>
      </c>
      <c r="R1278" s="35" t="s">
        <v>298</v>
      </c>
      <c r="S1278" s="59" t="str">
        <f>MID(Tabla1[[#This Row],[Aplicación]],6,2)</f>
        <v>11</v>
      </c>
      <c r="T1278" s="35" t="str">
        <f>VLOOKUP(Tabla1[[#This Row],[AREA]],Hoja1!A:B,2,FALSE)</f>
        <v>11. Salud pública y seguridad ciudadana</v>
      </c>
      <c r="U1278" s="35" t="str">
        <f>MID(Tabla1[[#This Row],[Aplicación]],9,4)</f>
        <v>1361</v>
      </c>
      <c r="V1278" s="35" t="str">
        <f>VLOOKUP(Tabla1[[#This Row],[PROGRAMA]],Hoja1!A:B,2,FALSE)</f>
        <v>1361. Prevención y extinción de incencios</v>
      </c>
      <c r="W1278" s="56" t="str">
        <f>MID(Tabla1[[#This Row],[Aplicación]],14,2)</f>
        <v>22</v>
      </c>
      <c r="X1278" s="56" t="str">
        <f>MID(Tabla1[[#This Row],[Aplicación]],14,6)</f>
        <v>22199</v>
      </c>
    </row>
    <row r="1279" spans="1:24" x14ac:dyDescent="0.25">
      <c r="A1279" s="46">
        <v>220230005404</v>
      </c>
      <c r="B1279" s="47" t="s">
        <v>507</v>
      </c>
      <c r="C1279" s="52">
        <v>44979</v>
      </c>
      <c r="D1279" s="46">
        <v>22023002584</v>
      </c>
      <c r="E1279" s="47" t="s">
        <v>1191</v>
      </c>
      <c r="F1279" s="53">
        <v>1800</v>
      </c>
      <c r="G1279" s="47" t="s">
        <v>2551</v>
      </c>
      <c r="H1279" s="47" t="s">
        <v>2552</v>
      </c>
      <c r="I1279" s="46" t="s">
        <v>511</v>
      </c>
      <c r="J1279" s="47" t="s">
        <v>573</v>
      </c>
      <c r="K1279" s="47" t="s">
        <v>573</v>
      </c>
      <c r="L1279" s="47" t="s">
        <v>520</v>
      </c>
      <c r="M1279" s="47" t="s">
        <v>976</v>
      </c>
      <c r="N1279" s="47" t="s">
        <v>839</v>
      </c>
      <c r="O1279" s="45" t="s">
        <v>383</v>
      </c>
      <c r="P1279" s="44" t="s">
        <v>309</v>
      </c>
      <c r="Q1279" s="59" t="str">
        <f>MID(Tabla1[[#This Row],[Aplicación]],14,1)</f>
        <v>2</v>
      </c>
      <c r="R1279" s="35" t="s">
        <v>298</v>
      </c>
      <c r="S1279" s="59" t="str">
        <f>MID(Tabla1[[#This Row],[Aplicación]],6,2)</f>
        <v>06</v>
      </c>
      <c r="T1279" s="35" t="str">
        <f>VLOOKUP(Tabla1[[#This Row],[AREA]],Hoja1!A:B,2,FALSE)</f>
        <v>06. Educación, infancia, juventud e igualdad</v>
      </c>
      <c r="U1279" s="35" t="str">
        <f>MID(Tabla1[[#This Row],[Aplicación]],9,4)</f>
        <v>2315</v>
      </c>
      <c r="V1279" s="35" t="str">
        <f>VLOOKUP(Tabla1[[#This Row],[PROGRAMA]],Hoja1!A:B,2,FALSE)</f>
        <v>2315. Políticas de Igualdad e infancia</v>
      </c>
      <c r="W1279" s="56" t="str">
        <f>MID(Tabla1[[#This Row],[Aplicación]],14,2)</f>
        <v>22</v>
      </c>
      <c r="X1279" s="56" t="str">
        <f>MID(Tabla1[[#This Row],[Aplicación]],14,6)</f>
        <v>22611</v>
      </c>
    </row>
    <row r="1280" spans="1:24" x14ac:dyDescent="0.25">
      <c r="A1280" s="46">
        <v>220230005401</v>
      </c>
      <c r="B1280" s="47" t="s">
        <v>507</v>
      </c>
      <c r="C1280" s="52">
        <v>44979</v>
      </c>
      <c r="D1280" s="46">
        <v>22023002537</v>
      </c>
      <c r="E1280" s="47" t="s">
        <v>2553</v>
      </c>
      <c r="F1280" s="53">
        <v>676.36</v>
      </c>
      <c r="G1280" s="47" t="s">
        <v>317</v>
      </c>
      <c r="H1280" s="47" t="s">
        <v>2554</v>
      </c>
      <c r="I1280" s="46" t="s">
        <v>511</v>
      </c>
      <c r="J1280" s="47" t="s">
        <v>519</v>
      </c>
      <c r="K1280" s="47" t="s">
        <v>519</v>
      </c>
      <c r="L1280" s="47" t="s">
        <v>552</v>
      </c>
      <c r="M1280" s="47" t="s">
        <v>976</v>
      </c>
      <c r="N1280" s="47" t="s">
        <v>839</v>
      </c>
      <c r="O1280" s="45" t="s">
        <v>383</v>
      </c>
      <c r="P1280" s="44" t="s">
        <v>309</v>
      </c>
      <c r="Q1280" s="59" t="str">
        <f>MID(Tabla1[[#This Row],[Aplicación]],14,1)</f>
        <v>2</v>
      </c>
      <c r="R1280" s="35" t="s">
        <v>298</v>
      </c>
      <c r="S1280" s="59" t="str">
        <f>MID(Tabla1[[#This Row],[Aplicación]],6,2)</f>
        <v>05</v>
      </c>
      <c r="T1280" s="35" t="str">
        <f>VLOOKUP(Tabla1[[#This Row],[AREA]],Hoja1!A:B,2,FALSE)</f>
        <v>05. Innovación, desarrollo económico, empleo y comercio</v>
      </c>
      <c r="U1280" s="35" t="str">
        <f>MID(Tabla1[[#This Row],[Aplicación]],9,4)</f>
        <v>4331</v>
      </c>
      <c r="V1280" s="35" t="str">
        <f>VLOOKUP(Tabla1[[#This Row],[PROGRAMA]],Hoja1!A:B,2,FALSE)</f>
        <v>4331. Desarrollo empresarial</v>
      </c>
      <c r="W1280" s="56" t="str">
        <f>MID(Tabla1[[#This Row],[Aplicación]],14,2)</f>
        <v>20</v>
      </c>
      <c r="X1280" s="56" t="str">
        <f>MID(Tabla1[[#This Row],[Aplicación]],14,6)</f>
        <v>204</v>
      </c>
    </row>
    <row r="1281" spans="1:24" x14ac:dyDescent="0.25">
      <c r="A1281" s="46">
        <v>220219000639</v>
      </c>
      <c r="B1281" s="47" t="s">
        <v>507</v>
      </c>
      <c r="C1281" s="52">
        <v>44927</v>
      </c>
      <c r="D1281" s="46">
        <v>22023003318</v>
      </c>
      <c r="E1281" s="47" t="s">
        <v>2555</v>
      </c>
      <c r="F1281" s="53">
        <v>15617.28</v>
      </c>
      <c r="G1281" s="47" t="s">
        <v>2556</v>
      </c>
      <c r="H1281" s="47" t="s">
        <v>2557</v>
      </c>
      <c r="I1281" s="46" t="s">
        <v>511</v>
      </c>
      <c r="J1281" s="47" t="s">
        <v>1487</v>
      </c>
      <c r="K1281" s="47" t="s">
        <v>519</v>
      </c>
      <c r="L1281" s="47" t="s">
        <v>520</v>
      </c>
      <c r="M1281" s="47" t="s">
        <v>514</v>
      </c>
      <c r="N1281" s="47" t="s">
        <v>515</v>
      </c>
      <c r="O1281" s="45" t="s">
        <v>371</v>
      </c>
      <c r="P1281" s="44" t="s">
        <v>309</v>
      </c>
      <c r="Q1281" s="59" t="str">
        <f>MID(Tabla1[[#This Row],[Aplicación]],14,1)</f>
        <v>2</v>
      </c>
      <c r="R1281" s="35" t="s">
        <v>298</v>
      </c>
      <c r="S1281" s="59" t="str">
        <f>MID(Tabla1[[#This Row],[Aplicación]],6,2)</f>
        <v>06</v>
      </c>
      <c r="T1281" s="35" t="str">
        <f>VLOOKUP(Tabla1[[#This Row],[AREA]],Hoja1!A:B,2,FALSE)</f>
        <v>06. Educación, infancia, juventud e igualdad</v>
      </c>
      <c r="U1281" s="35" t="str">
        <f>MID(Tabla1[[#This Row],[Aplicación]],9,4)</f>
        <v>2315</v>
      </c>
      <c r="V1281" s="35" t="str">
        <f>VLOOKUP(Tabla1[[#This Row],[PROGRAMA]],Hoja1!A:B,2,FALSE)</f>
        <v>2315. Políticas de Igualdad e infancia</v>
      </c>
      <c r="W1281" s="56" t="str">
        <f>MID(Tabla1[[#This Row],[Aplicación]],14,2)</f>
        <v>22</v>
      </c>
      <c r="X1281" s="56" t="str">
        <f>MID(Tabla1[[#This Row],[Aplicación]],14,6)</f>
        <v>22619</v>
      </c>
    </row>
    <row r="1282" spans="1:24" x14ac:dyDescent="0.25">
      <c r="A1282" s="46">
        <v>220230005930</v>
      </c>
      <c r="B1282" s="47" t="s">
        <v>507</v>
      </c>
      <c r="C1282" s="52">
        <v>44980</v>
      </c>
      <c r="D1282" s="46">
        <v>22023002750</v>
      </c>
      <c r="E1282" s="47" t="s">
        <v>2558</v>
      </c>
      <c r="F1282" s="53">
        <v>1100</v>
      </c>
      <c r="G1282" s="47" t="s">
        <v>116</v>
      </c>
      <c r="H1282" s="47" t="s">
        <v>2559</v>
      </c>
      <c r="I1282" s="46" t="s">
        <v>511</v>
      </c>
      <c r="J1282" s="47" t="s">
        <v>519</v>
      </c>
      <c r="K1282" s="47" t="s">
        <v>519</v>
      </c>
      <c r="L1282" s="47" t="s">
        <v>552</v>
      </c>
      <c r="M1282" s="47" t="s">
        <v>976</v>
      </c>
      <c r="N1282" s="47" t="s">
        <v>839</v>
      </c>
      <c r="O1282" s="45" t="s">
        <v>383</v>
      </c>
      <c r="P1282" s="44" t="s">
        <v>309</v>
      </c>
      <c r="Q1282" s="59" t="str">
        <f>MID(Tabla1[[#This Row],[Aplicación]],14,1)</f>
        <v>2</v>
      </c>
      <c r="R1282" s="35" t="s">
        <v>298</v>
      </c>
      <c r="S1282" s="59" t="str">
        <f>MID(Tabla1[[#This Row],[Aplicación]],6,2)</f>
        <v>08</v>
      </c>
      <c r="T1282" s="35" t="str">
        <f>VLOOKUP(Tabla1[[#This Row],[AREA]],Hoja1!A:B,2,FALSE)</f>
        <v>08. Movilidad y espacio urbano</v>
      </c>
      <c r="U1282" s="35" t="str">
        <f>MID(Tabla1[[#This Row],[Aplicación]],9,4)</f>
        <v>1532</v>
      </c>
      <c r="V1282" s="35" t="str">
        <f>VLOOKUP(Tabla1[[#This Row],[PROGRAMA]],Hoja1!A:B,2,FALSE)</f>
        <v>1532. Pavimentación vias públicas y otros servicios urbanísticos</v>
      </c>
      <c r="W1282" s="56" t="str">
        <f>MID(Tabla1[[#This Row],[Aplicación]],14,2)</f>
        <v>22</v>
      </c>
      <c r="X1282" s="56" t="str">
        <f>MID(Tabla1[[#This Row],[Aplicación]],14,6)</f>
        <v>22199</v>
      </c>
    </row>
    <row r="1283" spans="1:24" x14ac:dyDescent="0.25">
      <c r="A1283" s="46">
        <v>220230005900</v>
      </c>
      <c r="B1283" s="47" t="s">
        <v>507</v>
      </c>
      <c r="C1283" s="52">
        <v>44980</v>
      </c>
      <c r="D1283" s="46">
        <v>22023002688</v>
      </c>
      <c r="E1283" s="47" t="s">
        <v>1191</v>
      </c>
      <c r="F1283" s="53">
        <v>300</v>
      </c>
      <c r="G1283" s="47" t="s">
        <v>2560</v>
      </c>
      <c r="H1283" s="47" t="s">
        <v>2561</v>
      </c>
      <c r="I1283" s="46" t="s">
        <v>511</v>
      </c>
      <c r="J1283" s="47" t="s">
        <v>519</v>
      </c>
      <c r="K1283" s="47" t="s">
        <v>519</v>
      </c>
      <c r="L1283" s="47" t="s">
        <v>520</v>
      </c>
      <c r="M1283" s="47" t="s">
        <v>976</v>
      </c>
      <c r="N1283" s="47" t="s">
        <v>839</v>
      </c>
      <c r="O1283" s="45" t="s">
        <v>383</v>
      </c>
      <c r="P1283" s="44" t="s">
        <v>309</v>
      </c>
      <c r="Q1283" s="59" t="str">
        <f>MID(Tabla1[[#This Row],[Aplicación]],14,1)</f>
        <v>2</v>
      </c>
      <c r="R1283" s="35" t="s">
        <v>298</v>
      </c>
      <c r="S1283" s="59" t="str">
        <f>MID(Tabla1[[#This Row],[Aplicación]],6,2)</f>
        <v>06</v>
      </c>
      <c r="T1283" s="35" t="str">
        <f>VLOOKUP(Tabla1[[#This Row],[AREA]],Hoja1!A:B,2,FALSE)</f>
        <v>06. Educación, infancia, juventud e igualdad</v>
      </c>
      <c r="U1283" s="35" t="str">
        <f>MID(Tabla1[[#This Row],[Aplicación]],9,4)</f>
        <v>2315</v>
      </c>
      <c r="V1283" s="35" t="str">
        <f>VLOOKUP(Tabla1[[#This Row],[PROGRAMA]],Hoja1!A:B,2,FALSE)</f>
        <v>2315. Políticas de Igualdad e infancia</v>
      </c>
      <c r="W1283" s="56" t="str">
        <f>MID(Tabla1[[#This Row],[Aplicación]],14,2)</f>
        <v>22</v>
      </c>
      <c r="X1283" s="56" t="str">
        <f>MID(Tabla1[[#This Row],[Aplicación]],14,6)</f>
        <v>22611</v>
      </c>
    </row>
    <row r="1284" spans="1:24" x14ac:dyDescent="0.25">
      <c r="A1284" s="46">
        <v>220230005901</v>
      </c>
      <c r="B1284" s="47" t="s">
        <v>507</v>
      </c>
      <c r="C1284" s="52">
        <v>44980</v>
      </c>
      <c r="D1284" s="46">
        <v>22023002691</v>
      </c>
      <c r="E1284" s="47" t="s">
        <v>2562</v>
      </c>
      <c r="F1284" s="53">
        <v>2500</v>
      </c>
      <c r="G1284" s="47" t="s">
        <v>419</v>
      </c>
      <c r="H1284" s="47" t="s">
        <v>2563</v>
      </c>
      <c r="I1284" s="46" t="s">
        <v>511</v>
      </c>
      <c r="J1284" s="47" t="s">
        <v>519</v>
      </c>
      <c r="K1284" s="47" t="s">
        <v>519</v>
      </c>
      <c r="L1284" s="47" t="s">
        <v>520</v>
      </c>
      <c r="M1284" s="47" t="s">
        <v>976</v>
      </c>
      <c r="N1284" s="47" t="s">
        <v>839</v>
      </c>
      <c r="O1284" s="45" t="s">
        <v>383</v>
      </c>
      <c r="P1284" s="44" t="s">
        <v>309</v>
      </c>
      <c r="Q1284" s="59" t="str">
        <f>MID(Tabla1[[#This Row],[Aplicación]],14,1)</f>
        <v>2</v>
      </c>
      <c r="R1284" s="35" t="s">
        <v>298</v>
      </c>
      <c r="S1284" s="59" t="str">
        <f>MID(Tabla1[[#This Row],[Aplicación]],6,2)</f>
        <v>06</v>
      </c>
      <c r="T1284" s="35" t="str">
        <f>VLOOKUP(Tabla1[[#This Row],[AREA]],Hoja1!A:B,2,FALSE)</f>
        <v>06. Educación, infancia, juventud e igualdad</v>
      </c>
      <c r="U1284" s="35" t="str">
        <f>MID(Tabla1[[#This Row],[Aplicación]],9,4)</f>
        <v>2315</v>
      </c>
      <c r="V1284" s="35" t="str">
        <f>VLOOKUP(Tabla1[[#This Row],[PROGRAMA]],Hoja1!A:B,2,FALSE)</f>
        <v>2315. Políticas de Igualdad e infancia</v>
      </c>
      <c r="W1284" s="56" t="str">
        <f>MID(Tabla1[[#This Row],[Aplicación]],14,2)</f>
        <v>22</v>
      </c>
      <c r="X1284" s="56" t="str">
        <f>MID(Tabla1[[#This Row],[Aplicación]],14,6)</f>
        <v>22699</v>
      </c>
    </row>
    <row r="1285" spans="1:24" x14ac:dyDescent="0.25">
      <c r="A1285" s="46">
        <v>220230005911</v>
      </c>
      <c r="B1285" s="47" t="s">
        <v>507</v>
      </c>
      <c r="C1285" s="52">
        <v>44980</v>
      </c>
      <c r="D1285" s="46">
        <v>22023002583</v>
      </c>
      <c r="E1285" s="47" t="s">
        <v>1191</v>
      </c>
      <c r="F1285" s="53">
        <v>1000</v>
      </c>
      <c r="G1285" s="47" t="s">
        <v>2564</v>
      </c>
      <c r="H1285" s="47" t="s">
        <v>2565</v>
      </c>
      <c r="I1285" s="46" t="s">
        <v>511</v>
      </c>
      <c r="J1285" s="47" t="s">
        <v>519</v>
      </c>
      <c r="K1285" s="47" t="s">
        <v>519</v>
      </c>
      <c r="L1285" s="47" t="s">
        <v>520</v>
      </c>
      <c r="M1285" s="47" t="s">
        <v>976</v>
      </c>
      <c r="N1285" s="47" t="s">
        <v>839</v>
      </c>
      <c r="O1285" s="45" t="s">
        <v>383</v>
      </c>
      <c r="P1285" s="44" t="s">
        <v>309</v>
      </c>
      <c r="Q1285" s="59" t="str">
        <f>MID(Tabla1[[#This Row],[Aplicación]],14,1)</f>
        <v>2</v>
      </c>
      <c r="R1285" s="35" t="s">
        <v>298</v>
      </c>
      <c r="S1285" s="59" t="str">
        <f>MID(Tabla1[[#This Row],[Aplicación]],6,2)</f>
        <v>06</v>
      </c>
      <c r="T1285" s="35" t="str">
        <f>VLOOKUP(Tabla1[[#This Row],[AREA]],Hoja1!A:B,2,FALSE)</f>
        <v>06. Educación, infancia, juventud e igualdad</v>
      </c>
      <c r="U1285" s="35" t="str">
        <f>MID(Tabla1[[#This Row],[Aplicación]],9,4)</f>
        <v>2315</v>
      </c>
      <c r="V1285" s="35" t="str">
        <f>VLOOKUP(Tabla1[[#This Row],[PROGRAMA]],Hoja1!A:B,2,FALSE)</f>
        <v>2315. Políticas de Igualdad e infancia</v>
      </c>
      <c r="W1285" s="56" t="str">
        <f>MID(Tabla1[[#This Row],[Aplicación]],14,2)</f>
        <v>22</v>
      </c>
      <c r="X1285" s="56" t="str">
        <f>MID(Tabla1[[#This Row],[Aplicación]],14,6)</f>
        <v>22611</v>
      </c>
    </row>
    <row r="1286" spans="1:24" x14ac:dyDescent="0.25">
      <c r="A1286" s="46">
        <v>220230005906</v>
      </c>
      <c r="B1286" s="47" t="s">
        <v>507</v>
      </c>
      <c r="C1286" s="52">
        <v>44980</v>
      </c>
      <c r="D1286" s="46">
        <v>22023002696</v>
      </c>
      <c r="E1286" s="47" t="s">
        <v>2566</v>
      </c>
      <c r="F1286" s="53">
        <v>218.58</v>
      </c>
      <c r="G1286" s="47" t="s">
        <v>21</v>
      </c>
      <c r="H1286" s="47" t="s">
        <v>2567</v>
      </c>
      <c r="I1286" s="46" t="s">
        <v>511</v>
      </c>
      <c r="J1286" s="47" t="s">
        <v>519</v>
      </c>
      <c r="K1286" s="47" t="s">
        <v>519</v>
      </c>
      <c r="L1286" s="47" t="s">
        <v>520</v>
      </c>
      <c r="M1286" s="47" t="s">
        <v>976</v>
      </c>
      <c r="N1286" s="47" t="s">
        <v>839</v>
      </c>
      <c r="O1286" s="45" t="s">
        <v>383</v>
      </c>
      <c r="P1286" s="44" t="s">
        <v>309</v>
      </c>
      <c r="Q1286" s="59" t="str">
        <f>MID(Tabla1[[#This Row],[Aplicación]],14,1)</f>
        <v>2</v>
      </c>
      <c r="R1286" s="35" t="s">
        <v>298</v>
      </c>
      <c r="S1286" s="59" t="str">
        <f>MID(Tabla1[[#This Row],[Aplicación]],6,2)</f>
        <v>02</v>
      </c>
      <c r="T1286" s="35" t="str">
        <f>VLOOKUP(Tabla1[[#This Row],[AREA]],Hoja1!A:B,2,FALSE)</f>
        <v>02. Planeamiento urbanístico y vivienda</v>
      </c>
      <c r="U1286" s="35" t="str">
        <f>MID(Tabla1[[#This Row],[Aplicación]],9,4)</f>
        <v>1511</v>
      </c>
      <c r="V1286" s="35" t="str">
        <f>VLOOKUP(Tabla1[[#This Row],[PROGRAMA]],Hoja1!A:B,2,FALSE)</f>
        <v>1511. Planficación y gestión del urbanismo</v>
      </c>
      <c r="W1286" s="56" t="str">
        <f>MID(Tabla1[[#This Row],[Aplicación]],14,2)</f>
        <v>22</v>
      </c>
      <c r="X1286" s="56" t="str">
        <f>MID(Tabla1[[#This Row],[Aplicación]],14,6)</f>
        <v>22699</v>
      </c>
    </row>
    <row r="1287" spans="1:24" x14ac:dyDescent="0.25">
      <c r="A1287" s="46">
        <v>220230005915</v>
      </c>
      <c r="B1287" s="47" t="s">
        <v>507</v>
      </c>
      <c r="C1287" s="52">
        <v>44980</v>
      </c>
      <c r="D1287" s="46">
        <v>22023002593</v>
      </c>
      <c r="E1287" s="47" t="s">
        <v>1191</v>
      </c>
      <c r="F1287" s="53">
        <v>1000</v>
      </c>
      <c r="G1287" s="47" t="s">
        <v>2568</v>
      </c>
      <c r="H1287" s="47" t="s">
        <v>2569</v>
      </c>
      <c r="I1287" s="46" t="s">
        <v>511</v>
      </c>
      <c r="J1287" s="47" t="s">
        <v>2570</v>
      </c>
      <c r="K1287" s="47" t="s">
        <v>519</v>
      </c>
      <c r="L1287" s="47" t="s">
        <v>520</v>
      </c>
      <c r="M1287" s="47" t="s">
        <v>976</v>
      </c>
      <c r="N1287" s="47" t="s">
        <v>839</v>
      </c>
      <c r="O1287" s="45" t="s">
        <v>383</v>
      </c>
      <c r="P1287" s="44" t="s">
        <v>309</v>
      </c>
      <c r="Q1287" s="59" t="str">
        <f>MID(Tabla1[[#This Row],[Aplicación]],14,1)</f>
        <v>2</v>
      </c>
      <c r="R1287" s="35" t="s">
        <v>298</v>
      </c>
      <c r="S1287" s="59" t="str">
        <f>MID(Tabla1[[#This Row],[Aplicación]],6,2)</f>
        <v>06</v>
      </c>
      <c r="T1287" s="35" t="str">
        <f>VLOOKUP(Tabla1[[#This Row],[AREA]],Hoja1!A:B,2,FALSE)</f>
        <v>06. Educación, infancia, juventud e igualdad</v>
      </c>
      <c r="U1287" s="35" t="str">
        <f>MID(Tabla1[[#This Row],[Aplicación]],9,4)</f>
        <v>2315</v>
      </c>
      <c r="V1287" s="35" t="str">
        <f>VLOOKUP(Tabla1[[#This Row],[PROGRAMA]],Hoja1!A:B,2,FALSE)</f>
        <v>2315. Políticas de Igualdad e infancia</v>
      </c>
      <c r="W1287" s="56" t="str">
        <f>MID(Tabla1[[#This Row],[Aplicación]],14,2)</f>
        <v>22</v>
      </c>
      <c r="X1287" s="56" t="str">
        <f>MID(Tabla1[[#This Row],[Aplicación]],14,6)</f>
        <v>22611</v>
      </c>
    </row>
    <row r="1288" spans="1:24" x14ac:dyDescent="0.25">
      <c r="A1288" s="46">
        <v>220230006135</v>
      </c>
      <c r="B1288" s="47" t="s">
        <v>1514</v>
      </c>
      <c r="C1288" s="52">
        <v>44980</v>
      </c>
      <c r="D1288" s="46">
        <v>22023002181</v>
      </c>
      <c r="E1288" s="47" t="s">
        <v>1305</v>
      </c>
      <c r="F1288" s="53">
        <v>29.37</v>
      </c>
      <c r="G1288" s="47" t="s">
        <v>1979</v>
      </c>
      <c r="H1288" s="47" t="s">
        <v>2571</v>
      </c>
      <c r="I1288" s="46" t="s">
        <v>1517</v>
      </c>
      <c r="J1288" s="47" t="s">
        <v>519</v>
      </c>
      <c r="K1288" s="47" t="s">
        <v>519</v>
      </c>
      <c r="L1288" s="47" t="s">
        <v>552</v>
      </c>
      <c r="M1288" s="47" t="s">
        <v>514</v>
      </c>
      <c r="N1288" s="47" t="s">
        <v>515</v>
      </c>
      <c r="O1288" s="45" t="s">
        <v>382</v>
      </c>
      <c r="P1288" s="44" t="s">
        <v>309</v>
      </c>
      <c r="Q1288" s="59" t="str">
        <f>MID(Tabla1[[#This Row],[Aplicación]],14,1)</f>
        <v>2</v>
      </c>
      <c r="R1288" s="35" t="s">
        <v>298</v>
      </c>
      <c r="S1288" s="59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35" t="str">
        <f>MID(Tabla1[[#This Row],[Aplicación]],9,4)</f>
        <v>3232</v>
      </c>
      <c r="V1288" s="35" t="str">
        <f>VLOOKUP(Tabla1[[#This Row],[PROGRAMA]],Hoja1!A:B,2,FALSE)</f>
        <v>3232. Conservación y mantenimiento centros educación infantil y primaria</v>
      </c>
      <c r="W1288" s="56" t="str">
        <f>MID(Tabla1[[#This Row],[Aplicación]],14,2)</f>
        <v>21</v>
      </c>
      <c r="X1288" s="56" t="str">
        <f>MID(Tabla1[[#This Row],[Aplicación]],14,6)</f>
        <v>212</v>
      </c>
    </row>
    <row r="1289" spans="1:24" x14ac:dyDescent="0.25">
      <c r="A1289" s="46">
        <v>220230005907</v>
      </c>
      <c r="B1289" s="47" t="s">
        <v>507</v>
      </c>
      <c r="C1289" s="52">
        <v>44980</v>
      </c>
      <c r="D1289" s="46">
        <v>22023002704</v>
      </c>
      <c r="E1289" s="47" t="s">
        <v>2572</v>
      </c>
      <c r="F1289" s="53">
        <v>3150</v>
      </c>
      <c r="G1289" s="47" t="s">
        <v>35</v>
      </c>
      <c r="H1289" s="47" t="s">
        <v>2573</v>
      </c>
      <c r="I1289" s="46" t="s">
        <v>511</v>
      </c>
      <c r="J1289" s="47" t="s">
        <v>519</v>
      </c>
      <c r="K1289" s="47" t="s">
        <v>519</v>
      </c>
      <c r="L1289" s="47" t="s">
        <v>552</v>
      </c>
      <c r="M1289" s="47" t="s">
        <v>976</v>
      </c>
      <c r="N1289" s="47" t="s">
        <v>839</v>
      </c>
      <c r="O1289" s="45" t="s">
        <v>383</v>
      </c>
      <c r="P1289" s="44" t="s">
        <v>309</v>
      </c>
      <c r="Q1289" s="59" t="str">
        <f>MID(Tabla1[[#This Row],[Aplicación]],14,1)</f>
        <v>2</v>
      </c>
      <c r="R1289" s="35" t="s">
        <v>298</v>
      </c>
      <c r="S1289" s="59" t="str">
        <f>MID(Tabla1[[#This Row],[Aplicación]],6,2)</f>
        <v>06</v>
      </c>
      <c r="T1289" s="35" t="str">
        <f>VLOOKUP(Tabla1[[#This Row],[AREA]],Hoja1!A:B,2,FALSE)</f>
        <v>06. Educación, infancia, juventud e igualdad</v>
      </c>
      <c r="U1289" s="35" t="str">
        <f>MID(Tabla1[[#This Row],[Aplicación]],9,4)</f>
        <v>3232</v>
      </c>
      <c r="V1289" s="35" t="str">
        <f>VLOOKUP(Tabla1[[#This Row],[PROGRAMA]],Hoja1!A:B,2,FALSE)</f>
        <v>3232. Conservación y mantenimiento centros educación infantil y primaria</v>
      </c>
      <c r="W1289" s="56" t="str">
        <f>MID(Tabla1[[#This Row],[Aplicación]],14,2)</f>
        <v>22</v>
      </c>
      <c r="X1289" s="56" t="str">
        <f>MID(Tabla1[[#This Row],[Aplicación]],14,6)</f>
        <v>22103</v>
      </c>
    </row>
    <row r="1290" spans="1:24" x14ac:dyDescent="0.25">
      <c r="A1290" s="46">
        <v>220230005904</v>
      </c>
      <c r="B1290" s="47" t="s">
        <v>507</v>
      </c>
      <c r="C1290" s="52">
        <v>44980</v>
      </c>
      <c r="D1290" s="46">
        <v>22023002692</v>
      </c>
      <c r="E1290" s="47" t="s">
        <v>1783</v>
      </c>
      <c r="F1290" s="53">
        <v>74.290000000000006</v>
      </c>
      <c r="G1290" s="47" t="s">
        <v>394</v>
      </c>
      <c r="H1290" s="47" t="s">
        <v>2574</v>
      </c>
      <c r="I1290" s="46" t="s">
        <v>511</v>
      </c>
      <c r="J1290" s="47" t="s">
        <v>519</v>
      </c>
      <c r="K1290" s="47" t="s">
        <v>519</v>
      </c>
      <c r="L1290" s="47" t="s">
        <v>552</v>
      </c>
      <c r="M1290" s="47" t="s">
        <v>976</v>
      </c>
      <c r="N1290" s="47" t="s">
        <v>839</v>
      </c>
      <c r="O1290" s="45" t="s">
        <v>383</v>
      </c>
      <c r="P1290" s="44" t="s">
        <v>309</v>
      </c>
      <c r="Q1290" s="59" t="str">
        <f>MID(Tabla1[[#This Row],[Aplicación]],14,1)</f>
        <v>2</v>
      </c>
      <c r="R1290" s="35" t="s">
        <v>298</v>
      </c>
      <c r="S1290" s="59" t="str">
        <f>MID(Tabla1[[#This Row],[Aplicación]],6,2)</f>
        <v>07</v>
      </c>
      <c r="T1290" s="35" t="str">
        <f>VLOOKUP(Tabla1[[#This Row],[AREA]],Hoja1!A:B,2,FALSE)</f>
        <v>07. Medio ambiente y desarrollo sostenible</v>
      </c>
      <c r="U1290" s="35" t="str">
        <f>MID(Tabla1[[#This Row],[Aplicación]],9,4)</f>
        <v>1701</v>
      </c>
      <c r="V1290" s="35" t="str">
        <f>VLOOKUP(Tabla1[[#This Row],[PROGRAMA]],Hoja1!A:B,2,FALSE)</f>
        <v>1701. Dirección del área de medio ambiente</v>
      </c>
      <c r="W1290" s="56" t="str">
        <f>MID(Tabla1[[#This Row],[Aplicación]],14,2)</f>
        <v>22</v>
      </c>
      <c r="X1290" s="56" t="str">
        <f>MID(Tabla1[[#This Row],[Aplicación]],14,6)</f>
        <v>22699</v>
      </c>
    </row>
    <row r="1291" spans="1:24" x14ac:dyDescent="0.25">
      <c r="A1291" s="46">
        <v>220230001993</v>
      </c>
      <c r="B1291" s="47" t="s">
        <v>507</v>
      </c>
      <c r="C1291" s="52">
        <v>44960</v>
      </c>
      <c r="D1291" s="46">
        <v>22023001602</v>
      </c>
      <c r="E1291" s="47" t="s">
        <v>732</v>
      </c>
      <c r="F1291" s="53">
        <v>900</v>
      </c>
      <c r="G1291" s="47" t="s">
        <v>418</v>
      </c>
      <c r="H1291" s="47" t="s">
        <v>2575</v>
      </c>
      <c r="I1291" s="46" t="s">
        <v>511</v>
      </c>
      <c r="J1291" s="47" t="s">
        <v>519</v>
      </c>
      <c r="K1291" s="47" t="s">
        <v>519</v>
      </c>
      <c r="L1291" s="47" t="s">
        <v>520</v>
      </c>
      <c r="M1291" s="47" t="s">
        <v>976</v>
      </c>
      <c r="N1291" s="47" t="s">
        <v>839</v>
      </c>
      <c r="O1291" s="45" t="s">
        <v>383</v>
      </c>
      <c r="P1291" s="44" t="s">
        <v>309</v>
      </c>
      <c r="Q1291" s="59" t="str">
        <f>MID(Tabla1[[#This Row],[Aplicación]],14,1)</f>
        <v>2</v>
      </c>
      <c r="R1291" s="35" t="s">
        <v>298</v>
      </c>
      <c r="S1291" s="59" t="str">
        <f>MID(Tabla1[[#This Row],[Aplicación]],6,2)</f>
        <v>06</v>
      </c>
      <c r="T1291" s="35" t="str">
        <f>VLOOKUP(Tabla1[[#This Row],[AREA]],Hoja1!A:B,2,FALSE)</f>
        <v>06. Educación, infancia, juventud e igualdad</v>
      </c>
      <c r="U1291" s="35" t="str">
        <f>MID(Tabla1[[#This Row],[Aplicación]],9,4)</f>
        <v>3321</v>
      </c>
      <c r="V1291" s="35" t="str">
        <f>VLOOKUP(Tabla1[[#This Row],[PROGRAMA]],Hoja1!A:B,2,FALSE)</f>
        <v>3321. Bibliotecas públicas</v>
      </c>
      <c r="W1291" s="56" t="str">
        <f>MID(Tabla1[[#This Row],[Aplicación]],14,2)</f>
        <v>22</v>
      </c>
      <c r="X1291" s="56" t="str">
        <f>MID(Tabla1[[#This Row],[Aplicación]],14,6)</f>
        <v>22799</v>
      </c>
    </row>
    <row r="1292" spans="1:24" x14ac:dyDescent="0.25">
      <c r="A1292" s="46">
        <v>220230006760</v>
      </c>
      <c r="B1292" s="47" t="s">
        <v>507</v>
      </c>
      <c r="C1292" s="52">
        <v>44986</v>
      </c>
      <c r="D1292" s="46">
        <v>22023002768</v>
      </c>
      <c r="E1292" s="47" t="s">
        <v>1043</v>
      </c>
      <c r="F1292" s="53">
        <v>200</v>
      </c>
      <c r="G1292" s="47" t="s">
        <v>2576</v>
      </c>
      <c r="H1292" s="47" t="s">
        <v>2577</v>
      </c>
      <c r="I1292" s="46" t="s">
        <v>511</v>
      </c>
      <c r="J1292" s="47" t="s">
        <v>519</v>
      </c>
      <c r="K1292" s="47" t="s">
        <v>519</v>
      </c>
      <c r="L1292" s="47" t="s">
        <v>552</v>
      </c>
      <c r="M1292" s="47" t="s">
        <v>976</v>
      </c>
      <c r="N1292" s="47" t="s">
        <v>839</v>
      </c>
      <c r="O1292" s="45" t="s">
        <v>383</v>
      </c>
      <c r="P1292" s="44" t="s">
        <v>309</v>
      </c>
      <c r="Q1292" s="59" t="str">
        <f>MID(Tabla1[[#This Row],[Aplicación]],14,1)</f>
        <v>2</v>
      </c>
      <c r="R1292" s="35" t="s">
        <v>298</v>
      </c>
      <c r="S1292" s="59" t="str">
        <f>MID(Tabla1[[#This Row],[Aplicación]],6,2)</f>
        <v>10</v>
      </c>
      <c r="T1292" s="35" t="str">
        <f>VLOOKUP(Tabla1[[#This Row],[AREA]],Hoja1!A:B,2,FALSE)</f>
        <v>10. Servicios sociales y mediación comunitaria</v>
      </c>
      <c r="U1292" s="35" t="str">
        <f>MID(Tabla1[[#This Row],[Aplicación]],9,4)</f>
        <v>2312</v>
      </c>
      <c r="V1292" s="35" t="str">
        <f>VLOOKUP(Tabla1[[#This Row],[PROGRAMA]],Hoja1!A:B,2,FALSE)</f>
        <v>2312. Iniciativas sociales</v>
      </c>
      <c r="W1292" s="56" t="str">
        <f>MID(Tabla1[[#This Row],[Aplicación]],14,2)</f>
        <v>22</v>
      </c>
      <c r="X1292" s="56" t="str">
        <f>MID(Tabla1[[#This Row],[Aplicación]],14,6)</f>
        <v>22699</v>
      </c>
    </row>
    <row r="1293" spans="1:24" x14ac:dyDescent="0.25">
      <c r="A1293" s="46">
        <v>220230002083</v>
      </c>
      <c r="B1293" s="47" t="s">
        <v>507</v>
      </c>
      <c r="C1293" s="52">
        <v>44963</v>
      </c>
      <c r="D1293" s="46">
        <v>22023002086</v>
      </c>
      <c r="E1293" s="47" t="s">
        <v>736</v>
      </c>
      <c r="F1293" s="53">
        <v>6000</v>
      </c>
      <c r="G1293" s="47" t="s">
        <v>500</v>
      </c>
      <c r="H1293" s="47" t="s">
        <v>2578</v>
      </c>
      <c r="I1293" s="46" t="s">
        <v>511</v>
      </c>
      <c r="J1293" s="47" t="s">
        <v>519</v>
      </c>
      <c r="K1293" s="47" t="s">
        <v>519</v>
      </c>
      <c r="L1293" s="47" t="s">
        <v>520</v>
      </c>
      <c r="M1293" s="47" t="s">
        <v>976</v>
      </c>
      <c r="N1293" s="47" t="s">
        <v>839</v>
      </c>
      <c r="O1293" s="45" t="s">
        <v>383</v>
      </c>
      <c r="P1293" s="44" t="s">
        <v>309</v>
      </c>
      <c r="Q1293" s="59" t="str">
        <f>MID(Tabla1[[#This Row],[Aplicación]],14,1)</f>
        <v>2</v>
      </c>
      <c r="R1293" s="35" t="s">
        <v>298</v>
      </c>
      <c r="S1293" s="59" t="str">
        <f>MID(Tabla1[[#This Row],[Aplicación]],6,2)</f>
        <v>06</v>
      </c>
      <c r="T1293" s="35" t="str">
        <f>VLOOKUP(Tabla1[[#This Row],[AREA]],Hoja1!A:B,2,FALSE)</f>
        <v>06. Educación, infancia, juventud e igualdad</v>
      </c>
      <c r="U1293" s="35" t="str">
        <f>MID(Tabla1[[#This Row],[Aplicación]],9,4)</f>
        <v>3261</v>
      </c>
      <c r="V1293" s="35" t="str">
        <f>VLOOKUP(Tabla1[[#This Row],[PROGRAMA]],Hoja1!A:B,2,FALSE)</f>
        <v>3261. Servicios complementarios de educación</v>
      </c>
      <c r="W1293" s="56" t="str">
        <f>MID(Tabla1[[#This Row],[Aplicación]],14,2)</f>
        <v>22</v>
      </c>
      <c r="X1293" s="56" t="str">
        <f>MID(Tabla1[[#This Row],[Aplicación]],14,6)</f>
        <v>22799</v>
      </c>
    </row>
    <row r="1294" spans="1:24" x14ac:dyDescent="0.25">
      <c r="A1294" s="46">
        <v>220229000875</v>
      </c>
      <c r="B1294" s="47" t="s">
        <v>507</v>
      </c>
      <c r="C1294" s="52">
        <v>44927</v>
      </c>
      <c r="D1294" s="46">
        <v>22023002062</v>
      </c>
      <c r="E1294" s="47" t="s">
        <v>1191</v>
      </c>
      <c r="F1294" s="53">
        <v>500</v>
      </c>
      <c r="G1294" s="47" t="s">
        <v>2579</v>
      </c>
      <c r="H1294" s="47" t="s">
        <v>2580</v>
      </c>
      <c r="I1294" s="46" t="s">
        <v>511</v>
      </c>
      <c r="J1294" s="47" t="s">
        <v>2581</v>
      </c>
      <c r="K1294" s="47" t="s">
        <v>573</v>
      </c>
      <c r="L1294" s="47" t="s">
        <v>520</v>
      </c>
      <c r="M1294" s="47" t="s">
        <v>976</v>
      </c>
      <c r="N1294" s="47" t="s">
        <v>839</v>
      </c>
      <c r="O1294" s="45" t="s">
        <v>383</v>
      </c>
      <c r="P1294" s="44" t="s">
        <v>309</v>
      </c>
      <c r="Q1294" s="59" t="str">
        <f>MID(Tabla1[[#This Row],[Aplicación]],14,1)</f>
        <v>2</v>
      </c>
      <c r="R1294" s="35" t="s">
        <v>298</v>
      </c>
      <c r="S1294" s="59" t="str">
        <f>MID(Tabla1[[#This Row],[Aplicación]],6,2)</f>
        <v>06</v>
      </c>
      <c r="T1294" s="35" t="str">
        <f>VLOOKUP(Tabla1[[#This Row],[AREA]],Hoja1!A:B,2,FALSE)</f>
        <v>06. Educación, infancia, juventud e igualdad</v>
      </c>
      <c r="U1294" s="35" t="str">
        <f>MID(Tabla1[[#This Row],[Aplicación]],9,4)</f>
        <v>2315</v>
      </c>
      <c r="V1294" s="35" t="str">
        <f>VLOOKUP(Tabla1[[#This Row],[PROGRAMA]],Hoja1!A:B,2,FALSE)</f>
        <v>2315. Políticas de Igualdad e infancia</v>
      </c>
      <c r="W1294" s="56" t="str">
        <f>MID(Tabla1[[#This Row],[Aplicación]],14,2)</f>
        <v>22</v>
      </c>
      <c r="X1294" s="56" t="str">
        <f>MID(Tabla1[[#This Row],[Aplicación]],14,6)</f>
        <v>22611</v>
      </c>
    </row>
    <row r="1295" spans="1:24" x14ac:dyDescent="0.25">
      <c r="A1295" s="46">
        <v>220230005927</v>
      </c>
      <c r="B1295" s="47" t="s">
        <v>507</v>
      </c>
      <c r="C1295" s="52">
        <v>44980</v>
      </c>
      <c r="D1295" s="46">
        <v>22023002669</v>
      </c>
      <c r="E1295" s="47" t="s">
        <v>1191</v>
      </c>
      <c r="F1295" s="53">
        <v>7018</v>
      </c>
      <c r="G1295" s="47" t="s">
        <v>459</v>
      </c>
      <c r="H1295" s="47" t="s">
        <v>2582</v>
      </c>
      <c r="I1295" s="46" t="s">
        <v>511</v>
      </c>
      <c r="J1295" s="47" t="s">
        <v>519</v>
      </c>
      <c r="K1295" s="47" t="s">
        <v>519</v>
      </c>
      <c r="L1295" s="47" t="s">
        <v>520</v>
      </c>
      <c r="M1295" s="47" t="s">
        <v>976</v>
      </c>
      <c r="N1295" s="47" t="s">
        <v>839</v>
      </c>
      <c r="O1295" s="45" t="s">
        <v>383</v>
      </c>
      <c r="P1295" s="44" t="s">
        <v>309</v>
      </c>
      <c r="Q1295" s="59" t="str">
        <f>MID(Tabla1[[#This Row],[Aplicación]],14,1)</f>
        <v>2</v>
      </c>
      <c r="R1295" s="35" t="s">
        <v>298</v>
      </c>
      <c r="S1295" s="59" t="str">
        <f>MID(Tabla1[[#This Row],[Aplicación]],6,2)</f>
        <v>06</v>
      </c>
      <c r="T1295" s="35" t="str">
        <f>VLOOKUP(Tabla1[[#This Row],[AREA]],Hoja1!A:B,2,FALSE)</f>
        <v>06. Educación, infancia, juventud e igualdad</v>
      </c>
      <c r="U1295" s="35" t="str">
        <f>MID(Tabla1[[#This Row],[Aplicación]],9,4)</f>
        <v>2315</v>
      </c>
      <c r="V1295" s="35" t="str">
        <f>VLOOKUP(Tabla1[[#This Row],[PROGRAMA]],Hoja1!A:B,2,FALSE)</f>
        <v>2315. Políticas de Igualdad e infancia</v>
      </c>
      <c r="W1295" s="56" t="str">
        <f>MID(Tabla1[[#This Row],[Aplicación]],14,2)</f>
        <v>22</v>
      </c>
      <c r="X1295" s="56" t="str">
        <f>MID(Tabla1[[#This Row],[Aplicación]],14,6)</f>
        <v>22611</v>
      </c>
    </row>
    <row r="1296" spans="1:24" x14ac:dyDescent="0.25">
      <c r="A1296" s="55">
        <v>220230009497</v>
      </c>
      <c r="B1296" s="47" t="s">
        <v>507</v>
      </c>
      <c r="C1296" s="52">
        <v>45006</v>
      </c>
      <c r="D1296" s="46">
        <v>22023003463</v>
      </c>
      <c r="E1296" s="47" t="s">
        <v>2046</v>
      </c>
      <c r="F1296" s="53">
        <v>609.48</v>
      </c>
      <c r="G1296" s="47" t="s">
        <v>2583</v>
      </c>
      <c r="H1296" s="47" t="s">
        <v>2584</v>
      </c>
      <c r="I1296" s="46" t="s">
        <v>511</v>
      </c>
      <c r="J1296" s="47" t="s">
        <v>519</v>
      </c>
      <c r="K1296" s="47" t="s">
        <v>519</v>
      </c>
      <c r="L1296" s="47" t="s">
        <v>552</v>
      </c>
      <c r="M1296" s="47" t="s">
        <v>976</v>
      </c>
      <c r="N1296" s="47" t="s">
        <v>839</v>
      </c>
      <c r="O1296" s="54" t="s">
        <v>383</v>
      </c>
      <c r="P1296" s="44" t="s">
        <v>309</v>
      </c>
      <c r="Q1296" s="59" t="str">
        <f>MID(Tabla1[[#This Row],[Aplicación]],14,1)</f>
        <v>2</v>
      </c>
      <c r="R1296" s="35" t="s">
        <v>298</v>
      </c>
      <c r="S1296" s="59" t="str">
        <f>MID(Tabla1[[#This Row],[Aplicación]],6,2)</f>
        <v>06</v>
      </c>
      <c r="T1296" s="35" t="str">
        <f>VLOOKUP(Tabla1[[#This Row],[AREA]],Hoja1!A:B,2,FALSE)</f>
        <v>06. Educación, infancia, juventud e igualdad</v>
      </c>
      <c r="U1296" s="35" t="str">
        <f>MID(Tabla1[[#This Row],[Aplicación]],9,4)</f>
        <v>3321</v>
      </c>
      <c r="V1296" s="35" t="str">
        <f>VLOOKUP(Tabla1[[#This Row],[PROGRAMA]],Hoja1!A:B,2,FALSE)</f>
        <v>3321. Bibliotecas públicas</v>
      </c>
      <c r="W1296" s="56" t="str">
        <f>MID(Tabla1[[#This Row],[Aplicación]],14,2)</f>
        <v>22</v>
      </c>
      <c r="X1296" s="56" t="str">
        <f>MID(Tabla1[[#This Row],[Aplicación]],14,6)</f>
        <v>22199</v>
      </c>
    </row>
    <row r="1297" spans="1:24" x14ac:dyDescent="0.25">
      <c r="A1297" s="46">
        <v>220230006127</v>
      </c>
      <c r="B1297" s="47" t="s">
        <v>1514</v>
      </c>
      <c r="C1297" s="52">
        <v>44980</v>
      </c>
      <c r="D1297" s="46">
        <v>22023001607</v>
      </c>
      <c r="E1297" s="47" t="s">
        <v>1603</v>
      </c>
      <c r="F1297" s="53">
        <v>6953.45</v>
      </c>
      <c r="G1297" s="47" t="s">
        <v>1372</v>
      </c>
      <c r="H1297" s="47" t="s">
        <v>2585</v>
      </c>
      <c r="I1297" s="46" t="s">
        <v>1517</v>
      </c>
      <c r="J1297" s="47" t="s">
        <v>519</v>
      </c>
      <c r="K1297" s="47" t="s">
        <v>519</v>
      </c>
      <c r="L1297" s="47" t="s">
        <v>552</v>
      </c>
      <c r="M1297" s="47" t="s">
        <v>514</v>
      </c>
      <c r="N1297" s="47" t="s">
        <v>515</v>
      </c>
      <c r="O1297" s="45" t="s">
        <v>382</v>
      </c>
      <c r="P1297" s="44" t="s">
        <v>309</v>
      </c>
      <c r="Q1297" s="59" t="str">
        <f>MID(Tabla1[[#This Row],[Aplicación]],14,1)</f>
        <v>2</v>
      </c>
      <c r="R1297" s="35" t="s">
        <v>298</v>
      </c>
      <c r="S1297" s="59" t="str">
        <f>MID(Tabla1[[#This Row],[Aplicación]],6,2)</f>
        <v>08</v>
      </c>
      <c r="T1297" s="35" t="str">
        <f>VLOOKUP(Tabla1[[#This Row],[AREA]],Hoja1!A:B,2,FALSE)</f>
        <v>08. Movilidad y espacio urbano</v>
      </c>
      <c r="U1297" s="35" t="str">
        <f>MID(Tabla1[[#This Row],[Aplicación]],9,4)</f>
        <v>1532</v>
      </c>
      <c r="V1297" s="35" t="str">
        <f>VLOOKUP(Tabla1[[#This Row],[PROGRAMA]],Hoja1!A:B,2,FALSE)</f>
        <v>1532. Pavimentación vias públicas y otros servicios urbanísticos</v>
      </c>
      <c r="W1297" s="56" t="str">
        <f>MID(Tabla1[[#This Row],[Aplicación]],14,2)</f>
        <v>21</v>
      </c>
      <c r="X1297" s="56" t="str">
        <f>MID(Tabla1[[#This Row],[Aplicación]],14,6)</f>
        <v>210</v>
      </c>
    </row>
    <row r="1298" spans="1:24" x14ac:dyDescent="0.25">
      <c r="A1298" s="46">
        <v>220230006137</v>
      </c>
      <c r="B1298" s="47" t="s">
        <v>1514</v>
      </c>
      <c r="C1298" s="52">
        <v>44980</v>
      </c>
      <c r="D1298" s="46">
        <v>22023002181</v>
      </c>
      <c r="E1298" s="47" t="s">
        <v>1305</v>
      </c>
      <c r="F1298" s="53">
        <v>219</v>
      </c>
      <c r="G1298" s="47" t="s">
        <v>98</v>
      </c>
      <c r="H1298" s="47" t="s">
        <v>2586</v>
      </c>
      <c r="I1298" s="46" t="s">
        <v>1517</v>
      </c>
      <c r="J1298" s="47" t="s">
        <v>519</v>
      </c>
      <c r="K1298" s="47" t="s">
        <v>519</v>
      </c>
      <c r="L1298" s="47" t="s">
        <v>552</v>
      </c>
      <c r="M1298" s="47" t="s">
        <v>514</v>
      </c>
      <c r="N1298" s="47" t="s">
        <v>515</v>
      </c>
      <c r="O1298" s="45" t="s">
        <v>382</v>
      </c>
      <c r="P1298" s="44" t="s">
        <v>309</v>
      </c>
      <c r="Q1298" s="59" t="str">
        <f>MID(Tabla1[[#This Row],[Aplicación]],14,1)</f>
        <v>2</v>
      </c>
      <c r="R1298" s="35" t="s">
        <v>298</v>
      </c>
      <c r="S1298" s="59" t="str">
        <f>MID(Tabla1[[#This Row],[Aplicación]],6,2)</f>
        <v>06</v>
      </c>
      <c r="T1298" s="35" t="str">
        <f>VLOOKUP(Tabla1[[#This Row],[AREA]],Hoja1!A:B,2,FALSE)</f>
        <v>06. Educación, infancia, juventud e igualdad</v>
      </c>
      <c r="U1298" s="35" t="str">
        <f>MID(Tabla1[[#This Row],[Aplicación]],9,4)</f>
        <v>3232</v>
      </c>
      <c r="V1298" s="35" t="str">
        <f>VLOOKUP(Tabla1[[#This Row],[PROGRAMA]],Hoja1!A:B,2,FALSE)</f>
        <v>3232. Conservación y mantenimiento centros educación infantil y primaria</v>
      </c>
      <c r="W1298" s="56" t="str">
        <f>MID(Tabla1[[#This Row],[Aplicación]],14,2)</f>
        <v>21</v>
      </c>
      <c r="X1298" s="56" t="str">
        <f>MID(Tabla1[[#This Row],[Aplicación]],14,6)</f>
        <v>212</v>
      </c>
    </row>
    <row r="1299" spans="1:24" x14ac:dyDescent="0.25">
      <c r="A1299" s="46">
        <v>220230006130</v>
      </c>
      <c r="B1299" s="47" t="s">
        <v>1514</v>
      </c>
      <c r="C1299" s="52">
        <v>44980</v>
      </c>
      <c r="D1299" s="46">
        <v>22023002185</v>
      </c>
      <c r="E1299" s="47" t="s">
        <v>2458</v>
      </c>
      <c r="F1299" s="53">
        <v>44</v>
      </c>
      <c r="G1299" s="47" t="s">
        <v>98</v>
      </c>
      <c r="H1299" s="47" t="s">
        <v>2587</v>
      </c>
      <c r="I1299" s="46" t="s">
        <v>1517</v>
      </c>
      <c r="J1299" s="47" t="s">
        <v>519</v>
      </c>
      <c r="K1299" s="47" t="s">
        <v>519</v>
      </c>
      <c r="L1299" s="47" t="s">
        <v>552</v>
      </c>
      <c r="M1299" s="47" t="s">
        <v>514</v>
      </c>
      <c r="N1299" s="47" t="s">
        <v>515</v>
      </c>
      <c r="O1299" s="45" t="s">
        <v>382</v>
      </c>
      <c r="P1299" s="44" t="s">
        <v>309</v>
      </c>
      <c r="Q1299" s="59" t="str">
        <f>MID(Tabla1[[#This Row],[Aplicación]],14,1)</f>
        <v>2</v>
      </c>
      <c r="R1299" s="35" t="s">
        <v>298</v>
      </c>
      <c r="S1299" s="59" t="str">
        <f>MID(Tabla1[[#This Row],[Aplicación]],6,2)</f>
        <v>06</v>
      </c>
      <c r="T1299" s="35" t="str">
        <f>VLOOKUP(Tabla1[[#This Row],[AREA]],Hoja1!A:B,2,FALSE)</f>
        <v>06. Educación, infancia, juventud e igualdad</v>
      </c>
      <c r="U1299" s="35" t="str">
        <f>MID(Tabla1[[#This Row],[Aplicación]],9,4)</f>
        <v>3231</v>
      </c>
      <c r="V1299" s="35" t="str">
        <f>VLOOKUP(Tabla1[[#This Row],[PROGRAMA]],Hoja1!A:B,2,FALSE)</f>
        <v>3231. Escuelas infantiles</v>
      </c>
      <c r="W1299" s="56" t="str">
        <f>MID(Tabla1[[#This Row],[Aplicación]],14,2)</f>
        <v>21</v>
      </c>
      <c r="X1299" s="56" t="str">
        <f>MID(Tabla1[[#This Row],[Aplicación]],14,6)</f>
        <v>212</v>
      </c>
    </row>
    <row r="1300" spans="1:24" x14ac:dyDescent="0.25">
      <c r="A1300" s="46">
        <v>220230002021</v>
      </c>
      <c r="B1300" s="47" t="s">
        <v>507</v>
      </c>
      <c r="C1300" s="52">
        <v>44960</v>
      </c>
      <c r="D1300" s="46">
        <v>22023001699</v>
      </c>
      <c r="E1300" s="47" t="s">
        <v>1688</v>
      </c>
      <c r="F1300" s="53">
        <v>1028.5</v>
      </c>
      <c r="G1300" s="47" t="s">
        <v>112</v>
      </c>
      <c r="H1300" s="47" t="s">
        <v>2588</v>
      </c>
      <c r="I1300" s="46" t="s">
        <v>511</v>
      </c>
      <c r="J1300" s="47" t="s">
        <v>519</v>
      </c>
      <c r="K1300" s="47" t="s">
        <v>519</v>
      </c>
      <c r="L1300" s="47" t="s">
        <v>552</v>
      </c>
      <c r="M1300" s="47" t="s">
        <v>976</v>
      </c>
      <c r="N1300" s="47" t="s">
        <v>839</v>
      </c>
      <c r="O1300" s="45" t="s">
        <v>383</v>
      </c>
      <c r="P1300" s="44" t="s">
        <v>309</v>
      </c>
      <c r="Q1300" s="59" t="str">
        <f>MID(Tabla1[[#This Row],[Aplicación]],14,1)</f>
        <v>2</v>
      </c>
      <c r="R1300" s="35" t="s">
        <v>298</v>
      </c>
      <c r="S1300" s="59" t="str">
        <f>MID(Tabla1[[#This Row],[Aplicación]],6,2)</f>
        <v>06</v>
      </c>
      <c r="T1300" s="35" t="str">
        <f>VLOOKUP(Tabla1[[#This Row],[AREA]],Hoja1!A:B,2,FALSE)</f>
        <v>06. Educación, infancia, juventud e igualdad</v>
      </c>
      <c r="U1300" s="35" t="str">
        <f>MID(Tabla1[[#This Row],[Aplicación]],9,4)</f>
        <v>3261</v>
      </c>
      <c r="V1300" s="35" t="str">
        <f>VLOOKUP(Tabla1[[#This Row],[PROGRAMA]],Hoja1!A:B,2,FALSE)</f>
        <v>3261. Servicios complementarios de educación</v>
      </c>
      <c r="W1300" s="56" t="str">
        <f>MID(Tabla1[[#This Row],[Aplicación]],14,2)</f>
        <v>22</v>
      </c>
      <c r="X1300" s="56" t="str">
        <f>MID(Tabla1[[#This Row],[Aplicación]],14,6)</f>
        <v>22699</v>
      </c>
    </row>
    <row r="1301" spans="1:24" x14ac:dyDescent="0.25">
      <c r="A1301" s="46">
        <v>220230001935</v>
      </c>
      <c r="B1301" s="47" t="s">
        <v>507</v>
      </c>
      <c r="C1301" s="52">
        <v>44960</v>
      </c>
      <c r="D1301" s="46">
        <v>22023001349</v>
      </c>
      <c r="E1301" s="47" t="s">
        <v>1303</v>
      </c>
      <c r="F1301" s="53">
        <v>1452</v>
      </c>
      <c r="G1301" s="47" t="s">
        <v>112</v>
      </c>
      <c r="H1301" s="47" t="s">
        <v>2589</v>
      </c>
      <c r="I1301" s="46" t="s">
        <v>511</v>
      </c>
      <c r="J1301" s="47" t="s">
        <v>519</v>
      </c>
      <c r="K1301" s="47" t="s">
        <v>519</v>
      </c>
      <c r="L1301" s="47" t="s">
        <v>520</v>
      </c>
      <c r="M1301" s="47" t="s">
        <v>976</v>
      </c>
      <c r="N1301" s="47" t="s">
        <v>839</v>
      </c>
      <c r="O1301" s="45" t="s">
        <v>383</v>
      </c>
      <c r="P1301" s="44" t="s">
        <v>309</v>
      </c>
      <c r="Q1301" s="59" t="str">
        <f>MID(Tabla1[[#This Row],[Aplicación]],14,1)</f>
        <v>2</v>
      </c>
      <c r="R1301" s="35" t="s">
        <v>298</v>
      </c>
      <c r="S1301" s="59" t="str">
        <f>MID(Tabla1[[#This Row],[Aplicación]],6,2)</f>
        <v>11</v>
      </c>
      <c r="T1301" s="35" t="str">
        <f>VLOOKUP(Tabla1[[#This Row],[AREA]],Hoja1!A:B,2,FALSE)</f>
        <v>11. Salud pública y seguridad ciudadana</v>
      </c>
      <c r="U1301" s="35" t="str">
        <f>MID(Tabla1[[#This Row],[Aplicación]],9,4)</f>
        <v>1321</v>
      </c>
      <c r="V1301" s="35" t="str">
        <f>VLOOKUP(Tabla1[[#This Row],[PROGRAMA]],Hoja1!A:B,2,FALSE)</f>
        <v>1321. Policía municipal</v>
      </c>
      <c r="W1301" s="56" t="str">
        <f>MID(Tabla1[[#This Row],[Aplicación]],14,2)</f>
        <v>22</v>
      </c>
      <c r="X1301" s="56" t="str">
        <f>MID(Tabla1[[#This Row],[Aplicación]],14,6)</f>
        <v>22699</v>
      </c>
    </row>
    <row r="1302" spans="1:24" x14ac:dyDescent="0.25">
      <c r="A1302" s="46">
        <v>220230005397</v>
      </c>
      <c r="B1302" s="47" t="s">
        <v>507</v>
      </c>
      <c r="C1302" s="52">
        <v>44979</v>
      </c>
      <c r="D1302" s="46">
        <v>22023002475</v>
      </c>
      <c r="E1302" s="47" t="s">
        <v>835</v>
      </c>
      <c r="F1302" s="53">
        <v>290.39999999999998</v>
      </c>
      <c r="G1302" s="47" t="s">
        <v>112</v>
      </c>
      <c r="H1302" s="47" t="s">
        <v>2590</v>
      </c>
      <c r="I1302" s="46" t="s">
        <v>511</v>
      </c>
      <c r="J1302" s="47" t="s">
        <v>519</v>
      </c>
      <c r="K1302" s="47" t="s">
        <v>519</v>
      </c>
      <c r="L1302" s="47" t="s">
        <v>552</v>
      </c>
      <c r="M1302" s="47" t="s">
        <v>976</v>
      </c>
      <c r="N1302" s="47" t="s">
        <v>839</v>
      </c>
      <c r="O1302" s="45" t="s">
        <v>383</v>
      </c>
      <c r="P1302" s="44" t="s">
        <v>309</v>
      </c>
      <c r="Q1302" s="59" t="str">
        <f>MID(Tabla1[[#This Row],[Aplicación]],14,1)</f>
        <v>2</v>
      </c>
      <c r="R1302" s="35" t="s">
        <v>298</v>
      </c>
      <c r="S1302" s="59" t="str">
        <f>MID(Tabla1[[#This Row],[Aplicación]],6,2)</f>
        <v>05</v>
      </c>
      <c r="T1302" s="35" t="str">
        <f>VLOOKUP(Tabla1[[#This Row],[AREA]],Hoja1!A:B,2,FALSE)</f>
        <v>05. Innovación, desarrollo económico, empleo y comercio</v>
      </c>
      <c r="U1302" s="35" t="str">
        <f>MID(Tabla1[[#This Row],[Aplicación]],9,4)</f>
        <v>4331</v>
      </c>
      <c r="V1302" s="35" t="str">
        <f>VLOOKUP(Tabla1[[#This Row],[PROGRAMA]],Hoja1!A:B,2,FALSE)</f>
        <v>4331. Desarrollo empresarial</v>
      </c>
      <c r="W1302" s="56" t="str">
        <f>MID(Tabla1[[#This Row],[Aplicación]],14,2)</f>
        <v>22</v>
      </c>
      <c r="X1302" s="56" t="str">
        <f>MID(Tabla1[[#This Row],[Aplicación]],14,6)</f>
        <v>22799</v>
      </c>
    </row>
    <row r="1303" spans="1:24" x14ac:dyDescent="0.25">
      <c r="A1303" s="46">
        <v>220230006735</v>
      </c>
      <c r="B1303" s="47" t="s">
        <v>507</v>
      </c>
      <c r="C1303" s="52">
        <v>44986</v>
      </c>
      <c r="D1303" s="46">
        <v>22023002648</v>
      </c>
      <c r="E1303" s="47" t="s">
        <v>1043</v>
      </c>
      <c r="F1303" s="53">
        <v>103.15</v>
      </c>
      <c r="G1303" s="47" t="s">
        <v>112</v>
      </c>
      <c r="H1303" s="47" t="s">
        <v>2591</v>
      </c>
      <c r="I1303" s="46" t="s">
        <v>511</v>
      </c>
      <c r="J1303" s="47" t="s">
        <v>519</v>
      </c>
      <c r="K1303" s="47" t="s">
        <v>519</v>
      </c>
      <c r="L1303" s="47" t="s">
        <v>552</v>
      </c>
      <c r="M1303" s="47" t="s">
        <v>976</v>
      </c>
      <c r="N1303" s="47" t="s">
        <v>839</v>
      </c>
      <c r="O1303" s="45" t="s">
        <v>383</v>
      </c>
      <c r="P1303" s="44" t="s">
        <v>309</v>
      </c>
      <c r="Q1303" s="59" t="str">
        <f>MID(Tabla1[[#This Row],[Aplicación]],14,1)</f>
        <v>2</v>
      </c>
      <c r="R1303" s="35" t="s">
        <v>298</v>
      </c>
      <c r="S1303" s="59" t="str">
        <f>MID(Tabla1[[#This Row],[Aplicación]],6,2)</f>
        <v>10</v>
      </c>
      <c r="T1303" s="35" t="str">
        <f>VLOOKUP(Tabla1[[#This Row],[AREA]],Hoja1!A:B,2,FALSE)</f>
        <v>10. Servicios sociales y mediación comunitaria</v>
      </c>
      <c r="U1303" s="35" t="str">
        <f>MID(Tabla1[[#This Row],[Aplicación]],9,4)</f>
        <v>2312</v>
      </c>
      <c r="V1303" s="35" t="str">
        <f>VLOOKUP(Tabla1[[#This Row],[PROGRAMA]],Hoja1!A:B,2,FALSE)</f>
        <v>2312. Iniciativas sociales</v>
      </c>
      <c r="W1303" s="56" t="str">
        <f>MID(Tabla1[[#This Row],[Aplicación]],14,2)</f>
        <v>22</v>
      </c>
      <c r="X1303" s="56" t="str">
        <f>MID(Tabla1[[#This Row],[Aplicación]],14,6)</f>
        <v>22699</v>
      </c>
    </row>
    <row r="1304" spans="1:24" x14ac:dyDescent="0.25">
      <c r="A1304" s="46">
        <v>220230007157</v>
      </c>
      <c r="B1304" s="47" t="s">
        <v>507</v>
      </c>
      <c r="C1304" s="52">
        <v>44987</v>
      </c>
      <c r="D1304" s="46">
        <v>22023002874</v>
      </c>
      <c r="E1304" s="47" t="s">
        <v>1260</v>
      </c>
      <c r="F1304" s="53">
        <v>476.44</v>
      </c>
      <c r="G1304" s="47" t="s">
        <v>112</v>
      </c>
      <c r="H1304" s="47" t="s">
        <v>2592</v>
      </c>
      <c r="I1304" s="46" t="s">
        <v>511</v>
      </c>
      <c r="J1304" s="47" t="s">
        <v>519</v>
      </c>
      <c r="K1304" s="47" t="s">
        <v>519</v>
      </c>
      <c r="L1304" s="47" t="s">
        <v>552</v>
      </c>
      <c r="M1304" s="47" t="s">
        <v>976</v>
      </c>
      <c r="N1304" s="47" t="s">
        <v>839</v>
      </c>
      <c r="O1304" s="45" t="s">
        <v>383</v>
      </c>
      <c r="P1304" s="44" t="s">
        <v>309</v>
      </c>
      <c r="Q1304" s="59" t="str">
        <f>MID(Tabla1[[#This Row],[Aplicación]],14,1)</f>
        <v>2</v>
      </c>
      <c r="R1304" s="35" t="s">
        <v>298</v>
      </c>
      <c r="S1304" s="59" t="str">
        <f>MID(Tabla1[[#This Row],[Aplicación]],6,2)</f>
        <v>03</v>
      </c>
      <c r="T1304" s="35" t="str">
        <f>VLOOKUP(Tabla1[[#This Row],[AREA]],Hoja1!A:B,2,FALSE)</f>
        <v>03. Participación ciudadana y deportes</v>
      </c>
      <c r="U1304" s="35" t="str">
        <f>MID(Tabla1[[#This Row],[Aplicación]],9,4)</f>
        <v>9241</v>
      </c>
      <c r="V1304" s="35" t="str">
        <f>VLOOKUP(Tabla1[[#This Row],[PROGRAMA]],Hoja1!A:B,2,FALSE)</f>
        <v>9241. Participación ciudadana</v>
      </c>
      <c r="W1304" s="56" t="str">
        <f>MID(Tabla1[[#This Row],[Aplicación]],14,2)</f>
        <v>22</v>
      </c>
      <c r="X1304" s="56" t="str">
        <f>MID(Tabla1[[#This Row],[Aplicación]],14,6)</f>
        <v>22602</v>
      </c>
    </row>
    <row r="1305" spans="1:24" x14ac:dyDescent="0.25">
      <c r="A1305" s="46">
        <v>220230008186</v>
      </c>
      <c r="B1305" s="47" t="s">
        <v>507</v>
      </c>
      <c r="C1305" s="52">
        <v>44998</v>
      </c>
      <c r="D1305" s="46">
        <v>22023002908</v>
      </c>
      <c r="E1305" s="47" t="s">
        <v>1260</v>
      </c>
      <c r="F1305" s="53">
        <v>213.44</v>
      </c>
      <c r="G1305" s="47" t="s">
        <v>112</v>
      </c>
      <c r="H1305" s="47" t="s">
        <v>2593</v>
      </c>
      <c r="I1305" s="46" t="s">
        <v>511</v>
      </c>
      <c r="J1305" s="47" t="s">
        <v>519</v>
      </c>
      <c r="K1305" s="47" t="s">
        <v>519</v>
      </c>
      <c r="L1305" s="47" t="s">
        <v>520</v>
      </c>
      <c r="M1305" s="47" t="s">
        <v>976</v>
      </c>
      <c r="N1305" s="47" t="s">
        <v>839</v>
      </c>
      <c r="O1305" s="54" t="s">
        <v>383</v>
      </c>
      <c r="P1305" s="44" t="s">
        <v>309</v>
      </c>
      <c r="Q1305" s="59" t="str">
        <f>MID(Tabla1[[#This Row],[Aplicación]],14,1)</f>
        <v>2</v>
      </c>
      <c r="R1305" s="35" t="s">
        <v>298</v>
      </c>
      <c r="S1305" s="59" t="str">
        <f>MID(Tabla1[[#This Row],[Aplicación]],6,2)</f>
        <v>03</v>
      </c>
      <c r="T1305" s="35" t="str">
        <f>VLOOKUP(Tabla1[[#This Row],[AREA]],Hoja1!A:B,2,FALSE)</f>
        <v>03. Participación ciudadana y deportes</v>
      </c>
      <c r="U1305" s="35" t="str">
        <f>MID(Tabla1[[#This Row],[Aplicación]],9,4)</f>
        <v>9241</v>
      </c>
      <c r="V1305" s="35" t="str">
        <f>VLOOKUP(Tabla1[[#This Row],[PROGRAMA]],Hoja1!A:B,2,FALSE)</f>
        <v>9241. Participación ciudadana</v>
      </c>
      <c r="W1305" s="56" t="str">
        <f>MID(Tabla1[[#This Row],[Aplicación]],14,2)</f>
        <v>22</v>
      </c>
      <c r="X1305" s="56" t="str">
        <f>MID(Tabla1[[#This Row],[Aplicación]],14,6)</f>
        <v>22602</v>
      </c>
    </row>
    <row r="1306" spans="1:24" x14ac:dyDescent="0.25">
      <c r="A1306" s="55">
        <v>220230009512</v>
      </c>
      <c r="B1306" s="47" t="s">
        <v>507</v>
      </c>
      <c r="C1306" s="52">
        <v>45006</v>
      </c>
      <c r="D1306" s="46">
        <v>22023003507</v>
      </c>
      <c r="E1306" s="47" t="s">
        <v>1260</v>
      </c>
      <c r="F1306" s="53">
        <v>446.61</v>
      </c>
      <c r="G1306" s="47" t="s">
        <v>112</v>
      </c>
      <c r="H1306" s="47" t="s">
        <v>2594</v>
      </c>
      <c r="I1306" s="46" t="s">
        <v>511</v>
      </c>
      <c r="J1306" s="47" t="s">
        <v>519</v>
      </c>
      <c r="K1306" s="47" t="s">
        <v>519</v>
      </c>
      <c r="L1306" s="47" t="s">
        <v>520</v>
      </c>
      <c r="M1306" s="47" t="s">
        <v>976</v>
      </c>
      <c r="N1306" s="47" t="s">
        <v>839</v>
      </c>
      <c r="O1306" s="54" t="s">
        <v>383</v>
      </c>
      <c r="P1306" s="44" t="s">
        <v>309</v>
      </c>
      <c r="Q1306" s="59" t="str">
        <f>MID(Tabla1[[#This Row],[Aplicación]],14,1)</f>
        <v>2</v>
      </c>
      <c r="R1306" s="35" t="s">
        <v>298</v>
      </c>
      <c r="S1306" s="59" t="str">
        <f>MID(Tabla1[[#This Row],[Aplicación]],6,2)</f>
        <v>03</v>
      </c>
      <c r="T1306" s="35" t="str">
        <f>VLOOKUP(Tabla1[[#This Row],[AREA]],Hoja1!A:B,2,FALSE)</f>
        <v>03. Participación ciudadana y deportes</v>
      </c>
      <c r="U1306" s="35" t="str">
        <f>MID(Tabla1[[#This Row],[Aplicación]],9,4)</f>
        <v>9241</v>
      </c>
      <c r="V1306" s="35" t="str">
        <f>VLOOKUP(Tabla1[[#This Row],[PROGRAMA]],Hoja1!A:B,2,FALSE)</f>
        <v>9241. Participación ciudadana</v>
      </c>
      <c r="W1306" s="56" t="str">
        <f>MID(Tabla1[[#This Row],[Aplicación]],14,2)</f>
        <v>22</v>
      </c>
      <c r="X1306" s="56" t="str">
        <f>MID(Tabla1[[#This Row],[Aplicación]],14,6)</f>
        <v>22602</v>
      </c>
    </row>
    <row r="1307" spans="1:24" x14ac:dyDescent="0.25">
      <c r="A1307" s="55">
        <v>220230009484</v>
      </c>
      <c r="B1307" s="47" t="s">
        <v>507</v>
      </c>
      <c r="C1307" s="52">
        <v>45006</v>
      </c>
      <c r="D1307" s="46">
        <v>22023003457</v>
      </c>
      <c r="E1307" s="47" t="s">
        <v>2547</v>
      </c>
      <c r="F1307" s="53">
        <v>635.25</v>
      </c>
      <c r="G1307" s="47" t="s">
        <v>112</v>
      </c>
      <c r="H1307" s="47" t="s">
        <v>2595</v>
      </c>
      <c r="I1307" s="46" t="s">
        <v>511</v>
      </c>
      <c r="J1307" s="47" t="s">
        <v>519</v>
      </c>
      <c r="K1307" s="47" t="s">
        <v>519</v>
      </c>
      <c r="L1307" s="47" t="s">
        <v>552</v>
      </c>
      <c r="M1307" s="47" t="s">
        <v>976</v>
      </c>
      <c r="N1307" s="47" t="s">
        <v>839</v>
      </c>
      <c r="O1307" s="54" t="s">
        <v>383</v>
      </c>
      <c r="P1307" s="44" t="s">
        <v>309</v>
      </c>
      <c r="Q1307" s="59" t="str">
        <f>MID(Tabla1[[#This Row],[Aplicación]],14,1)</f>
        <v>2</v>
      </c>
      <c r="R1307" s="35" t="s">
        <v>298</v>
      </c>
      <c r="S1307" s="59" t="str">
        <f>MID(Tabla1[[#This Row],[Aplicación]],6,2)</f>
        <v>06</v>
      </c>
      <c r="T1307" s="35" t="str">
        <f>VLOOKUP(Tabla1[[#This Row],[AREA]],Hoja1!A:B,2,FALSE)</f>
        <v>06. Educación, infancia, juventud e igualdad</v>
      </c>
      <c r="U1307" s="35" t="str">
        <f>MID(Tabla1[[#This Row],[Aplicación]],9,4)</f>
        <v>3231</v>
      </c>
      <c r="V1307" s="35" t="str">
        <f>VLOOKUP(Tabla1[[#This Row],[PROGRAMA]],Hoja1!A:B,2,FALSE)</f>
        <v>3231. Escuelas infantiles</v>
      </c>
      <c r="W1307" s="56" t="str">
        <f>MID(Tabla1[[#This Row],[Aplicación]],14,2)</f>
        <v>22</v>
      </c>
      <c r="X1307" s="56" t="str">
        <f>MID(Tabla1[[#This Row],[Aplicación]],14,6)</f>
        <v>22602</v>
      </c>
    </row>
    <row r="1308" spans="1:24" x14ac:dyDescent="0.25">
      <c r="A1308" s="55">
        <v>220230009481</v>
      </c>
      <c r="B1308" s="47" t="s">
        <v>507</v>
      </c>
      <c r="C1308" s="52">
        <v>45006</v>
      </c>
      <c r="D1308" s="46">
        <v>22023003435</v>
      </c>
      <c r="E1308" s="47" t="s">
        <v>2046</v>
      </c>
      <c r="F1308" s="53">
        <v>1500</v>
      </c>
      <c r="G1308" s="47" t="s">
        <v>112</v>
      </c>
      <c r="H1308" s="47" t="s">
        <v>2596</v>
      </c>
      <c r="I1308" s="46" t="s">
        <v>511</v>
      </c>
      <c r="J1308" s="47" t="s">
        <v>519</v>
      </c>
      <c r="K1308" s="47" t="s">
        <v>519</v>
      </c>
      <c r="L1308" s="47" t="s">
        <v>520</v>
      </c>
      <c r="M1308" s="47" t="s">
        <v>976</v>
      </c>
      <c r="N1308" s="47" t="s">
        <v>839</v>
      </c>
      <c r="O1308" s="54" t="s">
        <v>383</v>
      </c>
      <c r="P1308" s="44" t="s">
        <v>309</v>
      </c>
      <c r="Q1308" s="59" t="str">
        <f>MID(Tabla1[[#This Row],[Aplicación]],14,1)</f>
        <v>2</v>
      </c>
      <c r="R1308" s="35" t="s">
        <v>298</v>
      </c>
      <c r="S1308" s="59" t="str">
        <f>MID(Tabla1[[#This Row],[Aplicación]],6,2)</f>
        <v>06</v>
      </c>
      <c r="T1308" s="35" t="str">
        <f>VLOOKUP(Tabla1[[#This Row],[AREA]],Hoja1!A:B,2,FALSE)</f>
        <v>06. Educación, infancia, juventud e igualdad</v>
      </c>
      <c r="U1308" s="35" t="str">
        <f>MID(Tabla1[[#This Row],[Aplicación]],9,4)</f>
        <v>3321</v>
      </c>
      <c r="V1308" s="35" t="str">
        <f>VLOOKUP(Tabla1[[#This Row],[PROGRAMA]],Hoja1!A:B,2,FALSE)</f>
        <v>3321. Bibliotecas públicas</v>
      </c>
      <c r="W1308" s="56" t="str">
        <f>MID(Tabla1[[#This Row],[Aplicación]],14,2)</f>
        <v>22</v>
      </c>
      <c r="X1308" s="56" t="str">
        <f>MID(Tabla1[[#This Row],[Aplicación]],14,6)</f>
        <v>22199</v>
      </c>
    </row>
    <row r="1309" spans="1:24" x14ac:dyDescent="0.25">
      <c r="A1309" s="55">
        <v>220230011682</v>
      </c>
      <c r="B1309" s="47" t="s">
        <v>507</v>
      </c>
      <c r="C1309" s="52">
        <v>45013</v>
      </c>
      <c r="D1309" s="46">
        <v>22023003536</v>
      </c>
      <c r="E1309" s="47" t="s">
        <v>1191</v>
      </c>
      <c r="F1309" s="53">
        <v>200.1</v>
      </c>
      <c r="G1309" s="47" t="s">
        <v>112</v>
      </c>
      <c r="H1309" s="47" t="s">
        <v>2597</v>
      </c>
      <c r="I1309" s="46" t="s">
        <v>511</v>
      </c>
      <c r="J1309" s="47" t="s">
        <v>519</v>
      </c>
      <c r="K1309" s="47" t="s">
        <v>519</v>
      </c>
      <c r="L1309" s="47" t="s">
        <v>552</v>
      </c>
      <c r="M1309" s="47" t="s">
        <v>976</v>
      </c>
      <c r="N1309" s="47" t="s">
        <v>839</v>
      </c>
      <c r="O1309" s="54" t="s">
        <v>383</v>
      </c>
      <c r="P1309" s="44" t="s">
        <v>309</v>
      </c>
      <c r="Q1309" s="59" t="str">
        <f>MID(Tabla1[[#This Row],[Aplicación]],14,1)</f>
        <v>2</v>
      </c>
      <c r="R1309" s="35" t="s">
        <v>298</v>
      </c>
      <c r="S1309" s="59" t="str">
        <f>MID(Tabla1[[#This Row],[Aplicación]],6,2)</f>
        <v>06</v>
      </c>
      <c r="T1309" s="35" t="str">
        <f>VLOOKUP(Tabla1[[#This Row],[AREA]],Hoja1!A:B,2,FALSE)</f>
        <v>06. Educación, infancia, juventud e igualdad</v>
      </c>
      <c r="U1309" s="35" t="str">
        <f>MID(Tabla1[[#This Row],[Aplicación]],9,4)</f>
        <v>2315</v>
      </c>
      <c r="V1309" s="35" t="str">
        <f>VLOOKUP(Tabla1[[#This Row],[PROGRAMA]],Hoja1!A:B,2,FALSE)</f>
        <v>2315. Políticas de Igualdad e infancia</v>
      </c>
      <c r="W1309" s="56" t="str">
        <f>MID(Tabla1[[#This Row],[Aplicación]],14,2)</f>
        <v>22</v>
      </c>
      <c r="X1309" s="56" t="str">
        <f>MID(Tabla1[[#This Row],[Aplicación]],14,6)</f>
        <v>22611</v>
      </c>
    </row>
    <row r="1310" spans="1:24" x14ac:dyDescent="0.25">
      <c r="A1310" s="55">
        <v>220230011728</v>
      </c>
      <c r="B1310" s="47" t="s">
        <v>507</v>
      </c>
      <c r="C1310" s="52">
        <v>45014</v>
      </c>
      <c r="D1310" s="46">
        <v>22023003567</v>
      </c>
      <c r="E1310" s="47" t="s">
        <v>1490</v>
      </c>
      <c r="F1310" s="53">
        <v>1655.28</v>
      </c>
      <c r="G1310" s="47" t="s">
        <v>112</v>
      </c>
      <c r="H1310" s="47" t="s">
        <v>2598</v>
      </c>
      <c r="I1310" s="46" t="s">
        <v>511</v>
      </c>
      <c r="J1310" s="47" t="s">
        <v>519</v>
      </c>
      <c r="K1310" s="47" t="s">
        <v>519</v>
      </c>
      <c r="L1310" s="47" t="s">
        <v>552</v>
      </c>
      <c r="M1310" s="47" t="s">
        <v>976</v>
      </c>
      <c r="N1310" s="47" t="s">
        <v>839</v>
      </c>
      <c r="O1310" s="54" t="s">
        <v>383</v>
      </c>
      <c r="P1310" s="44" t="s">
        <v>309</v>
      </c>
      <c r="Q1310" s="59" t="str">
        <f>MID(Tabla1[[#This Row],[Aplicación]],14,1)</f>
        <v>2</v>
      </c>
      <c r="R1310" s="35" t="s">
        <v>298</v>
      </c>
      <c r="S1310" s="59" t="str">
        <f>MID(Tabla1[[#This Row],[Aplicación]],6,2)</f>
        <v>06</v>
      </c>
      <c r="T1310" s="35" t="str">
        <f>VLOOKUP(Tabla1[[#This Row],[AREA]],Hoja1!A:B,2,FALSE)</f>
        <v>06. Educación, infancia, juventud e igualdad</v>
      </c>
      <c r="U1310" s="35" t="str">
        <f>MID(Tabla1[[#This Row],[Aplicación]],9,4)</f>
        <v>2314</v>
      </c>
      <c r="V1310" s="35" t="str">
        <f>VLOOKUP(Tabla1[[#This Row],[PROGRAMA]],Hoja1!A:B,2,FALSE)</f>
        <v>2314. Centro de programas juveniles</v>
      </c>
      <c r="W1310" s="56" t="str">
        <f>MID(Tabla1[[#This Row],[Aplicación]],14,2)</f>
        <v>22</v>
      </c>
      <c r="X1310" s="56" t="str">
        <f>MID(Tabla1[[#This Row],[Aplicación]],14,6)</f>
        <v>22613</v>
      </c>
    </row>
    <row r="1311" spans="1:24" x14ac:dyDescent="0.25">
      <c r="A1311" s="46">
        <v>220230003893</v>
      </c>
      <c r="B1311" s="47" t="s">
        <v>507</v>
      </c>
      <c r="C1311" s="52">
        <v>44974</v>
      </c>
      <c r="D1311" s="46">
        <v>22023002519</v>
      </c>
      <c r="E1311" s="47" t="s">
        <v>1395</v>
      </c>
      <c r="F1311" s="53">
        <v>6292</v>
      </c>
      <c r="G1311" s="47" t="s">
        <v>485</v>
      </c>
      <c r="H1311" s="47" t="s">
        <v>2599</v>
      </c>
      <c r="I1311" s="46" t="s">
        <v>511</v>
      </c>
      <c r="J1311" s="47" t="s">
        <v>512</v>
      </c>
      <c r="K1311" s="47" t="s">
        <v>512</v>
      </c>
      <c r="L1311" s="47" t="s">
        <v>552</v>
      </c>
      <c r="M1311" s="47" t="s">
        <v>976</v>
      </c>
      <c r="N1311" s="47" t="s">
        <v>839</v>
      </c>
      <c r="O1311" s="45" t="s">
        <v>383</v>
      </c>
      <c r="P1311" s="44" t="s">
        <v>309</v>
      </c>
      <c r="Q1311" s="59" t="str">
        <f>MID(Tabla1[[#This Row],[Aplicación]],14,1)</f>
        <v>2</v>
      </c>
      <c r="R1311" s="35" t="s">
        <v>298</v>
      </c>
      <c r="S1311" s="59" t="str">
        <f>MID(Tabla1[[#This Row],[Aplicación]],6,2)</f>
        <v>07</v>
      </c>
      <c r="T1311" s="35" t="str">
        <f>VLOOKUP(Tabla1[[#This Row],[AREA]],Hoja1!A:B,2,FALSE)</f>
        <v>07. Medio ambiente y desarrollo sostenible</v>
      </c>
      <c r="U1311" s="35" t="str">
        <f>MID(Tabla1[[#This Row],[Aplicación]],9,4)</f>
        <v>1721</v>
      </c>
      <c r="V1311" s="35" t="str">
        <f>VLOOKUP(Tabla1[[#This Row],[PROGRAMA]],Hoja1!A:B,2,FALSE)</f>
        <v>1721. Protección del medio ambiente</v>
      </c>
      <c r="W1311" s="56" t="str">
        <f>MID(Tabla1[[#This Row],[Aplicación]],14,2)</f>
        <v>22</v>
      </c>
      <c r="X1311" s="56" t="str">
        <f>MID(Tabla1[[#This Row],[Aplicación]],14,6)</f>
        <v>22112</v>
      </c>
    </row>
    <row r="1312" spans="1:24" x14ac:dyDescent="0.25">
      <c r="A1312" s="46">
        <v>220230003235</v>
      </c>
      <c r="B1312" s="47" t="s">
        <v>507</v>
      </c>
      <c r="C1312" s="52">
        <v>44971</v>
      </c>
      <c r="D1312" s="46">
        <v>22023002309</v>
      </c>
      <c r="E1312" s="47" t="s">
        <v>2509</v>
      </c>
      <c r="F1312" s="53">
        <v>600</v>
      </c>
      <c r="G1312" s="47" t="s">
        <v>79</v>
      </c>
      <c r="H1312" s="47" t="s">
        <v>2600</v>
      </c>
      <c r="I1312" s="46" t="s">
        <v>511</v>
      </c>
      <c r="J1312" s="47" t="s">
        <v>519</v>
      </c>
      <c r="K1312" s="47" t="s">
        <v>519</v>
      </c>
      <c r="L1312" s="47" t="s">
        <v>552</v>
      </c>
      <c r="M1312" s="47" t="s">
        <v>976</v>
      </c>
      <c r="N1312" s="47" t="s">
        <v>839</v>
      </c>
      <c r="O1312" s="45" t="s">
        <v>383</v>
      </c>
      <c r="P1312" s="44" t="s">
        <v>309</v>
      </c>
      <c r="Q1312" s="59" t="str">
        <f>MID(Tabla1[[#This Row],[Aplicación]],14,1)</f>
        <v>2</v>
      </c>
      <c r="R1312" s="35" t="s">
        <v>298</v>
      </c>
      <c r="S1312" s="59" t="str">
        <f>MID(Tabla1[[#This Row],[Aplicación]],6,2)</f>
        <v>07</v>
      </c>
      <c r="T1312" s="35" t="str">
        <f>VLOOKUP(Tabla1[[#This Row],[AREA]],Hoja1!A:B,2,FALSE)</f>
        <v>07. Medio ambiente y desarrollo sostenible</v>
      </c>
      <c r="U1312" s="35" t="str">
        <f>MID(Tabla1[[#This Row],[Aplicación]],9,4)</f>
        <v>1711</v>
      </c>
      <c r="V1312" s="35" t="str">
        <f>VLOOKUP(Tabla1[[#This Row],[PROGRAMA]],Hoja1!A:B,2,FALSE)</f>
        <v>1711. Parques y jardines</v>
      </c>
      <c r="W1312" s="56" t="str">
        <f>MID(Tabla1[[#This Row],[Aplicación]],14,2)</f>
        <v>22</v>
      </c>
      <c r="X1312" s="56" t="str">
        <f>MID(Tabla1[[#This Row],[Aplicación]],14,6)</f>
        <v>22106</v>
      </c>
    </row>
    <row r="1313" spans="1:24" x14ac:dyDescent="0.25">
      <c r="A1313" s="46">
        <v>220230006406</v>
      </c>
      <c r="B1313" s="47" t="s">
        <v>507</v>
      </c>
      <c r="C1313" s="52">
        <v>44985</v>
      </c>
      <c r="D1313" s="46">
        <v>22023002574</v>
      </c>
      <c r="E1313" s="47" t="s">
        <v>1285</v>
      </c>
      <c r="F1313" s="53">
        <v>62</v>
      </c>
      <c r="G1313" s="47" t="s">
        <v>79</v>
      </c>
      <c r="H1313" s="47" t="s">
        <v>2601</v>
      </c>
      <c r="I1313" s="46" t="s">
        <v>511</v>
      </c>
      <c r="J1313" s="47" t="s">
        <v>519</v>
      </c>
      <c r="K1313" s="47" t="s">
        <v>519</v>
      </c>
      <c r="L1313" s="47" t="s">
        <v>552</v>
      </c>
      <c r="M1313" s="47" t="s">
        <v>976</v>
      </c>
      <c r="N1313" s="47" t="s">
        <v>839</v>
      </c>
      <c r="O1313" s="45" t="s">
        <v>383</v>
      </c>
      <c r="P1313" s="44" t="s">
        <v>309</v>
      </c>
      <c r="Q1313" s="59" t="str">
        <f>MID(Tabla1[[#This Row],[Aplicación]],14,1)</f>
        <v>2</v>
      </c>
      <c r="R1313" s="35" t="s">
        <v>298</v>
      </c>
      <c r="S1313" s="59" t="str">
        <f>MID(Tabla1[[#This Row],[Aplicación]],6,2)</f>
        <v>11</v>
      </c>
      <c r="T1313" s="35" t="str">
        <f>VLOOKUP(Tabla1[[#This Row],[AREA]],Hoja1!A:B,2,FALSE)</f>
        <v>11. Salud pública y seguridad ciudadana</v>
      </c>
      <c r="U1313" s="35" t="str">
        <f>MID(Tabla1[[#This Row],[Aplicación]],9,4)</f>
        <v>1361</v>
      </c>
      <c r="V1313" s="35" t="str">
        <f>VLOOKUP(Tabla1[[#This Row],[PROGRAMA]],Hoja1!A:B,2,FALSE)</f>
        <v>1361. Prevención y extinción de incencios</v>
      </c>
      <c r="W1313" s="56" t="str">
        <f>MID(Tabla1[[#This Row],[Aplicación]],14,2)</f>
        <v>22</v>
      </c>
      <c r="X1313" s="56" t="str">
        <f>MID(Tabla1[[#This Row],[Aplicación]],14,6)</f>
        <v>22199</v>
      </c>
    </row>
    <row r="1314" spans="1:24" x14ac:dyDescent="0.25">
      <c r="A1314" s="46">
        <v>220230006554</v>
      </c>
      <c r="B1314" s="47" t="s">
        <v>507</v>
      </c>
      <c r="C1314" s="52">
        <v>44985</v>
      </c>
      <c r="D1314" s="46">
        <v>22023001655</v>
      </c>
      <c r="E1314" s="47" t="s">
        <v>1735</v>
      </c>
      <c r="F1314" s="53">
        <v>16000</v>
      </c>
      <c r="G1314" s="47" t="s">
        <v>79</v>
      </c>
      <c r="H1314" s="47" t="s">
        <v>2602</v>
      </c>
      <c r="I1314" s="46" t="s">
        <v>511</v>
      </c>
      <c r="J1314" s="47" t="s">
        <v>519</v>
      </c>
      <c r="K1314" s="47" t="s">
        <v>519</v>
      </c>
      <c r="L1314" s="47" t="s">
        <v>552</v>
      </c>
      <c r="M1314" s="47" t="s">
        <v>976</v>
      </c>
      <c r="N1314" s="47" t="s">
        <v>839</v>
      </c>
      <c r="O1314" s="45" t="s">
        <v>383</v>
      </c>
      <c r="P1314" s="44" t="s">
        <v>309</v>
      </c>
      <c r="Q1314" s="59" t="str">
        <f>MID(Tabla1[[#This Row],[Aplicación]],14,1)</f>
        <v>2</v>
      </c>
      <c r="R1314" s="35" t="s">
        <v>298</v>
      </c>
      <c r="S1314" s="59" t="str">
        <f>MID(Tabla1[[#This Row],[Aplicación]],6,2)</f>
        <v>04</v>
      </c>
      <c r="T1314" s="35" t="str">
        <f>VLOOKUP(Tabla1[[#This Row],[AREA]],Hoja1!A:B,2,FALSE)</f>
        <v>04. Planificación y recursos</v>
      </c>
      <c r="U1314" s="35" t="str">
        <f>MID(Tabla1[[#This Row],[Aplicación]],9,4)</f>
        <v>3121</v>
      </c>
      <c r="V1314" s="35" t="str">
        <f>VLOOKUP(Tabla1[[#This Row],[PROGRAMA]],Hoja1!A:B,2,FALSE)</f>
        <v>3121. Prevención y salud laboral</v>
      </c>
      <c r="W1314" s="56" t="str">
        <f>MID(Tabla1[[#This Row],[Aplicación]],14,2)</f>
        <v>22</v>
      </c>
      <c r="X1314" s="56" t="str">
        <f>MID(Tabla1[[#This Row],[Aplicación]],14,6)</f>
        <v>22106</v>
      </c>
    </row>
    <row r="1315" spans="1:24" x14ac:dyDescent="0.25">
      <c r="A1315" s="55">
        <v>220230011738</v>
      </c>
      <c r="B1315" s="47" t="s">
        <v>507</v>
      </c>
      <c r="C1315" s="52">
        <v>45014</v>
      </c>
      <c r="D1315" s="46">
        <v>22023003543</v>
      </c>
      <c r="E1315" s="47" t="s">
        <v>1285</v>
      </c>
      <c r="F1315" s="53">
        <v>416</v>
      </c>
      <c r="G1315" s="47" t="s">
        <v>79</v>
      </c>
      <c r="H1315" s="47" t="s">
        <v>2603</v>
      </c>
      <c r="I1315" s="46" t="s">
        <v>511</v>
      </c>
      <c r="J1315" s="47" t="s">
        <v>519</v>
      </c>
      <c r="K1315" s="47" t="s">
        <v>519</v>
      </c>
      <c r="L1315" s="47" t="s">
        <v>552</v>
      </c>
      <c r="M1315" s="47" t="s">
        <v>976</v>
      </c>
      <c r="N1315" s="47" t="s">
        <v>839</v>
      </c>
      <c r="O1315" s="54" t="s">
        <v>383</v>
      </c>
      <c r="P1315" s="44" t="s">
        <v>309</v>
      </c>
      <c r="Q1315" s="59" t="str">
        <f>MID(Tabla1[[#This Row],[Aplicación]],14,1)</f>
        <v>2</v>
      </c>
      <c r="R1315" s="35" t="s">
        <v>298</v>
      </c>
      <c r="S1315" s="59" t="str">
        <f>MID(Tabla1[[#This Row],[Aplicación]],6,2)</f>
        <v>11</v>
      </c>
      <c r="T1315" s="35" t="str">
        <f>VLOOKUP(Tabla1[[#This Row],[AREA]],Hoja1!A:B,2,FALSE)</f>
        <v>11. Salud pública y seguridad ciudadana</v>
      </c>
      <c r="U1315" s="35" t="str">
        <f>MID(Tabla1[[#This Row],[Aplicación]],9,4)</f>
        <v>1361</v>
      </c>
      <c r="V1315" s="35" t="str">
        <f>VLOOKUP(Tabla1[[#This Row],[PROGRAMA]],Hoja1!A:B,2,FALSE)</f>
        <v>1361. Prevención y extinción de incencios</v>
      </c>
      <c r="W1315" s="56" t="str">
        <f>MID(Tabla1[[#This Row],[Aplicación]],14,2)</f>
        <v>22</v>
      </c>
      <c r="X1315" s="56" t="str">
        <f>MID(Tabla1[[#This Row],[Aplicación]],14,6)</f>
        <v>22199</v>
      </c>
    </row>
    <row r="1316" spans="1:24" x14ac:dyDescent="0.25">
      <c r="A1316" s="46">
        <v>220230001938</v>
      </c>
      <c r="B1316" s="47" t="s">
        <v>507</v>
      </c>
      <c r="C1316" s="52">
        <v>44960</v>
      </c>
      <c r="D1316" s="46">
        <v>22023001328</v>
      </c>
      <c r="E1316" s="47" t="s">
        <v>1667</v>
      </c>
      <c r="F1316" s="53">
        <v>7253.95</v>
      </c>
      <c r="G1316" s="47" t="s">
        <v>91</v>
      </c>
      <c r="H1316" s="47" t="s">
        <v>2604</v>
      </c>
      <c r="I1316" s="46" t="s">
        <v>511</v>
      </c>
      <c r="J1316" s="47" t="s">
        <v>519</v>
      </c>
      <c r="K1316" s="47" t="s">
        <v>519</v>
      </c>
      <c r="L1316" s="47" t="s">
        <v>552</v>
      </c>
      <c r="M1316" s="47" t="s">
        <v>976</v>
      </c>
      <c r="N1316" s="47" t="s">
        <v>839</v>
      </c>
      <c r="O1316" s="45" t="s">
        <v>383</v>
      </c>
      <c r="P1316" s="44" t="s">
        <v>309</v>
      </c>
      <c r="Q1316" s="59" t="str">
        <f>MID(Tabla1[[#This Row],[Aplicación]],14,1)</f>
        <v>2</v>
      </c>
      <c r="R1316" s="35" t="s">
        <v>298</v>
      </c>
      <c r="S1316" s="59" t="str">
        <f>MID(Tabla1[[#This Row],[Aplicación]],6,2)</f>
        <v>01</v>
      </c>
      <c r="T1316" s="35" t="str">
        <f>VLOOKUP(Tabla1[[#This Row],[AREA]],Hoja1!A:B,2,FALSE)</f>
        <v>01. Alcaldía</v>
      </c>
      <c r="U1316" s="35" t="str">
        <f>MID(Tabla1[[#This Row],[Aplicación]],9,4)</f>
        <v>9205</v>
      </c>
      <c r="V1316" s="35" t="str">
        <f>VLOOKUP(Tabla1[[#This Row],[PROGRAMA]],Hoja1!A:B,2,FALSE)</f>
        <v>9205. Imprenta municipal</v>
      </c>
      <c r="W1316" s="56" t="str">
        <f>MID(Tabla1[[#This Row],[Aplicación]],14,2)</f>
        <v>22</v>
      </c>
      <c r="X1316" s="56" t="str">
        <f>MID(Tabla1[[#This Row],[Aplicación]],14,6)</f>
        <v>22199</v>
      </c>
    </row>
    <row r="1317" spans="1:24" x14ac:dyDescent="0.25">
      <c r="A1317" s="46">
        <v>220230001930</v>
      </c>
      <c r="B1317" s="47" t="s">
        <v>507</v>
      </c>
      <c r="C1317" s="52">
        <v>44960</v>
      </c>
      <c r="D1317" s="46">
        <v>22023000190</v>
      </c>
      <c r="E1317" s="47" t="s">
        <v>835</v>
      </c>
      <c r="F1317" s="53">
        <v>6534</v>
      </c>
      <c r="G1317" s="47" t="s">
        <v>2605</v>
      </c>
      <c r="H1317" s="47" t="s">
        <v>2606</v>
      </c>
      <c r="I1317" s="46" t="s">
        <v>511</v>
      </c>
      <c r="J1317" s="47" t="s">
        <v>519</v>
      </c>
      <c r="K1317" s="47" t="s">
        <v>519</v>
      </c>
      <c r="L1317" s="47" t="s">
        <v>520</v>
      </c>
      <c r="M1317" s="47" t="s">
        <v>976</v>
      </c>
      <c r="N1317" s="47" t="s">
        <v>839</v>
      </c>
      <c r="O1317" s="45" t="s">
        <v>383</v>
      </c>
      <c r="P1317" s="44" t="s">
        <v>309</v>
      </c>
      <c r="Q1317" s="59" t="str">
        <f>MID(Tabla1[[#This Row],[Aplicación]],14,1)</f>
        <v>2</v>
      </c>
      <c r="R1317" s="35" t="s">
        <v>298</v>
      </c>
      <c r="S1317" s="59" t="str">
        <f>MID(Tabla1[[#This Row],[Aplicación]],6,2)</f>
        <v>05</v>
      </c>
      <c r="T1317" s="35" t="str">
        <f>VLOOKUP(Tabla1[[#This Row],[AREA]],Hoja1!A:B,2,FALSE)</f>
        <v>05. Innovación, desarrollo económico, empleo y comercio</v>
      </c>
      <c r="U1317" s="35" t="str">
        <f>MID(Tabla1[[#This Row],[Aplicación]],9,4)</f>
        <v>4331</v>
      </c>
      <c r="V1317" s="35" t="str">
        <f>VLOOKUP(Tabla1[[#This Row],[PROGRAMA]],Hoja1!A:B,2,FALSE)</f>
        <v>4331. Desarrollo empresarial</v>
      </c>
      <c r="W1317" s="56" t="str">
        <f>MID(Tabla1[[#This Row],[Aplicación]],14,2)</f>
        <v>22</v>
      </c>
      <c r="X1317" s="56" t="str">
        <f>MID(Tabla1[[#This Row],[Aplicación]],14,6)</f>
        <v>22799</v>
      </c>
    </row>
    <row r="1318" spans="1:24" x14ac:dyDescent="0.25">
      <c r="A1318" s="46">
        <v>220230000038</v>
      </c>
      <c r="B1318" s="47" t="s">
        <v>507</v>
      </c>
      <c r="C1318" s="52">
        <v>44927</v>
      </c>
      <c r="D1318" s="46">
        <v>22023000525</v>
      </c>
      <c r="E1318" s="47" t="s">
        <v>1150</v>
      </c>
      <c r="F1318" s="53">
        <v>6451.91</v>
      </c>
      <c r="G1318" s="47" t="s">
        <v>73</v>
      </c>
      <c r="H1318" s="47" t="s">
        <v>2607</v>
      </c>
      <c r="I1318" s="46" t="s">
        <v>511</v>
      </c>
      <c r="J1318" s="47" t="s">
        <v>519</v>
      </c>
      <c r="K1318" s="47" t="s">
        <v>512</v>
      </c>
      <c r="L1318" s="47" t="s">
        <v>520</v>
      </c>
      <c r="M1318" s="47" t="s">
        <v>514</v>
      </c>
      <c r="N1318" s="47" t="s">
        <v>604</v>
      </c>
      <c r="O1318" s="45" t="s">
        <v>371</v>
      </c>
      <c r="P1318" s="44" t="s">
        <v>309</v>
      </c>
      <c r="Q1318" s="59" t="str">
        <f>MID(Tabla1[[#This Row],[Aplicación]],14,1)</f>
        <v>2</v>
      </c>
      <c r="R1318" s="35" t="s">
        <v>298</v>
      </c>
      <c r="S1318" s="59" t="str">
        <f>MID(Tabla1[[#This Row],[Aplicación]],6,2)</f>
        <v>03</v>
      </c>
      <c r="T1318" s="35" t="str">
        <f>VLOOKUP(Tabla1[[#This Row],[AREA]],Hoja1!A:B,2,FALSE)</f>
        <v>03. Participación ciudadana y deportes</v>
      </c>
      <c r="U1318" s="35" t="str">
        <f>MID(Tabla1[[#This Row],[Aplicación]],9,4)</f>
        <v>9241</v>
      </c>
      <c r="V1318" s="35" t="str">
        <f>VLOOKUP(Tabla1[[#This Row],[PROGRAMA]],Hoja1!A:B,2,FALSE)</f>
        <v>9241. Participación ciudadana</v>
      </c>
      <c r="W1318" s="56" t="str">
        <f>MID(Tabla1[[#This Row],[Aplicación]],14,2)</f>
        <v>21</v>
      </c>
      <c r="X1318" s="56" t="str">
        <f>MID(Tabla1[[#This Row],[Aplicación]],14,6)</f>
        <v>213</v>
      </c>
    </row>
    <row r="1319" spans="1:24" x14ac:dyDescent="0.25">
      <c r="A1319" s="46">
        <v>220230002018</v>
      </c>
      <c r="B1319" s="47" t="s">
        <v>507</v>
      </c>
      <c r="C1319" s="52">
        <v>44960</v>
      </c>
      <c r="D1319" s="46">
        <v>22023001510</v>
      </c>
      <c r="E1319" s="47" t="s">
        <v>1150</v>
      </c>
      <c r="F1319" s="53">
        <v>4140.2700000000004</v>
      </c>
      <c r="G1319" s="47" t="s">
        <v>73</v>
      </c>
      <c r="H1319" s="47" t="s">
        <v>2608</v>
      </c>
      <c r="I1319" s="46" t="s">
        <v>511</v>
      </c>
      <c r="J1319" s="47" t="s">
        <v>519</v>
      </c>
      <c r="K1319" s="47" t="s">
        <v>512</v>
      </c>
      <c r="L1319" s="47" t="s">
        <v>552</v>
      </c>
      <c r="M1319" s="47" t="s">
        <v>976</v>
      </c>
      <c r="N1319" s="47" t="s">
        <v>839</v>
      </c>
      <c r="O1319" s="45" t="s">
        <v>383</v>
      </c>
      <c r="P1319" s="44" t="s">
        <v>309</v>
      </c>
      <c r="Q1319" s="59" t="str">
        <f>MID(Tabla1[[#This Row],[Aplicación]],14,1)</f>
        <v>2</v>
      </c>
      <c r="R1319" s="35" t="s">
        <v>298</v>
      </c>
      <c r="S1319" s="59" t="str">
        <f>MID(Tabla1[[#This Row],[Aplicación]],6,2)</f>
        <v>03</v>
      </c>
      <c r="T1319" s="35" t="str">
        <f>VLOOKUP(Tabla1[[#This Row],[AREA]],Hoja1!A:B,2,FALSE)</f>
        <v>03. Participación ciudadana y deportes</v>
      </c>
      <c r="U1319" s="35" t="str">
        <f>MID(Tabla1[[#This Row],[Aplicación]],9,4)</f>
        <v>9241</v>
      </c>
      <c r="V1319" s="35" t="str">
        <f>VLOOKUP(Tabla1[[#This Row],[PROGRAMA]],Hoja1!A:B,2,FALSE)</f>
        <v>9241. Participación ciudadana</v>
      </c>
      <c r="W1319" s="56" t="str">
        <f>MID(Tabla1[[#This Row],[Aplicación]],14,2)</f>
        <v>21</v>
      </c>
      <c r="X1319" s="56" t="str">
        <f>MID(Tabla1[[#This Row],[Aplicación]],14,6)</f>
        <v>213</v>
      </c>
    </row>
    <row r="1320" spans="1:24" x14ac:dyDescent="0.25">
      <c r="A1320" s="46">
        <v>220230003789</v>
      </c>
      <c r="B1320" s="47" t="s">
        <v>507</v>
      </c>
      <c r="C1320" s="52">
        <v>44974</v>
      </c>
      <c r="D1320" s="46">
        <v>22023002471</v>
      </c>
      <c r="E1320" s="47" t="s">
        <v>1150</v>
      </c>
      <c r="F1320" s="53">
        <v>328.85</v>
      </c>
      <c r="G1320" s="47" t="s">
        <v>73</v>
      </c>
      <c r="H1320" s="47" t="s">
        <v>2609</v>
      </c>
      <c r="I1320" s="46" t="s">
        <v>511</v>
      </c>
      <c r="J1320" s="47" t="s">
        <v>519</v>
      </c>
      <c r="K1320" s="47" t="s">
        <v>512</v>
      </c>
      <c r="L1320" s="47" t="s">
        <v>552</v>
      </c>
      <c r="M1320" s="47" t="s">
        <v>976</v>
      </c>
      <c r="N1320" s="47" t="s">
        <v>839</v>
      </c>
      <c r="O1320" s="45" t="s">
        <v>383</v>
      </c>
      <c r="P1320" s="44" t="s">
        <v>309</v>
      </c>
      <c r="Q1320" s="59" t="str">
        <f>MID(Tabla1[[#This Row],[Aplicación]],14,1)</f>
        <v>2</v>
      </c>
      <c r="R1320" s="35" t="s">
        <v>298</v>
      </c>
      <c r="S1320" s="59" t="str">
        <f>MID(Tabla1[[#This Row],[Aplicación]],6,2)</f>
        <v>03</v>
      </c>
      <c r="T1320" s="35" t="str">
        <f>VLOOKUP(Tabla1[[#This Row],[AREA]],Hoja1!A:B,2,FALSE)</f>
        <v>03. Participación ciudadana y deportes</v>
      </c>
      <c r="U1320" s="35" t="str">
        <f>MID(Tabla1[[#This Row],[Aplicación]],9,4)</f>
        <v>9241</v>
      </c>
      <c r="V1320" s="35" t="str">
        <f>VLOOKUP(Tabla1[[#This Row],[PROGRAMA]],Hoja1!A:B,2,FALSE)</f>
        <v>9241. Participación ciudadana</v>
      </c>
      <c r="W1320" s="56" t="str">
        <f>MID(Tabla1[[#This Row],[Aplicación]],14,2)</f>
        <v>21</v>
      </c>
      <c r="X1320" s="56" t="str">
        <f>MID(Tabla1[[#This Row],[Aplicación]],14,6)</f>
        <v>213</v>
      </c>
    </row>
    <row r="1321" spans="1:24" x14ac:dyDescent="0.25">
      <c r="A1321" s="46">
        <v>220230006125</v>
      </c>
      <c r="B1321" s="47" t="s">
        <v>1514</v>
      </c>
      <c r="C1321" s="52">
        <v>44980</v>
      </c>
      <c r="D1321" s="46">
        <v>22023001608</v>
      </c>
      <c r="E1321" s="47" t="s">
        <v>1728</v>
      </c>
      <c r="F1321" s="53">
        <v>180</v>
      </c>
      <c r="G1321" s="47" t="s">
        <v>2025</v>
      </c>
      <c r="H1321" s="47" t="s">
        <v>2610</v>
      </c>
      <c r="I1321" s="46" t="s">
        <v>1517</v>
      </c>
      <c r="J1321" s="47" t="s">
        <v>519</v>
      </c>
      <c r="K1321" s="47" t="s">
        <v>519</v>
      </c>
      <c r="L1321" s="47" t="s">
        <v>520</v>
      </c>
      <c r="M1321" s="47" t="s">
        <v>514</v>
      </c>
      <c r="N1321" s="47" t="s">
        <v>515</v>
      </c>
      <c r="O1321" s="45" t="s">
        <v>382</v>
      </c>
      <c r="P1321" s="44" t="s">
        <v>309</v>
      </c>
      <c r="Q1321" s="59" t="str">
        <f>MID(Tabla1[[#This Row],[Aplicación]],14,1)</f>
        <v>2</v>
      </c>
      <c r="R1321" s="35" t="s">
        <v>298</v>
      </c>
      <c r="S1321" s="59" t="str">
        <f>MID(Tabla1[[#This Row],[Aplicación]],6,2)</f>
        <v>08</v>
      </c>
      <c r="T1321" s="35" t="str">
        <f>VLOOKUP(Tabla1[[#This Row],[AREA]],Hoja1!A:B,2,FALSE)</f>
        <v>08. Movilidad y espacio urbano</v>
      </c>
      <c r="U1321" s="35" t="str">
        <f>MID(Tabla1[[#This Row],[Aplicación]],9,4)</f>
        <v>1532</v>
      </c>
      <c r="V1321" s="35" t="str">
        <f>VLOOKUP(Tabla1[[#This Row],[PROGRAMA]],Hoja1!A:B,2,FALSE)</f>
        <v>1532. Pavimentación vias públicas y otros servicios urbanísticos</v>
      </c>
      <c r="W1321" s="56" t="str">
        <f>MID(Tabla1[[#This Row],[Aplicación]],14,2)</f>
        <v>21</v>
      </c>
      <c r="X1321" s="56" t="str">
        <f>MID(Tabla1[[#This Row],[Aplicación]],14,6)</f>
        <v>214</v>
      </c>
    </row>
    <row r="1322" spans="1:24" x14ac:dyDescent="0.25">
      <c r="A1322" s="46">
        <v>220230003788</v>
      </c>
      <c r="B1322" s="47" t="s">
        <v>507</v>
      </c>
      <c r="C1322" s="52">
        <v>44974</v>
      </c>
      <c r="D1322" s="46">
        <v>22023002470</v>
      </c>
      <c r="E1322" s="47" t="s">
        <v>1150</v>
      </c>
      <c r="F1322" s="53">
        <v>1444.74</v>
      </c>
      <c r="G1322" s="47" t="s">
        <v>73</v>
      </c>
      <c r="H1322" s="47" t="s">
        <v>2611</v>
      </c>
      <c r="I1322" s="46" t="s">
        <v>511</v>
      </c>
      <c r="J1322" s="47" t="s">
        <v>519</v>
      </c>
      <c r="K1322" s="47" t="s">
        <v>512</v>
      </c>
      <c r="L1322" s="47" t="s">
        <v>552</v>
      </c>
      <c r="M1322" s="47" t="s">
        <v>976</v>
      </c>
      <c r="N1322" s="47" t="s">
        <v>839</v>
      </c>
      <c r="O1322" s="45" t="s">
        <v>383</v>
      </c>
      <c r="P1322" s="44" t="s">
        <v>309</v>
      </c>
      <c r="Q1322" s="59" t="str">
        <f>MID(Tabla1[[#This Row],[Aplicación]],14,1)</f>
        <v>2</v>
      </c>
      <c r="R1322" s="35" t="s">
        <v>298</v>
      </c>
      <c r="S1322" s="59" t="str">
        <f>MID(Tabla1[[#This Row],[Aplicación]],6,2)</f>
        <v>03</v>
      </c>
      <c r="T1322" s="35" t="str">
        <f>VLOOKUP(Tabla1[[#This Row],[AREA]],Hoja1!A:B,2,FALSE)</f>
        <v>03. Participación ciudadana y deportes</v>
      </c>
      <c r="U1322" s="35" t="str">
        <f>MID(Tabla1[[#This Row],[Aplicación]],9,4)</f>
        <v>9241</v>
      </c>
      <c r="V1322" s="35" t="str">
        <f>VLOOKUP(Tabla1[[#This Row],[PROGRAMA]],Hoja1!A:B,2,FALSE)</f>
        <v>9241. Participación ciudadana</v>
      </c>
      <c r="W1322" s="56" t="str">
        <f>MID(Tabla1[[#This Row],[Aplicación]],14,2)</f>
        <v>21</v>
      </c>
      <c r="X1322" s="56" t="str">
        <f>MID(Tabla1[[#This Row],[Aplicación]],14,6)</f>
        <v>213</v>
      </c>
    </row>
    <row r="1323" spans="1:24" x14ac:dyDescent="0.25">
      <c r="A1323" s="46">
        <v>220230003790</v>
      </c>
      <c r="B1323" s="47" t="s">
        <v>507</v>
      </c>
      <c r="C1323" s="52">
        <v>44974</v>
      </c>
      <c r="D1323" s="46">
        <v>22023002472</v>
      </c>
      <c r="E1323" s="47" t="s">
        <v>1150</v>
      </c>
      <c r="F1323" s="53">
        <v>1559.14</v>
      </c>
      <c r="G1323" s="47" t="s">
        <v>73</v>
      </c>
      <c r="H1323" s="47" t="s">
        <v>2612</v>
      </c>
      <c r="I1323" s="46" t="s">
        <v>511</v>
      </c>
      <c r="J1323" s="47" t="s">
        <v>519</v>
      </c>
      <c r="K1323" s="47" t="s">
        <v>512</v>
      </c>
      <c r="L1323" s="47" t="s">
        <v>552</v>
      </c>
      <c r="M1323" s="47" t="s">
        <v>976</v>
      </c>
      <c r="N1323" s="47" t="s">
        <v>839</v>
      </c>
      <c r="O1323" s="45" t="s">
        <v>383</v>
      </c>
      <c r="P1323" s="44" t="s">
        <v>309</v>
      </c>
      <c r="Q1323" s="59" t="str">
        <f>MID(Tabla1[[#This Row],[Aplicación]],14,1)</f>
        <v>2</v>
      </c>
      <c r="R1323" s="35" t="s">
        <v>298</v>
      </c>
      <c r="S1323" s="59" t="str">
        <f>MID(Tabla1[[#This Row],[Aplicación]],6,2)</f>
        <v>03</v>
      </c>
      <c r="T1323" s="35" t="str">
        <f>VLOOKUP(Tabla1[[#This Row],[AREA]],Hoja1!A:B,2,FALSE)</f>
        <v>03. Participación ciudadana y deportes</v>
      </c>
      <c r="U1323" s="35" t="str">
        <f>MID(Tabla1[[#This Row],[Aplicación]],9,4)</f>
        <v>9241</v>
      </c>
      <c r="V1323" s="35" t="str">
        <f>VLOOKUP(Tabla1[[#This Row],[PROGRAMA]],Hoja1!A:B,2,FALSE)</f>
        <v>9241. Participación ciudadana</v>
      </c>
      <c r="W1323" s="56" t="str">
        <f>MID(Tabla1[[#This Row],[Aplicación]],14,2)</f>
        <v>21</v>
      </c>
      <c r="X1323" s="56" t="str">
        <f>MID(Tabla1[[#This Row],[Aplicación]],14,6)</f>
        <v>213</v>
      </c>
    </row>
    <row r="1324" spans="1:24" x14ac:dyDescent="0.25">
      <c r="A1324" s="46">
        <v>220230004422</v>
      </c>
      <c r="B1324" s="47" t="s">
        <v>1249</v>
      </c>
      <c r="C1324" s="52">
        <v>44978</v>
      </c>
      <c r="D1324" s="46">
        <v>22023002490</v>
      </c>
      <c r="E1324" s="47" t="s">
        <v>1150</v>
      </c>
      <c r="F1324" s="53">
        <v>387.27</v>
      </c>
      <c r="G1324" s="47" t="s">
        <v>73</v>
      </c>
      <c r="H1324" s="47" t="s">
        <v>2613</v>
      </c>
      <c r="I1324" s="46" t="s">
        <v>1251</v>
      </c>
      <c r="J1324" s="47" t="s">
        <v>519</v>
      </c>
      <c r="K1324" s="47" t="s">
        <v>512</v>
      </c>
      <c r="L1324" s="47" t="s">
        <v>552</v>
      </c>
      <c r="M1324" s="47" t="s">
        <v>976</v>
      </c>
      <c r="N1324" s="47" t="s">
        <v>839</v>
      </c>
      <c r="O1324" s="45" t="s">
        <v>383</v>
      </c>
      <c r="P1324" s="44" t="s">
        <v>309</v>
      </c>
      <c r="Q1324" s="59" t="str">
        <f>MID(Tabla1[[#This Row],[Aplicación]],14,1)</f>
        <v>2</v>
      </c>
      <c r="R1324" s="35" t="s">
        <v>298</v>
      </c>
      <c r="S1324" s="59" t="str">
        <f>MID(Tabla1[[#This Row],[Aplicación]],6,2)</f>
        <v>03</v>
      </c>
      <c r="T1324" s="35" t="str">
        <f>VLOOKUP(Tabla1[[#This Row],[AREA]],Hoja1!A:B,2,FALSE)</f>
        <v>03. Participación ciudadana y deportes</v>
      </c>
      <c r="U1324" s="35" t="str">
        <f>MID(Tabla1[[#This Row],[Aplicación]],9,4)</f>
        <v>9241</v>
      </c>
      <c r="V1324" s="35" t="str">
        <f>VLOOKUP(Tabla1[[#This Row],[PROGRAMA]],Hoja1!A:B,2,FALSE)</f>
        <v>9241. Participación ciudadana</v>
      </c>
      <c r="W1324" s="56" t="str">
        <f>MID(Tabla1[[#This Row],[Aplicación]],14,2)</f>
        <v>21</v>
      </c>
      <c r="X1324" s="56" t="str">
        <f>MID(Tabla1[[#This Row],[Aplicación]],14,6)</f>
        <v>213</v>
      </c>
    </row>
    <row r="1325" spans="1:24" x14ac:dyDescent="0.25">
      <c r="A1325" s="55">
        <v>220230009501</v>
      </c>
      <c r="B1325" s="47" t="s">
        <v>507</v>
      </c>
      <c r="C1325" s="52">
        <v>45006</v>
      </c>
      <c r="D1325" s="46">
        <v>22023003420</v>
      </c>
      <c r="E1325" s="47" t="s">
        <v>1150</v>
      </c>
      <c r="F1325" s="53">
        <v>6966.76</v>
      </c>
      <c r="G1325" s="47" t="s">
        <v>73</v>
      </c>
      <c r="H1325" s="47" t="s">
        <v>2614</v>
      </c>
      <c r="I1325" s="46" t="s">
        <v>511</v>
      </c>
      <c r="J1325" s="47" t="s">
        <v>519</v>
      </c>
      <c r="K1325" s="47" t="s">
        <v>512</v>
      </c>
      <c r="L1325" s="47" t="s">
        <v>552</v>
      </c>
      <c r="M1325" s="47" t="s">
        <v>976</v>
      </c>
      <c r="N1325" s="47" t="s">
        <v>839</v>
      </c>
      <c r="O1325" s="54" t="s">
        <v>383</v>
      </c>
      <c r="P1325" s="44" t="s">
        <v>309</v>
      </c>
      <c r="Q1325" s="59" t="str">
        <f>MID(Tabla1[[#This Row],[Aplicación]],14,1)</f>
        <v>2</v>
      </c>
      <c r="R1325" s="35" t="s">
        <v>298</v>
      </c>
      <c r="S1325" s="59" t="str">
        <f>MID(Tabla1[[#This Row],[Aplicación]],6,2)</f>
        <v>03</v>
      </c>
      <c r="T1325" s="35" t="str">
        <f>VLOOKUP(Tabla1[[#This Row],[AREA]],Hoja1!A:B,2,FALSE)</f>
        <v>03. Participación ciudadana y deportes</v>
      </c>
      <c r="U1325" s="35" t="str">
        <f>MID(Tabla1[[#This Row],[Aplicación]],9,4)</f>
        <v>9241</v>
      </c>
      <c r="V1325" s="35" t="str">
        <f>VLOOKUP(Tabla1[[#This Row],[PROGRAMA]],Hoja1!A:B,2,FALSE)</f>
        <v>9241. Participación ciudadana</v>
      </c>
      <c r="W1325" s="56" t="str">
        <f>MID(Tabla1[[#This Row],[Aplicación]],14,2)</f>
        <v>21</v>
      </c>
      <c r="X1325" s="56" t="str">
        <f>MID(Tabla1[[#This Row],[Aplicación]],14,6)</f>
        <v>213</v>
      </c>
    </row>
    <row r="1326" spans="1:24" x14ac:dyDescent="0.25">
      <c r="A1326" s="46">
        <v>220230006313</v>
      </c>
      <c r="B1326" s="47" t="s">
        <v>1514</v>
      </c>
      <c r="C1326" s="52">
        <v>44981</v>
      </c>
      <c r="D1326" s="46">
        <v>22023001469</v>
      </c>
      <c r="E1326" s="47" t="s">
        <v>1683</v>
      </c>
      <c r="F1326" s="53">
        <v>1034.99</v>
      </c>
      <c r="G1326" s="47" t="s">
        <v>981</v>
      </c>
      <c r="H1326" s="47" t="s">
        <v>2615</v>
      </c>
      <c r="I1326" s="46" t="s">
        <v>1517</v>
      </c>
      <c r="J1326" s="47" t="s">
        <v>519</v>
      </c>
      <c r="K1326" s="47" t="s">
        <v>519</v>
      </c>
      <c r="L1326" s="47" t="s">
        <v>520</v>
      </c>
      <c r="M1326" s="47" t="s">
        <v>514</v>
      </c>
      <c r="N1326" s="47" t="s">
        <v>515</v>
      </c>
      <c r="O1326" s="45" t="s">
        <v>382</v>
      </c>
      <c r="P1326" s="44" t="s">
        <v>309</v>
      </c>
      <c r="Q1326" s="59" t="str">
        <f>MID(Tabla1[[#This Row],[Aplicación]],14,1)</f>
        <v>2</v>
      </c>
      <c r="R1326" s="35" t="s">
        <v>298</v>
      </c>
      <c r="S1326" s="59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35" t="str">
        <f>MID(Tabla1[[#This Row],[Aplicación]],9,4)</f>
        <v>1631</v>
      </c>
      <c r="V1326" s="35" t="str">
        <f>VLOOKUP(Tabla1[[#This Row],[PROGRAMA]],Hoja1!A:B,2,FALSE)</f>
        <v>1631. Limpieza viaria</v>
      </c>
      <c r="W1326" s="56" t="str">
        <f>MID(Tabla1[[#This Row],[Aplicación]],14,2)</f>
        <v>21</v>
      </c>
      <c r="X1326" s="56" t="str">
        <f>MID(Tabla1[[#This Row],[Aplicación]],14,6)</f>
        <v>214</v>
      </c>
    </row>
    <row r="1327" spans="1:24" x14ac:dyDescent="0.25">
      <c r="A1327" s="46">
        <v>220230006281</v>
      </c>
      <c r="B1327" s="47" t="s">
        <v>1514</v>
      </c>
      <c r="C1327" s="52">
        <v>44981</v>
      </c>
      <c r="D1327" s="46">
        <v>22023001462</v>
      </c>
      <c r="E1327" s="47" t="s">
        <v>1290</v>
      </c>
      <c r="F1327" s="53">
        <v>2724.91</v>
      </c>
      <c r="G1327" s="47" t="s">
        <v>2257</v>
      </c>
      <c r="H1327" s="47" t="s">
        <v>2616</v>
      </c>
      <c r="I1327" s="46" t="s">
        <v>1517</v>
      </c>
      <c r="J1327" s="47" t="s">
        <v>519</v>
      </c>
      <c r="K1327" s="47" t="s">
        <v>519</v>
      </c>
      <c r="L1327" s="47" t="s">
        <v>552</v>
      </c>
      <c r="M1327" s="47" t="s">
        <v>514</v>
      </c>
      <c r="N1327" s="47" t="s">
        <v>515</v>
      </c>
      <c r="O1327" s="45" t="s">
        <v>382</v>
      </c>
      <c r="P1327" s="44" t="s">
        <v>309</v>
      </c>
      <c r="Q1327" s="59" t="str">
        <f>MID(Tabla1[[#This Row],[Aplicación]],14,1)</f>
        <v>2</v>
      </c>
      <c r="R1327" s="35" t="s">
        <v>298</v>
      </c>
      <c r="S1327" s="59" t="str">
        <f>MID(Tabla1[[#This Row],[Aplicación]],6,2)</f>
        <v>11</v>
      </c>
      <c r="T1327" s="35" t="str">
        <f>VLOOKUP(Tabla1[[#This Row],[AREA]],Hoja1!A:B,2,FALSE)</f>
        <v>11. Salud pública y seguridad ciudadana</v>
      </c>
      <c r="U1327" s="35" t="str">
        <f>MID(Tabla1[[#This Row],[Aplicación]],9,4)</f>
        <v>1621</v>
      </c>
      <c r="V1327" s="35" t="str">
        <f>VLOOKUP(Tabla1[[#This Row],[PROGRAMA]],Hoja1!A:B,2,FALSE)</f>
        <v>1621. Servicio de limpieza</v>
      </c>
      <c r="W1327" s="56" t="str">
        <f>MID(Tabla1[[#This Row],[Aplicación]],14,2)</f>
        <v>21</v>
      </c>
      <c r="X1327" s="56" t="str">
        <f>MID(Tabla1[[#This Row],[Aplicación]],14,6)</f>
        <v>214</v>
      </c>
    </row>
    <row r="1328" spans="1:24" x14ac:dyDescent="0.25">
      <c r="A1328" s="46">
        <v>220230006227</v>
      </c>
      <c r="B1328" s="47" t="s">
        <v>1514</v>
      </c>
      <c r="C1328" s="52">
        <v>44981</v>
      </c>
      <c r="D1328" s="46">
        <v>22023001462</v>
      </c>
      <c r="E1328" s="47" t="s">
        <v>1290</v>
      </c>
      <c r="F1328" s="53">
        <v>1212.29</v>
      </c>
      <c r="G1328" s="47" t="s">
        <v>2257</v>
      </c>
      <c r="H1328" s="47" t="s">
        <v>2617</v>
      </c>
      <c r="I1328" s="46" t="s">
        <v>1517</v>
      </c>
      <c r="J1328" s="47" t="s">
        <v>519</v>
      </c>
      <c r="K1328" s="47" t="s">
        <v>519</v>
      </c>
      <c r="L1328" s="47" t="s">
        <v>552</v>
      </c>
      <c r="M1328" s="47" t="s">
        <v>514</v>
      </c>
      <c r="N1328" s="47" t="s">
        <v>515</v>
      </c>
      <c r="O1328" s="45" t="s">
        <v>382</v>
      </c>
      <c r="P1328" s="44" t="s">
        <v>309</v>
      </c>
      <c r="Q1328" s="59" t="str">
        <f>MID(Tabla1[[#This Row],[Aplicación]],14,1)</f>
        <v>2</v>
      </c>
      <c r="R1328" s="35" t="s">
        <v>298</v>
      </c>
      <c r="S1328" s="59" t="str">
        <f>MID(Tabla1[[#This Row],[Aplicación]],6,2)</f>
        <v>11</v>
      </c>
      <c r="T1328" s="35" t="str">
        <f>VLOOKUP(Tabla1[[#This Row],[AREA]],Hoja1!A:B,2,FALSE)</f>
        <v>11. Salud pública y seguridad ciudadana</v>
      </c>
      <c r="U1328" s="35" t="str">
        <f>MID(Tabla1[[#This Row],[Aplicación]],9,4)</f>
        <v>1621</v>
      </c>
      <c r="V1328" s="35" t="str">
        <f>VLOOKUP(Tabla1[[#This Row],[PROGRAMA]],Hoja1!A:B,2,FALSE)</f>
        <v>1621. Servicio de limpieza</v>
      </c>
      <c r="W1328" s="56" t="str">
        <f>MID(Tabla1[[#This Row],[Aplicación]],14,2)</f>
        <v>21</v>
      </c>
      <c r="X1328" s="56" t="str">
        <f>MID(Tabla1[[#This Row],[Aplicación]],14,6)</f>
        <v>214</v>
      </c>
    </row>
    <row r="1329" spans="1:24" x14ac:dyDescent="0.25">
      <c r="A1329" s="46">
        <v>220230006400</v>
      </c>
      <c r="B1329" s="47" t="s">
        <v>507</v>
      </c>
      <c r="C1329" s="52">
        <v>44981</v>
      </c>
      <c r="D1329" s="46">
        <v>22023002668</v>
      </c>
      <c r="E1329" s="47" t="s">
        <v>835</v>
      </c>
      <c r="F1329" s="53">
        <v>12500</v>
      </c>
      <c r="G1329" s="47" t="s">
        <v>433</v>
      </c>
      <c r="H1329" s="47" t="s">
        <v>2618</v>
      </c>
      <c r="I1329" s="46" t="s">
        <v>511</v>
      </c>
      <c r="J1329" s="47" t="s">
        <v>519</v>
      </c>
      <c r="K1329" s="47" t="s">
        <v>519</v>
      </c>
      <c r="L1329" s="47" t="s">
        <v>520</v>
      </c>
      <c r="M1329" s="47" t="s">
        <v>976</v>
      </c>
      <c r="N1329" s="47" t="s">
        <v>839</v>
      </c>
      <c r="O1329" s="45" t="s">
        <v>383</v>
      </c>
      <c r="P1329" s="44" t="s">
        <v>309</v>
      </c>
      <c r="Q1329" s="59" t="str">
        <f>MID(Tabla1[[#This Row],[Aplicación]],14,1)</f>
        <v>2</v>
      </c>
      <c r="R1329" s="35" t="s">
        <v>298</v>
      </c>
      <c r="S1329" s="59" t="str">
        <f>MID(Tabla1[[#This Row],[Aplicación]],6,2)</f>
        <v>05</v>
      </c>
      <c r="T1329" s="35" t="str">
        <f>VLOOKUP(Tabla1[[#This Row],[AREA]],Hoja1!A:B,2,FALSE)</f>
        <v>05. Innovación, desarrollo económico, empleo y comercio</v>
      </c>
      <c r="U1329" s="35" t="str">
        <f>MID(Tabla1[[#This Row],[Aplicación]],9,4)</f>
        <v>4331</v>
      </c>
      <c r="V1329" s="35" t="str">
        <f>VLOOKUP(Tabla1[[#This Row],[PROGRAMA]],Hoja1!A:B,2,FALSE)</f>
        <v>4331. Desarrollo empresarial</v>
      </c>
      <c r="W1329" s="56" t="str">
        <f>MID(Tabla1[[#This Row],[Aplicación]],14,2)</f>
        <v>22</v>
      </c>
      <c r="X1329" s="56" t="str">
        <f>MID(Tabla1[[#This Row],[Aplicación]],14,6)</f>
        <v>22799</v>
      </c>
    </row>
    <row r="1330" spans="1:24" x14ac:dyDescent="0.25">
      <c r="A1330" s="46">
        <v>220230006291</v>
      </c>
      <c r="B1330" s="47" t="s">
        <v>1514</v>
      </c>
      <c r="C1330" s="52">
        <v>44981</v>
      </c>
      <c r="D1330" s="46">
        <v>22023001459</v>
      </c>
      <c r="E1330" s="47" t="s">
        <v>1290</v>
      </c>
      <c r="F1330" s="53">
        <v>300.08</v>
      </c>
      <c r="G1330" s="47" t="s">
        <v>2619</v>
      </c>
      <c r="H1330" s="47" t="s">
        <v>2620</v>
      </c>
      <c r="I1330" s="46" t="s">
        <v>1517</v>
      </c>
      <c r="J1330" s="47" t="s">
        <v>519</v>
      </c>
      <c r="K1330" s="47" t="s">
        <v>519</v>
      </c>
      <c r="L1330" s="47" t="s">
        <v>520</v>
      </c>
      <c r="M1330" s="47" t="s">
        <v>514</v>
      </c>
      <c r="N1330" s="47" t="s">
        <v>515</v>
      </c>
      <c r="O1330" s="45" t="s">
        <v>382</v>
      </c>
      <c r="P1330" s="44" t="s">
        <v>309</v>
      </c>
      <c r="Q1330" s="59" t="str">
        <f>MID(Tabla1[[#This Row],[Aplicación]],14,1)</f>
        <v>2</v>
      </c>
      <c r="R1330" s="35" t="s">
        <v>298</v>
      </c>
      <c r="S1330" s="59" t="str">
        <f>MID(Tabla1[[#This Row],[Aplicación]],6,2)</f>
        <v>11</v>
      </c>
      <c r="T1330" s="35" t="str">
        <f>VLOOKUP(Tabla1[[#This Row],[AREA]],Hoja1!A:B,2,FALSE)</f>
        <v>11. Salud pública y seguridad ciudadana</v>
      </c>
      <c r="U1330" s="35" t="str">
        <f>MID(Tabla1[[#This Row],[Aplicación]],9,4)</f>
        <v>1621</v>
      </c>
      <c r="V1330" s="35" t="str">
        <f>VLOOKUP(Tabla1[[#This Row],[PROGRAMA]],Hoja1!A:B,2,FALSE)</f>
        <v>1621. Servicio de limpieza</v>
      </c>
      <c r="W1330" s="56" t="str">
        <f>MID(Tabla1[[#This Row],[Aplicación]],14,2)</f>
        <v>21</v>
      </c>
      <c r="X1330" s="56" t="str">
        <f>MID(Tabla1[[#This Row],[Aplicación]],14,6)</f>
        <v>214</v>
      </c>
    </row>
    <row r="1331" spans="1:24" x14ac:dyDescent="0.25">
      <c r="A1331" s="46">
        <v>220230006233</v>
      </c>
      <c r="B1331" s="47" t="s">
        <v>1514</v>
      </c>
      <c r="C1331" s="52">
        <v>44981</v>
      </c>
      <c r="D1331" s="46">
        <v>22023001462</v>
      </c>
      <c r="E1331" s="47" t="s">
        <v>1290</v>
      </c>
      <c r="F1331" s="53">
        <v>81.540000000000006</v>
      </c>
      <c r="G1331" s="47" t="s">
        <v>1979</v>
      </c>
      <c r="H1331" s="47" t="s">
        <v>2621</v>
      </c>
      <c r="I1331" s="46" t="s">
        <v>1517</v>
      </c>
      <c r="J1331" s="47" t="s">
        <v>519</v>
      </c>
      <c r="K1331" s="47" t="s">
        <v>519</v>
      </c>
      <c r="L1331" s="47" t="s">
        <v>552</v>
      </c>
      <c r="M1331" s="47" t="s">
        <v>514</v>
      </c>
      <c r="N1331" s="47" t="s">
        <v>515</v>
      </c>
      <c r="O1331" s="45" t="s">
        <v>382</v>
      </c>
      <c r="P1331" s="44" t="s">
        <v>309</v>
      </c>
      <c r="Q1331" s="59" t="str">
        <f>MID(Tabla1[[#This Row],[Aplicación]],14,1)</f>
        <v>2</v>
      </c>
      <c r="R1331" s="35" t="s">
        <v>298</v>
      </c>
      <c r="S1331" s="59" t="str">
        <f>MID(Tabla1[[#This Row],[Aplicación]],6,2)</f>
        <v>11</v>
      </c>
      <c r="T1331" s="35" t="str">
        <f>VLOOKUP(Tabla1[[#This Row],[AREA]],Hoja1!A:B,2,FALSE)</f>
        <v>11. Salud pública y seguridad ciudadana</v>
      </c>
      <c r="U1331" s="35" t="str">
        <f>MID(Tabla1[[#This Row],[Aplicación]],9,4)</f>
        <v>1621</v>
      </c>
      <c r="V1331" s="35" t="str">
        <f>VLOOKUP(Tabla1[[#This Row],[PROGRAMA]],Hoja1!A:B,2,FALSE)</f>
        <v>1621. Servicio de limpieza</v>
      </c>
      <c r="W1331" s="56" t="str">
        <f>MID(Tabla1[[#This Row],[Aplicación]],14,2)</f>
        <v>21</v>
      </c>
      <c r="X1331" s="56" t="str">
        <f>MID(Tabla1[[#This Row],[Aplicación]],14,6)</f>
        <v>214</v>
      </c>
    </row>
    <row r="1332" spans="1:24" x14ac:dyDescent="0.25">
      <c r="A1332" s="46">
        <v>220230006356</v>
      </c>
      <c r="B1332" s="47" t="s">
        <v>1514</v>
      </c>
      <c r="C1332" s="52">
        <v>44981</v>
      </c>
      <c r="D1332" s="46">
        <v>22023001462</v>
      </c>
      <c r="E1332" s="47" t="s">
        <v>1290</v>
      </c>
      <c r="F1332" s="53">
        <v>65.7</v>
      </c>
      <c r="G1332" s="47" t="s">
        <v>1979</v>
      </c>
      <c r="H1332" s="47" t="s">
        <v>2622</v>
      </c>
      <c r="I1332" s="46" t="s">
        <v>1517</v>
      </c>
      <c r="J1332" s="47" t="s">
        <v>519</v>
      </c>
      <c r="K1332" s="47" t="s">
        <v>519</v>
      </c>
      <c r="L1332" s="47" t="s">
        <v>552</v>
      </c>
      <c r="M1332" s="47" t="s">
        <v>514</v>
      </c>
      <c r="N1332" s="47" t="s">
        <v>515</v>
      </c>
      <c r="O1332" s="45" t="s">
        <v>382</v>
      </c>
      <c r="P1332" s="44" t="s">
        <v>309</v>
      </c>
      <c r="Q1332" s="59" t="str">
        <f>MID(Tabla1[[#This Row],[Aplicación]],14,1)</f>
        <v>2</v>
      </c>
      <c r="R1332" s="35" t="s">
        <v>298</v>
      </c>
      <c r="S1332" s="59" t="str">
        <f>MID(Tabla1[[#This Row],[Aplicación]],6,2)</f>
        <v>11</v>
      </c>
      <c r="T1332" s="35" t="str">
        <f>VLOOKUP(Tabla1[[#This Row],[AREA]],Hoja1!A:B,2,FALSE)</f>
        <v>11. Salud pública y seguridad ciudadana</v>
      </c>
      <c r="U1332" s="35" t="str">
        <f>MID(Tabla1[[#This Row],[Aplicación]],9,4)</f>
        <v>1621</v>
      </c>
      <c r="V1332" s="35" t="str">
        <f>VLOOKUP(Tabla1[[#This Row],[PROGRAMA]],Hoja1!A:B,2,FALSE)</f>
        <v>1621. Servicio de limpieza</v>
      </c>
      <c r="W1332" s="56" t="str">
        <f>MID(Tabla1[[#This Row],[Aplicación]],14,2)</f>
        <v>21</v>
      </c>
      <c r="X1332" s="56" t="str">
        <f>MID(Tabla1[[#This Row],[Aplicación]],14,6)</f>
        <v>214</v>
      </c>
    </row>
    <row r="1333" spans="1:24" x14ac:dyDescent="0.25">
      <c r="A1333" s="46">
        <v>220230006251</v>
      </c>
      <c r="B1333" s="47" t="s">
        <v>1514</v>
      </c>
      <c r="C1333" s="52">
        <v>44981</v>
      </c>
      <c r="D1333" s="46">
        <v>22023001462</v>
      </c>
      <c r="E1333" s="47" t="s">
        <v>1290</v>
      </c>
      <c r="F1333" s="53">
        <v>46.63</v>
      </c>
      <c r="G1333" s="47" t="s">
        <v>1979</v>
      </c>
      <c r="H1333" s="47" t="s">
        <v>2623</v>
      </c>
      <c r="I1333" s="46" t="s">
        <v>1517</v>
      </c>
      <c r="J1333" s="47" t="s">
        <v>519</v>
      </c>
      <c r="K1333" s="47" t="s">
        <v>519</v>
      </c>
      <c r="L1333" s="47" t="s">
        <v>552</v>
      </c>
      <c r="M1333" s="47" t="s">
        <v>514</v>
      </c>
      <c r="N1333" s="47" t="s">
        <v>515</v>
      </c>
      <c r="O1333" s="45" t="s">
        <v>382</v>
      </c>
      <c r="P1333" s="44" t="s">
        <v>309</v>
      </c>
      <c r="Q1333" s="59" t="str">
        <f>MID(Tabla1[[#This Row],[Aplicación]],14,1)</f>
        <v>2</v>
      </c>
      <c r="R1333" s="35" t="s">
        <v>298</v>
      </c>
      <c r="S1333" s="59" t="str">
        <f>MID(Tabla1[[#This Row],[Aplicación]],6,2)</f>
        <v>11</v>
      </c>
      <c r="T1333" s="35" t="str">
        <f>VLOOKUP(Tabla1[[#This Row],[AREA]],Hoja1!A:B,2,FALSE)</f>
        <v>11. Salud pública y seguridad ciudadana</v>
      </c>
      <c r="U1333" s="35" t="str">
        <f>MID(Tabla1[[#This Row],[Aplicación]],9,4)</f>
        <v>1621</v>
      </c>
      <c r="V1333" s="35" t="str">
        <f>VLOOKUP(Tabla1[[#This Row],[PROGRAMA]],Hoja1!A:B,2,FALSE)</f>
        <v>1621. Servicio de limpieza</v>
      </c>
      <c r="W1333" s="56" t="str">
        <f>MID(Tabla1[[#This Row],[Aplicación]],14,2)</f>
        <v>21</v>
      </c>
      <c r="X1333" s="56" t="str">
        <f>MID(Tabla1[[#This Row],[Aplicación]],14,6)</f>
        <v>214</v>
      </c>
    </row>
    <row r="1334" spans="1:24" x14ac:dyDescent="0.25">
      <c r="A1334" s="46">
        <v>220230006215</v>
      </c>
      <c r="B1334" s="47" t="s">
        <v>1514</v>
      </c>
      <c r="C1334" s="52">
        <v>44981</v>
      </c>
      <c r="D1334" s="46">
        <v>22023001466</v>
      </c>
      <c r="E1334" s="47" t="s">
        <v>2624</v>
      </c>
      <c r="F1334" s="53">
        <v>25.98</v>
      </c>
      <c r="G1334" s="47" t="s">
        <v>1979</v>
      </c>
      <c r="H1334" s="47" t="s">
        <v>2625</v>
      </c>
      <c r="I1334" s="46" t="s">
        <v>1517</v>
      </c>
      <c r="J1334" s="47" t="s">
        <v>519</v>
      </c>
      <c r="K1334" s="47" t="s">
        <v>519</v>
      </c>
      <c r="L1334" s="47" t="s">
        <v>552</v>
      </c>
      <c r="M1334" s="47" t="s">
        <v>514</v>
      </c>
      <c r="N1334" s="47" t="s">
        <v>515</v>
      </c>
      <c r="O1334" s="45" t="s">
        <v>382</v>
      </c>
      <c r="P1334" s="44" t="s">
        <v>309</v>
      </c>
      <c r="Q1334" s="59" t="str">
        <f>MID(Tabla1[[#This Row],[Aplicación]],14,1)</f>
        <v>2</v>
      </c>
      <c r="R1334" s="35" t="s">
        <v>298</v>
      </c>
      <c r="S1334" s="59" t="str">
        <f>MID(Tabla1[[#This Row],[Aplicación]],6,2)</f>
        <v>11</v>
      </c>
      <c r="T1334" s="35" t="str">
        <f>VLOOKUP(Tabla1[[#This Row],[AREA]],Hoja1!A:B,2,FALSE)</f>
        <v>11. Salud pública y seguridad ciudadana</v>
      </c>
      <c r="U1334" s="35" t="str">
        <f>MID(Tabla1[[#This Row],[Aplicación]],9,4)</f>
        <v>1621</v>
      </c>
      <c r="V1334" s="35" t="str">
        <f>VLOOKUP(Tabla1[[#This Row],[PROGRAMA]],Hoja1!A:B,2,FALSE)</f>
        <v>1621. Servicio de limpieza</v>
      </c>
      <c r="W1334" s="56" t="str">
        <f>MID(Tabla1[[#This Row],[Aplicación]],14,2)</f>
        <v>22</v>
      </c>
      <c r="X1334" s="56" t="str">
        <f>MID(Tabla1[[#This Row],[Aplicación]],14,6)</f>
        <v>22199</v>
      </c>
    </row>
    <row r="1335" spans="1:24" x14ac:dyDescent="0.25">
      <c r="A1335" s="46">
        <v>220230006377</v>
      </c>
      <c r="B1335" s="47" t="s">
        <v>1514</v>
      </c>
      <c r="C1335" s="52">
        <v>44981</v>
      </c>
      <c r="D1335" s="46">
        <v>22023001578</v>
      </c>
      <c r="E1335" s="47" t="s">
        <v>2275</v>
      </c>
      <c r="F1335" s="53">
        <v>5.46</v>
      </c>
      <c r="G1335" s="47" t="s">
        <v>1979</v>
      </c>
      <c r="H1335" s="47" t="s">
        <v>2626</v>
      </c>
      <c r="I1335" s="46" t="s">
        <v>1517</v>
      </c>
      <c r="J1335" s="47" t="s">
        <v>519</v>
      </c>
      <c r="K1335" s="47" t="s">
        <v>519</v>
      </c>
      <c r="L1335" s="47" t="s">
        <v>552</v>
      </c>
      <c r="M1335" s="47" t="s">
        <v>514</v>
      </c>
      <c r="N1335" s="47" t="s">
        <v>515</v>
      </c>
      <c r="O1335" s="45" t="s">
        <v>382</v>
      </c>
      <c r="P1335" s="44" t="s">
        <v>309</v>
      </c>
      <c r="Q1335" s="59" t="str">
        <f>MID(Tabla1[[#This Row],[Aplicación]],14,1)</f>
        <v>2</v>
      </c>
      <c r="R1335" s="35" t="s">
        <v>298</v>
      </c>
      <c r="S1335" s="59" t="str">
        <f>MID(Tabla1[[#This Row],[Aplicación]],6,2)</f>
        <v>11</v>
      </c>
      <c r="T1335" s="35" t="str">
        <f>VLOOKUP(Tabla1[[#This Row],[AREA]],Hoja1!A:B,2,FALSE)</f>
        <v>11. Salud pública y seguridad ciudadana</v>
      </c>
      <c r="U1335" s="35" t="str">
        <f>MID(Tabla1[[#This Row],[Aplicación]],9,4)</f>
        <v>3111</v>
      </c>
      <c r="V1335" s="35" t="str">
        <f>VLOOKUP(Tabla1[[#This Row],[PROGRAMA]],Hoja1!A:B,2,FALSE)</f>
        <v>3111. Protección de la salubridad pública</v>
      </c>
      <c r="W1335" s="56" t="str">
        <f>MID(Tabla1[[#This Row],[Aplicación]],14,2)</f>
        <v>22</v>
      </c>
      <c r="X1335" s="56" t="str">
        <f>MID(Tabla1[[#This Row],[Aplicación]],14,6)</f>
        <v>22199</v>
      </c>
    </row>
    <row r="1336" spans="1:24" x14ac:dyDescent="0.25">
      <c r="A1336" s="46">
        <v>220230006340</v>
      </c>
      <c r="B1336" s="47" t="s">
        <v>1514</v>
      </c>
      <c r="C1336" s="52">
        <v>44981</v>
      </c>
      <c r="D1336" s="46">
        <v>22023001459</v>
      </c>
      <c r="E1336" s="47" t="s">
        <v>1290</v>
      </c>
      <c r="F1336" s="53">
        <v>894.73</v>
      </c>
      <c r="G1336" s="47" t="s">
        <v>1983</v>
      </c>
      <c r="H1336" s="47" t="s">
        <v>2627</v>
      </c>
      <c r="I1336" s="46" t="s">
        <v>1517</v>
      </c>
      <c r="J1336" s="47" t="s">
        <v>519</v>
      </c>
      <c r="K1336" s="47" t="s">
        <v>519</v>
      </c>
      <c r="L1336" s="47" t="s">
        <v>520</v>
      </c>
      <c r="M1336" s="47" t="s">
        <v>514</v>
      </c>
      <c r="N1336" s="47" t="s">
        <v>515</v>
      </c>
      <c r="O1336" s="45" t="s">
        <v>382</v>
      </c>
      <c r="P1336" s="44" t="s">
        <v>309</v>
      </c>
      <c r="Q1336" s="59" t="str">
        <f>MID(Tabla1[[#This Row],[Aplicación]],14,1)</f>
        <v>2</v>
      </c>
      <c r="R1336" s="35" t="s">
        <v>298</v>
      </c>
      <c r="S1336" s="59" t="str">
        <f>MID(Tabla1[[#This Row],[Aplicación]],6,2)</f>
        <v>11</v>
      </c>
      <c r="T1336" s="35" t="str">
        <f>VLOOKUP(Tabla1[[#This Row],[AREA]],Hoja1!A:B,2,FALSE)</f>
        <v>11. Salud pública y seguridad ciudadana</v>
      </c>
      <c r="U1336" s="35" t="str">
        <f>MID(Tabla1[[#This Row],[Aplicación]],9,4)</f>
        <v>1621</v>
      </c>
      <c r="V1336" s="35" t="str">
        <f>VLOOKUP(Tabla1[[#This Row],[PROGRAMA]],Hoja1!A:B,2,FALSE)</f>
        <v>1621. Servicio de limpieza</v>
      </c>
      <c r="W1336" s="56" t="str">
        <f>MID(Tabla1[[#This Row],[Aplicación]],14,2)</f>
        <v>21</v>
      </c>
      <c r="X1336" s="56" t="str">
        <f>MID(Tabla1[[#This Row],[Aplicación]],14,6)</f>
        <v>214</v>
      </c>
    </row>
    <row r="1337" spans="1:24" x14ac:dyDescent="0.25">
      <c r="A1337" s="46">
        <v>220230006293</v>
      </c>
      <c r="B1337" s="47" t="s">
        <v>1514</v>
      </c>
      <c r="C1337" s="52">
        <v>44981</v>
      </c>
      <c r="D1337" s="46">
        <v>22023001459</v>
      </c>
      <c r="E1337" s="47" t="s">
        <v>1290</v>
      </c>
      <c r="F1337" s="53">
        <v>879.13</v>
      </c>
      <c r="G1337" s="47" t="s">
        <v>1983</v>
      </c>
      <c r="H1337" s="47" t="s">
        <v>2628</v>
      </c>
      <c r="I1337" s="46" t="s">
        <v>1517</v>
      </c>
      <c r="J1337" s="47" t="s">
        <v>519</v>
      </c>
      <c r="K1337" s="47" t="s">
        <v>519</v>
      </c>
      <c r="L1337" s="47" t="s">
        <v>520</v>
      </c>
      <c r="M1337" s="47" t="s">
        <v>514</v>
      </c>
      <c r="N1337" s="47" t="s">
        <v>515</v>
      </c>
      <c r="O1337" s="45" t="s">
        <v>382</v>
      </c>
      <c r="P1337" s="44" t="s">
        <v>309</v>
      </c>
      <c r="Q1337" s="59" t="str">
        <f>MID(Tabla1[[#This Row],[Aplicación]],14,1)</f>
        <v>2</v>
      </c>
      <c r="R1337" s="35" t="s">
        <v>298</v>
      </c>
      <c r="S1337" s="59" t="str">
        <f>MID(Tabla1[[#This Row],[Aplicación]],6,2)</f>
        <v>11</v>
      </c>
      <c r="T1337" s="35" t="str">
        <f>VLOOKUP(Tabla1[[#This Row],[AREA]],Hoja1!A:B,2,FALSE)</f>
        <v>11. Salud pública y seguridad ciudadana</v>
      </c>
      <c r="U1337" s="35" t="str">
        <f>MID(Tabla1[[#This Row],[Aplicación]],9,4)</f>
        <v>1621</v>
      </c>
      <c r="V1337" s="35" t="str">
        <f>VLOOKUP(Tabla1[[#This Row],[PROGRAMA]],Hoja1!A:B,2,FALSE)</f>
        <v>1621. Servicio de limpieza</v>
      </c>
      <c r="W1337" s="56" t="str">
        <f>MID(Tabla1[[#This Row],[Aplicación]],14,2)</f>
        <v>21</v>
      </c>
      <c r="X1337" s="56" t="str">
        <f>MID(Tabla1[[#This Row],[Aplicación]],14,6)</f>
        <v>214</v>
      </c>
    </row>
    <row r="1338" spans="1:24" x14ac:dyDescent="0.25">
      <c r="A1338" s="46">
        <v>220230006299</v>
      </c>
      <c r="B1338" s="47" t="s">
        <v>1514</v>
      </c>
      <c r="C1338" s="52">
        <v>44981</v>
      </c>
      <c r="D1338" s="46">
        <v>22023001459</v>
      </c>
      <c r="E1338" s="47" t="s">
        <v>1290</v>
      </c>
      <c r="F1338" s="53">
        <v>152.57</v>
      </c>
      <c r="G1338" s="47" t="s">
        <v>1983</v>
      </c>
      <c r="H1338" s="47" t="s">
        <v>2629</v>
      </c>
      <c r="I1338" s="46" t="s">
        <v>1517</v>
      </c>
      <c r="J1338" s="47" t="s">
        <v>519</v>
      </c>
      <c r="K1338" s="47" t="s">
        <v>519</v>
      </c>
      <c r="L1338" s="47" t="s">
        <v>520</v>
      </c>
      <c r="M1338" s="47" t="s">
        <v>514</v>
      </c>
      <c r="N1338" s="47" t="s">
        <v>515</v>
      </c>
      <c r="O1338" s="45" t="s">
        <v>382</v>
      </c>
      <c r="P1338" s="44" t="s">
        <v>309</v>
      </c>
      <c r="Q1338" s="59" t="str">
        <f>MID(Tabla1[[#This Row],[Aplicación]],14,1)</f>
        <v>2</v>
      </c>
      <c r="R1338" s="35" t="s">
        <v>298</v>
      </c>
      <c r="S1338" s="59" t="str">
        <f>MID(Tabla1[[#This Row],[Aplicación]],6,2)</f>
        <v>11</v>
      </c>
      <c r="T1338" s="35" t="str">
        <f>VLOOKUP(Tabla1[[#This Row],[AREA]],Hoja1!A:B,2,FALSE)</f>
        <v>11. Salud pública y seguridad ciudadana</v>
      </c>
      <c r="U1338" s="35" t="str">
        <f>MID(Tabla1[[#This Row],[Aplicación]],9,4)</f>
        <v>1621</v>
      </c>
      <c r="V1338" s="35" t="str">
        <f>VLOOKUP(Tabla1[[#This Row],[PROGRAMA]],Hoja1!A:B,2,FALSE)</f>
        <v>1621. Servicio de limpieza</v>
      </c>
      <c r="W1338" s="56" t="str">
        <f>MID(Tabla1[[#This Row],[Aplicación]],14,2)</f>
        <v>21</v>
      </c>
      <c r="X1338" s="56" t="str">
        <f>MID(Tabla1[[#This Row],[Aplicación]],14,6)</f>
        <v>214</v>
      </c>
    </row>
    <row r="1339" spans="1:24" x14ac:dyDescent="0.25">
      <c r="A1339" s="46">
        <v>220230006317</v>
      </c>
      <c r="B1339" s="47" t="s">
        <v>1514</v>
      </c>
      <c r="C1339" s="52">
        <v>44981</v>
      </c>
      <c r="D1339" s="46">
        <v>22023001459</v>
      </c>
      <c r="E1339" s="47" t="s">
        <v>1290</v>
      </c>
      <c r="F1339" s="53">
        <v>146.91999999999999</v>
      </c>
      <c r="G1339" s="47" t="s">
        <v>1983</v>
      </c>
      <c r="H1339" s="47" t="s">
        <v>2630</v>
      </c>
      <c r="I1339" s="46" t="s">
        <v>1517</v>
      </c>
      <c r="J1339" s="47" t="s">
        <v>519</v>
      </c>
      <c r="K1339" s="47" t="s">
        <v>519</v>
      </c>
      <c r="L1339" s="47" t="s">
        <v>520</v>
      </c>
      <c r="M1339" s="47" t="s">
        <v>514</v>
      </c>
      <c r="N1339" s="47" t="s">
        <v>515</v>
      </c>
      <c r="O1339" s="45" t="s">
        <v>382</v>
      </c>
      <c r="P1339" s="44" t="s">
        <v>309</v>
      </c>
      <c r="Q1339" s="59" t="str">
        <f>MID(Tabla1[[#This Row],[Aplicación]],14,1)</f>
        <v>2</v>
      </c>
      <c r="R1339" s="35" t="s">
        <v>298</v>
      </c>
      <c r="S1339" s="59" t="str">
        <f>MID(Tabla1[[#This Row],[Aplicación]],6,2)</f>
        <v>11</v>
      </c>
      <c r="T1339" s="35" t="str">
        <f>VLOOKUP(Tabla1[[#This Row],[AREA]],Hoja1!A:B,2,FALSE)</f>
        <v>11. Salud pública y seguridad ciudadana</v>
      </c>
      <c r="U1339" s="35" t="str">
        <f>MID(Tabla1[[#This Row],[Aplicación]],9,4)</f>
        <v>1621</v>
      </c>
      <c r="V1339" s="35" t="str">
        <f>VLOOKUP(Tabla1[[#This Row],[PROGRAMA]],Hoja1!A:B,2,FALSE)</f>
        <v>1621. Servicio de limpieza</v>
      </c>
      <c r="W1339" s="56" t="str">
        <f>MID(Tabla1[[#This Row],[Aplicación]],14,2)</f>
        <v>21</v>
      </c>
      <c r="X1339" s="56" t="str">
        <f>MID(Tabla1[[#This Row],[Aplicación]],14,6)</f>
        <v>214</v>
      </c>
    </row>
    <row r="1340" spans="1:24" x14ac:dyDescent="0.25">
      <c r="A1340" s="46">
        <v>220230006295</v>
      </c>
      <c r="B1340" s="47" t="s">
        <v>1514</v>
      </c>
      <c r="C1340" s="52">
        <v>44981</v>
      </c>
      <c r="D1340" s="46">
        <v>22023001459</v>
      </c>
      <c r="E1340" s="47" t="s">
        <v>1290</v>
      </c>
      <c r="F1340" s="53">
        <v>1475.33</v>
      </c>
      <c r="G1340" s="47" t="s">
        <v>1985</v>
      </c>
      <c r="H1340" s="47" t="s">
        <v>2631</v>
      </c>
      <c r="I1340" s="46" t="s">
        <v>1517</v>
      </c>
      <c r="J1340" s="47" t="s">
        <v>519</v>
      </c>
      <c r="K1340" s="47" t="s">
        <v>519</v>
      </c>
      <c r="L1340" s="47" t="s">
        <v>520</v>
      </c>
      <c r="M1340" s="47" t="s">
        <v>514</v>
      </c>
      <c r="N1340" s="47" t="s">
        <v>515</v>
      </c>
      <c r="O1340" s="45" t="s">
        <v>382</v>
      </c>
      <c r="P1340" s="44" t="s">
        <v>309</v>
      </c>
      <c r="Q1340" s="59" t="str">
        <f>MID(Tabla1[[#This Row],[Aplicación]],14,1)</f>
        <v>2</v>
      </c>
      <c r="R1340" s="35" t="s">
        <v>298</v>
      </c>
      <c r="S1340" s="59" t="str">
        <f>MID(Tabla1[[#This Row],[Aplicación]],6,2)</f>
        <v>11</v>
      </c>
      <c r="T1340" s="35" t="str">
        <f>VLOOKUP(Tabla1[[#This Row],[AREA]],Hoja1!A:B,2,FALSE)</f>
        <v>11. Salud pública y seguridad ciudadana</v>
      </c>
      <c r="U1340" s="35" t="str">
        <f>MID(Tabla1[[#This Row],[Aplicación]],9,4)</f>
        <v>1621</v>
      </c>
      <c r="V1340" s="35" t="str">
        <f>VLOOKUP(Tabla1[[#This Row],[PROGRAMA]],Hoja1!A:B,2,FALSE)</f>
        <v>1621. Servicio de limpieza</v>
      </c>
      <c r="W1340" s="56" t="str">
        <f>MID(Tabla1[[#This Row],[Aplicación]],14,2)</f>
        <v>21</v>
      </c>
      <c r="X1340" s="56" t="str">
        <f>MID(Tabla1[[#This Row],[Aplicación]],14,6)</f>
        <v>214</v>
      </c>
    </row>
    <row r="1341" spans="1:24" x14ac:dyDescent="0.25">
      <c r="A1341" s="46">
        <v>220230006311</v>
      </c>
      <c r="B1341" s="47" t="s">
        <v>1514</v>
      </c>
      <c r="C1341" s="52">
        <v>44981</v>
      </c>
      <c r="D1341" s="46">
        <v>22023001459</v>
      </c>
      <c r="E1341" s="47" t="s">
        <v>1290</v>
      </c>
      <c r="F1341" s="53">
        <v>1024.9100000000001</v>
      </c>
      <c r="G1341" s="47" t="s">
        <v>1985</v>
      </c>
      <c r="H1341" s="47" t="s">
        <v>2632</v>
      </c>
      <c r="I1341" s="46" t="s">
        <v>1517</v>
      </c>
      <c r="J1341" s="47" t="s">
        <v>519</v>
      </c>
      <c r="K1341" s="47" t="s">
        <v>519</v>
      </c>
      <c r="L1341" s="47" t="s">
        <v>520</v>
      </c>
      <c r="M1341" s="47" t="s">
        <v>514</v>
      </c>
      <c r="N1341" s="47" t="s">
        <v>515</v>
      </c>
      <c r="O1341" s="45" t="s">
        <v>382</v>
      </c>
      <c r="P1341" s="44" t="s">
        <v>309</v>
      </c>
      <c r="Q1341" s="59" t="str">
        <f>MID(Tabla1[[#This Row],[Aplicación]],14,1)</f>
        <v>2</v>
      </c>
      <c r="R1341" s="35" t="s">
        <v>298</v>
      </c>
      <c r="S1341" s="59" t="str">
        <f>MID(Tabla1[[#This Row],[Aplicación]],6,2)</f>
        <v>11</v>
      </c>
      <c r="T1341" s="35" t="str">
        <f>VLOOKUP(Tabla1[[#This Row],[AREA]],Hoja1!A:B,2,FALSE)</f>
        <v>11. Salud pública y seguridad ciudadana</v>
      </c>
      <c r="U1341" s="35" t="str">
        <f>MID(Tabla1[[#This Row],[Aplicación]],9,4)</f>
        <v>1621</v>
      </c>
      <c r="V1341" s="35" t="str">
        <f>VLOOKUP(Tabla1[[#This Row],[PROGRAMA]],Hoja1!A:B,2,FALSE)</f>
        <v>1621. Servicio de limpieza</v>
      </c>
      <c r="W1341" s="56" t="str">
        <f>MID(Tabla1[[#This Row],[Aplicación]],14,2)</f>
        <v>21</v>
      </c>
      <c r="X1341" s="56" t="str">
        <f>MID(Tabla1[[#This Row],[Aplicación]],14,6)</f>
        <v>214</v>
      </c>
    </row>
    <row r="1342" spans="1:24" x14ac:dyDescent="0.25">
      <c r="A1342" s="46">
        <v>220230006263</v>
      </c>
      <c r="B1342" s="47" t="s">
        <v>1249</v>
      </c>
      <c r="C1342" s="52">
        <v>44981</v>
      </c>
      <c r="D1342" s="46">
        <v>22023002635</v>
      </c>
      <c r="E1342" s="47" t="s">
        <v>775</v>
      </c>
      <c r="F1342" s="53">
        <v>744.69</v>
      </c>
      <c r="G1342" s="47" t="s">
        <v>964</v>
      </c>
      <c r="H1342" s="47" t="s">
        <v>2633</v>
      </c>
      <c r="I1342" s="46" t="s">
        <v>1251</v>
      </c>
      <c r="J1342" s="47" t="s">
        <v>512</v>
      </c>
      <c r="K1342" s="47" t="s">
        <v>512</v>
      </c>
      <c r="L1342" s="47" t="s">
        <v>520</v>
      </c>
      <c r="M1342" s="47" t="s">
        <v>514</v>
      </c>
      <c r="N1342" s="47" t="s">
        <v>515</v>
      </c>
      <c r="O1342" s="45" t="s">
        <v>371</v>
      </c>
      <c r="P1342" s="44" t="s">
        <v>309</v>
      </c>
      <c r="Q1342" s="59" t="str">
        <f>MID(Tabla1[[#This Row],[Aplicación]],14,1)</f>
        <v>2</v>
      </c>
      <c r="R1342" s="35" t="s">
        <v>298</v>
      </c>
      <c r="S1342" s="59" t="str">
        <f>MID(Tabla1[[#This Row],[Aplicación]],6,2)</f>
        <v>11</v>
      </c>
      <c r="T1342" s="35" t="str">
        <f>VLOOKUP(Tabla1[[#This Row],[AREA]],Hoja1!A:B,2,FALSE)</f>
        <v>11. Salud pública y seguridad ciudadana</v>
      </c>
      <c r="U1342" s="35" t="str">
        <f>MID(Tabla1[[#This Row],[Aplicación]],9,4)</f>
        <v>1631</v>
      </c>
      <c r="V1342" s="35" t="str">
        <f>VLOOKUP(Tabla1[[#This Row],[PROGRAMA]],Hoja1!A:B,2,FALSE)</f>
        <v>1631. Limpieza viaria</v>
      </c>
      <c r="W1342" s="56" t="str">
        <f>MID(Tabla1[[#This Row],[Aplicación]],14,2)</f>
        <v>22</v>
      </c>
      <c r="X1342" s="56" t="str">
        <f>MID(Tabla1[[#This Row],[Aplicación]],14,6)</f>
        <v>22103</v>
      </c>
    </row>
    <row r="1343" spans="1:24" x14ac:dyDescent="0.25">
      <c r="A1343" s="46">
        <v>220230006315</v>
      </c>
      <c r="B1343" s="47" t="s">
        <v>1514</v>
      </c>
      <c r="C1343" s="52">
        <v>44981</v>
      </c>
      <c r="D1343" s="46">
        <v>22023001459</v>
      </c>
      <c r="E1343" s="47" t="s">
        <v>1290</v>
      </c>
      <c r="F1343" s="53">
        <v>941.11</v>
      </c>
      <c r="G1343" s="47" t="s">
        <v>1985</v>
      </c>
      <c r="H1343" s="47" t="s">
        <v>2634</v>
      </c>
      <c r="I1343" s="46" t="s">
        <v>1517</v>
      </c>
      <c r="J1343" s="47" t="s">
        <v>519</v>
      </c>
      <c r="K1343" s="47" t="s">
        <v>519</v>
      </c>
      <c r="L1343" s="47" t="s">
        <v>520</v>
      </c>
      <c r="M1343" s="47" t="s">
        <v>514</v>
      </c>
      <c r="N1343" s="47" t="s">
        <v>515</v>
      </c>
      <c r="O1343" s="45" t="s">
        <v>382</v>
      </c>
      <c r="P1343" s="44" t="s">
        <v>309</v>
      </c>
      <c r="Q1343" s="59" t="str">
        <f>MID(Tabla1[[#This Row],[Aplicación]],14,1)</f>
        <v>2</v>
      </c>
      <c r="R1343" s="35" t="s">
        <v>298</v>
      </c>
      <c r="S1343" s="59" t="str">
        <f>MID(Tabla1[[#This Row],[Aplicación]],6,2)</f>
        <v>11</v>
      </c>
      <c r="T1343" s="35" t="str">
        <f>VLOOKUP(Tabla1[[#This Row],[AREA]],Hoja1!A:B,2,FALSE)</f>
        <v>11. Salud pública y seguridad ciudadana</v>
      </c>
      <c r="U1343" s="35" t="str">
        <f>MID(Tabla1[[#This Row],[Aplicación]],9,4)</f>
        <v>1621</v>
      </c>
      <c r="V1343" s="35" t="str">
        <f>VLOOKUP(Tabla1[[#This Row],[PROGRAMA]],Hoja1!A:B,2,FALSE)</f>
        <v>1621. Servicio de limpieza</v>
      </c>
      <c r="W1343" s="56" t="str">
        <f>MID(Tabla1[[#This Row],[Aplicación]],14,2)</f>
        <v>21</v>
      </c>
      <c r="X1343" s="56" t="str">
        <f>MID(Tabla1[[#This Row],[Aplicación]],14,6)</f>
        <v>214</v>
      </c>
    </row>
    <row r="1344" spans="1:24" x14ac:dyDescent="0.25">
      <c r="A1344" s="46">
        <v>220230006297</v>
      </c>
      <c r="B1344" s="47" t="s">
        <v>1514</v>
      </c>
      <c r="C1344" s="52">
        <v>44981</v>
      </c>
      <c r="D1344" s="46">
        <v>22023001459</v>
      </c>
      <c r="E1344" s="47" t="s">
        <v>1290</v>
      </c>
      <c r="F1344" s="53">
        <v>40.840000000000003</v>
      </c>
      <c r="G1344" s="47" t="s">
        <v>1985</v>
      </c>
      <c r="H1344" s="47" t="s">
        <v>2635</v>
      </c>
      <c r="I1344" s="46" t="s">
        <v>1517</v>
      </c>
      <c r="J1344" s="47" t="s">
        <v>519</v>
      </c>
      <c r="K1344" s="47" t="s">
        <v>519</v>
      </c>
      <c r="L1344" s="47" t="s">
        <v>520</v>
      </c>
      <c r="M1344" s="47" t="s">
        <v>514</v>
      </c>
      <c r="N1344" s="47" t="s">
        <v>515</v>
      </c>
      <c r="O1344" s="45" t="s">
        <v>382</v>
      </c>
      <c r="P1344" s="44" t="s">
        <v>309</v>
      </c>
      <c r="Q1344" s="59" t="str">
        <f>MID(Tabla1[[#This Row],[Aplicación]],14,1)</f>
        <v>2</v>
      </c>
      <c r="R1344" s="35" t="s">
        <v>298</v>
      </c>
      <c r="S1344" s="59" t="str">
        <f>MID(Tabla1[[#This Row],[Aplicación]],6,2)</f>
        <v>11</v>
      </c>
      <c r="T1344" s="35" t="str">
        <f>VLOOKUP(Tabla1[[#This Row],[AREA]],Hoja1!A:B,2,FALSE)</f>
        <v>11. Salud pública y seguridad ciudadana</v>
      </c>
      <c r="U1344" s="35" t="str">
        <f>MID(Tabla1[[#This Row],[Aplicación]],9,4)</f>
        <v>1621</v>
      </c>
      <c r="V1344" s="35" t="str">
        <f>VLOOKUP(Tabla1[[#This Row],[PROGRAMA]],Hoja1!A:B,2,FALSE)</f>
        <v>1621. Servicio de limpieza</v>
      </c>
      <c r="W1344" s="56" t="str">
        <f>MID(Tabla1[[#This Row],[Aplicación]],14,2)</f>
        <v>21</v>
      </c>
      <c r="X1344" s="56" t="str">
        <f>MID(Tabla1[[#This Row],[Aplicación]],14,6)</f>
        <v>214</v>
      </c>
    </row>
    <row r="1345" spans="1:24" x14ac:dyDescent="0.25">
      <c r="A1345" s="46">
        <v>220230006207</v>
      </c>
      <c r="B1345" s="47" t="s">
        <v>1514</v>
      </c>
      <c r="C1345" s="52">
        <v>44981</v>
      </c>
      <c r="D1345" s="46">
        <v>22023001473</v>
      </c>
      <c r="E1345" s="47" t="s">
        <v>1683</v>
      </c>
      <c r="F1345" s="53">
        <v>4914.5200000000004</v>
      </c>
      <c r="G1345" s="47" t="s">
        <v>2636</v>
      </c>
      <c r="H1345" s="47" t="s">
        <v>2637</v>
      </c>
      <c r="I1345" s="46" t="s">
        <v>1517</v>
      </c>
      <c r="J1345" s="47" t="s">
        <v>519</v>
      </c>
      <c r="K1345" s="47" t="s">
        <v>519</v>
      </c>
      <c r="L1345" s="47" t="s">
        <v>552</v>
      </c>
      <c r="M1345" s="47" t="s">
        <v>514</v>
      </c>
      <c r="N1345" s="47" t="s">
        <v>515</v>
      </c>
      <c r="O1345" s="45" t="s">
        <v>382</v>
      </c>
      <c r="P1345" s="44" t="s">
        <v>309</v>
      </c>
      <c r="Q1345" s="59" t="str">
        <f>MID(Tabla1[[#This Row],[Aplicación]],14,1)</f>
        <v>2</v>
      </c>
      <c r="R1345" s="35" t="s">
        <v>298</v>
      </c>
      <c r="S1345" s="59" t="str">
        <f>MID(Tabla1[[#This Row],[Aplicación]],6,2)</f>
        <v>11</v>
      </c>
      <c r="T1345" s="35" t="str">
        <f>VLOOKUP(Tabla1[[#This Row],[AREA]],Hoja1!A:B,2,FALSE)</f>
        <v>11. Salud pública y seguridad ciudadana</v>
      </c>
      <c r="U1345" s="35" t="str">
        <f>MID(Tabla1[[#This Row],[Aplicación]],9,4)</f>
        <v>1631</v>
      </c>
      <c r="V1345" s="35" t="str">
        <f>VLOOKUP(Tabla1[[#This Row],[PROGRAMA]],Hoja1!A:B,2,FALSE)</f>
        <v>1631. Limpieza viaria</v>
      </c>
      <c r="W1345" s="56" t="str">
        <f>MID(Tabla1[[#This Row],[Aplicación]],14,2)</f>
        <v>21</v>
      </c>
      <c r="X1345" s="56" t="str">
        <f>MID(Tabla1[[#This Row],[Aplicación]],14,6)</f>
        <v>214</v>
      </c>
    </row>
    <row r="1346" spans="1:24" x14ac:dyDescent="0.25">
      <c r="A1346" s="46">
        <v>220230006287</v>
      </c>
      <c r="B1346" s="47" t="s">
        <v>1514</v>
      </c>
      <c r="C1346" s="52">
        <v>44981</v>
      </c>
      <c r="D1346" s="46">
        <v>22023001473</v>
      </c>
      <c r="E1346" s="47" t="s">
        <v>1683</v>
      </c>
      <c r="F1346" s="53">
        <v>3415.7</v>
      </c>
      <c r="G1346" s="47" t="s">
        <v>2636</v>
      </c>
      <c r="H1346" s="47" t="s">
        <v>2638</v>
      </c>
      <c r="I1346" s="46" t="s">
        <v>1517</v>
      </c>
      <c r="J1346" s="47" t="s">
        <v>519</v>
      </c>
      <c r="K1346" s="47" t="s">
        <v>519</v>
      </c>
      <c r="L1346" s="47" t="s">
        <v>552</v>
      </c>
      <c r="M1346" s="47" t="s">
        <v>514</v>
      </c>
      <c r="N1346" s="47" t="s">
        <v>515</v>
      </c>
      <c r="O1346" s="45" t="s">
        <v>382</v>
      </c>
      <c r="P1346" s="44" t="s">
        <v>309</v>
      </c>
      <c r="Q1346" s="59" t="str">
        <f>MID(Tabla1[[#This Row],[Aplicación]],14,1)</f>
        <v>2</v>
      </c>
      <c r="R1346" s="35" t="s">
        <v>298</v>
      </c>
      <c r="S1346" s="59" t="str">
        <f>MID(Tabla1[[#This Row],[Aplicación]],6,2)</f>
        <v>11</v>
      </c>
      <c r="T1346" s="35" t="str">
        <f>VLOOKUP(Tabla1[[#This Row],[AREA]],Hoja1!A:B,2,FALSE)</f>
        <v>11. Salud pública y seguridad ciudadana</v>
      </c>
      <c r="U1346" s="35" t="str">
        <f>MID(Tabla1[[#This Row],[Aplicación]],9,4)</f>
        <v>1631</v>
      </c>
      <c r="V1346" s="35" t="str">
        <f>VLOOKUP(Tabla1[[#This Row],[PROGRAMA]],Hoja1!A:B,2,FALSE)</f>
        <v>1631. Limpieza viaria</v>
      </c>
      <c r="W1346" s="56" t="str">
        <f>MID(Tabla1[[#This Row],[Aplicación]],14,2)</f>
        <v>21</v>
      </c>
      <c r="X1346" s="56" t="str">
        <f>MID(Tabla1[[#This Row],[Aplicación]],14,6)</f>
        <v>214</v>
      </c>
    </row>
    <row r="1347" spans="1:24" x14ac:dyDescent="0.25">
      <c r="A1347" s="46">
        <v>220230006245</v>
      </c>
      <c r="B1347" s="47" t="s">
        <v>1514</v>
      </c>
      <c r="C1347" s="52">
        <v>44981</v>
      </c>
      <c r="D1347" s="46">
        <v>22023001462</v>
      </c>
      <c r="E1347" s="47" t="s">
        <v>1290</v>
      </c>
      <c r="F1347" s="53">
        <v>1650.14</v>
      </c>
      <c r="G1347" s="47" t="s">
        <v>2636</v>
      </c>
      <c r="H1347" s="47" t="s">
        <v>2639</v>
      </c>
      <c r="I1347" s="46" t="s">
        <v>1517</v>
      </c>
      <c r="J1347" s="47" t="s">
        <v>519</v>
      </c>
      <c r="K1347" s="47" t="s">
        <v>519</v>
      </c>
      <c r="L1347" s="47" t="s">
        <v>552</v>
      </c>
      <c r="M1347" s="47" t="s">
        <v>514</v>
      </c>
      <c r="N1347" s="47" t="s">
        <v>515</v>
      </c>
      <c r="O1347" s="45" t="s">
        <v>382</v>
      </c>
      <c r="P1347" s="44" t="s">
        <v>309</v>
      </c>
      <c r="Q1347" s="59" t="str">
        <f>MID(Tabla1[[#This Row],[Aplicación]],14,1)</f>
        <v>2</v>
      </c>
      <c r="R1347" s="35" t="s">
        <v>298</v>
      </c>
      <c r="S1347" s="59" t="str">
        <f>MID(Tabla1[[#This Row],[Aplicación]],6,2)</f>
        <v>11</v>
      </c>
      <c r="T1347" s="35" t="str">
        <f>VLOOKUP(Tabla1[[#This Row],[AREA]],Hoja1!A:B,2,FALSE)</f>
        <v>11. Salud pública y seguridad ciudadana</v>
      </c>
      <c r="U1347" s="35" t="str">
        <f>MID(Tabla1[[#This Row],[Aplicación]],9,4)</f>
        <v>1621</v>
      </c>
      <c r="V1347" s="35" t="str">
        <f>VLOOKUP(Tabla1[[#This Row],[PROGRAMA]],Hoja1!A:B,2,FALSE)</f>
        <v>1621. Servicio de limpieza</v>
      </c>
      <c r="W1347" s="56" t="str">
        <f>MID(Tabla1[[#This Row],[Aplicación]],14,2)</f>
        <v>21</v>
      </c>
      <c r="X1347" s="56" t="str">
        <f>MID(Tabla1[[#This Row],[Aplicación]],14,6)</f>
        <v>214</v>
      </c>
    </row>
    <row r="1348" spans="1:24" x14ac:dyDescent="0.25">
      <c r="A1348" s="46">
        <v>220230006264</v>
      </c>
      <c r="B1348" s="47" t="s">
        <v>1514</v>
      </c>
      <c r="C1348" s="52">
        <v>44981</v>
      </c>
      <c r="D1348" s="46">
        <v>22023001462</v>
      </c>
      <c r="E1348" s="47" t="s">
        <v>1290</v>
      </c>
      <c r="F1348" s="53">
        <v>1612</v>
      </c>
      <c r="G1348" s="47" t="s">
        <v>2636</v>
      </c>
      <c r="H1348" s="47" t="s">
        <v>2640</v>
      </c>
      <c r="I1348" s="46" t="s">
        <v>1517</v>
      </c>
      <c r="J1348" s="47" t="s">
        <v>519</v>
      </c>
      <c r="K1348" s="47" t="s">
        <v>519</v>
      </c>
      <c r="L1348" s="47" t="s">
        <v>552</v>
      </c>
      <c r="M1348" s="47" t="s">
        <v>514</v>
      </c>
      <c r="N1348" s="47" t="s">
        <v>515</v>
      </c>
      <c r="O1348" s="45" t="s">
        <v>382</v>
      </c>
      <c r="P1348" s="44" t="s">
        <v>309</v>
      </c>
      <c r="Q1348" s="59" t="str">
        <f>MID(Tabla1[[#This Row],[Aplicación]],14,1)</f>
        <v>2</v>
      </c>
      <c r="R1348" s="35" t="s">
        <v>298</v>
      </c>
      <c r="S1348" s="59" t="str">
        <f>MID(Tabla1[[#This Row],[Aplicación]],6,2)</f>
        <v>11</v>
      </c>
      <c r="T1348" s="35" t="str">
        <f>VLOOKUP(Tabla1[[#This Row],[AREA]],Hoja1!A:B,2,FALSE)</f>
        <v>11. Salud pública y seguridad ciudadana</v>
      </c>
      <c r="U1348" s="35" t="str">
        <f>MID(Tabla1[[#This Row],[Aplicación]],9,4)</f>
        <v>1621</v>
      </c>
      <c r="V1348" s="35" t="str">
        <f>VLOOKUP(Tabla1[[#This Row],[PROGRAMA]],Hoja1!A:B,2,FALSE)</f>
        <v>1621. Servicio de limpieza</v>
      </c>
      <c r="W1348" s="56" t="str">
        <f>MID(Tabla1[[#This Row],[Aplicación]],14,2)</f>
        <v>21</v>
      </c>
      <c r="X1348" s="56" t="str">
        <f>MID(Tabla1[[#This Row],[Aplicación]],14,6)</f>
        <v>214</v>
      </c>
    </row>
    <row r="1349" spans="1:24" x14ac:dyDescent="0.25">
      <c r="A1349" s="46">
        <v>220230006205</v>
      </c>
      <c r="B1349" s="47" t="s">
        <v>1514</v>
      </c>
      <c r="C1349" s="52">
        <v>44981</v>
      </c>
      <c r="D1349" s="46">
        <v>22023001462</v>
      </c>
      <c r="E1349" s="47" t="s">
        <v>1290</v>
      </c>
      <c r="F1349" s="53">
        <v>937.57</v>
      </c>
      <c r="G1349" s="47" t="s">
        <v>2636</v>
      </c>
      <c r="H1349" s="47" t="s">
        <v>2641</v>
      </c>
      <c r="I1349" s="46" t="s">
        <v>1517</v>
      </c>
      <c r="J1349" s="47" t="s">
        <v>519</v>
      </c>
      <c r="K1349" s="47" t="s">
        <v>519</v>
      </c>
      <c r="L1349" s="47" t="s">
        <v>552</v>
      </c>
      <c r="M1349" s="47" t="s">
        <v>514</v>
      </c>
      <c r="N1349" s="47" t="s">
        <v>515</v>
      </c>
      <c r="O1349" s="45" t="s">
        <v>382</v>
      </c>
      <c r="P1349" s="44" t="s">
        <v>309</v>
      </c>
      <c r="Q1349" s="59" t="str">
        <f>MID(Tabla1[[#This Row],[Aplicación]],14,1)</f>
        <v>2</v>
      </c>
      <c r="R1349" s="35" t="s">
        <v>298</v>
      </c>
      <c r="S1349" s="59" t="str">
        <f>MID(Tabla1[[#This Row],[Aplicación]],6,2)</f>
        <v>11</v>
      </c>
      <c r="T1349" s="35" t="str">
        <f>VLOOKUP(Tabla1[[#This Row],[AREA]],Hoja1!A:B,2,FALSE)</f>
        <v>11. Salud pública y seguridad ciudadana</v>
      </c>
      <c r="U1349" s="35" t="str">
        <f>MID(Tabla1[[#This Row],[Aplicación]],9,4)</f>
        <v>1621</v>
      </c>
      <c r="V1349" s="35" t="str">
        <f>VLOOKUP(Tabla1[[#This Row],[PROGRAMA]],Hoja1!A:B,2,FALSE)</f>
        <v>1621. Servicio de limpieza</v>
      </c>
      <c r="W1349" s="56" t="str">
        <f>MID(Tabla1[[#This Row],[Aplicación]],14,2)</f>
        <v>21</v>
      </c>
      <c r="X1349" s="56" t="str">
        <f>MID(Tabla1[[#This Row],[Aplicación]],14,6)</f>
        <v>214</v>
      </c>
    </row>
    <row r="1350" spans="1:24" x14ac:dyDescent="0.25">
      <c r="A1350" s="46">
        <v>220230006289</v>
      </c>
      <c r="B1350" s="47" t="s">
        <v>1514</v>
      </c>
      <c r="C1350" s="52">
        <v>44981</v>
      </c>
      <c r="D1350" s="46">
        <v>22023001462</v>
      </c>
      <c r="E1350" s="47" t="s">
        <v>1290</v>
      </c>
      <c r="F1350" s="53">
        <v>917.25</v>
      </c>
      <c r="G1350" s="47" t="s">
        <v>2636</v>
      </c>
      <c r="H1350" s="47" t="s">
        <v>2642</v>
      </c>
      <c r="I1350" s="46" t="s">
        <v>1517</v>
      </c>
      <c r="J1350" s="47" t="s">
        <v>519</v>
      </c>
      <c r="K1350" s="47" t="s">
        <v>519</v>
      </c>
      <c r="L1350" s="47" t="s">
        <v>552</v>
      </c>
      <c r="M1350" s="47" t="s">
        <v>514</v>
      </c>
      <c r="N1350" s="47" t="s">
        <v>515</v>
      </c>
      <c r="O1350" s="45" t="s">
        <v>382</v>
      </c>
      <c r="P1350" s="44" t="s">
        <v>309</v>
      </c>
      <c r="Q1350" s="59" t="str">
        <f>MID(Tabla1[[#This Row],[Aplicación]],14,1)</f>
        <v>2</v>
      </c>
      <c r="R1350" s="35" t="s">
        <v>298</v>
      </c>
      <c r="S1350" s="59" t="str">
        <f>MID(Tabla1[[#This Row],[Aplicación]],6,2)</f>
        <v>11</v>
      </c>
      <c r="T1350" s="35" t="str">
        <f>VLOOKUP(Tabla1[[#This Row],[AREA]],Hoja1!A:B,2,FALSE)</f>
        <v>11. Salud pública y seguridad ciudadana</v>
      </c>
      <c r="U1350" s="35" t="str">
        <f>MID(Tabla1[[#This Row],[Aplicación]],9,4)</f>
        <v>1621</v>
      </c>
      <c r="V1350" s="35" t="str">
        <f>VLOOKUP(Tabla1[[#This Row],[PROGRAMA]],Hoja1!A:B,2,FALSE)</f>
        <v>1621. Servicio de limpieza</v>
      </c>
      <c r="W1350" s="56" t="str">
        <f>MID(Tabla1[[#This Row],[Aplicación]],14,2)</f>
        <v>21</v>
      </c>
      <c r="X1350" s="56" t="str">
        <f>MID(Tabla1[[#This Row],[Aplicación]],14,6)</f>
        <v>214</v>
      </c>
    </row>
    <row r="1351" spans="1:24" x14ac:dyDescent="0.25">
      <c r="A1351" s="46">
        <v>220230006223</v>
      </c>
      <c r="B1351" s="47" t="s">
        <v>1514</v>
      </c>
      <c r="C1351" s="52">
        <v>44981</v>
      </c>
      <c r="D1351" s="46">
        <v>22023001462</v>
      </c>
      <c r="E1351" s="47" t="s">
        <v>1290</v>
      </c>
      <c r="F1351" s="53">
        <v>802.29</v>
      </c>
      <c r="G1351" s="47" t="s">
        <v>2636</v>
      </c>
      <c r="H1351" s="47" t="s">
        <v>2643</v>
      </c>
      <c r="I1351" s="46" t="s">
        <v>1517</v>
      </c>
      <c r="J1351" s="47" t="s">
        <v>519</v>
      </c>
      <c r="K1351" s="47" t="s">
        <v>519</v>
      </c>
      <c r="L1351" s="47" t="s">
        <v>552</v>
      </c>
      <c r="M1351" s="47" t="s">
        <v>514</v>
      </c>
      <c r="N1351" s="47" t="s">
        <v>515</v>
      </c>
      <c r="O1351" s="45" t="s">
        <v>382</v>
      </c>
      <c r="P1351" s="44" t="s">
        <v>309</v>
      </c>
      <c r="Q1351" s="59" t="str">
        <f>MID(Tabla1[[#This Row],[Aplicación]],14,1)</f>
        <v>2</v>
      </c>
      <c r="R1351" s="35" t="s">
        <v>298</v>
      </c>
      <c r="S1351" s="59" t="str">
        <f>MID(Tabla1[[#This Row],[Aplicación]],6,2)</f>
        <v>11</v>
      </c>
      <c r="T1351" s="35" t="str">
        <f>VLOOKUP(Tabla1[[#This Row],[AREA]],Hoja1!A:B,2,FALSE)</f>
        <v>11. Salud pública y seguridad ciudadana</v>
      </c>
      <c r="U1351" s="35" t="str">
        <f>MID(Tabla1[[#This Row],[Aplicación]],9,4)</f>
        <v>1621</v>
      </c>
      <c r="V1351" s="35" t="str">
        <f>VLOOKUP(Tabla1[[#This Row],[PROGRAMA]],Hoja1!A:B,2,FALSE)</f>
        <v>1621. Servicio de limpieza</v>
      </c>
      <c r="W1351" s="56" t="str">
        <f>MID(Tabla1[[#This Row],[Aplicación]],14,2)</f>
        <v>21</v>
      </c>
      <c r="X1351" s="56" t="str">
        <f>MID(Tabla1[[#This Row],[Aplicación]],14,6)</f>
        <v>214</v>
      </c>
    </row>
    <row r="1352" spans="1:24" x14ac:dyDescent="0.25">
      <c r="A1352" s="46">
        <v>220230006247</v>
      </c>
      <c r="B1352" s="47" t="s">
        <v>1514</v>
      </c>
      <c r="C1352" s="52">
        <v>44981</v>
      </c>
      <c r="D1352" s="46">
        <v>22023001465</v>
      </c>
      <c r="E1352" s="47" t="s">
        <v>2644</v>
      </c>
      <c r="F1352" s="53">
        <v>392.04</v>
      </c>
      <c r="G1352" s="47" t="s">
        <v>70</v>
      </c>
      <c r="H1352" s="47" t="s">
        <v>2645</v>
      </c>
      <c r="I1352" s="46" t="s">
        <v>1517</v>
      </c>
      <c r="J1352" s="47" t="s">
        <v>519</v>
      </c>
      <c r="K1352" s="47" t="s">
        <v>519</v>
      </c>
      <c r="L1352" s="47" t="s">
        <v>552</v>
      </c>
      <c r="M1352" s="47" t="s">
        <v>514</v>
      </c>
      <c r="N1352" s="47" t="s">
        <v>515</v>
      </c>
      <c r="O1352" s="45" t="s">
        <v>382</v>
      </c>
      <c r="P1352" s="44" t="s">
        <v>309</v>
      </c>
      <c r="Q1352" s="59" t="str">
        <f>MID(Tabla1[[#This Row],[Aplicación]],14,1)</f>
        <v>2</v>
      </c>
      <c r="R1352" s="35" t="s">
        <v>298</v>
      </c>
      <c r="S1352" s="59" t="str">
        <f>MID(Tabla1[[#This Row],[Aplicación]],6,2)</f>
        <v>11</v>
      </c>
      <c r="T1352" s="35" t="str">
        <f>VLOOKUP(Tabla1[[#This Row],[AREA]],Hoja1!A:B,2,FALSE)</f>
        <v>11. Salud pública y seguridad ciudadana</v>
      </c>
      <c r="U1352" s="35" t="str">
        <f>MID(Tabla1[[#This Row],[Aplicación]],9,4)</f>
        <v>1621</v>
      </c>
      <c r="V1352" s="35" t="str">
        <f>VLOOKUP(Tabla1[[#This Row],[PROGRAMA]],Hoja1!A:B,2,FALSE)</f>
        <v>1621. Servicio de limpieza</v>
      </c>
      <c r="W1352" s="56" t="str">
        <f>MID(Tabla1[[#This Row],[Aplicación]],14,2)</f>
        <v>22</v>
      </c>
      <c r="X1352" s="56" t="str">
        <f>MID(Tabla1[[#This Row],[Aplicación]],14,6)</f>
        <v>22110</v>
      </c>
    </row>
    <row r="1353" spans="1:24" x14ac:dyDescent="0.25">
      <c r="A1353" s="46">
        <v>220230006243</v>
      </c>
      <c r="B1353" s="47" t="s">
        <v>1514</v>
      </c>
      <c r="C1353" s="52">
        <v>44981</v>
      </c>
      <c r="D1353" s="46">
        <v>22023001466</v>
      </c>
      <c r="E1353" s="47" t="s">
        <v>2624</v>
      </c>
      <c r="F1353" s="53">
        <v>203.55</v>
      </c>
      <c r="G1353" s="47" t="s">
        <v>70</v>
      </c>
      <c r="H1353" s="47" t="s">
        <v>2646</v>
      </c>
      <c r="I1353" s="46" t="s">
        <v>1517</v>
      </c>
      <c r="J1353" s="47" t="s">
        <v>519</v>
      </c>
      <c r="K1353" s="47" t="s">
        <v>519</v>
      </c>
      <c r="L1353" s="47" t="s">
        <v>552</v>
      </c>
      <c r="M1353" s="47" t="s">
        <v>514</v>
      </c>
      <c r="N1353" s="47" t="s">
        <v>515</v>
      </c>
      <c r="O1353" s="45" t="s">
        <v>382</v>
      </c>
      <c r="P1353" s="44" t="s">
        <v>309</v>
      </c>
      <c r="Q1353" s="59" t="str">
        <f>MID(Tabla1[[#This Row],[Aplicación]],14,1)</f>
        <v>2</v>
      </c>
      <c r="R1353" s="35" t="s">
        <v>298</v>
      </c>
      <c r="S1353" s="59" t="str">
        <f>MID(Tabla1[[#This Row],[Aplicación]],6,2)</f>
        <v>11</v>
      </c>
      <c r="T1353" s="35" t="str">
        <f>VLOOKUP(Tabla1[[#This Row],[AREA]],Hoja1!A:B,2,FALSE)</f>
        <v>11. Salud pública y seguridad ciudadana</v>
      </c>
      <c r="U1353" s="35" t="str">
        <f>MID(Tabla1[[#This Row],[Aplicación]],9,4)</f>
        <v>1621</v>
      </c>
      <c r="V1353" s="35" t="str">
        <f>VLOOKUP(Tabla1[[#This Row],[PROGRAMA]],Hoja1!A:B,2,FALSE)</f>
        <v>1621. Servicio de limpieza</v>
      </c>
      <c r="W1353" s="56" t="str">
        <f>MID(Tabla1[[#This Row],[Aplicación]],14,2)</f>
        <v>22</v>
      </c>
      <c r="X1353" s="56" t="str">
        <f>MID(Tabla1[[#This Row],[Aplicación]],14,6)</f>
        <v>22199</v>
      </c>
    </row>
    <row r="1354" spans="1:24" x14ac:dyDescent="0.25">
      <c r="A1354" s="46">
        <v>220230006285</v>
      </c>
      <c r="B1354" s="47" t="s">
        <v>1514</v>
      </c>
      <c r="C1354" s="52">
        <v>44981</v>
      </c>
      <c r="D1354" s="46">
        <v>22023001464</v>
      </c>
      <c r="E1354" s="47" t="s">
        <v>1084</v>
      </c>
      <c r="F1354" s="53">
        <v>174.19</v>
      </c>
      <c r="G1354" s="47" t="s">
        <v>70</v>
      </c>
      <c r="H1354" s="47" t="s">
        <v>2647</v>
      </c>
      <c r="I1354" s="46" t="s">
        <v>1517</v>
      </c>
      <c r="J1354" s="47" t="s">
        <v>519</v>
      </c>
      <c r="K1354" s="47" t="s">
        <v>519</v>
      </c>
      <c r="L1354" s="47" t="s">
        <v>552</v>
      </c>
      <c r="M1354" s="47" t="s">
        <v>514</v>
      </c>
      <c r="N1354" s="47" t="s">
        <v>515</v>
      </c>
      <c r="O1354" s="45" t="s">
        <v>382</v>
      </c>
      <c r="P1354" s="44" t="s">
        <v>309</v>
      </c>
      <c r="Q1354" s="59" t="str">
        <f>MID(Tabla1[[#This Row],[Aplicación]],14,1)</f>
        <v>2</v>
      </c>
      <c r="R1354" s="35" t="s">
        <v>298</v>
      </c>
      <c r="S1354" s="59" t="str">
        <f>MID(Tabla1[[#This Row],[Aplicación]],6,2)</f>
        <v>11</v>
      </c>
      <c r="T1354" s="35" t="str">
        <f>VLOOKUP(Tabla1[[#This Row],[AREA]],Hoja1!A:B,2,FALSE)</f>
        <v>11. Salud pública y seguridad ciudadana</v>
      </c>
      <c r="U1354" s="35" t="str">
        <f>MID(Tabla1[[#This Row],[Aplicación]],9,4)</f>
        <v>1621</v>
      </c>
      <c r="V1354" s="35" t="str">
        <f>VLOOKUP(Tabla1[[#This Row],[PROGRAMA]],Hoja1!A:B,2,FALSE)</f>
        <v>1621. Servicio de limpieza</v>
      </c>
      <c r="W1354" s="56" t="str">
        <f>MID(Tabla1[[#This Row],[Aplicación]],14,2)</f>
        <v>22</v>
      </c>
      <c r="X1354" s="56" t="str">
        <f>MID(Tabla1[[#This Row],[Aplicación]],14,6)</f>
        <v>22104</v>
      </c>
    </row>
    <row r="1355" spans="1:24" x14ac:dyDescent="0.25">
      <c r="A1355" s="46">
        <v>220230006283</v>
      </c>
      <c r="B1355" s="47" t="s">
        <v>1514</v>
      </c>
      <c r="C1355" s="52">
        <v>44981</v>
      </c>
      <c r="D1355" s="46">
        <v>22023001464</v>
      </c>
      <c r="E1355" s="47" t="s">
        <v>1084</v>
      </c>
      <c r="F1355" s="53">
        <v>48.29</v>
      </c>
      <c r="G1355" s="47" t="s">
        <v>70</v>
      </c>
      <c r="H1355" s="47" t="s">
        <v>2648</v>
      </c>
      <c r="I1355" s="46" t="s">
        <v>1517</v>
      </c>
      <c r="J1355" s="47" t="s">
        <v>519</v>
      </c>
      <c r="K1355" s="47" t="s">
        <v>519</v>
      </c>
      <c r="L1355" s="47" t="s">
        <v>552</v>
      </c>
      <c r="M1355" s="47" t="s">
        <v>514</v>
      </c>
      <c r="N1355" s="47" t="s">
        <v>515</v>
      </c>
      <c r="O1355" s="45" t="s">
        <v>382</v>
      </c>
      <c r="P1355" s="44" t="s">
        <v>309</v>
      </c>
      <c r="Q1355" s="59" t="str">
        <f>MID(Tabla1[[#This Row],[Aplicación]],14,1)</f>
        <v>2</v>
      </c>
      <c r="R1355" s="35" t="s">
        <v>298</v>
      </c>
      <c r="S1355" s="59" t="str">
        <f>MID(Tabla1[[#This Row],[Aplicación]],6,2)</f>
        <v>11</v>
      </c>
      <c r="T1355" s="35" t="str">
        <f>VLOOKUP(Tabla1[[#This Row],[AREA]],Hoja1!A:B,2,FALSE)</f>
        <v>11. Salud pública y seguridad ciudadana</v>
      </c>
      <c r="U1355" s="35" t="str">
        <f>MID(Tabla1[[#This Row],[Aplicación]],9,4)</f>
        <v>1621</v>
      </c>
      <c r="V1355" s="35" t="str">
        <f>VLOOKUP(Tabla1[[#This Row],[PROGRAMA]],Hoja1!A:B,2,FALSE)</f>
        <v>1621. Servicio de limpieza</v>
      </c>
      <c r="W1355" s="56" t="str">
        <f>MID(Tabla1[[#This Row],[Aplicación]],14,2)</f>
        <v>22</v>
      </c>
      <c r="X1355" s="56" t="str">
        <f>MID(Tabla1[[#This Row],[Aplicación]],14,6)</f>
        <v>22104</v>
      </c>
    </row>
    <row r="1356" spans="1:24" x14ac:dyDescent="0.25">
      <c r="A1356" s="46">
        <v>220230006176</v>
      </c>
      <c r="B1356" s="47" t="s">
        <v>1514</v>
      </c>
      <c r="C1356" s="52">
        <v>44981</v>
      </c>
      <c r="D1356" s="46">
        <v>22023002297</v>
      </c>
      <c r="E1356" s="47" t="s">
        <v>693</v>
      </c>
      <c r="F1356" s="53">
        <v>3839.67</v>
      </c>
      <c r="G1356" s="47" t="s">
        <v>390</v>
      </c>
      <c r="H1356" s="47" t="s">
        <v>2649</v>
      </c>
      <c r="I1356" s="46" t="s">
        <v>1517</v>
      </c>
      <c r="J1356" s="47" t="s">
        <v>519</v>
      </c>
      <c r="K1356" s="47" t="s">
        <v>519</v>
      </c>
      <c r="L1356" s="47" t="s">
        <v>520</v>
      </c>
      <c r="M1356" s="47" t="s">
        <v>514</v>
      </c>
      <c r="N1356" s="47" t="s">
        <v>515</v>
      </c>
      <c r="O1356" s="45" t="s">
        <v>371</v>
      </c>
      <c r="P1356" s="44" t="s">
        <v>309</v>
      </c>
      <c r="Q1356" s="59" t="str">
        <f>MID(Tabla1[[#This Row],[Aplicación]],14,1)</f>
        <v>2</v>
      </c>
      <c r="R1356" s="35" t="s">
        <v>298</v>
      </c>
      <c r="S1356" s="59" t="str">
        <f>MID(Tabla1[[#This Row],[Aplicación]],6,2)</f>
        <v>11</v>
      </c>
      <c r="T1356" s="35" t="str">
        <f>VLOOKUP(Tabla1[[#This Row],[AREA]],Hoja1!A:B,2,FALSE)</f>
        <v>11. Salud pública y seguridad ciudadana</v>
      </c>
      <c r="U1356" s="35" t="str">
        <f>MID(Tabla1[[#This Row],[Aplicación]],9,4)</f>
        <v>1361</v>
      </c>
      <c r="V1356" s="35" t="str">
        <f>VLOOKUP(Tabla1[[#This Row],[PROGRAMA]],Hoja1!A:B,2,FALSE)</f>
        <v>1361. Prevención y extinción de incencios</v>
      </c>
      <c r="W1356" s="56" t="str">
        <f>MID(Tabla1[[#This Row],[Aplicación]],14,2)</f>
        <v>21</v>
      </c>
      <c r="X1356" s="56" t="str">
        <f>MID(Tabla1[[#This Row],[Aplicación]],14,6)</f>
        <v>213</v>
      </c>
    </row>
    <row r="1357" spans="1:24" x14ac:dyDescent="0.25">
      <c r="A1357" s="46">
        <v>220230006177</v>
      </c>
      <c r="B1357" s="47" t="s">
        <v>1514</v>
      </c>
      <c r="C1357" s="52">
        <v>44981</v>
      </c>
      <c r="D1357" s="46">
        <v>22023002302</v>
      </c>
      <c r="E1357" s="47" t="s">
        <v>693</v>
      </c>
      <c r="F1357" s="53">
        <v>1300.75</v>
      </c>
      <c r="G1357" s="47" t="s">
        <v>1521</v>
      </c>
      <c r="H1357" s="47" t="s">
        <v>2650</v>
      </c>
      <c r="I1357" s="46" t="s">
        <v>1517</v>
      </c>
      <c r="J1357" s="47" t="s">
        <v>512</v>
      </c>
      <c r="K1357" s="47" t="s">
        <v>512</v>
      </c>
      <c r="L1357" s="47" t="s">
        <v>520</v>
      </c>
      <c r="M1357" s="47" t="s">
        <v>514</v>
      </c>
      <c r="N1357" s="47" t="s">
        <v>515</v>
      </c>
      <c r="O1357" s="45" t="s">
        <v>371</v>
      </c>
      <c r="P1357" s="44" t="s">
        <v>309</v>
      </c>
      <c r="Q1357" s="59" t="str">
        <f>MID(Tabla1[[#This Row],[Aplicación]],14,1)</f>
        <v>2</v>
      </c>
      <c r="R1357" s="35" t="s">
        <v>298</v>
      </c>
      <c r="S1357" s="59" t="str">
        <f>MID(Tabla1[[#This Row],[Aplicación]],6,2)</f>
        <v>11</v>
      </c>
      <c r="T1357" s="35" t="str">
        <f>VLOOKUP(Tabla1[[#This Row],[AREA]],Hoja1!A:B,2,FALSE)</f>
        <v>11. Salud pública y seguridad ciudadana</v>
      </c>
      <c r="U1357" s="35" t="str">
        <f>MID(Tabla1[[#This Row],[Aplicación]],9,4)</f>
        <v>1361</v>
      </c>
      <c r="V1357" s="35" t="str">
        <f>VLOOKUP(Tabla1[[#This Row],[PROGRAMA]],Hoja1!A:B,2,FALSE)</f>
        <v>1361. Prevención y extinción de incencios</v>
      </c>
      <c r="W1357" s="56" t="str">
        <f>MID(Tabla1[[#This Row],[Aplicación]],14,2)</f>
        <v>21</v>
      </c>
      <c r="X1357" s="56" t="str">
        <f>MID(Tabla1[[#This Row],[Aplicación]],14,6)</f>
        <v>213</v>
      </c>
    </row>
    <row r="1358" spans="1:24" x14ac:dyDescent="0.25">
      <c r="A1358" s="46">
        <v>220230006178</v>
      </c>
      <c r="B1358" s="47" t="s">
        <v>1514</v>
      </c>
      <c r="C1358" s="52">
        <v>44981</v>
      </c>
      <c r="D1358" s="46">
        <v>22023002308</v>
      </c>
      <c r="E1358" s="47" t="s">
        <v>693</v>
      </c>
      <c r="F1358" s="53">
        <v>1497.38</v>
      </c>
      <c r="G1358" s="47" t="s">
        <v>18</v>
      </c>
      <c r="H1358" s="47" t="s">
        <v>2651</v>
      </c>
      <c r="I1358" s="46" t="s">
        <v>1517</v>
      </c>
      <c r="J1358" s="47" t="s">
        <v>519</v>
      </c>
      <c r="K1358" s="47" t="s">
        <v>519</v>
      </c>
      <c r="L1358" s="47" t="s">
        <v>520</v>
      </c>
      <c r="M1358" s="47" t="s">
        <v>514</v>
      </c>
      <c r="N1358" s="47" t="s">
        <v>515</v>
      </c>
      <c r="O1358" s="45" t="s">
        <v>371</v>
      </c>
      <c r="P1358" s="44" t="s">
        <v>309</v>
      </c>
      <c r="Q1358" s="59" t="str">
        <f>MID(Tabla1[[#This Row],[Aplicación]],14,1)</f>
        <v>2</v>
      </c>
      <c r="R1358" s="35" t="s">
        <v>298</v>
      </c>
      <c r="S1358" s="59" t="str">
        <f>MID(Tabla1[[#This Row],[Aplicación]],6,2)</f>
        <v>11</v>
      </c>
      <c r="T1358" s="35" t="str">
        <f>VLOOKUP(Tabla1[[#This Row],[AREA]],Hoja1!A:B,2,FALSE)</f>
        <v>11. Salud pública y seguridad ciudadana</v>
      </c>
      <c r="U1358" s="35" t="str">
        <f>MID(Tabla1[[#This Row],[Aplicación]],9,4)</f>
        <v>1361</v>
      </c>
      <c r="V1358" s="35" t="str">
        <f>VLOOKUP(Tabla1[[#This Row],[PROGRAMA]],Hoja1!A:B,2,FALSE)</f>
        <v>1361. Prevención y extinción de incencios</v>
      </c>
      <c r="W1358" s="56" t="str">
        <f>MID(Tabla1[[#This Row],[Aplicación]],14,2)</f>
        <v>21</v>
      </c>
      <c r="X1358" s="56" t="str">
        <f>MID(Tabla1[[#This Row],[Aplicación]],14,6)</f>
        <v>213</v>
      </c>
    </row>
    <row r="1359" spans="1:24" x14ac:dyDescent="0.25">
      <c r="A1359" s="46">
        <v>220230006179</v>
      </c>
      <c r="B1359" s="47" t="s">
        <v>1514</v>
      </c>
      <c r="C1359" s="52">
        <v>44981</v>
      </c>
      <c r="D1359" s="46">
        <v>22023001520</v>
      </c>
      <c r="E1359" s="47" t="s">
        <v>539</v>
      </c>
      <c r="F1359" s="53">
        <v>169576.75</v>
      </c>
      <c r="G1359" s="47" t="s">
        <v>788</v>
      </c>
      <c r="H1359" s="47" t="s">
        <v>2652</v>
      </c>
      <c r="I1359" s="46" t="s">
        <v>1517</v>
      </c>
      <c r="J1359" s="47" t="s">
        <v>512</v>
      </c>
      <c r="K1359" s="47" t="s">
        <v>512</v>
      </c>
      <c r="L1359" s="47" t="s">
        <v>520</v>
      </c>
      <c r="M1359" s="47" t="s">
        <v>514</v>
      </c>
      <c r="N1359" s="47" t="s">
        <v>515</v>
      </c>
      <c r="O1359" s="45" t="s">
        <v>371</v>
      </c>
      <c r="P1359" s="44" t="s">
        <v>309</v>
      </c>
      <c r="Q1359" s="59" t="str">
        <f>MID(Tabla1[[#This Row],[Aplicación]],14,1)</f>
        <v>2</v>
      </c>
      <c r="R1359" s="35" t="s">
        <v>298</v>
      </c>
      <c r="S1359" s="59" t="str">
        <f>MID(Tabla1[[#This Row],[Aplicación]],6,2)</f>
        <v>10</v>
      </c>
      <c r="T1359" s="35" t="str">
        <f>VLOOKUP(Tabla1[[#This Row],[AREA]],Hoja1!A:B,2,FALSE)</f>
        <v>10. Servicios sociales y mediación comunitaria</v>
      </c>
      <c r="U1359" s="35" t="str">
        <f>MID(Tabla1[[#This Row],[Aplicación]],9,4)</f>
        <v>2312</v>
      </c>
      <c r="V1359" s="35" t="str">
        <f>VLOOKUP(Tabla1[[#This Row],[PROGRAMA]],Hoja1!A:B,2,FALSE)</f>
        <v>2312. Iniciativas sociales</v>
      </c>
      <c r="W1359" s="56" t="str">
        <f>MID(Tabla1[[#This Row],[Aplicación]],14,2)</f>
        <v>22</v>
      </c>
      <c r="X1359" s="56" t="str">
        <f>MID(Tabla1[[#This Row],[Aplicación]],14,6)</f>
        <v>22799</v>
      </c>
    </row>
    <row r="1360" spans="1:24" x14ac:dyDescent="0.25">
      <c r="A1360" s="46">
        <v>220230006333</v>
      </c>
      <c r="B1360" s="47" t="s">
        <v>1514</v>
      </c>
      <c r="C1360" s="52">
        <v>44981</v>
      </c>
      <c r="D1360" s="46">
        <v>22023001459</v>
      </c>
      <c r="E1360" s="47" t="s">
        <v>1290</v>
      </c>
      <c r="F1360" s="53">
        <v>2541.08</v>
      </c>
      <c r="G1360" s="47" t="s">
        <v>2297</v>
      </c>
      <c r="H1360" s="47" t="s">
        <v>2653</v>
      </c>
      <c r="I1360" s="46" t="s">
        <v>1517</v>
      </c>
      <c r="J1360" s="47" t="s">
        <v>2299</v>
      </c>
      <c r="K1360" s="47" t="s">
        <v>519</v>
      </c>
      <c r="L1360" s="47" t="s">
        <v>520</v>
      </c>
      <c r="M1360" s="47" t="s">
        <v>514</v>
      </c>
      <c r="N1360" s="47" t="s">
        <v>515</v>
      </c>
      <c r="O1360" s="45" t="s">
        <v>382</v>
      </c>
      <c r="P1360" s="44" t="s">
        <v>309</v>
      </c>
      <c r="Q1360" s="59" t="str">
        <f>MID(Tabla1[[#This Row],[Aplicación]],14,1)</f>
        <v>2</v>
      </c>
      <c r="R1360" s="35" t="s">
        <v>298</v>
      </c>
      <c r="S1360" s="59" t="str">
        <f>MID(Tabla1[[#This Row],[Aplicación]],6,2)</f>
        <v>11</v>
      </c>
      <c r="T1360" s="35" t="str">
        <f>VLOOKUP(Tabla1[[#This Row],[AREA]],Hoja1!A:B,2,FALSE)</f>
        <v>11. Salud pública y seguridad ciudadana</v>
      </c>
      <c r="U1360" s="35" t="str">
        <f>MID(Tabla1[[#This Row],[Aplicación]],9,4)</f>
        <v>1621</v>
      </c>
      <c r="V1360" s="35" t="str">
        <f>VLOOKUP(Tabla1[[#This Row],[PROGRAMA]],Hoja1!A:B,2,FALSE)</f>
        <v>1621. Servicio de limpieza</v>
      </c>
      <c r="W1360" s="56" t="str">
        <f>MID(Tabla1[[#This Row],[Aplicación]],14,2)</f>
        <v>21</v>
      </c>
      <c r="X1360" s="56" t="str">
        <f>MID(Tabla1[[#This Row],[Aplicación]],14,6)</f>
        <v>214</v>
      </c>
    </row>
    <row r="1361" spans="1:24" x14ac:dyDescent="0.25">
      <c r="A1361" s="46">
        <v>220230006301</v>
      </c>
      <c r="B1361" s="47" t="s">
        <v>1514</v>
      </c>
      <c r="C1361" s="52">
        <v>44981</v>
      </c>
      <c r="D1361" s="46">
        <v>22023001459</v>
      </c>
      <c r="E1361" s="47" t="s">
        <v>1290</v>
      </c>
      <c r="F1361" s="53">
        <v>868.24</v>
      </c>
      <c r="G1361" s="47" t="s">
        <v>2297</v>
      </c>
      <c r="H1361" s="47" t="s">
        <v>2654</v>
      </c>
      <c r="I1361" s="46" t="s">
        <v>1517</v>
      </c>
      <c r="J1361" s="47" t="s">
        <v>2299</v>
      </c>
      <c r="K1361" s="47" t="s">
        <v>519</v>
      </c>
      <c r="L1361" s="47" t="s">
        <v>520</v>
      </c>
      <c r="M1361" s="47" t="s">
        <v>514</v>
      </c>
      <c r="N1361" s="47" t="s">
        <v>515</v>
      </c>
      <c r="O1361" s="45" t="s">
        <v>382</v>
      </c>
      <c r="P1361" s="44" t="s">
        <v>309</v>
      </c>
      <c r="Q1361" s="59" t="str">
        <f>MID(Tabla1[[#This Row],[Aplicación]],14,1)</f>
        <v>2</v>
      </c>
      <c r="R1361" s="35" t="s">
        <v>298</v>
      </c>
      <c r="S1361" s="59" t="str">
        <f>MID(Tabla1[[#This Row],[Aplicación]],6,2)</f>
        <v>11</v>
      </c>
      <c r="T1361" s="35" t="str">
        <f>VLOOKUP(Tabla1[[#This Row],[AREA]],Hoja1!A:B,2,FALSE)</f>
        <v>11. Salud pública y seguridad ciudadana</v>
      </c>
      <c r="U1361" s="35" t="str">
        <f>MID(Tabla1[[#This Row],[Aplicación]],9,4)</f>
        <v>1621</v>
      </c>
      <c r="V1361" s="35" t="str">
        <f>VLOOKUP(Tabla1[[#This Row],[PROGRAMA]],Hoja1!A:B,2,FALSE)</f>
        <v>1621. Servicio de limpieza</v>
      </c>
      <c r="W1361" s="56" t="str">
        <f>MID(Tabla1[[#This Row],[Aplicación]],14,2)</f>
        <v>21</v>
      </c>
      <c r="X1361" s="56" t="str">
        <f>MID(Tabla1[[#This Row],[Aplicación]],14,6)</f>
        <v>214</v>
      </c>
    </row>
    <row r="1362" spans="1:24" x14ac:dyDescent="0.25">
      <c r="A1362" s="46">
        <v>220230006331</v>
      </c>
      <c r="B1362" s="47" t="s">
        <v>1514</v>
      </c>
      <c r="C1362" s="52">
        <v>44981</v>
      </c>
      <c r="D1362" s="46">
        <v>22023001459</v>
      </c>
      <c r="E1362" s="47" t="s">
        <v>1290</v>
      </c>
      <c r="F1362" s="53">
        <v>78.819999999999993</v>
      </c>
      <c r="G1362" s="47" t="s">
        <v>2297</v>
      </c>
      <c r="H1362" s="47" t="s">
        <v>2655</v>
      </c>
      <c r="I1362" s="46" t="s">
        <v>1517</v>
      </c>
      <c r="J1362" s="47" t="s">
        <v>2299</v>
      </c>
      <c r="K1362" s="47" t="s">
        <v>519</v>
      </c>
      <c r="L1362" s="47" t="s">
        <v>520</v>
      </c>
      <c r="M1362" s="47" t="s">
        <v>514</v>
      </c>
      <c r="N1362" s="47" t="s">
        <v>515</v>
      </c>
      <c r="O1362" s="45" t="s">
        <v>382</v>
      </c>
      <c r="P1362" s="44" t="s">
        <v>309</v>
      </c>
      <c r="Q1362" s="59" t="str">
        <f>MID(Tabla1[[#This Row],[Aplicación]],14,1)</f>
        <v>2</v>
      </c>
      <c r="R1362" s="35" t="s">
        <v>298</v>
      </c>
      <c r="S1362" s="59" t="str">
        <f>MID(Tabla1[[#This Row],[Aplicación]],6,2)</f>
        <v>11</v>
      </c>
      <c r="T1362" s="35" t="str">
        <f>VLOOKUP(Tabla1[[#This Row],[AREA]],Hoja1!A:B,2,FALSE)</f>
        <v>11. Salud pública y seguridad ciudadana</v>
      </c>
      <c r="U1362" s="35" t="str">
        <f>MID(Tabla1[[#This Row],[Aplicación]],9,4)</f>
        <v>1621</v>
      </c>
      <c r="V1362" s="35" t="str">
        <f>VLOOKUP(Tabla1[[#This Row],[PROGRAMA]],Hoja1!A:B,2,FALSE)</f>
        <v>1621. Servicio de limpieza</v>
      </c>
      <c r="W1362" s="56" t="str">
        <f>MID(Tabla1[[#This Row],[Aplicación]],14,2)</f>
        <v>21</v>
      </c>
      <c r="X1362" s="56" t="str">
        <f>MID(Tabla1[[#This Row],[Aplicación]],14,6)</f>
        <v>214</v>
      </c>
    </row>
    <row r="1363" spans="1:24" x14ac:dyDescent="0.25">
      <c r="A1363" s="46">
        <v>220230006209</v>
      </c>
      <c r="B1363" s="47" t="s">
        <v>1514</v>
      </c>
      <c r="C1363" s="52">
        <v>44981</v>
      </c>
      <c r="D1363" s="46">
        <v>22023001474</v>
      </c>
      <c r="E1363" s="47" t="s">
        <v>1022</v>
      </c>
      <c r="F1363" s="53">
        <v>97.76</v>
      </c>
      <c r="G1363" s="47" t="s">
        <v>1372</v>
      </c>
      <c r="H1363" s="47" t="s">
        <v>2656</v>
      </c>
      <c r="I1363" s="46" t="s">
        <v>1517</v>
      </c>
      <c r="J1363" s="47" t="s">
        <v>519</v>
      </c>
      <c r="K1363" s="47" t="s">
        <v>519</v>
      </c>
      <c r="L1363" s="47" t="s">
        <v>552</v>
      </c>
      <c r="M1363" s="47" t="s">
        <v>514</v>
      </c>
      <c r="N1363" s="47" t="s">
        <v>515</v>
      </c>
      <c r="O1363" s="45" t="s">
        <v>382</v>
      </c>
      <c r="P1363" s="44" t="s">
        <v>309</v>
      </c>
      <c r="Q1363" s="59" t="str">
        <f>MID(Tabla1[[#This Row],[Aplicación]],14,1)</f>
        <v>2</v>
      </c>
      <c r="R1363" s="35" t="s">
        <v>298</v>
      </c>
      <c r="S1363" s="59" t="str">
        <f>MID(Tabla1[[#This Row],[Aplicación]],6,2)</f>
        <v>11</v>
      </c>
      <c r="T1363" s="35" t="str">
        <f>VLOOKUP(Tabla1[[#This Row],[AREA]],Hoja1!A:B,2,FALSE)</f>
        <v>11. Salud pública y seguridad ciudadana</v>
      </c>
      <c r="U1363" s="35" t="str">
        <f>MID(Tabla1[[#This Row],[Aplicación]],9,4)</f>
        <v>1631</v>
      </c>
      <c r="V1363" s="35" t="str">
        <f>VLOOKUP(Tabla1[[#This Row],[PROGRAMA]],Hoja1!A:B,2,FALSE)</f>
        <v>1631. Limpieza viaria</v>
      </c>
      <c r="W1363" s="56" t="str">
        <f>MID(Tabla1[[#This Row],[Aplicación]],14,2)</f>
        <v>22</v>
      </c>
      <c r="X1363" s="56" t="str">
        <f>MID(Tabla1[[#This Row],[Aplicación]],14,6)</f>
        <v>22104</v>
      </c>
    </row>
    <row r="1364" spans="1:24" x14ac:dyDescent="0.25">
      <c r="A1364" s="46">
        <v>220230006253</v>
      </c>
      <c r="B1364" s="47" t="s">
        <v>1514</v>
      </c>
      <c r="C1364" s="52">
        <v>44981</v>
      </c>
      <c r="D1364" s="46">
        <v>22023001474</v>
      </c>
      <c r="E1364" s="47" t="s">
        <v>1022</v>
      </c>
      <c r="F1364" s="53">
        <v>66.19</v>
      </c>
      <c r="G1364" s="47" t="s">
        <v>1372</v>
      </c>
      <c r="H1364" s="47" t="s">
        <v>2657</v>
      </c>
      <c r="I1364" s="46" t="s">
        <v>1517</v>
      </c>
      <c r="J1364" s="47" t="s">
        <v>519</v>
      </c>
      <c r="K1364" s="47" t="s">
        <v>519</v>
      </c>
      <c r="L1364" s="47" t="s">
        <v>552</v>
      </c>
      <c r="M1364" s="47" t="s">
        <v>514</v>
      </c>
      <c r="N1364" s="47" t="s">
        <v>515</v>
      </c>
      <c r="O1364" s="45" t="s">
        <v>382</v>
      </c>
      <c r="P1364" s="44" t="s">
        <v>309</v>
      </c>
      <c r="Q1364" s="59" t="str">
        <f>MID(Tabla1[[#This Row],[Aplicación]],14,1)</f>
        <v>2</v>
      </c>
      <c r="R1364" s="35" t="s">
        <v>298</v>
      </c>
      <c r="S1364" s="59" t="str">
        <f>MID(Tabla1[[#This Row],[Aplicación]],6,2)</f>
        <v>11</v>
      </c>
      <c r="T1364" s="35" t="str">
        <f>VLOOKUP(Tabla1[[#This Row],[AREA]],Hoja1!A:B,2,FALSE)</f>
        <v>11. Salud pública y seguridad ciudadana</v>
      </c>
      <c r="U1364" s="35" t="str">
        <f>MID(Tabla1[[#This Row],[Aplicación]],9,4)</f>
        <v>1631</v>
      </c>
      <c r="V1364" s="35" t="str">
        <f>VLOOKUP(Tabla1[[#This Row],[PROGRAMA]],Hoja1!A:B,2,FALSE)</f>
        <v>1631. Limpieza viaria</v>
      </c>
      <c r="W1364" s="56" t="str">
        <f>MID(Tabla1[[#This Row],[Aplicación]],14,2)</f>
        <v>22</v>
      </c>
      <c r="X1364" s="56" t="str">
        <f>MID(Tabla1[[#This Row],[Aplicación]],14,6)</f>
        <v>22104</v>
      </c>
    </row>
    <row r="1365" spans="1:24" x14ac:dyDescent="0.25">
      <c r="A1365" s="46">
        <v>220230006225</v>
      </c>
      <c r="B1365" s="47" t="s">
        <v>1514</v>
      </c>
      <c r="C1365" s="52">
        <v>44981</v>
      </c>
      <c r="D1365" s="46">
        <v>22023001466</v>
      </c>
      <c r="E1365" s="47" t="s">
        <v>2624</v>
      </c>
      <c r="F1365" s="53">
        <v>7.53</v>
      </c>
      <c r="G1365" s="47" t="s">
        <v>1351</v>
      </c>
      <c r="H1365" s="47" t="s">
        <v>2658</v>
      </c>
      <c r="I1365" s="46" t="s">
        <v>1517</v>
      </c>
      <c r="J1365" s="47" t="s">
        <v>519</v>
      </c>
      <c r="K1365" s="47" t="s">
        <v>519</v>
      </c>
      <c r="L1365" s="47" t="s">
        <v>552</v>
      </c>
      <c r="M1365" s="47" t="s">
        <v>514</v>
      </c>
      <c r="N1365" s="47" t="s">
        <v>515</v>
      </c>
      <c r="O1365" s="45" t="s">
        <v>382</v>
      </c>
      <c r="P1365" s="44" t="s">
        <v>309</v>
      </c>
      <c r="Q1365" s="59" t="str">
        <f>MID(Tabla1[[#This Row],[Aplicación]],14,1)</f>
        <v>2</v>
      </c>
      <c r="R1365" s="35" t="s">
        <v>298</v>
      </c>
      <c r="S1365" s="59" t="str">
        <f>MID(Tabla1[[#This Row],[Aplicación]],6,2)</f>
        <v>11</v>
      </c>
      <c r="T1365" s="35" t="str">
        <f>VLOOKUP(Tabla1[[#This Row],[AREA]],Hoja1!A:B,2,FALSE)</f>
        <v>11. Salud pública y seguridad ciudadana</v>
      </c>
      <c r="U1365" s="35" t="str">
        <f>MID(Tabla1[[#This Row],[Aplicación]],9,4)</f>
        <v>1621</v>
      </c>
      <c r="V1365" s="35" t="str">
        <f>VLOOKUP(Tabla1[[#This Row],[PROGRAMA]],Hoja1!A:B,2,FALSE)</f>
        <v>1621. Servicio de limpieza</v>
      </c>
      <c r="W1365" s="56" t="str">
        <f>MID(Tabla1[[#This Row],[Aplicación]],14,2)</f>
        <v>22</v>
      </c>
      <c r="X1365" s="56" t="str">
        <f>MID(Tabla1[[#This Row],[Aplicación]],14,6)</f>
        <v>22199</v>
      </c>
    </row>
    <row r="1366" spans="1:24" x14ac:dyDescent="0.25">
      <c r="A1366" s="46">
        <v>220230006249</v>
      </c>
      <c r="B1366" s="47" t="s">
        <v>1514</v>
      </c>
      <c r="C1366" s="52">
        <v>44981</v>
      </c>
      <c r="D1366" s="46">
        <v>22023001461</v>
      </c>
      <c r="E1366" s="47" t="s">
        <v>607</v>
      </c>
      <c r="F1366" s="53">
        <v>136.35</v>
      </c>
      <c r="G1366" s="47" t="s">
        <v>2115</v>
      </c>
      <c r="H1366" s="47" t="s">
        <v>2659</v>
      </c>
      <c r="I1366" s="46" t="s">
        <v>1517</v>
      </c>
      <c r="J1366" s="47" t="s">
        <v>519</v>
      </c>
      <c r="K1366" s="47" t="s">
        <v>519</v>
      </c>
      <c r="L1366" s="47" t="s">
        <v>552</v>
      </c>
      <c r="M1366" s="47" t="s">
        <v>514</v>
      </c>
      <c r="N1366" s="47" t="s">
        <v>515</v>
      </c>
      <c r="O1366" s="45" t="s">
        <v>382</v>
      </c>
      <c r="P1366" s="44" t="s">
        <v>309</v>
      </c>
      <c r="Q1366" s="59" t="str">
        <f>MID(Tabla1[[#This Row],[Aplicación]],14,1)</f>
        <v>2</v>
      </c>
      <c r="R1366" s="35" t="s">
        <v>298</v>
      </c>
      <c r="S1366" s="59" t="str">
        <f>MID(Tabla1[[#This Row],[Aplicación]],6,2)</f>
        <v>11</v>
      </c>
      <c r="T1366" s="35" t="str">
        <f>VLOOKUP(Tabla1[[#This Row],[AREA]],Hoja1!A:B,2,FALSE)</f>
        <v>11. Salud pública y seguridad ciudadana</v>
      </c>
      <c r="U1366" s="35" t="str">
        <f>MID(Tabla1[[#This Row],[Aplicación]],9,4)</f>
        <v>1621</v>
      </c>
      <c r="V1366" s="35" t="str">
        <f>VLOOKUP(Tabla1[[#This Row],[PROGRAMA]],Hoja1!A:B,2,FALSE)</f>
        <v>1621. Servicio de limpieza</v>
      </c>
      <c r="W1366" s="56" t="str">
        <f>MID(Tabla1[[#This Row],[Aplicación]],14,2)</f>
        <v>21</v>
      </c>
      <c r="X1366" s="56" t="str">
        <f>MID(Tabla1[[#This Row],[Aplicación]],14,6)</f>
        <v>213</v>
      </c>
    </row>
    <row r="1367" spans="1:24" x14ac:dyDescent="0.25">
      <c r="A1367" s="46">
        <v>220230006255</v>
      </c>
      <c r="B1367" s="47" t="s">
        <v>1514</v>
      </c>
      <c r="C1367" s="52">
        <v>44981</v>
      </c>
      <c r="D1367" s="46">
        <v>22023001466</v>
      </c>
      <c r="E1367" s="47" t="s">
        <v>2624</v>
      </c>
      <c r="F1367" s="53">
        <v>90.39</v>
      </c>
      <c r="G1367" s="47" t="s">
        <v>2115</v>
      </c>
      <c r="H1367" s="47" t="s">
        <v>2660</v>
      </c>
      <c r="I1367" s="46" t="s">
        <v>1517</v>
      </c>
      <c r="J1367" s="47" t="s">
        <v>519</v>
      </c>
      <c r="K1367" s="47" t="s">
        <v>519</v>
      </c>
      <c r="L1367" s="47" t="s">
        <v>552</v>
      </c>
      <c r="M1367" s="47" t="s">
        <v>514</v>
      </c>
      <c r="N1367" s="47" t="s">
        <v>515</v>
      </c>
      <c r="O1367" s="45" t="s">
        <v>382</v>
      </c>
      <c r="P1367" s="44" t="s">
        <v>309</v>
      </c>
      <c r="Q1367" s="59" t="str">
        <f>MID(Tabla1[[#This Row],[Aplicación]],14,1)</f>
        <v>2</v>
      </c>
      <c r="R1367" s="35" t="s">
        <v>298</v>
      </c>
      <c r="S1367" s="59" t="str">
        <f>MID(Tabla1[[#This Row],[Aplicación]],6,2)</f>
        <v>11</v>
      </c>
      <c r="T1367" s="35" t="str">
        <f>VLOOKUP(Tabla1[[#This Row],[AREA]],Hoja1!A:B,2,FALSE)</f>
        <v>11. Salud pública y seguridad ciudadana</v>
      </c>
      <c r="U1367" s="35" t="str">
        <f>MID(Tabla1[[#This Row],[Aplicación]],9,4)</f>
        <v>1621</v>
      </c>
      <c r="V1367" s="35" t="str">
        <f>VLOOKUP(Tabla1[[#This Row],[PROGRAMA]],Hoja1!A:B,2,FALSE)</f>
        <v>1621. Servicio de limpieza</v>
      </c>
      <c r="W1367" s="56" t="str">
        <f>MID(Tabla1[[#This Row],[Aplicación]],14,2)</f>
        <v>22</v>
      </c>
      <c r="X1367" s="56" t="str">
        <f>MID(Tabla1[[#This Row],[Aplicación]],14,6)</f>
        <v>22199</v>
      </c>
    </row>
    <row r="1368" spans="1:24" x14ac:dyDescent="0.25">
      <c r="A1368" s="55">
        <v>220230011703</v>
      </c>
      <c r="B1368" s="47" t="s">
        <v>507</v>
      </c>
      <c r="C1368" s="52">
        <v>45014</v>
      </c>
      <c r="D1368" s="46">
        <v>22023003611</v>
      </c>
      <c r="E1368" s="47" t="s">
        <v>1150</v>
      </c>
      <c r="F1368" s="53">
        <v>812.1</v>
      </c>
      <c r="G1368" s="47" t="s">
        <v>73</v>
      </c>
      <c r="H1368" s="47" t="s">
        <v>2661</v>
      </c>
      <c r="I1368" s="46" t="s">
        <v>511</v>
      </c>
      <c r="J1368" s="47" t="s">
        <v>519</v>
      </c>
      <c r="K1368" s="47" t="s">
        <v>512</v>
      </c>
      <c r="L1368" s="47" t="s">
        <v>552</v>
      </c>
      <c r="M1368" s="47" t="s">
        <v>976</v>
      </c>
      <c r="N1368" s="47" t="s">
        <v>839</v>
      </c>
      <c r="O1368" s="54" t="s">
        <v>383</v>
      </c>
      <c r="P1368" s="44" t="s">
        <v>309</v>
      </c>
      <c r="Q1368" s="59" t="str">
        <f>MID(Tabla1[[#This Row],[Aplicación]],14,1)</f>
        <v>2</v>
      </c>
      <c r="R1368" s="35" t="s">
        <v>298</v>
      </c>
      <c r="S1368" s="59" t="str">
        <f>MID(Tabla1[[#This Row],[Aplicación]],6,2)</f>
        <v>03</v>
      </c>
      <c r="T1368" s="35" t="str">
        <f>VLOOKUP(Tabla1[[#This Row],[AREA]],Hoja1!A:B,2,FALSE)</f>
        <v>03. Participación ciudadana y deportes</v>
      </c>
      <c r="U1368" s="35" t="str">
        <f>MID(Tabla1[[#This Row],[Aplicación]],9,4)</f>
        <v>9241</v>
      </c>
      <c r="V1368" s="35" t="str">
        <f>VLOOKUP(Tabla1[[#This Row],[PROGRAMA]],Hoja1!A:B,2,FALSE)</f>
        <v>9241. Participación ciudadana</v>
      </c>
      <c r="W1368" s="56" t="str">
        <f>MID(Tabla1[[#This Row],[Aplicación]],14,2)</f>
        <v>21</v>
      </c>
      <c r="X1368" s="56" t="str">
        <f>MID(Tabla1[[#This Row],[Aplicación]],14,6)</f>
        <v>213</v>
      </c>
    </row>
    <row r="1369" spans="1:24" x14ac:dyDescent="0.25">
      <c r="A1369" s="46">
        <v>220230006354</v>
      </c>
      <c r="B1369" s="47" t="s">
        <v>1514</v>
      </c>
      <c r="C1369" s="52">
        <v>44981</v>
      </c>
      <c r="D1369" s="46">
        <v>22023001476</v>
      </c>
      <c r="E1369" s="47" t="s">
        <v>2662</v>
      </c>
      <c r="F1369" s="53">
        <v>292.70999999999998</v>
      </c>
      <c r="G1369" s="47" t="s">
        <v>98</v>
      </c>
      <c r="H1369" s="47" t="s">
        <v>2663</v>
      </c>
      <c r="I1369" s="46" t="s">
        <v>1517</v>
      </c>
      <c r="J1369" s="47" t="s">
        <v>519</v>
      </c>
      <c r="K1369" s="47" t="s">
        <v>519</v>
      </c>
      <c r="L1369" s="47" t="s">
        <v>552</v>
      </c>
      <c r="M1369" s="47" t="s">
        <v>514</v>
      </c>
      <c r="N1369" s="47" t="s">
        <v>515</v>
      </c>
      <c r="O1369" s="45" t="s">
        <v>382</v>
      </c>
      <c r="P1369" s="44" t="s">
        <v>309</v>
      </c>
      <c r="Q1369" s="59" t="str">
        <f>MID(Tabla1[[#This Row],[Aplicación]],14,1)</f>
        <v>2</v>
      </c>
      <c r="R1369" s="35" t="s">
        <v>298</v>
      </c>
      <c r="S1369" s="59" t="str">
        <f>MID(Tabla1[[#This Row],[Aplicación]],6,2)</f>
        <v>11</v>
      </c>
      <c r="T1369" s="35" t="str">
        <f>VLOOKUP(Tabla1[[#This Row],[AREA]],Hoja1!A:B,2,FALSE)</f>
        <v>11. Salud pública y seguridad ciudadana</v>
      </c>
      <c r="U1369" s="35" t="str">
        <f>MID(Tabla1[[#This Row],[Aplicación]],9,4)</f>
        <v>1631</v>
      </c>
      <c r="V1369" s="35" t="str">
        <f>VLOOKUP(Tabla1[[#This Row],[PROGRAMA]],Hoja1!A:B,2,FALSE)</f>
        <v>1631. Limpieza viaria</v>
      </c>
      <c r="W1369" s="56" t="str">
        <f>MID(Tabla1[[#This Row],[Aplicación]],14,2)</f>
        <v>22</v>
      </c>
      <c r="X1369" s="56" t="str">
        <f>MID(Tabla1[[#This Row],[Aplicación]],14,6)</f>
        <v>22199</v>
      </c>
    </row>
    <row r="1370" spans="1:24" x14ac:dyDescent="0.25">
      <c r="A1370" s="46">
        <v>220230006221</v>
      </c>
      <c r="B1370" s="47" t="s">
        <v>1514</v>
      </c>
      <c r="C1370" s="52">
        <v>44981</v>
      </c>
      <c r="D1370" s="46">
        <v>22023001476</v>
      </c>
      <c r="E1370" s="47" t="s">
        <v>2662</v>
      </c>
      <c r="F1370" s="53">
        <v>46.15</v>
      </c>
      <c r="G1370" s="47" t="s">
        <v>98</v>
      </c>
      <c r="H1370" s="47" t="s">
        <v>2664</v>
      </c>
      <c r="I1370" s="46" t="s">
        <v>1517</v>
      </c>
      <c r="J1370" s="47" t="s">
        <v>519</v>
      </c>
      <c r="K1370" s="47" t="s">
        <v>519</v>
      </c>
      <c r="L1370" s="47" t="s">
        <v>552</v>
      </c>
      <c r="M1370" s="47" t="s">
        <v>514</v>
      </c>
      <c r="N1370" s="47" t="s">
        <v>515</v>
      </c>
      <c r="O1370" s="45" t="s">
        <v>382</v>
      </c>
      <c r="P1370" s="44" t="s">
        <v>309</v>
      </c>
      <c r="Q1370" s="59" t="str">
        <f>MID(Tabla1[[#This Row],[Aplicación]],14,1)</f>
        <v>2</v>
      </c>
      <c r="R1370" s="35" t="s">
        <v>298</v>
      </c>
      <c r="S1370" s="59" t="str">
        <f>MID(Tabla1[[#This Row],[Aplicación]],6,2)</f>
        <v>11</v>
      </c>
      <c r="T1370" s="35" t="str">
        <f>VLOOKUP(Tabla1[[#This Row],[AREA]],Hoja1!A:B,2,FALSE)</f>
        <v>11. Salud pública y seguridad ciudadana</v>
      </c>
      <c r="U1370" s="35" t="str">
        <f>MID(Tabla1[[#This Row],[Aplicación]],9,4)</f>
        <v>1631</v>
      </c>
      <c r="V1370" s="35" t="str">
        <f>VLOOKUP(Tabla1[[#This Row],[PROGRAMA]],Hoja1!A:B,2,FALSE)</f>
        <v>1631. Limpieza viaria</v>
      </c>
      <c r="W1370" s="56" t="str">
        <f>MID(Tabla1[[#This Row],[Aplicación]],14,2)</f>
        <v>22</v>
      </c>
      <c r="X1370" s="56" t="str">
        <f>MID(Tabla1[[#This Row],[Aplicación]],14,6)</f>
        <v>22199</v>
      </c>
    </row>
    <row r="1371" spans="1:24" x14ac:dyDescent="0.25">
      <c r="A1371" s="46">
        <v>220230006257</v>
      </c>
      <c r="B1371" s="47" t="s">
        <v>1514</v>
      </c>
      <c r="C1371" s="52">
        <v>44981</v>
      </c>
      <c r="D1371" s="46">
        <v>22023001476</v>
      </c>
      <c r="E1371" s="47" t="s">
        <v>2662</v>
      </c>
      <c r="F1371" s="53">
        <v>24.21</v>
      </c>
      <c r="G1371" s="47" t="s">
        <v>98</v>
      </c>
      <c r="H1371" s="47" t="s">
        <v>2665</v>
      </c>
      <c r="I1371" s="46" t="s">
        <v>1517</v>
      </c>
      <c r="J1371" s="47" t="s">
        <v>519</v>
      </c>
      <c r="K1371" s="47" t="s">
        <v>519</v>
      </c>
      <c r="L1371" s="47" t="s">
        <v>552</v>
      </c>
      <c r="M1371" s="47" t="s">
        <v>514</v>
      </c>
      <c r="N1371" s="47" t="s">
        <v>515</v>
      </c>
      <c r="O1371" s="45" t="s">
        <v>382</v>
      </c>
      <c r="P1371" s="44" t="s">
        <v>309</v>
      </c>
      <c r="Q1371" s="59" t="str">
        <f>MID(Tabla1[[#This Row],[Aplicación]],14,1)</f>
        <v>2</v>
      </c>
      <c r="R1371" s="35" t="s">
        <v>298</v>
      </c>
      <c r="S1371" s="59" t="str">
        <f>MID(Tabla1[[#This Row],[Aplicación]],6,2)</f>
        <v>11</v>
      </c>
      <c r="T1371" s="35" t="str">
        <f>VLOOKUP(Tabla1[[#This Row],[AREA]],Hoja1!A:B,2,FALSE)</f>
        <v>11. Salud pública y seguridad ciudadana</v>
      </c>
      <c r="U1371" s="35" t="str">
        <f>MID(Tabla1[[#This Row],[Aplicación]],9,4)</f>
        <v>1631</v>
      </c>
      <c r="V1371" s="35" t="str">
        <f>VLOOKUP(Tabla1[[#This Row],[PROGRAMA]],Hoja1!A:B,2,FALSE)</f>
        <v>1631. Limpieza viaria</v>
      </c>
      <c r="W1371" s="56" t="str">
        <f>MID(Tabla1[[#This Row],[Aplicación]],14,2)</f>
        <v>22</v>
      </c>
      <c r="X1371" s="56" t="str">
        <f>MID(Tabla1[[#This Row],[Aplicación]],14,6)</f>
        <v>22199</v>
      </c>
    </row>
    <row r="1372" spans="1:24" x14ac:dyDescent="0.25">
      <c r="A1372" s="46">
        <v>220230006219</v>
      </c>
      <c r="B1372" s="47" t="s">
        <v>1514</v>
      </c>
      <c r="C1372" s="52">
        <v>44981</v>
      </c>
      <c r="D1372" s="46">
        <v>22023001462</v>
      </c>
      <c r="E1372" s="47" t="s">
        <v>1290</v>
      </c>
      <c r="F1372" s="53">
        <v>329.88</v>
      </c>
      <c r="G1372" s="47" t="s">
        <v>97</v>
      </c>
      <c r="H1372" s="47" t="s">
        <v>2666</v>
      </c>
      <c r="I1372" s="46" t="s">
        <v>1517</v>
      </c>
      <c r="J1372" s="47" t="s">
        <v>519</v>
      </c>
      <c r="K1372" s="47" t="s">
        <v>519</v>
      </c>
      <c r="L1372" s="47" t="s">
        <v>552</v>
      </c>
      <c r="M1372" s="47" t="s">
        <v>514</v>
      </c>
      <c r="N1372" s="47" t="s">
        <v>515</v>
      </c>
      <c r="O1372" s="45" t="s">
        <v>382</v>
      </c>
      <c r="P1372" s="44" t="s">
        <v>309</v>
      </c>
      <c r="Q1372" s="59" t="str">
        <f>MID(Tabla1[[#This Row],[Aplicación]],14,1)</f>
        <v>2</v>
      </c>
      <c r="R1372" s="35" t="s">
        <v>298</v>
      </c>
      <c r="S1372" s="59" t="str">
        <f>MID(Tabla1[[#This Row],[Aplicación]],6,2)</f>
        <v>11</v>
      </c>
      <c r="T1372" s="35" t="str">
        <f>VLOOKUP(Tabla1[[#This Row],[AREA]],Hoja1!A:B,2,FALSE)</f>
        <v>11. Salud pública y seguridad ciudadana</v>
      </c>
      <c r="U1372" s="35" t="str">
        <f>MID(Tabla1[[#This Row],[Aplicación]],9,4)</f>
        <v>1621</v>
      </c>
      <c r="V1372" s="35" t="str">
        <f>VLOOKUP(Tabla1[[#This Row],[PROGRAMA]],Hoja1!A:B,2,FALSE)</f>
        <v>1621. Servicio de limpieza</v>
      </c>
      <c r="W1372" s="56" t="str">
        <f>MID(Tabla1[[#This Row],[Aplicación]],14,2)</f>
        <v>21</v>
      </c>
      <c r="X1372" s="56" t="str">
        <f>MID(Tabla1[[#This Row],[Aplicación]],14,6)</f>
        <v>214</v>
      </c>
    </row>
    <row r="1373" spans="1:24" x14ac:dyDescent="0.25">
      <c r="A1373" s="46">
        <v>220230006203</v>
      </c>
      <c r="B1373" s="47" t="s">
        <v>1514</v>
      </c>
      <c r="C1373" s="52">
        <v>44981</v>
      </c>
      <c r="D1373" s="46">
        <v>22023001466</v>
      </c>
      <c r="E1373" s="47" t="s">
        <v>2624</v>
      </c>
      <c r="F1373" s="53">
        <v>161.55000000000001</v>
      </c>
      <c r="G1373" s="47" t="s">
        <v>97</v>
      </c>
      <c r="H1373" s="47" t="s">
        <v>2667</v>
      </c>
      <c r="I1373" s="46" t="s">
        <v>1517</v>
      </c>
      <c r="J1373" s="47" t="s">
        <v>519</v>
      </c>
      <c r="K1373" s="47" t="s">
        <v>519</v>
      </c>
      <c r="L1373" s="47" t="s">
        <v>552</v>
      </c>
      <c r="M1373" s="47" t="s">
        <v>514</v>
      </c>
      <c r="N1373" s="47" t="s">
        <v>515</v>
      </c>
      <c r="O1373" s="45" t="s">
        <v>382</v>
      </c>
      <c r="P1373" s="44" t="s">
        <v>309</v>
      </c>
      <c r="Q1373" s="59" t="str">
        <f>MID(Tabla1[[#This Row],[Aplicación]],14,1)</f>
        <v>2</v>
      </c>
      <c r="R1373" s="35" t="s">
        <v>298</v>
      </c>
      <c r="S1373" s="59" t="str">
        <f>MID(Tabla1[[#This Row],[Aplicación]],6,2)</f>
        <v>11</v>
      </c>
      <c r="T1373" s="35" t="str">
        <f>VLOOKUP(Tabla1[[#This Row],[AREA]],Hoja1!A:B,2,FALSE)</f>
        <v>11. Salud pública y seguridad ciudadana</v>
      </c>
      <c r="U1373" s="35" t="str">
        <f>MID(Tabla1[[#This Row],[Aplicación]],9,4)</f>
        <v>1621</v>
      </c>
      <c r="V1373" s="35" t="str">
        <f>VLOOKUP(Tabla1[[#This Row],[PROGRAMA]],Hoja1!A:B,2,FALSE)</f>
        <v>1621. Servicio de limpieza</v>
      </c>
      <c r="W1373" s="56" t="str">
        <f>MID(Tabla1[[#This Row],[Aplicación]],14,2)</f>
        <v>22</v>
      </c>
      <c r="X1373" s="56" t="str">
        <f>MID(Tabla1[[#This Row],[Aplicación]],14,6)</f>
        <v>22199</v>
      </c>
    </row>
    <row r="1374" spans="1:24" x14ac:dyDescent="0.25">
      <c r="A1374" s="46">
        <v>220230006201</v>
      </c>
      <c r="B1374" s="47" t="s">
        <v>1514</v>
      </c>
      <c r="C1374" s="52">
        <v>44981</v>
      </c>
      <c r="D1374" s="46">
        <v>22023001466</v>
      </c>
      <c r="E1374" s="47" t="s">
        <v>2624</v>
      </c>
      <c r="F1374" s="53">
        <v>136.29</v>
      </c>
      <c r="G1374" s="47" t="s">
        <v>97</v>
      </c>
      <c r="H1374" s="47" t="s">
        <v>2668</v>
      </c>
      <c r="I1374" s="46" t="s">
        <v>1517</v>
      </c>
      <c r="J1374" s="47" t="s">
        <v>519</v>
      </c>
      <c r="K1374" s="47" t="s">
        <v>519</v>
      </c>
      <c r="L1374" s="47" t="s">
        <v>552</v>
      </c>
      <c r="M1374" s="47" t="s">
        <v>514</v>
      </c>
      <c r="N1374" s="47" t="s">
        <v>515</v>
      </c>
      <c r="O1374" s="45" t="s">
        <v>382</v>
      </c>
      <c r="P1374" s="44" t="s">
        <v>309</v>
      </c>
      <c r="Q1374" s="59" t="str">
        <f>MID(Tabla1[[#This Row],[Aplicación]],14,1)</f>
        <v>2</v>
      </c>
      <c r="R1374" s="35" t="s">
        <v>298</v>
      </c>
      <c r="S1374" s="59" t="str">
        <f>MID(Tabla1[[#This Row],[Aplicación]],6,2)</f>
        <v>11</v>
      </c>
      <c r="T1374" s="35" t="str">
        <f>VLOOKUP(Tabla1[[#This Row],[AREA]],Hoja1!A:B,2,FALSE)</f>
        <v>11. Salud pública y seguridad ciudadana</v>
      </c>
      <c r="U1374" s="35" t="str">
        <f>MID(Tabla1[[#This Row],[Aplicación]],9,4)</f>
        <v>1621</v>
      </c>
      <c r="V1374" s="35" t="str">
        <f>VLOOKUP(Tabla1[[#This Row],[PROGRAMA]],Hoja1!A:B,2,FALSE)</f>
        <v>1621. Servicio de limpieza</v>
      </c>
      <c r="W1374" s="56" t="str">
        <f>MID(Tabla1[[#This Row],[Aplicación]],14,2)</f>
        <v>22</v>
      </c>
      <c r="X1374" s="56" t="str">
        <f>MID(Tabla1[[#This Row],[Aplicación]],14,6)</f>
        <v>22199</v>
      </c>
    </row>
    <row r="1375" spans="1:24" x14ac:dyDescent="0.25">
      <c r="A1375" s="46">
        <v>220230006269</v>
      </c>
      <c r="B1375" s="47" t="s">
        <v>1514</v>
      </c>
      <c r="C1375" s="52">
        <v>44981</v>
      </c>
      <c r="D1375" s="46">
        <v>22023001476</v>
      </c>
      <c r="E1375" s="47" t="s">
        <v>2662</v>
      </c>
      <c r="F1375" s="53">
        <v>102.61</v>
      </c>
      <c r="G1375" s="47" t="s">
        <v>1481</v>
      </c>
      <c r="H1375" s="47" t="s">
        <v>2669</v>
      </c>
      <c r="I1375" s="46" t="s">
        <v>1517</v>
      </c>
      <c r="J1375" s="47" t="s">
        <v>837</v>
      </c>
      <c r="K1375" s="47" t="s">
        <v>837</v>
      </c>
      <c r="L1375" s="47" t="s">
        <v>552</v>
      </c>
      <c r="M1375" s="47" t="s">
        <v>514</v>
      </c>
      <c r="N1375" s="47" t="s">
        <v>515</v>
      </c>
      <c r="O1375" s="45" t="s">
        <v>382</v>
      </c>
      <c r="P1375" s="44" t="s">
        <v>309</v>
      </c>
      <c r="Q1375" s="59" t="str">
        <f>MID(Tabla1[[#This Row],[Aplicación]],14,1)</f>
        <v>2</v>
      </c>
      <c r="R1375" s="35" t="s">
        <v>298</v>
      </c>
      <c r="S1375" s="59" t="str">
        <f>MID(Tabla1[[#This Row],[Aplicación]],6,2)</f>
        <v>11</v>
      </c>
      <c r="T1375" s="35" t="str">
        <f>VLOOKUP(Tabla1[[#This Row],[AREA]],Hoja1!A:B,2,FALSE)</f>
        <v>11. Salud pública y seguridad ciudadana</v>
      </c>
      <c r="U1375" s="35" t="str">
        <f>MID(Tabla1[[#This Row],[Aplicación]],9,4)</f>
        <v>1631</v>
      </c>
      <c r="V1375" s="35" t="str">
        <f>VLOOKUP(Tabla1[[#This Row],[PROGRAMA]],Hoja1!A:B,2,FALSE)</f>
        <v>1631. Limpieza viaria</v>
      </c>
      <c r="W1375" s="56" t="str">
        <f>MID(Tabla1[[#This Row],[Aplicación]],14,2)</f>
        <v>22</v>
      </c>
      <c r="X1375" s="56" t="str">
        <f>MID(Tabla1[[#This Row],[Aplicación]],14,6)</f>
        <v>22199</v>
      </c>
    </row>
    <row r="1376" spans="1:24" x14ac:dyDescent="0.25">
      <c r="A1376" s="46">
        <v>220230006303</v>
      </c>
      <c r="B1376" s="47" t="s">
        <v>1514</v>
      </c>
      <c r="C1376" s="52">
        <v>44981</v>
      </c>
      <c r="D1376" s="46">
        <v>22023001459</v>
      </c>
      <c r="E1376" s="47" t="s">
        <v>1290</v>
      </c>
      <c r="F1376" s="53">
        <v>3153.8</v>
      </c>
      <c r="G1376" s="47" t="s">
        <v>2343</v>
      </c>
      <c r="H1376" s="47" t="s">
        <v>2670</v>
      </c>
      <c r="I1376" s="46" t="s">
        <v>1517</v>
      </c>
      <c r="J1376" s="47" t="s">
        <v>519</v>
      </c>
      <c r="K1376" s="47" t="s">
        <v>519</v>
      </c>
      <c r="L1376" s="47" t="s">
        <v>520</v>
      </c>
      <c r="M1376" s="47" t="s">
        <v>514</v>
      </c>
      <c r="N1376" s="47" t="s">
        <v>515</v>
      </c>
      <c r="O1376" s="45" t="s">
        <v>382</v>
      </c>
      <c r="P1376" s="44" t="s">
        <v>309</v>
      </c>
      <c r="Q1376" s="59" t="str">
        <f>MID(Tabla1[[#This Row],[Aplicación]],14,1)</f>
        <v>2</v>
      </c>
      <c r="R1376" s="35" t="s">
        <v>298</v>
      </c>
      <c r="S1376" s="59" t="str">
        <f>MID(Tabla1[[#This Row],[Aplicación]],6,2)</f>
        <v>11</v>
      </c>
      <c r="T1376" s="35" t="str">
        <f>VLOOKUP(Tabla1[[#This Row],[AREA]],Hoja1!A:B,2,FALSE)</f>
        <v>11. Salud pública y seguridad ciudadana</v>
      </c>
      <c r="U1376" s="35" t="str">
        <f>MID(Tabla1[[#This Row],[Aplicación]],9,4)</f>
        <v>1621</v>
      </c>
      <c r="V1376" s="35" t="str">
        <f>VLOOKUP(Tabla1[[#This Row],[PROGRAMA]],Hoja1!A:B,2,FALSE)</f>
        <v>1621. Servicio de limpieza</v>
      </c>
      <c r="W1376" s="56" t="str">
        <f>MID(Tabla1[[#This Row],[Aplicación]],14,2)</f>
        <v>21</v>
      </c>
      <c r="X1376" s="56" t="str">
        <f>MID(Tabla1[[#This Row],[Aplicación]],14,6)</f>
        <v>214</v>
      </c>
    </row>
    <row r="1377" spans="1:24" x14ac:dyDescent="0.25">
      <c r="A1377" s="46">
        <v>220230006319</v>
      </c>
      <c r="B1377" s="47" t="s">
        <v>1514</v>
      </c>
      <c r="C1377" s="52">
        <v>44981</v>
      </c>
      <c r="D1377" s="46">
        <v>22023001469</v>
      </c>
      <c r="E1377" s="47" t="s">
        <v>1683</v>
      </c>
      <c r="F1377" s="53">
        <v>2752.51</v>
      </c>
      <c r="G1377" s="47" t="s">
        <v>2343</v>
      </c>
      <c r="H1377" s="47" t="s">
        <v>2671</v>
      </c>
      <c r="I1377" s="46" t="s">
        <v>1517</v>
      </c>
      <c r="J1377" s="47" t="s">
        <v>519</v>
      </c>
      <c r="K1377" s="47" t="s">
        <v>519</v>
      </c>
      <c r="L1377" s="47" t="s">
        <v>520</v>
      </c>
      <c r="M1377" s="47" t="s">
        <v>514</v>
      </c>
      <c r="N1377" s="47" t="s">
        <v>515</v>
      </c>
      <c r="O1377" s="45" t="s">
        <v>382</v>
      </c>
      <c r="P1377" s="44" t="s">
        <v>309</v>
      </c>
      <c r="Q1377" s="59" t="str">
        <f>MID(Tabla1[[#This Row],[Aplicación]],14,1)</f>
        <v>2</v>
      </c>
      <c r="R1377" s="35" t="s">
        <v>298</v>
      </c>
      <c r="S1377" s="59" t="str">
        <f>MID(Tabla1[[#This Row],[Aplicación]],6,2)</f>
        <v>11</v>
      </c>
      <c r="T1377" s="35" t="str">
        <f>VLOOKUP(Tabla1[[#This Row],[AREA]],Hoja1!A:B,2,FALSE)</f>
        <v>11. Salud pública y seguridad ciudadana</v>
      </c>
      <c r="U1377" s="35" t="str">
        <f>MID(Tabla1[[#This Row],[Aplicación]],9,4)</f>
        <v>1631</v>
      </c>
      <c r="V1377" s="35" t="str">
        <f>VLOOKUP(Tabla1[[#This Row],[PROGRAMA]],Hoja1!A:B,2,FALSE)</f>
        <v>1631. Limpieza viaria</v>
      </c>
      <c r="W1377" s="56" t="str">
        <f>MID(Tabla1[[#This Row],[Aplicación]],14,2)</f>
        <v>21</v>
      </c>
      <c r="X1377" s="56" t="str">
        <f>MID(Tabla1[[#This Row],[Aplicación]],14,6)</f>
        <v>214</v>
      </c>
    </row>
    <row r="1378" spans="1:24" x14ac:dyDescent="0.25">
      <c r="A1378" s="46">
        <v>220230006305</v>
      </c>
      <c r="B1378" s="47" t="s">
        <v>1514</v>
      </c>
      <c r="C1378" s="52">
        <v>44981</v>
      </c>
      <c r="D1378" s="46">
        <v>22023001459</v>
      </c>
      <c r="E1378" s="47" t="s">
        <v>1290</v>
      </c>
      <c r="F1378" s="53">
        <v>2005.5</v>
      </c>
      <c r="G1378" s="47" t="s">
        <v>2343</v>
      </c>
      <c r="H1378" s="47" t="s">
        <v>2672</v>
      </c>
      <c r="I1378" s="46" t="s">
        <v>1517</v>
      </c>
      <c r="J1378" s="47" t="s">
        <v>519</v>
      </c>
      <c r="K1378" s="47" t="s">
        <v>519</v>
      </c>
      <c r="L1378" s="47" t="s">
        <v>520</v>
      </c>
      <c r="M1378" s="47" t="s">
        <v>514</v>
      </c>
      <c r="N1378" s="47" t="s">
        <v>515</v>
      </c>
      <c r="O1378" s="45" t="s">
        <v>382</v>
      </c>
      <c r="P1378" s="44" t="s">
        <v>309</v>
      </c>
      <c r="Q1378" s="59" t="str">
        <f>MID(Tabla1[[#This Row],[Aplicación]],14,1)</f>
        <v>2</v>
      </c>
      <c r="R1378" s="35" t="s">
        <v>298</v>
      </c>
      <c r="S1378" s="59" t="str">
        <f>MID(Tabla1[[#This Row],[Aplicación]],6,2)</f>
        <v>11</v>
      </c>
      <c r="T1378" s="35" t="str">
        <f>VLOOKUP(Tabla1[[#This Row],[AREA]],Hoja1!A:B,2,FALSE)</f>
        <v>11. Salud pública y seguridad ciudadana</v>
      </c>
      <c r="U1378" s="35" t="str">
        <f>MID(Tabla1[[#This Row],[Aplicación]],9,4)</f>
        <v>1621</v>
      </c>
      <c r="V1378" s="35" t="str">
        <f>VLOOKUP(Tabla1[[#This Row],[PROGRAMA]],Hoja1!A:B,2,FALSE)</f>
        <v>1621. Servicio de limpieza</v>
      </c>
      <c r="W1378" s="56" t="str">
        <f>MID(Tabla1[[#This Row],[Aplicación]],14,2)</f>
        <v>21</v>
      </c>
      <c r="X1378" s="56" t="str">
        <f>MID(Tabla1[[#This Row],[Aplicación]],14,6)</f>
        <v>214</v>
      </c>
    </row>
    <row r="1379" spans="1:24" x14ac:dyDescent="0.25">
      <c r="A1379" s="46">
        <v>220230006307</v>
      </c>
      <c r="B1379" s="47" t="s">
        <v>1514</v>
      </c>
      <c r="C1379" s="52">
        <v>44981</v>
      </c>
      <c r="D1379" s="46">
        <v>22023001459</v>
      </c>
      <c r="E1379" s="47" t="s">
        <v>1290</v>
      </c>
      <c r="F1379" s="53">
        <v>1192.6600000000001</v>
      </c>
      <c r="G1379" s="47" t="s">
        <v>2343</v>
      </c>
      <c r="H1379" s="47" t="s">
        <v>2673</v>
      </c>
      <c r="I1379" s="46" t="s">
        <v>1517</v>
      </c>
      <c r="J1379" s="47" t="s">
        <v>519</v>
      </c>
      <c r="K1379" s="47" t="s">
        <v>519</v>
      </c>
      <c r="L1379" s="47" t="s">
        <v>520</v>
      </c>
      <c r="M1379" s="47" t="s">
        <v>514</v>
      </c>
      <c r="N1379" s="47" t="s">
        <v>515</v>
      </c>
      <c r="O1379" s="45" t="s">
        <v>382</v>
      </c>
      <c r="P1379" s="44" t="s">
        <v>309</v>
      </c>
      <c r="Q1379" s="59" t="str">
        <f>MID(Tabla1[[#This Row],[Aplicación]],14,1)</f>
        <v>2</v>
      </c>
      <c r="R1379" s="35" t="s">
        <v>298</v>
      </c>
      <c r="S1379" s="59" t="str">
        <f>MID(Tabla1[[#This Row],[Aplicación]],6,2)</f>
        <v>11</v>
      </c>
      <c r="T1379" s="35" t="str">
        <f>VLOOKUP(Tabla1[[#This Row],[AREA]],Hoja1!A:B,2,FALSE)</f>
        <v>11. Salud pública y seguridad ciudadana</v>
      </c>
      <c r="U1379" s="35" t="str">
        <f>MID(Tabla1[[#This Row],[Aplicación]],9,4)</f>
        <v>1621</v>
      </c>
      <c r="V1379" s="35" t="str">
        <f>VLOOKUP(Tabla1[[#This Row],[PROGRAMA]],Hoja1!A:B,2,FALSE)</f>
        <v>1621. Servicio de limpieza</v>
      </c>
      <c r="W1379" s="56" t="str">
        <f>MID(Tabla1[[#This Row],[Aplicación]],14,2)</f>
        <v>21</v>
      </c>
      <c r="X1379" s="56" t="str">
        <f>MID(Tabla1[[#This Row],[Aplicación]],14,6)</f>
        <v>214</v>
      </c>
    </row>
    <row r="1380" spans="1:24" x14ac:dyDescent="0.25">
      <c r="A1380" s="46">
        <v>220230006309</v>
      </c>
      <c r="B1380" s="47" t="s">
        <v>1514</v>
      </c>
      <c r="C1380" s="52">
        <v>44981</v>
      </c>
      <c r="D1380" s="46">
        <v>22023001459</v>
      </c>
      <c r="E1380" s="47" t="s">
        <v>1290</v>
      </c>
      <c r="F1380" s="53">
        <v>776.08</v>
      </c>
      <c r="G1380" s="47" t="s">
        <v>2343</v>
      </c>
      <c r="H1380" s="47" t="s">
        <v>2674</v>
      </c>
      <c r="I1380" s="46" t="s">
        <v>1517</v>
      </c>
      <c r="J1380" s="47" t="s">
        <v>519</v>
      </c>
      <c r="K1380" s="47" t="s">
        <v>519</v>
      </c>
      <c r="L1380" s="47" t="s">
        <v>520</v>
      </c>
      <c r="M1380" s="47" t="s">
        <v>514</v>
      </c>
      <c r="N1380" s="47" t="s">
        <v>515</v>
      </c>
      <c r="O1380" s="45" t="s">
        <v>382</v>
      </c>
      <c r="P1380" s="44" t="s">
        <v>309</v>
      </c>
      <c r="Q1380" s="59" t="str">
        <f>MID(Tabla1[[#This Row],[Aplicación]],14,1)</f>
        <v>2</v>
      </c>
      <c r="R1380" s="35" t="s">
        <v>298</v>
      </c>
      <c r="S1380" s="59" t="str">
        <f>MID(Tabla1[[#This Row],[Aplicación]],6,2)</f>
        <v>11</v>
      </c>
      <c r="T1380" s="35" t="str">
        <f>VLOOKUP(Tabla1[[#This Row],[AREA]],Hoja1!A:B,2,FALSE)</f>
        <v>11. Salud pública y seguridad ciudadana</v>
      </c>
      <c r="U1380" s="35" t="str">
        <f>MID(Tabla1[[#This Row],[Aplicación]],9,4)</f>
        <v>1621</v>
      </c>
      <c r="V1380" s="35" t="str">
        <f>VLOOKUP(Tabla1[[#This Row],[PROGRAMA]],Hoja1!A:B,2,FALSE)</f>
        <v>1621. Servicio de limpieza</v>
      </c>
      <c r="W1380" s="56" t="str">
        <f>MID(Tabla1[[#This Row],[Aplicación]],14,2)</f>
        <v>21</v>
      </c>
      <c r="X1380" s="56" t="str">
        <f>MID(Tabla1[[#This Row],[Aplicación]],14,6)</f>
        <v>214</v>
      </c>
    </row>
    <row r="1381" spans="1:24" x14ac:dyDescent="0.25">
      <c r="A1381" s="46">
        <v>220230006266</v>
      </c>
      <c r="B1381" s="47" t="s">
        <v>1514</v>
      </c>
      <c r="C1381" s="52">
        <v>44981</v>
      </c>
      <c r="D1381" s="46">
        <v>22023001466</v>
      </c>
      <c r="E1381" s="47" t="s">
        <v>2624</v>
      </c>
      <c r="F1381" s="53">
        <v>759.05</v>
      </c>
      <c r="G1381" s="47" t="s">
        <v>2351</v>
      </c>
      <c r="H1381" s="47" t="s">
        <v>2675</v>
      </c>
      <c r="I1381" s="46" t="s">
        <v>1517</v>
      </c>
      <c r="J1381" s="47" t="s">
        <v>519</v>
      </c>
      <c r="K1381" s="47" t="s">
        <v>519</v>
      </c>
      <c r="L1381" s="47" t="s">
        <v>552</v>
      </c>
      <c r="M1381" s="47" t="s">
        <v>514</v>
      </c>
      <c r="N1381" s="47" t="s">
        <v>515</v>
      </c>
      <c r="O1381" s="45" t="s">
        <v>382</v>
      </c>
      <c r="P1381" s="44" t="s">
        <v>309</v>
      </c>
      <c r="Q1381" s="59" t="str">
        <f>MID(Tabla1[[#This Row],[Aplicación]],14,1)</f>
        <v>2</v>
      </c>
      <c r="R1381" s="35" t="s">
        <v>298</v>
      </c>
      <c r="S1381" s="59" t="str">
        <f>MID(Tabla1[[#This Row],[Aplicación]],6,2)</f>
        <v>11</v>
      </c>
      <c r="T1381" s="35" t="str">
        <f>VLOOKUP(Tabla1[[#This Row],[AREA]],Hoja1!A:B,2,FALSE)</f>
        <v>11. Salud pública y seguridad ciudadana</v>
      </c>
      <c r="U1381" s="35" t="str">
        <f>MID(Tabla1[[#This Row],[Aplicación]],9,4)</f>
        <v>1621</v>
      </c>
      <c r="V1381" s="35" t="str">
        <f>VLOOKUP(Tabla1[[#This Row],[PROGRAMA]],Hoja1!A:B,2,FALSE)</f>
        <v>1621. Servicio de limpieza</v>
      </c>
      <c r="W1381" s="56" t="str">
        <f>MID(Tabla1[[#This Row],[Aplicación]],14,2)</f>
        <v>22</v>
      </c>
      <c r="X1381" s="56" t="str">
        <f>MID(Tabla1[[#This Row],[Aplicación]],14,6)</f>
        <v>22199</v>
      </c>
    </row>
    <row r="1382" spans="1:24" x14ac:dyDescent="0.25">
      <c r="A1382" s="46">
        <v>220230006211</v>
      </c>
      <c r="B1382" s="47" t="s">
        <v>1514</v>
      </c>
      <c r="C1382" s="52">
        <v>44981</v>
      </c>
      <c r="D1382" s="46">
        <v>22023001466</v>
      </c>
      <c r="E1382" s="47" t="s">
        <v>2624</v>
      </c>
      <c r="F1382" s="53">
        <v>704.68</v>
      </c>
      <c r="G1382" s="47" t="s">
        <v>2351</v>
      </c>
      <c r="H1382" s="47" t="s">
        <v>2676</v>
      </c>
      <c r="I1382" s="46" t="s">
        <v>1517</v>
      </c>
      <c r="J1382" s="47" t="s">
        <v>519</v>
      </c>
      <c r="K1382" s="47" t="s">
        <v>519</v>
      </c>
      <c r="L1382" s="47" t="s">
        <v>552</v>
      </c>
      <c r="M1382" s="47" t="s">
        <v>514</v>
      </c>
      <c r="N1382" s="47" t="s">
        <v>515</v>
      </c>
      <c r="O1382" s="45" t="s">
        <v>382</v>
      </c>
      <c r="P1382" s="44" t="s">
        <v>309</v>
      </c>
      <c r="Q1382" s="59" t="str">
        <f>MID(Tabla1[[#This Row],[Aplicación]],14,1)</f>
        <v>2</v>
      </c>
      <c r="R1382" s="35" t="s">
        <v>298</v>
      </c>
      <c r="S1382" s="59" t="str">
        <f>MID(Tabla1[[#This Row],[Aplicación]],6,2)</f>
        <v>11</v>
      </c>
      <c r="T1382" s="35" t="str">
        <f>VLOOKUP(Tabla1[[#This Row],[AREA]],Hoja1!A:B,2,FALSE)</f>
        <v>11. Salud pública y seguridad ciudadana</v>
      </c>
      <c r="U1382" s="35" t="str">
        <f>MID(Tabla1[[#This Row],[Aplicación]],9,4)</f>
        <v>1621</v>
      </c>
      <c r="V1382" s="35" t="str">
        <f>VLOOKUP(Tabla1[[#This Row],[PROGRAMA]],Hoja1!A:B,2,FALSE)</f>
        <v>1621. Servicio de limpieza</v>
      </c>
      <c r="W1382" s="56" t="str">
        <f>MID(Tabla1[[#This Row],[Aplicación]],14,2)</f>
        <v>22</v>
      </c>
      <c r="X1382" s="56" t="str">
        <f>MID(Tabla1[[#This Row],[Aplicación]],14,6)</f>
        <v>22199</v>
      </c>
    </row>
    <row r="1383" spans="1:24" x14ac:dyDescent="0.25">
      <c r="A1383" s="46">
        <v>220230006360</v>
      </c>
      <c r="B1383" s="47" t="s">
        <v>1514</v>
      </c>
      <c r="C1383" s="52">
        <v>44981</v>
      </c>
      <c r="D1383" s="46">
        <v>22023001463</v>
      </c>
      <c r="E1383" s="47" t="s">
        <v>557</v>
      </c>
      <c r="F1383" s="53">
        <v>3335.55</v>
      </c>
      <c r="G1383" s="47" t="s">
        <v>2430</v>
      </c>
      <c r="H1383" s="47" t="s">
        <v>2677</v>
      </c>
      <c r="I1383" s="46" t="s">
        <v>1517</v>
      </c>
      <c r="J1383" s="47" t="s">
        <v>573</v>
      </c>
      <c r="K1383" s="47" t="s">
        <v>573</v>
      </c>
      <c r="L1383" s="47" t="s">
        <v>552</v>
      </c>
      <c r="M1383" s="47" t="s">
        <v>514</v>
      </c>
      <c r="N1383" s="47" t="s">
        <v>515</v>
      </c>
      <c r="O1383" s="45" t="s">
        <v>382</v>
      </c>
      <c r="P1383" s="44" t="s">
        <v>309</v>
      </c>
      <c r="Q1383" s="59" t="str">
        <f>MID(Tabla1[[#This Row],[Aplicación]],14,1)</f>
        <v>2</v>
      </c>
      <c r="R1383" s="35" t="s">
        <v>298</v>
      </c>
      <c r="S1383" s="59" t="str">
        <f>MID(Tabla1[[#This Row],[Aplicación]],6,2)</f>
        <v>11</v>
      </c>
      <c r="T1383" s="35" t="str">
        <f>VLOOKUP(Tabla1[[#This Row],[AREA]],Hoja1!A:B,2,FALSE)</f>
        <v>11. Salud pública y seguridad ciudadana</v>
      </c>
      <c r="U1383" s="35" t="str">
        <f>MID(Tabla1[[#This Row],[Aplicación]],9,4)</f>
        <v>1621</v>
      </c>
      <c r="V1383" s="35" t="str">
        <f>VLOOKUP(Tabla1[[#This Row],[PROGRAMA]],Hoja1!A:B,2,FALSE)</f>
        <v>1621. Servicio de limpieza</v>
      </c>
      <c r="W1383" s="56" t="str">
        <f>MID(Tabla1[[#This Row],[Aplicación]],14,2)</f>
        <v>22</v>
      </c>
      <c r="X1383" s="56" t="str">
        <f>MID(Tabla1[[#This Row],[Aplicación]],14,6)</f>
        <v>22103</v>
      </c>
    </row>
    <row r="1384" spans="1:24" x14ac:dyDescent="0.25">
      <c r="A1384" s="46">
        <v>220230006239</v>
      </c>
      <c r="B1384" s="47" t="s">
        <v>1514</v>
      </c>
      <c r="C1384" s="52">
        <v>44981</v>
      </c>
      <c r="D1384" s="46">
        <v>22023001463</v>
      </c>
      <c r="E1384" s="47" t="s">
        <v>557</v>
      </c>
      <c r="F1384" s="53">
        <v>2326.1</v>
      </c>
      <c r="G1384" s="47" t="s">
        <v>2430</v>
      </c>
      <c r="H1384" s="47" t="s">
        <v>2678</v>
      </c>
      <c r="I1384" s="46" t="s">
        <v>1517</v>
      </c>
      <c r="J1384" s="47" t="s">
        <v>573</v>
      </c>
      <c r="K1384" s="47" t="s">
        <v>573</v>
      </c>
      <c r="L1384" s="47" t="s">
        <v>552</v>
      </c>
      <c r="M1384" s="47" t="s">
        <v>514</v>
      </c>
      <c r="N1384" s="47" t="s">
        <v>515</v>
      </c>
      <c r="O1384" s="45" t="s">
        <v>382</v>
      </c>
      <c r="P1384" s="44" t="s">
        <v>309</v>
      </c>
      <c r="Q1384" s="59" t="str">
        <f>MID(Tabla1[[#This Row],[Aplicación]],14,1)</f>
        <v>2</v>
      </c>
      <c r="R1384" s="35" t="s">
        <v>298</v>
      </c>
      <c r="S1384" s="59" t="str">
        <f>MID(Tabla1[[#This Row],[Aplicación]],6,2)</f>
        <v>11</v>
      </c>
      <c r="T1384" s="35" t="str">
        <f>VLOOKUP(Tabla1[[#This Row],[AREA]],Hoja1!A:B,2,FALSE)</f>
        <v>11. Salud pública y seguridad ciudadana</v>
      </c>
      <c r="U1384" s="35" t="str">
        <f>MID(Tabla1[[#This Row],[Aplicación]],9,4)</f>
        <v>1621</v>
      </c>
      <c r="V1384" s="35" t="str">
        <f>VLOOKUP(Tabla1[[#This Row],[PROGRAMA]],Hoja1!A:B,2,FALSE)</f>
        <v>1621. Servicio de limpieza</v>
      </c>
      <c r="W1384" s="56" t="str">
        <f>MID(Tabla1[[#This Row],[Aplicación]],14,2)</f>
        <v>22</v>
      </c>
      <c r="X1384" s="56" t="str">
        <f>MID(Tabla1[[#This Row],[Aplicación]],14,6)</f>
        <v>22103</v>
      </c>
    </row>
    <row r="1385" spans="1:24" x14ac:dyDescent="0.25">
      <c r="A1385" s="46">
        <v>220230006362</v>
      </c>
      <c r="B1385" s="47" t="s">
        <v>1514</v>
      </c>
      <c r="C1385" s="52">
        <v>44981</v>
      </c>
      <c r="D1385" s="46">
        <v>22023001463</v>
      </c>
      <c r="E1385" s="47" t="s">
        <v>557</v>
      </c>
      <c r="F1385" s="53">
        <v>1621.4</v>
      </c>
      <c r="G1385" s="47" t="s">
        <v>2430</v>
      </c>
      <c r="H1385" s="47" t="s">
        <v>2679</v>
      </c>
      <c r="I1385" s="46" t="s">
        <v>1517</v>
      </c>
      <c r="J1385" s="47" t="s">
        <v>573</v>
      </c>
      <c r="K1385" s="47" t="s">
        <v>573</v>
      </c>
      <c r="L1385" s="47" t="s">
        <v>552</v>
      </c>
      <c r="M1385" s="47" t="s">
        <v>514</v>
      </c>
      <c r="N1385" s="47" t="s">
        <v>515</v>
      </c>
      <c r="O1385" s="45" t="s">
        <v>382</v>
      </c>
      <c r="P1385" s="44" t="s">
        <v>309</v>
      </c>
      <c r="Q1385" s="59" t="str">
        <f>MID(Tabla1[[#This Row],[Aplicación]],14,1)</f>
        <v>2</v>
      </c>
      <c r="R1385" s="35" t="s">
        <v>298</v>
      </c>
      <c r="S1385" s="59" t="str">
        <f>MID(Tabla1[[#This Row],[Aplicación]],6,2)</f>
        <v>11</v>
      </c>
      <c r="T1385" s="35" t="str">
        <f>VLOOKUP(Tabla1[[#This Row],[AREA]],Hoja1!A:B,2,FALSE)</f>
        <v>11. Salud pública y seguridad ciudadana</v>
      </c>
      <c r="U1385" s="35" t="str">
        <f>MID(Tabla1[[#This Row],[Aplicación]],9,4)</f>
        <v>1621</v>
      </c>
      <c r="V1385" s="35" t="str">
        <f>VLOOKUP(Tabla1[[#This Row],[PROGRAMA]],Hoja1!A:B,2,FALSE)</f>
        <v>1621. Servicio de limpieza</v>
      </c>
      <c r="W1385" s="56" t="str">
        <f>MID(Tabla1[[#This Row],[Aplicación]],14,2)</f>
        <v>22</v>
      </c>
      <c r="X1385" s="56" t="str">
        <f>MID(Tabla1[[#This Row],[Aplicación]],14,6)</f>
        <v>22103</v>
      </c>
    </row>
    <row r="1386" spans="1:24" x14ac:dyDescent="0.25">
      <c r="A1386" s="46">
        <v>220230006237</v>
      </c>
      <c r="B1386" s="47" t="s">
        <v>1514</v>
      </c>
      <c r="C1386" s="52">
        <v>44981</v>
      </c>
      <c r="D1386" s="46">
        <v>22023001463</v>
      </c>
      <c r="E1386" s="47" t="s">
        <v>557</v>
      </c>
      <c r="F1386" s="53">
        <v>1529.44</v>
      </c>
      <c r="G1386" s="47" t="s">
        <v>2430</v>
      </c>
      <c r="H1386" s="47" t="s">
        <v>2680</v>
      </c>
      <c r="I1386" s="46" t="s">
        <v>1517</v>
      </c>
      <c r="J1386" s="47" t="s">
        <v>573</v>
      </c>
      <c r="K1386" s="47" t="s">
        <v>573</v>
      </c>
      <c r="L1386" s="47" t="s">
        <v>552</v>
      </c>
      <c r="M1386" s="47" t="s">
        <v>514</v>
      </c>
      <c r="N1386" s="47" t="s">
        <v>515</v>
      </c>
      <c r="O1386" s="45" t="s">
        <v>382</v>
      </c>
      <c r="P1386" s="44" t="s">
        <v>309</v>
      </c>
      <c r="Q1386" s="59" t="str">
        <f>MID(Tabla1[[#This Row],[Aplicación]],14,1)</f>
        <v>2</v>
      </c>
      <c r="R1386" s="35" t="s">
        <v>298</v>
      </c>
      <c r="S1386" s="59" t="str">
        <f>MID(Tabla1[[#This Row],[Aplicación]],6,2)</f>
        <v>11</v>
      </c>
      <c r="T1386" s="35" t="str">
        <f>VLOOKUP(Tabla1[[#This Row],[AREA]],Hoja1!A:B,2,FALSE)</f>
        <v>11. Salud pública y seguridad ciudadana</v>
      </c>
      <c r="U1386" s="35" t="str">
        <f>MID(Tabla1[[#This Row],[Aplicación]],9,4)</f>
        <v>1621</v>
      </c>
      <c r="V1386" s="35" t="str">
        <f>VLOOKUP(Tabla1[[#This Row],[PROGRAMA]],Hoja1!A:B,2,FALSE)</f>
        <v>1621. Servicio de limpieza</v>
      </c>
      <c r="W1386" s="56" t="str">
        <f>MID(Tabla1[[#This Row],[Aplicación]],14,2)</f>
        <v>22</v>
      </c>
      <c r="X1386" s="56" t="str">
        <f>MID(Tabla1[[#This Row],[Aplicación]],14,6)</f>
        <v>22103</v>
      </c>
    </row>
    <row r="1387" spans="1:24" x14ac:dyDescent="0.25">
      <c r="A1387" s="46">
        <v>220230006235</v>
      </c>
      <c r="B1387" s="47" t="s">
        <v>1514</v>
      </c>
      <c r="C1387" s="52">
        <v>44981</v>
      </c>
      <c r="D1387" s="46">
        <v>22023001463</v>
      </c>
      <c r="E1387" s="47" t="s">
        <v>557</v>
      </c>
      <c r="F1387" s="53">
        <v>1456.54</v>
      </c>
      <c r="G1387" s="47" t="s">
        <v>2430</v>
      </c>
      <c r="H1387" s="47" t="s">
        <v>2681</v>
      </c>
      <c r="I1387" s="46" t="s">
        <v>1517</v>
      </c>
      <c r="J1387" s="47" t="s">
        <v>573</v>
      </c>
      <c r="K1387" s="47" t="s">
        <v>573</v>
      </c>
      <c r="L1387" s="47" t="s">
        <v>552</v>
      </c>
      <c r="M1387" s="47" t="s">
        <v>514</v>
      </c>
      <c r="N1387" s="47" t="s">
        <v>515</v>
      </c>
      <c r="O1387" s="45" t="s">
        <v>382</v>
      </c>
      <c r="P1387" s="44" t="s">
        <v>309</v>
      </c>
      <c r="Q1387" s="59" t="str">
        <f>MID(Tabla1[[#This Row],[Aplicación]],14,1)</f>
        <v>2</v>
      </c>
      <c r="R1387" s="35" t="s">
        <v>298</v>
      </c>
      <c r="S1387" s="59" t="str">
        <f>MID(Tabla1[[#This Row],[Aplicación]],6,2)</f>
        <v>11</v>
      </c>
      <c r="T1387" s="35" t="str">
        <f>VLOOKUP(Tabla1[[#This Row],[AREA]],Hoja1!A:B,2,FALSE)</f>
        <v>11. Salud pública y seguridad ciudadana</v>
      </c>
      <c r="U1387" s="35" t="str">
        <f>MID(Tabla1[[#This Row],[Aplicación]],9,4)</f>
        <v>1621</v>
      </c>
      <c r="V1387" s="35" t="str">
        <f>VLOOKUP(Tabla1[[#This Row],[PROGRAMA]],Hoja1!A:B,2,FALSE)</f>
        <v>1621. Servicio de limpieza</v>
      </c>
      <c r="W1387" s="56" t="str">
        <f>MID(Tabla1[[#This Row],[Aplicación]],14,2)</f>
        <v>22</v>
      </c>
      <c r="X1387" s="56" t="str">
        <f>MID(Tabla1[[#This Row],[Aplicación]],14,6)</f>
        <v>22103</v>
      </c>
    </row>
    <row r="1388" spans="1:24" x14ac:dyDescent="0.25">
      <c r="A1388" s="46">
        <v>220230006358</v>
      </c>
      <c r="B1388" s="47" t="s">
        <v>1514</v>
      </c>
      <c r="C1388" s="52">
        <v>44981</v>
      </c>
      <c r="D1388" s="46">
        <v>22023001462</v>
      </c>
      <c r="E1388" s="47" t="s">
        <v>1290</v>
      </c>
      <c r="F1388" s="53">
        <v>580.79999999999995</v>
      </c>
      <c r="G1388" s="47" t="s">
        <v>2430</v>
      </c>
      <c r="H1388" s="47" t="s">
        <v>2682</v>
      </c>
      <c r="I1388" s="46" t="s">
        <v>1517</v>
      </c>
      <c r="J1388" s="47" t="s">
        <v>573</v>
      </c>
      <c r="K1388" s="47" t="s">
        <v>573</v>
      </c>
      <c r="L1388" s="47" t="s">
        <v>552</v>
      </c>
      <c r="M1388" s="47" t="s">
        <v>514</v>
      </c>
      <c r="N1388" s="47" t="s">
        <v>515</v>
      </c>
      <c r="O1388" s="45" t="s">
        <v>382</v>
      </c>
      <c r="P1388" s="44" t="s">
        <v>309</v>
      </c>
      <c r="Q1388" s="59" t="str">
        <f>MID(Tabla1[[#This Row],[Aplicación]],14,1)</f>
        <v>2</v>
      </c>
      <c r="R1388" s="35" t="s">
        <v>298</v>
      </c>
      <c r="S1388" s="59" t="str">
        <f>MID(Tabla1[[#This Row],[Aplicación]],6,2)</f>
        <v>11</v>
      </c>
      <c r="T1388" s="35" t="str">
        <f>VLOOKUP(Tabla1[[#This Row],[AREA]],Hoja1!A:B,2,FALSE)</f>
        <v>11. Salud pública y seguridad ciudadana</v>
      </c>
      <c r="U1388" s="35" t="str">
        <f>MID(Tabla1[[#This Row],[Aplicación]],9,4)</f>
        <v>1621</v>
      </c>
      <c r="V1388" s="35" t="str">
        <f>VLOOKUP(Tabla1[[#This Row],[PROGRAMA]],Hoja1!A:B,2,FALSE)</f>
        <v>1621. Servicio de limpieza</v>
      </c>
      <c r="W1388" s="56" t="str">
        <f>MID(Tabla1[[#This Row],[Aplicación]],14,2)</f>
        <v>21</v>
      </c>
      <c r="X1388" s="56" t="str">
        <f>MID(Tabla1[[#This Row],[Aplicación]],14,6)</f>
        <v>214</v>
      </c>
    </row>
    <row r="1389" spans="1:24" x14ac:dyDescent="0.25">
      <c r="A1389" s="46">
        <v>220230006213</v>
      </c>
      <c r="B1389" s="47" t="s">
        <v>1514</v>
      </c>
      <c r="C1389" s="52">
        <v>44981</v>
      </c>
      <c r="D1389" s="46">
        <v>22023001462</v>
      </c>
      <c r="E1389" s="47" t="s">
        <v>1290</v>
      </c>
      <c r="F1389" s="53">
        <v>387.2</v>
      </c>
      <c r="G1389" s="47" t="s">
        <v>2430</v>
      </c>
      <c r="H1389" s="47" t="s">
        <v>2683</v>
      </c>
      <c r="I1389" s="46" t="s">
        <v>1517</v>
      </c>
      <c r="J1389" s="47" t="s">
        <v>573</v>
      </c>
      <c r="K1389" s="47" t="s">
        <v>573</v>
      </c>
      <c r="L1389" s="47" t="s">
        <v>552</v>
      </c>
      <c r="M1389" s="47" t="s">
        <v>514</v>
      </c>
      <c r="N1389" s="47" t="s">
        <v>515</v>
      </c>
      <c r="O1389" s="45" t="s">
        <v>382</v>
      </c>
      <c r="P1389" s="44" t="s">
        <v>309</v>
      </c>
      <c r="Q1389" s="59" t="str">
        <f>MID(Tabla1[[#This Row],[Aplicación]],14,1)</f>
        <v>2</v>
      </c>
      <c r="R1389" s="35" t="s">
        <v>298</v>
      </c>
      <c r="S1389" s="59" t="str">
        <f>MID(Tabla1[[#This Row],[Aplicación]],6,2)</f>
        <v>11</v>
      </c>
      <c r="T1389" s="35" t="str">
        <f>VLOOKUP(Tabla1[[#This Row],[AREA]],Hoja1!A:B,2,FALSE)</f>
        <v>11. Salud pública y seguridad ciudadana</v>
      </c>
      <c r="U1389" s="35" t="str">
        <f>MID(Tabla1[[#This Row],[Aplicación]],9,4)</f>
        <v>1621</v>
      </c>
      <c r="V1389" s="35" t="str">
        <f>VLOOKUP(Tabla1[[#This Row],[PROGRAMA]],Hoja1!A:B,2,FALSE)</f>
        <v>1621. Servicio de limpieza</v>
      </c>
      <c r="W1389" s="56" t="str">
        <f>MID(Tabla1[[#This Row],[Aplicación]],14,2)</f>
        <v>21</v>
      </c>
      <c r="X1389" s="56" t="str">
        <f>MID(Tabla1[[#This Row],[Aplicación]],14,6)</f>
        <v>214</v>
      </c>
    </row>
    <row r="1390" spans="1:24" x14ac:dyDescent="0.25">
      <c r="A1390" s="46">
        <v>220230006271</v>
      </c>
      <c r="B1390" s="47" t="s">
        <v>1514</v>
      </c>
      <c r="C1390" s="52">
        <v>44981</v>
      </c>
      <c r="D1390" s="46">
        <v>22023001473</v>
      </c>
      <c r="E1390" s="47" t="s">
        <v>1683</v>
      </c>
      <c r="F1390" s="53">
        <v>1294.78</v>
      </c>
      <c r="G1390" s="47" t="s">
        <v>2434</v>
      </c>
      <c r="H1390" s="47" t="s">
        <v>2684</v>
      </c>
      <c r="I1390" s="46" t="s">
        <v>1517</v>
      </c>
      <c r="J1390" s="47" t="s">
        <v>519</v>
      </c>
      <c r="K1390" s="47" t="s">
        <v>519</v>
      </c>
      <c r="L1390" s="47" t="s">
        <v>552</v>
      </c>
      <c r="M1390" s="47" t="s">
        <v>514</v>
      </c>
      <c r="N1390" s="47" t="s">
        <v>515</v>
      </c>
      <c r="O1390" s="45" t="s">
        <v>382</v>
      </c>
      <c r="P1390" s="44" t="s">
        <v>309</v>
      </c>
      <c r="Q1390" s="59" t="str">
        <f>MID(Tabla1[[#This Row],[Aplicación]],14,1)</f>
        <v>2</v>
      </c>
      <c r="R1390" s="35" t="s">
        <v>298</v>
      </c>
      <c r="S1390" s="59" t="str">
        <f>MID(Tabla1[[#This Row],[Aplicación]],6,2)</f>
        <v>11</v>
      </c>
      <c r="T1390" s="35" t="str">
        <f>VLOOKUP(Tabla1[[#This Row],[AREA]],Hoja1!A:B,2,FALSE)</f>
        <v>11. Salud pública y seguridad ciudadana</v>
      </c>
      <c r="U1390" s="35" t="str">
        <f>MID(Tabla1[[#This Row],[Aplicación]],9,4)</f>
        <v>1631</v>
      </c>
      <c r="V1390" s="35" t="str">
        <f>VLOOKUP(Tabla1[[#This Row],[PROGRAMA]],Hoja1!A:B,2,FALSE)</f>
        <v>1631. Limpieza viaria</v>
      </c>
      <c r="W1390" s="56" t="str">
        <f>MID(Tabla1[[#This Row],[Aplicación]],14,2)</f>
        <v>21</v>
      </c>
      <c r="X1390" s="56" t="str">
        <f>MID(Tabla1[[#This Row],[Aplicación]],14,6)</f>
        <v>214</v>
      </c>
    </row>
    <row r="1391" spans="1:24" x14ac:dyDescent="0.25">
      <c r="A1391" s="46">
        <v>220230006217</v>
      </c>
      <c r="B1391" s="47" t="s">
        <v>1514</v>
      </c>
      <c r="C1391" s="52">
        <v>44981</v>
      </c>
      <c r="D1391" s="46">
        <v>22023001462</v>
      </c>
      <c r="E1391" s="47" t="s">
        <v>1290</v>
      </c>
      <c r="F1391" s="53">
        <v>1087</v>
      </c>
      <c r="G1391" s="47" t="s">
        <v>2685</v>
      </c>
      <c r="H1391" s="47" t="s">
        <v>2686</v>
      </c>
      <c r="I1391" s="46" t="s">
        <v>1517</v>
      </c>
      <c r="J1391" s="47" t="s">
        <v>519</v>
      </c>
      <c r="K1391" s="47" t="s">
        <v>519</v>
      </c>
      <c r="L1391" s="47" t="s">
        <v>552</v>
      </c>
      <c r="M1391" s="47" t="s">
        <v>514</v>
      </c>
      <c r="N1391" s="47" t="s">
        <v>515</v>
      </c>
      <c r="O1391" s="45" t="s">
        <v>382</v>
      </c>
      <c r="P1391" s="44" t="s">
        <v>309</v>
      </c>
      <c r="Q1391" s="59" t="str">
        <f>MID(Tabla1[[#This Row],[Aplicación]],14,1)</f>
        <v>2</v>
      </c>
      <c r="R1391" s="35" t="s">
        <v>298</v>
      </c>
      <c r="S1391" s="59" t="str">
        <f>MID(Tabla1[[#This Row],[Aplicación]],6,2)</f>
        <v>11</v>
      </c>
      <c r="T1391" s="35" t="str">
        <f>VLOOKUP(Tabla1[[#This Row],[AREA]],Hoja1!A:B,2,FALSE)</f>
        <v>11. Salud pública y seguridad ciudadana</v>
      </c>
      <c r="U1391" s="35" t="str">
        <f>MID(Tabla1[[#This Row],[Aplicación]],9,4)</f>
        <v>1621</v>
      </c>
      <c r="V1391" s="35" t="str">
        <f>VLOOKUP(Tabla1[[#This Row],[PROGRAMA]],Hoja1!A:B,2,FALSE)</f>
        <v>1621. Servicio de limpieza</v>
      </c>
      <c r="W1391" s="56" t="str">
        <f>MID(Tabla1[[#This Row],[Aplicación]],14,2)</f>
        <v>21</v>
      </c>
      <c r="X1391" s="56" t="str">
        <f>MID(Tabla1[[#This Row],[Aplicación]],14,6)</f>
        <v>214</v>
      </c>
    </row>
    <row r="1392" spans="1:24" x14ac:dyDescent="0.25">
      <c r="A1392" s="46">
        <v>220230006259</v>
      </c>
      <c r="B1392" s="47" t="s">
        <v>1514</v>
      </c>
      <c r="C1392" s="52">
        <v>44981</v>
      </c>
      <c r="D1392" s="46">
        <v>22023001476</v>
      </c>
      <c r="E1392" s="47" t="s">
        <v>2662</v>
      </c>
      <c r="F1392" s="53">
        <v>708</v>
      </c>
      <c r="G1392" s="47" t="s">
        <v>2687</v>
      </c>
      <c r="H1392" s="47" t="s">
        <v>2688</v>
      </c>
      <c r="I1392" s="46" t="s">
        <v>1517</v>
      </c>
      <c r="J1392" s="47" t="s">
        <v>519</v>
      </c>
      <c r="K1392" s="47" t="s">
        <v>519</v>
      </c>
      <c r="L1392" s="47" t="s">
        <v>552</v>
      </c>
      <c r="M1392" s="47" t="s">
        <v>514</v>
      </c>
      <c r="N1392" s="47" t="s">
        <v>515</v>
      </c>
      <c r="O1392" s="45" t="s">
        <v>382</v>
      </c>
      <c r="P1392" s="44" t="s">
        <v>309</v>
      </c>
      <c r="Q1392" s="59" t="str">
        <f>MID(Tabla1[[#This Row],[Aplicación]],14,1)</f>
        <v>2</v>
      </c>
      <c r="R1392" s="35" t="s">
        <v>298</v>
      </c>
      <c r="S1392" s="59" t="str">
        <f>MID(Tabla1[[#This Row],[Aplicación]],6,2)</f>
        <v>11</v>
      </c>
      <c r="T1392" s="35" t="str">
        <f>VLOOKUP(Tabla1[[#This Row],[AREA]],Hoja1!A:B,2,FALSE)</f>
        <v>11. Salud pública y seguridad ciudadana</v>
      </c>
      <c r="U1392" s="35" t="str">
        <f>MID(Tabla1[[#This Row],[Aplicación]],9,4)</f>
        <v>1631</v>
      </c>
      <c r="V1392" s="35" t="str">
        <f>VLOOKUP(Tabla1[[#This Row],[PROGRAMA]],Hoja1!A:B,2,FALSE)</f>
        <v>1631. Limpieza viaria</v>
      </c>
      <c r="W1392" s="56" t="str">
        <f>MID(Tabla1[[#This Row],[Aplicación]],14,2)</f>
        <v>22</v>
      </c>
      <c r="X1392" s="56" t="str">
        <f>MID(Tabla1[[#This Row],[Aplicación]],14,6)</f>
        <v>22199</v>
      </c>
    </row>
    <row r="1393" spans="1:24" x14ac:dyDescent="0.25">
      <c r="A1393" s="46">
        <v>220230006261</v>
      </c>
      <c r="B1393" s="47" t="s">
        <v>1514</v>
      </c>
      <c r="C1393" s="52">
        <v>44981</v>
      </c>
      <c r="D1393" s="46">
        <v>22023001466</v>
      </c>
      <c r="E1393" s="47" t="s">
        <v>2624</v>
      </c>
      <c r="F1393" s="53">
        <v>534.83000000000004</v>
      </c>
      <c r="G1393" s="47" t="s">
        <v>2687</v>
      </c>
      <c r="H1393" s="47" t="s">
        <v>2689</v>
      </c>
      <c r="I1393" s="46" t="s">
        <v>1517</v>
      </c>
      <c r="J1393" s="47" t="s">
        <v>519</v>
      </c>
      <c r="K1393" s="47" t="s">
        <v>519</v>
      </c>
      <c r="L1393" s="47" t="s">
        <v>552</v>
      </c>
      <c r="M1393" s="47" t="s">
        <v>514</v>
      </c>
      <c r="N1393" s="47" t="s">
        <v>515</v>
      </c>
      <c r="O1393" s="45" t="s">
        <v>382</v>
      </c>
      <c r="P1393" s="44" t="s">
        <v>309</v>
      </c>
      <c r="Q1393" s="59" t="str">
        <f>MID(Tabla1[[#This Row],[Aplicación]],14,1)</f>
        <v>2</v>
      </c>
      <c r="R1393" s="35" t="s">
        <v>298</v>
      </c>
      <c r="S1393" s="59" t="str">
        <f>MID(Tabla1[[#This Row],[Aplicación]],6,2)</f>
        <v>11</v>
      </c>
      <c r="T1393" s="35" t="str">
        <f>VLOOKUP(Tabla1[[#This Row],[AREA]],Hoja1!A:B,2,FALSE)</f>
        <v>11. Salud pública y seguridad ciudadana</v>
      </c>
      <c r="U1393" s="35" t="str">
        <f>MID(Tabla1[[#This Row],[Aplicación]],9,4)</f>
        <v>1621</v>
      </c>
      <c r="V1393" s="35" t="str">
        <f>VLOOKUP(Tabla1[[#This Row],[PROGRAMA]],Hoja1!A:B,2,FALSE)</f>
        <v>1621. Servicio de limpieza</v>
      </c>
      <c r="W1393" s="56" t="str">
        <f>MID(Tabla1[[#This Row],[Aplicación]],14,2)</f>
        <v>22</v>
      </c>
      <c r="X1393" s="56" t="str">
        <f>MID(Tabla1[[#This Row],[Aplicación]],14,6)</f>
        <v>22199</v>
      </c>
    </row>
    <row r="1394" spans="1:24" x14ac:dyDescent="0.25">
      <c r="A1394" s="46">
        <v>220230006199</v>
      </c>
      <c r="B1394" s="47" t="s">
        <v>1514</v>
      </c>
      <c r="C1394" s="52">
        <v>44981</v>
      </c>
      <c r="D1394" s="46">
        <v>22023001466</v>
      </c>
      <c r="E1394" s="47" t="s">
        <v>2624</v>
      </c>
      <c r="F1394" s="53">
        <v>121.51</v>
      </c>
      <c r="G1394" s="47" t="s">
        <v>2687</v>
      </c>
      <c r="H1394" s="47" t="s">
        <v>2690</v>
      </c>
      <c r="I1394" s="46" t="s">
        <v>1517</v>
      </c>
      <c r="J1394" s="47" t="s">
        <v>519</v>
      </c>
      <c r="K1394" s="47" t="s">
        <v>519</v>
      </c>
      <c r="L1394" s="47" t="s">
        <v>552</v>
      </c>
      <c r="M1394" s="47" t="s">
        <v>514</v>
      </c>
      <c r="N1394" s="47" t="s">
        <v>515</v>
      </c>
      <c r="O1394" s="45" t="s">
        <v>382</v>
      </c>
      <c r="P1394" s="44" t="s">
        <v>309</v>
      </c>
      <c r="Q1394" s="59" t="str">
        <f>MID(Tabla1[[#This Row],[Aplicación]],14,1)</f>
        <v>2</v>
      </c>
      <c r="R1394" s="35" t="s">
        <v>298</v>
      </c>
      <c r="S1394" s="59" t="str">
        <f>MID(Tabla1[[#This Row],[Aplicación]],6,2)</f>
        <v>11</v>
      </c>
      <c r="T1394" s="35" t="str">
        <f>VLOOKUP(Tabla1[[#This Row],[AREA]],Hoja1!A:B,2,FALSE)</f>
        <v>11. Salud pública y seguridad ciudadana</v>
      </c>
      <c r="U1394" s="35" t="str">
        <f>MID(Tabla1[[#This Row],[Aplicación]],9,4)</f>
        <v>1621</v>
      </c>
      <c r="V1394" s="35" t="str">
        <f>VLOOKUP(Tabla1[[#This Row],[PROGRAMA]],Hoja1!A:B,2,FALSE)</f>
        <v>1621. Servicio de limpieza</v>
      </c>
      <c r="W1394" s="56" t="str">
        <f>MID(Tabla1[[#This Row],[Aplicación]],14,2)</f>
        <v>22</v>
      </c>
      <c r="X1394" s="56" t="str">
        <f>MID(Tabla1[[#This Row],[Aplicación]],14,6)</f>
        <v>22199</v>
      </c>
    </row>
    <row r="1395" spans="1:24" x14ac:dyDescent="0.25">
      <c r="A1395" s="46">
        <v>220230008180</v>
      </c>
      <c r="B1395" s="47" t="s">
        <v>507</v>
      </c>
      <c r="C1395" s="52">
        <v>44998</v>
      </c>
      <c r="D1395" s="46">
        <v>22023002873</v>
      </c>
      <c r="E1395" s="47" t="s">
        <v>1285</v>
      </c>
      <c r="F1395" s="53">
        <v>275</v>
      </c>
      <c r="G1395" s="47" t="s">
        <v>505</v>
      </c>
      <c r="H1395" s="47" t="s">
        <v>2691</v>
      </c>
      <c r="I1395" s="46" t="s">
        <v>511</v>
      </c>
      <c r="J1395" s="47" t="s">
        <v>519</v>
      </c>
      <c r="K1395" s="47" t="s">
        <v>519</v>
      </c>
      <c r="L1395" s="47" t="s">
        <v>552</v>
      </c>
      <c r="M1395" s="47" t="s">
        <v>976</v>
      </c>
      <c r="N1395" s="47" t="s">
        <v>839</v>
      </c>
      <c r="O1395" s="54" t="s">
        <v>383</v>
      </c>
      <c r="P1395" s="44" t="s">
        <v>309</v>
      </c>
      <c r="Q1395" s="59" t="str">
        <f>MID(Tabla1[[#This Row],[Aplicación]],14,1)</f>
        <v>2</v>
      </c>
      <c r="R1395" s="35" t="s">
        <v>298</v>
      </c>
      <c r="S1395" s="59" t="str">
        <f>MID(Tabla1[[#This Row],[Aplicación]],6,2)</f>
        <v>11</v>
      </c>
      <c r="T1395" s="35" t="str">
        <f>VLOOKUP(Tabla1[[#This Row],[AREA]],Hoja1!A:B,2,FALSE)</f>
        <v>11. Salud pública y seguridad ciudadana</v>
      </c>
      <c r="U1395" s="35" t="str">
        <f>MID(Tabla1[[#This Row],[Aplicación]],9,4)</f>
        <v>1361</v>
      </c>
      <c r="V1395" s="35" t="str">
        <f>VLOOKUP(Tabla1[[#This Row],[PROGRAMA]],Hoja1!A:B,2,FALSE)</f>
        <v>1361. Prevención y extinción de incencios</v>
      </c>
      <c r="W1395" s="56" t="str">
        <f>MID(Tabla1[[#This Row],[Aplicación]],14,2)</f>
        <v>22</v>
      </c>
      <c r="X1395" s="56" t="str">
        <f>MID(Tabla1[[#This Row],[Aplicación]],14,6)</f>
        <v>22199</v>
      </c>
    </row>
    <row r="1396" spans="1:24" x14ac:dyDescent="0.25">
      <c r="A1396" s="46">
        <v>220230006346</v>
      </c>
      <c r="B1396" s="47" t="s">
        <v>1514</v>
      </c>
      <c r="C1396" s="52">
        <v>44981</v>
      </c>
      <c r="D1396" s="46">
        <v>22023001462</v>
      </c>
      <c r="E1396" s="47" t="s">
        <v>1290</v>
      </c>
      <c r="F1396" s="53">
        <v>4843.9399999999996</v>
      </c>
      <c r="G1396" s="47" t="s">
        <v>101</v>
      </c>
      <c r="H1396" s="47" t="s">
        <v>2692</v>
      </c>
      <c r="I1396" s="46" t="s">
        <v>1517</v>
      </c>
      <c r="J1396" s="47" t="s">
        <v>519</v>
      </c>
      <c r="K1396" s="47" t="s">
        <v>519</v>
      </c>
      <c r="L1396" s="47" t="s">
        <v>552</v>
      </c>
      <c r="M1396" s="47" t="s">
        <v>514</v>
      </c>
      <c r="N1396" s="47" t="s">
        <v>515</v>
      </c>
      <c r="O1396" s="45" t="s">
        <v>382</v>
      </c>
      <c r="P1396" s="44" t="s">
        <v>309</v>
      </c>
      <c r="Q1396" s="59" t="str">
        <f>MID(Tabla1[[#This Row],[Aplicación]],14,1)</f>
        <v>2</v>
      </c>
      <c r="R1396" s="35" t="s">
        <v>298</v>
      </c>
      <c r="S1396" s="59" t="str">
        <f>MID(Tabla1[[#This Row],[Aplicación]],6,2)</f>
        <v>11</v>
      </c>
      <c r="T1396" s="35" t="str">
        <f>VLOOKUP(Tabla1[[#This Row],[AREA]],Hoja1!A:B,2,FALSE)</f>
        <v>11. Salud pública y seguridad ciudadana</v>
      </c>
      <c r="U1396" s="35" t="str">
        <f>MID(Tabla1[[#This Row],[Aplicación]],9,4)</f>
        <v>1621</v>
      </c>
      <c r="V1396" s="35" t="str">
        <f>VLOOKUP(Tabla1[[#This Row],[PROGRAMA]],Hoja1!A:B,2,FALSE)</f>
        <v>1621. Servicio de limpieza</v>
      </c>
      <c r="W1396" s="56" t="str">
        <f>MID(Tabla1[[#This Row],[Aplicación]],14,2)</f>
        <v>21</v>
      </c>
      <c r="X1396" s="56" t="str">
        <f>MID(Tabla1[[#This Row],[Aplicación]],14,6)</f>
        <v>214</v>
      </c>
    </row>
    <row r="1397" spans="1:24" x14ac:dyDescent="0.25">
      <c r="A1397" s="46">
        <v>220230006231</v>
      </c>
      <c r="B1397" s="47" t="s">
        <v>1514</v>
      </c>
      <c r="C1397" s="52">
        <v>44981</v>
      </c>
      <c r="D1397" s="46">
        <v>22023001475</v>
      </c>
      <c r="E1397" s="47" t="s">
        <v>2693</v>
      </c>
      <c r="F1397" s="53">
        <v>3067.35</v>
      </c>
      <c r="G1397" s="47" t="s">
        <v>101</v>
      </c>
      <c r="H1397" s="47" t="s">
        <v>2694</v>
      </c>
      <c r="I1397" s="46" t="s">
        <v>1517</v>
      </c>
      <c r="J1397" s="47" t="s">
        <v>519</v>
      </c>
      <c r="K1397" s="47" t="s">
        <v>519</v>
      </c>
      <c r="L1397" s="47" t="s">
        <v>552</v>
      </c>
      <c r="M1397" s="47" t="s">
        <v>514</v>
      </c>
      <c r="N1397" s="47" t="s">
        <v>515</v>
      </c>
      <c r="O1397" s="45" t="s">
        <v>382</v>
      </c>
      <c r="P1397" s="44" t="s">
        <v>309</v>
      </c>
      <c r="Q1397" s="59" t="str">
        <f>MID(Tabla1[[#This Row],[Aplicación]],14,1)</f>
        <v>2</v>
      </c>
      <c r="R1397" s="35" t="s">
        <v>298</v>
      </c>
      <c r="S1397" s="59" t="str">
        <f>MID(Tabla1[[#This Row],[Aplicación]],6,2)</f>
        <v>11</v>
      </c>
      <c r="T1397" s="35" t="str">
        <f>VLOOKUP(Tabla1[[#This Row],[AREA]],Hoja1!A:B,2,FALSE)</f>
        <v>11. Salud pública y seguridad ciudadana</v>
      </c>
      <c r="U1397" s="35" t="str">
        <f>MID(Tabla1[[#This Row],[Aplicación]],9,4)</f>
        <v>1631</v>
      </c>
      <c r="V1397" s="35" t="str">
        <f>VLOOKUP(Tabla1[[#This Row],[PROGRAMA]],Hoja1!A:B,2,FALSE)</f>
        <v>1631. Limpieza viaria</v>
      </c>
      <c r="W1397" s="56" t="str">
        <f>MID(Tabla1[[#This Row],[Aplicación]],14,2)</f>
        <v>22</v>
      </c>
      <c r="X1397" s="56" t="str">
        <f>MID(Tabla1[[#This Row],[Aplicación]],14,6)</f>
        <v>22110</v>
      </c>
    </row>
    <row r="1398" spans="1:24" x14ac:dyDescent="0.25">
      <c r="A1398" s="46">
        <v>220230006350</v>
      </c>
      <c r="B1398" s="47" t="s">
        <v>1514</v>
      </c>
      <c r="C1398" s="52">
        <v>44981</v>
      </c>
      <c r="D1398" s="46">
        <v>22023001473</v>
      </c>
      <c r="E1398" s="47" t="s">
        <v>1683</v>
      </c>
      <c r="F1398" s="53">
        <v>2594.89</v>
      </c>
      <c r="G1398" s="47" t="s">
        <v>101</v>
      </c>
      <c r="H1398" s="47" t="s">
        <v>2695</v>
      </c>
      <c r="I1398" s="46" t="s">
        <v>1517</v>
      </c>
      <c r="J1398" s="47" t="s">
        <v>519</v>
      </c>
      <c r="K1398" s="47" t="s">
        <v>519</v>
      </c>
      <c r="L1398" s="47" t="s">
        <v>552</v>
      </c>
      <c r="M1398" s="47" t="s">
        <v>514</v>
      </c>
      <c r="N1398" s="47" t="s">
        <v>515</v>
      </c>
      <c r="O1398" s="45" t="s">
        <v>382</v>
      </c>
      <c r="P1398" s="44" t="s">
        <v>309</v>
      </c>
      <c r="Q1398" s="59" t="str">
        <f>MID(Tabla1[[#This Row],[Aplicación]],14,1)</f>
        <v>2</v>
      </c>
      <c r="R1398" s="35" t="s">
        <v>298</v>
      </c>
      <c r="S1398" s="59" t="str">
        <f>MID(Tabla1[[#This Row],[Aplicación]],6,2)</f>
        <v>11</v>
      </c>
      <c r="T1398" s="35" t="str">
        <f>VLOOKUP(Tabla1[[#This Row],[AREA]],Hoja1!A:B,2,FALSE)</f>
        <v>11. Salud pública y seguridad ciudadana</v>
      </c>
      <c r="U1398" s="35" t="str">
        <f>MID(Tabla1[[#This Row],[Aplicación]],9,4)</f>
        <v>1631</v>
      </c>
      <c r="V1398" s="35" t="str">
        <f>VLOOKUP(Tabla1[[#This Row],[PROGRAMA]],Hoja1!A:B,2,FALSE)</f>
        <v>1631. Limpieza viaria</v>
      </c>
      <c r="W1398" s="56" t="str">
        <f>MID(Tabla1[[#This Row],[Aplicación]],14,2)</f>
        <v>21</v>
      </c>
      <c r="X1398" s="56" t="str">
        <f>MID(Tabla1[[#This Row],[Aplicación]],14,6)</f>
        <v>214</v>
      </c>
    </row>
    <row r="1399" spans="1:24" x14ac:dyDescent="0.25">
      <c r="A1399" s="46">
        <v>220230006241</v>
      </c>
      <c r="B1399" s="47" t="s">
        <v>1514</v>
      </c>
      <c r="C1399" s="52">
        <v>44981</v>
      </c>
      <c r="D1399" s="46">
        <v>22023001462</v>
      </c>
      <c r="E1399" s="47" t="s">
        <v>1290</v>
      </c>
      <c r="F1399" s="53">
        <v>2232.87</v>
      </c>
      <c r="G1399" s="47" t="s">
        <v>101</v>
      </c>
      <c r="H1399" s="47" t="s">
        <v>2696</v>
      </c>
      <c r="I1399" s="46" t="s">
        <v>1517</v>
      </c>
      <c r="J1399" s="47" t="s">
        <v>519</v>
      </c>
      <c r="K1399" s="47" t="s">
        <v>519</v>
      </c>
      <c r="L1399" s="47" t="s">
        <v>552</v>
      </c>
      <c r="M1399" s="47" t="s">
        <v>514</v>
      </c>
      <c r="N1399" s="47" t="s">
        <v>515</v>
      </c>
      <c r="O1399" s="45" t="s">
        <v>382</v>
      </c>
      <c r="P1399" s="44" t="s">
        <v>309</v>
      </c>
      <c r="Q1399" s="59" t="str">
        <f>MID(Tabla1[[#This Row],[Aplicación]],14,1)</f>
        <v>2</v>
      </c>
      <c r="R1399" s="35" t="s">
        <v>298</v>
      </c>
      <c r="S1399" s="59" t="str">
        <f>MID(Tabla1[[#This Row],[Aplicación]],6,2)</f>
        <v>11</v>
      </c>
      <c r="T1399" s="35" t="str">
        <f>VLOOKUP(Tabla1[[#This Row],[AREA]],Hoja1!A:B,2,FALSE)</f>
        <v>11. Salud pública y seguridad ciudadana</v>
      </c>
      <c r="U1399" s="35" t="str">
        <f>MID(Tabla1[[#This Row],[Aplicación]],9,4)</f>
        <v>1621</v>
      </c>
      <c r="V1399" s="35" t="str">
        <f>VLOOKUP(Tabla1[[#This Row],[PROGRAMA]],Hoja1!A:B,2,FALSE)</f>
        <v>1621. Servicio de limpieza</v>
      </c>
      <c r="W1399" s="56" t="str">
        <f>MID(Tabla1[[#This Row],[Aplicación]],14,2)</f>
        <v>21</v>
      </c>
      <c r="X1399" s="56" t="str">
        <f>MID(Tabla1[[#This Row],[Aplicación]],14,6)</f>
        <v>214</v>
      </c>
    </row>
    <row r="1400" spans="1:24" x14ac:dyDescent="0.25">
      <c r="A1400" s="46">
        <v>220230006352</v>
      </c>
      <c r="B1400" s="47" t="s">
        <v>1514</v>
      </c>
      <c r="C1400" s="52">
        <v>44981</v>
      </c>
      <c r="D1400" s="46">
        <v>22023001465</v>
      </c>
      <c r="E1400" s="47" t="s">
        <v>2644</v>
      </c>
      <c r="F1400" s="53">
        <v>2044.9</v>
      </c>
      <c r="G1400" s="47" t="s">
        <v>101</v>
      </c>
      <c r="H1400" s="47" t="s">
        <v>2697</v>
      </c>
      <c r="I1400" s="46" t="s">
        <v>1517</v>
      </c>
      <c r="J1400" s="47" t="s">
        <v>519</v>
      </c>
      <c r="K1400" s="47" t="s">
        <v>519</v>
      </c>
      <c r="L1400" s="47" t="s">
        <v>552</v>
      </c>
      <c r="M1400" s="47" t="s">
        <v>514</v>
      </c>
      <c r="N1400" s="47" t="s">
        <v>515</v>
      </c>
      <c r="O1400" s="45" t="s">
        <v>382</v>
      </c>
      <c r="P1400" s="44" t="s">
        <v>309</v>
      </c>
      <c r="Q1400" s="59" t="str">
        <f>MID(Tabla1[[#This Row],[Aplicación]],14,1)</f>
        <v>2</v>
      </c>
      <c r="R1400" s="35" t="s">
        <v>298</v>
      </c>
      <c r="S1400" s="59" t="str">
        <f>MID(Tabla1[[#This Row],[Aplicación]],6,2)</f>
        <v>11</v>
      </c>
      <c r="T1400" s="35" t="str">
        <f>VLOOKUP(Tabla1[[#This Row],[AREA]],Hoja1!A:B,2,FALSE)</f>
        <v>11. Salud pública y seguridad ciudadana</v>
      </c>
      <c r="U1400" s="35" t="str">
        <f>MID(Tabla1[[#This Row],[Aplicación]],9,4)</f>
        <v>1621</v>
      </c>
      <c r="V1400" s="35" t="str">
        <f>VLOOKUP(Tabla1[[#This Row],[PROGRAMA]],Hoja1!A:B,2,FALSE)</f>
        <v>1621. Servicio de limpieza</v>
      </c>
      <c r="W1400" s="56" t="str">
        <f>MID(Tabla1[[#This Row],[Aplicación]],14,2)</f>
        <v>22</v>
      </c>
      <c r="X1400" s="56" t="str">
        <f>MID(Tabla1[[#This Row],[Aplicación]],14,6)</f>
        <v>22110</v>
      </c>
    </row>
    <row r="1401" spans="1:24" x14ac:dyDescent="0.25">
      <c r="A1401" s="46">
        <v>220230006348</v>
      </c>
      <c r="B1401" s="47" t="s">
        <v>1514</v>
      </c>
      <c r="C1401" s="52">
        <v>44981</v>
      </c>
      <c r="D1401" s="46">
        <v>22023001466</v>
      </c>
      <c r="E1401" s="47" t="s">
        <v>2624</v>
      </c>
      <c r="F1401" s="53">
        <v>1393.75</v>
      </c>
      <c r="G1401" s="47" t="s">
        <v>101</v>
      </c>
      <c r="H1401" s="47" t="s">
        <v>2698</v>
      </c>
      <c r="I1401" s="46" t="s">
        <v>1517</v>
      </c>
      <c r="J1401" s="47" t="s">
        <v>519</v>
      </c>
      <c r="K1401" s="47" t="s">
        <v>519</v>
      </c>
      <c r="L1401" s="47" t="s">
        <v>552</v>
      </c>
      <c r="M1401" s="47" t="s">
        <v>514</v>
      </c>
      <c r="N1401" s="47" t="s">
        <v>515</v>
      </c>
      <c r="O1401" s="45" t="s">
        <v>382</v>
      </c>
      <c r="P1401" s="44" t="s">
        <v>309</v>
      </c>
      <c r="Q1401" s="59" t="str">
        <f>MID(Tabla1[[#This Row],[Aplicación]],14,1)</f>
        <v>2</v>
      </c>
      <c r="R1401" s="35" t="s">
        <v>298</v>
      </c>
      <c r="S1401" s="59" t="str">
        <f>MID(Tabla1[[#This Row],[Aplicación]],6,2)</f>
        <v>11</v>
      </c>
      <c r="T1401" s="35" t="str">
        <f>VLOOKUP(Tabla1[[#This Row],[AREA]],Hoja1!A:B,2,FALSE)</f>
        <v>11. Salud pública y seguridad ciudadana</v>
      </c>
      <c r="U1401" s="35" t="str">
        <f>MID(Tabla1[[#This Row],[Aplicación]],9,4)</f>
        <v>1621</v>
      </c>
      <c r="V1401" s="35" t="str">
        <f>VLOOKUP(Tabla1[[#This Row],[PROGRAMA]],Hoja1!A:B,2,FALSE)</f>
        <v>1621. Servicio de limpieza</v>
      </c>
      <c r="W1401" s="56" t="str">
        <f>MID(Tabla1[[#This Row],[Aplicación]],14,2)</f>
        <v>22</v>
      </c>
      <c r="X1401" s="56" t="str">
        <f>MID(Tabla1[[#This Row],[Aplicación]],14,6)</f>
        <v>22199</v>
      </c>
    </row>
    <row r="1402" spans="1:24" x14ac:dyDescent="0.25">
      <c r="A1402" s="46">
        <v>220230006275</v>
      </c>
      <c r="B1402" s="47" t="s">
        <v>1514</v>
      </c>
      <c r="C1402" s="52">
        <v>44981</v>
      </c>
      <c r="D1402" s="46">
        <v>22023001462</v>
      </c>
      <c r="E1402" s="47" t="s">
        <v>1290</v>
      </c>
      <c r="F1402" s="53">
        <v>1263.9100000000001</v>
      </c>
      <c r="G1402" s="47" t="s">
        <v>101</v>
      </c>
      <c r="H1402" s="47" t="s">
        <v>2699</v>
      </c>
      <c r="I1402" s="46" t="s">
        <v>1517</v>
      </c>
      <c r="J1402" s="47" t="s">
        <v>519</v>
      </c>
      <c r="K1402" s="47" t="s">
        <v>519</v>
      </c>
      <c r="L1402" s="47" t="s">
        <v>552</v>
      </c>
      <c r="M1402" s="47" t="s">
        <v>514</v>
      </c>
      <c r="N1402" s="47" t="s">
        <v>515</v>
      </c>
      <c r="O1402" s="45" t="s">
        <v>382</v>
      </c>
      <c r="P1402" s="44" t="s">
        <v>309</v>
      </c>
      <c r="Q1402" s="59" t="str">
        <f>MID(Tabla1[[#This Row],[Aplicación]],14,1)</f>
        <v>2</v>
      </c>
      <c r="R1402" s="35" t="s">
        <v>298</v>
      </c>
      <c r="S1402" s="59" t="str">
        <f>MID(Tabla1[[#This Row],[Aplicación]],6,2)</f>
        <v>11</v>
      </c>
      <c r="T1402" s="35" t="str">
        <f>VLOOKUP(Tabla1[[#This Row],[AREA]],Hoja1!A:B,2,FALSE)</f>
        <v>11. Salud pública y seguridad ciudadana</v>
      </c>
      <c r="U1402" s="35" t="str">
        <f>MID(Tabla1[[#This Row],[Aplicación]],9,4)</f>
        <v>1621</v>
      </c>
      <c r="V1402" s="35" t="str">
        <f>VLOOKUP(Tabla1[[#This Row],[PROGRAMA]],Hoja1!A:B,2,FALSE)</f>
        <v>1621. Servicio de limpieza</v>
      </c>
      <c r="W1402" s="56" t="str">
        <f>MID(Tabla1[[#This Row],[Aplicación]],14,2)</f>
        <v>21</v>
      </c>
      <c r="X1402" s="56" t="str">
        <f>MID(Tabla1[[#This Row],[Aplicación]],14,6)</f>
        <v>214</v>
      </c>
    </row>
    <row r="1403" spans="1:24" x14ac:dyDescent="0.25">
      <c r="A1403" s="46">
        <v>220230006279</v>
      </c>
      <c r="B1403" s="47" t="s">
        <v>1514</v>
      </c>
      <c r="C1403" s="52">
        <v>44981</v>
      </c>
      <c r="D1403" s="46">
        <v>22023001475</v>
      </c>
      <c r="E1403" s="47" t="s">
        <v>2693</v>
      </c>
      <c r="F1403" s="53">
        <v>1022.45</v>
      </c>
      <c r="G1403" s="47" t="s">
        <v>101</v>
      </c>
      <c r="H1403" s="47" t="s">
        <v>2700</v>
      </c>
      <c r="I1403" s="46" t="s">
        <v>1517</v>
      </c>
      <c r="J1403" s="47" t="s">
        <v>519</v>
      </c>
      <c r="K1403" s="47" t="s">
        <v>519</v>
      </c>
      <c r="L1403" s="47" t="s">
        <v>552</v>
      </c>
      <c r="M1403" s="47" t="s">
        <v>514</v>
      </c>
      <c r="N1403" s="47" t="s">
        <v>515</v>
      </c>
      <c r="O1403" s="45" t="s">
        <v>382</v>
      </c>
      <c r="P1403" s="44" t="s">
        <v>309</v>
      </c>
      <c r="Q1403" s="59" t="str">
        <f>MID(Tabla1[[#This Row],[Aplicación]],14,1)</f>
        <v>2</v>
      </c>
      <c r="R1403" s="35" t="s">
        <v>298</v>
      </c>
      <c r="S1403" s="59" t="str">
        <f>MID(Tabla1[[#This Row],[Aplicación]],6,2)</f>
        <v>11</v>
      </c>
      <c r="T1403" s="35" t="str">
        <f>VLOOKUP(Tabla1[[#This Row],[AREA]],Hoja1!A:B,2,FALSE)</f>
        <v>11. Salud pública y seguridad ciudadana</v>
      </c>
      <c r="U1403" s="35" t="str">
        <f>MID(Tabla1[[#This Row],[Aplicación]],9,4)</f>
        <v>1631</v>
      </c>
      <c r="V1403" s="35" t="str">
        <f>VLOOKUP(Tabla1[[#This Row],[PROGRAMA]],Hoja1!A:B,2,FALSE)</f>
        <v>1631. Limpieza viaria</v>
      </c>
      <c r="W1403" s="56" t="str">
        <f>MID(Tabla1[[#This Row],[Aplicación]],14,2)</f>
        <v>22</v>
      </c>
      <c r="X1403" s="56" t="str">
        <f>MID(Tabla1[[#This Row],[Aplicación]],14,6)</f>
        <v>22110</v>
      </c>
    </row>
    <row r="1404" spans="1:24" x14ac:dyDescent="0.25">
      <c r="A1404" s="46">
        <v>220230006273</v>
      </c>
      <c r="B1404" s="47" t="s">
        <v>1514</v>
      </c>
      <c r="C1404" s="52">
        <v>44981</v>
      </c>
      <c r="D1404" s="46">
        <v>22023001462</v>
      </c>
      <c r="E1404" s="47" t="s">
        <v>1290</v>
      </c>
      <c r="F1404" s="53">
        <v>330.33</v>
      </c>
      <c r="G1404" s="47" t="s">
        <v>101</v>
      </c>
      <c r="H1404" s="47" t="s">
        <v>2701</v>
      </c>
      <c r="I1404" s="46" t="s">
        <v>1517</v>
      </c>
      <c r="J1404" s="47" t="s">
        <v>519</v>
      </c>
      <c r="K1404" s="47" t="s">
        <v>519</v>
      </c>
      <c r="L1404" s="47" t="s">
        <v>552</v>
      </c>
      <c r="M1404" s="47" t="s">
        <v>514</v>
      </c>
      <c r="N1404" s="47" t="s">
        <v>515</v>
      </c>
      <c r="O1404" s="45" t="s">
        <v>382</v>
      </c>
      <c r="P1404" s="44" t="s">
        <v>309</v>
      </c>
      <c r="Q1404" s="59" t="str">
        <f>MID(Tabla1[[#This Row],[Aplicación]],14,1)</f>
        <v>2</v>
      </c>
      <c r="R1404" s="35" t="s">
        <v>298</v>
      </c>
      <c r="S1404" s="59" t="str">
        <f>MID(Tabla1[[#This Row],[Aplicación]],6,2)</f>
        <v>11</v>
      </c>
      <c r="T1404" s="35" t="str">
        <f>VLOOKUP(Tabla1[[#This Row],[AREA]],Hoja1!A:B,2,FALSE)</f>
        <v>11. Salud pública y seguridad ciudadana</v>
      </c>
      <c r="U1404" s="35" t="str">
        <f>MID(Tabla1[[#This Row],[Aplicación]],9,4)</f>
        <v>1621</v>
      </c>
      <c r="V1404" s="35" t="str">
        <f>VLOOKUP(Tabla1[[#This Row],[PROGRAMA]],Hoja1!A:B,2,FALSE)</f>
        <v>1621. Servicio de limpieza</v>
      </c>
      <c r="W1404" s="56" t="str">
        <f>MID(Tabla1[[#This Row],[Aplicación]],14,2)</f>
        <v>21</v>
      </c>
      <c r="X1404" s="56" t="str">
        <f>MID(Tabla1[[#This Row],[Aplicación]],14,6)</f>
        <v>214</v>
      </c>
    </row>
    <row r="1405" spans="1:24" x14ac:dyDescent="0.25">
      <c r="A1405" s="46">
        <v>220230006277</v>
      </c>
      <c r="B1405" s="47" t="s">
        <v>1514</v>
      </c>
      <c r="C1405" s="52">
        <v>44981</v>
      </c>
      <c r="D1405" s="46">
        <v>22023001476</v>
      </c>
      <c r="E1405" s="47" t="s">
        <v>2662</v>
      </c>
      <c r="F1405" s="53">
        <v>118.76</v>
      </c>
      <c r="G1405" s="47" t="s">
        <v>101</v>
      </c>
      <c r="H1405" s="47" t="s">
        <v>2702</v>
      </c>
      <c r="I1405" s="46" t="s">
        <v>1517</v>
      </c>
      <c r="J1405" s="47" t="s">
        <v>519</v>
      </c>
      <c r="K1405" s="47" t="s">
        <v>519</v>
      </c>
      <c r="L1405" s="47" t="s">
        <v>552</v>
      </c>
      <c r="M1405" s="47" t="s">
        <v>514</v>
      </c>
      <c r="N1405" s="47" t="s">
        <v>515</v>
      </c>
      <c r="O1405" s="45" t="s">
        <v>382</v>
      </c>
      <c r="P1405" s="44" t="s">
        <v>309</v>
      </c>
      <c r="Q1405" s="59" t="str">
        <f>MID(Tabla1[[#This Row],[Aplicación]],14,1)</f>
        <v>2</v>
      </c>
      <c r="R1405" s="35" t="s">
        <v>298</v>
      </c>
      <c r="S1405" s="59" t="str">
        <f>MID(Tabla1[[#This Row],[Aplicación]],6,2)</f>
        <v>11</v>
      </c>
      <c r="T1405" s="35" t="str">
        <f>VLOOKUP(Tabla1[[#This Row],[AREA]],Hoja1!A:B,2,FALSE)</f>
        <v>11. Salud pública y seguridad ciudadana</v>
      </c>
      <c r="U1405" s="35" t="str">
        <f>MID(Tabla1[[#This Row],[Aplicación]],9,4)</f>
        <v>1631</v>
      </c>
      <c r="V1405" s="35" t="str">
        <f>VLOOKUP(Tabla1[[#This Row],[PROGRAMA]],Hoja1!A:B,2,FALSE)</f>
        <v>1631. Limpieza viaria</v>
      </c>
      <c r="W1405" s="56" t="str">
        <f>MID(Tabla1[[#This Row],[Aplicación]],14,2)</f>
        <v>22</v>
      </c>
      <c r="X1405" s="56" t="str">
        <f>MID(Tabla1[[#This Row],[Aplicación]],14,6)</f>
        <v>22199</v>
      </c>
    </row>
    <row r="1406" spans="1:24" x14ac:dyDescent="0.25">
      <c r="A1406" s="46">
        <v>220230006229</v>
      </c>
      <c r="B1406" s="47" t="s">
        <v>1514</v>
      </c>
      <c r="C1406" s="52">
        <v>44981</v>
      </c>
      <c r="D1406" s="46">
        <v>22023001466</v>
      </c>
      <c r="E1406" s="47" t="s">
        <v>2624</v>
      </c>
      <c r="F1406" s="53">
        <v>73.930000000000007</v>
      </c>
      <c r="G1406" s="47" t="s">
        <v>101</v>
      </c>
      <c r="H1406" s="47" t="s">
        <v>2703</v>
      </c>
      <c r="I1406" s="46" t="s">
        <v>1517</v>
      </c>
      <c r="J1406" s="47" t="s">
        <v>519</v>
      </c>
      <c r="K1406" s="47" t="s">
        <v>519</v>
      </c>
      <c r="L1406" s="47" t="s">
        <v>552</v>
      </c>
      <c r="M1406" s="47" t="s">
        <v>514</v>
      </c>
      <c r="N1406" s="47" t="s">
        <v>515</v>
      </c>
      <c r="O1406" s="45" t="s">
        <v>382</v>
      </c>
      <c r="P1406" s="44" t="s">
        <v>309</v>
      </c>
      <c r="Q1406" s="59" t="str">
        <f>MID(Tabla1[[#This Row],[Aplicación]],14,1)</f>
        <v>2</v>
      </c>
      <c r="R1406" s="35" t="s">
        <v>298</v>
      </c>
      <c r="S1406" s="59" t="str">
        <f>MID(Tabla1[[#This Row],[Aplicación]],6,2)</f>
        <v>11</v>
      </c>
      <c r="T1406" s="35" t="str">
        <f>VLOOKUP(Tabla1[[#This Row],[AREA]],Hoja1!A:B,2,FALSE)</f>
        <v>11. Salud pública y seguridad ciudadana</v>
      </c>
      <c r="U1406" s="35" t="str">
        <f>MID(Tabla1[[#This Row],[Aplicación]],9,4)</f>
        <v>1621</v>
      </c>
      <c r="V1406" s="35" t="str">
        <f>VLOOKUP(Tabla1[[#This Row],[PROGRAMA]],Hoja1!A:B,2,FALSE)</f>
        <v>1621. Servicio de limpieza</v>
      </c>
      <c r="W1406" s="56" t="str">
        <f>MID(Tabla1[[#This Row],[Aplicación]],14,2)</f>
        <v>22</v>
      </c>
      <c r="X1406" s="56" t="str">
        <f>MID(Tabla1[[#This Row],[Aplicación]],14,6)</f>
        <v>22199</v>
      </c>
    </row>
    <row r="1407" spans="1:24" x14ac:dyDescent="0.25">
      <c r="A1407" s="46">
        <v>220230006342</v>
      </c>
      <c r="B1407" s="47" t="s">
        <v>1514</v>
      </c>
      <c r="C1407" s="52">
        <v>44981</v>
      </c>
      <c r="D1407" s="46">
        <v>22023001638</v>
      </c>
      <c r="E1407" s="47" t="s">
        <v>2704</v>
      </c>
      <c r="F1407" s="53">
        <v>351.8</v>
      </c>
      <c r="G1407" s="47" t="s">
        <v>2705</v>
      </c>
      <c r="H1407" s="47" t="s">
        <v>2706</v>
      </c>
      <c r="I1407" s="46" t="s">
        <v>1517</v>
      </c>
      <c r="J1407" s="47" t="s">
        <v>519</v>
      </c>
      <c r="K1407" s="47" t="s">
        <v>519</v>
      </c>
      <c r="L1407" s="47" t="s">
        <v>520</v>
      </c>
      <c r="M1407" s="47" t="s">
        <v>514</v>
      </c>
      <c r="N1407" s="47" t="s">
        <v>515</v>
      </c>
      <c r="O1407" s="45" t="s">
        <v>382</v>
      </c>
      <c r="P1407" s="44" t="s">
        <v>309</v>
      </c>
      <c r="Q1407" s="59" t="str">
        <f>MID(Tabla1[[#This Row],[Aplicación]],14,1)</f>
        <v>2</v>
      </c>
      <c r="R1407" s="35" t="s">
        <v>298</v>
      </c>
      <c r="S1407" s="59" t="str">
        <f>MID(Tabla1[[#This Row],[Aplicación]],6,2)</f>
        <v>11</v>
      </c>
      <c r="T1407" s="35" t="str">
        <f>VLOOKUP(Tabla1[[#This Row],[AREA]],Hoja1!A:B,2,FALSE)</f>
        <v>11. Salud pública y seguridad ciudadana</v>
      </c>
      <c r="U1407" s="35" t="str">
        <f>MID(Tabla1[[#This Row],[Aplicación]],9,4)</f>
        <v>3111</v>
      </c>
      <c r="V1407" s="35" t="str">
        <f>VLOOKUP(Tabla1[[#This Row],[PROGRAMA]],Hoja1!A:B,2,FALSE)</f>
        <v>3111. Protección de la salubridad pública</v>
      </c>
      <c r="W1407" s="56" t="str">
        <f>MID(Tabla1[[#This Row],[Aplicación]],14,2)</f>
        <v>21</v>
      </c>
      <c r="X1407" s="56" t="str">
        <f>MID(Tabla1[[#This Row],[Aplicación]],14,6)</f>
        <v>214</v>
      </c>
    </row>
    <row r="1408" spans="1:24" x14ac:dyDescent="0.25">
      <c r="A1408" s="46">
        <v>220230006325</v>
      </c>
      <c r="B1408" s="47" t="s">
        <v>1514</v>
      </c>
      <c r="C1408" s="52">
        <v>44981</v>
      </c>
      <c r="D1408" s="46">
        <v>22023001469</v>
      </c>
      <c r="E1408" s="47" t="s">
        <v>1683</v>
      </c>
      <c r="F1408" s="53">
        <v>5711.2</v>
      </c>
      <c r="G1408" s="47" t="s">
        <v>2707</v>
      </c>
      <c r="H1408" s="47" t="s">
        <v>2708</v>
      </c>
      <c r="I1408" s="46" t="s">
        <v>1517</v>
      </c>
      <c r="J1408" s="47" t="s">
        <v>988</v>
      </c>
      <c r="K1408" s="47" t="s">
        <v>519</v>
      </c>
      <c r="L1408" s="47" t="s">
        <v>520</v>
      </c>
      <c r="M1408" s="47" t="s">
        <v>514</v>
      </c>
      <c r="N1408" s="47" t="s">
        <v>515</v>
      </c>
      <c r="O1408" s="45" t="s">
        <v>382</v>
      </c>
      <c r="P1408" s="44" t="s">
        <v>309</v>
      </c>
      <c r="Q1408" s="59" t="str">
        <f>MID(Tabla1[[#This Row],[Aplicación]],14,1)</f>
        <v>2</v>
      </c>
      <c r="R1408" s="35" t="s">
        <v>298</v>
      </c>
      <c r="S1408" s="59" t="str">
        <f>MID(Tabla1[[#This Row],[Aplicación]],6,2)</f>
        <v>11</v>
      </c>
      <c r="T1408" s="35" t="str">
        <f>VLOOKUP(Tabla1[[#This Row],[AREA]],Hoja1!A:B,2,FALSE)</f>
        <v>11. Salud pública y seguridad ciudadana</v>
      </c>
      <c r="U1408" s="35" t="str">
        <f>MID(Tabla1[[#This Row],[Aplicación]],9,4)</f>
        <v>1631</v>
      </c>
      <c r="V1408" s="35" t="str">
        <f>VLOOKUP(Tabla1[[#This Row],[PROGRAMA]],Hoja1!A:B,2,FALSE)</f>
        <v>1631. Limpieza viaria</v>
      </c>
      <c r="W1408" s="56" t="str">
        <f>MID(Tabla1[[#This Row],[Aplicación]],14,2)</f>
        <v>21</v>
      </c>
      <c r="X1408" s="56" t="str">
        <f>MID(Tabla1[[#This Row],[Aplicación]],14,6)</f>
        <v>214</v>
      </c>
    </row>
    <row r="1409" spans="1:24" x14ac:dyDescent="0.25">
      <c r="A1409" s="46">
        <v>220230006323</v>
      </c>
      <c r="B1409" s="47" t="s">
        <v>1514</v>
      </c>
      <c r="C1409" s="52">
        <v>44981</v>
      </c>
      <c r="D1409" s="46">
        <v>22023001469</v>
      </c>
      <c r="E1409" s="47" t="s">
        <v>1683</v>
      </c>
      <c r="F1409" s="53">
        <v>375.71</v>
      </c>
      <c r="G1409" s="47" t="s">
        <v>2707</v>
      </c>
      <c r="H1409" s="47" t="s">
        <v>2709</v>
      </c>
      <c r="I1409" s="46" t="s">
        <v>1517</v>
      </c>
      <c r="J1409" s="47" t="s">
        <v>988</v>
      </c>
      <c r="K1409" s="47" t="s">
        <v>519</v>
      </c>
      <c r="L1409" s="47" t="s">
        <v>520</v>
      </c>
      <c r="M1409" s="47" t="s">
        <v>514</v>
      </c>
      <c r="N1409" s="47" t="s">
        <v>515</v>
      </c>
      <c r="O1409" s="45" t="s">
        <v>382</v>
      </c>
      <c r="P1409" s="44" t="s">
        <v>309</v>
      </c>
      <c r="Q1409" s="59" t="str">
        <f>MID(Tabla1[[#This Row],[Aplicación]],14,1)</f>
        <v>2</v>
      </c>
      <c r="R1409" s="35" t="s">
        <v>298</v>
      </c>
      <c r="S1409" s="59" t="str">
        <f>MID(Tabla1[[#This Row],[Aplicación]],6,2)</f>
        <v>11</v>
      </c>
      <c r="T1409" s="35" t="str">
        <f>VLOOKUP(Tabla1[[#This Row],[AREA]],Hoja1!A:B,2,FALSE)</f>
        <v>11. Salud pública y seguridad ciudadana</v>
      </c>
      <c r="U1409" s="35" t="str">
        <f>MID(Tabla1[[#This Row],[Aplicación]],9,4)</f>
        <v>1631</v>
      </c>
      <c r="V1409" s="35" t="str">
        <f>VLOOKUP(Tabla1[[#This Row],[PROGRAMA]],Hoja1!A:B,2,FALSE)</f>
        <v>1631. Limpieza viaria</v>
      </c>
      <c r="W1409" s="56" t="str">
        <f>MID(Tabla1[[#This Row],[Aplicación]],14,2)</f>
        <v>21</v>
      </c>
      <c r="X1409" s="56" t="str">
        <f>MID(Tabla1[[#This Row],[Aplicación]],14,6)</f>
        <v>214</v>
      </c>
    </row>
    <row r="1410" spans="1:24" x14ac:dyDescent="0.25">
      <c r="A1410" s="46">
        <v>220230006327</v>
      </c>
      <c r="B1410" s="47" t="s">
        <v>1514</v>
      </c>
      <c r="C1410" s="52">
        <v>44981</v>
      </c>
      <c r="D1410" s="46">
        <v>22023001469</v>
      </c>
      <c r="E1410" s="47" t="s">
        <v>1683</v>
      </c>
      <c r="F1410" s="53">
        <v>288.16000000000003</v>
      </c>
      <c r="G1410" s="47" t="s">
        <v>2707</v>
      </c>
      <c r="H1410" s="47" t="s">
        <v>2710</v>
      </c>
      <c r="I1410" s="46" t="s">
        <v>1517</v>
      </c>
      <c r="J1410" s="47" t="s">
        <v>988</v>
      </c>
      <c r="K1410" s="47" t="s">
        <v>519</v>
      </c>
      <c r="L1410" s="47" t="s">
        <v>520</v>
      </c>
      <c r="M1410" s="47" t="s">
        <v>514</v>
      </c>
      <c r="N1410" s="47" t="s">
        <v>515</v>
      </c>
      <c r="O1410" s="45" t="s">
        <v>382</v>
      </c>
      <c r="P1410" s="44" t="s">
        <v>309</v>
      </c>
      <c r="Q1410" s="59" t="str">
        <f>MID(Tabla1[[#This Row],[Aplicación]],14,1)</f>
        <v>2</v>
      </c>
      <c r="R1410" s="35" t="s">
        <v>298</v>
      </c>
      <c r="S1410" s="59" t="str">
        <f>MID(Tabla1[[#This Row],[Aplicación]],6,2)</f>
        <v>11</v>
      </c>
      <c r="T1410" s="35" t="str">
        <f>VLOOKUP(Tabla1[[#This Row],[AREA]],Hoja1!A:B,2,FALSE)</f>
        <v>11. Salud pública y seguridad ciudadana</v>
      </c>
      <c r="U1410" s="35" t="str">
        <f>MID(Tabla1[[#This Row],[Aplicación]],9,4)</f>
        <v>1631</v>
      </c>
      <c r="V1410" s="35" t="str">
        <f>VLOOKUP(Tabla1[[#This Row],[PROGRAMA]],Hoja1!A:B,2,FALSE)</f>
        <v>1631. Limpieza viaria</v>
      </c>
      <c r="W1410" s="56" t="str">
        <f>MID(Tabla1[[#This Row],[Aplicación]],14,2)</f>
        <v>21</v>
      </c>
      <c r="X1410" s="56" t="str">
        <f>MID(Tabla1[[#This Row],[Aplicación]],14,6)</f>
        <v>214</v>
      </c>
    </row>
    <row r="1411" spans="1:24" x14ac:dyDescent="0.25">
      <c r="A1411" s="46">
        <v>220230006321</v>
      </c>
      <c r="B1411" s="47" t="s">
        <v>1514</v>
      </c>
      <c r="C1411" s="52">
        <v>44981</v>
      </c>
      <c r="D1411" s="46">
        <v>22023001469</v>
      </c>
      <c r="E1411" s="47" t="s">
        <v>1683</v>
      </c>
      <c r="F1411" s="53">
        <v>132.74</v>
      </c>
      <c r="G1411" s="47" t="s">
        <v>2707</v>
      </c>
      <c r="H1411" s="47" t="s">
        <v>2711</v>
      </c>
      <c r="I1411" s="46" t="s">
        <v>1517</v>
      </c>
      <c r="J1411" s="47" t="s">
        <v>988</v>
      </c>
      <c r="K1411" s="47" t="s">
        <v>519</v>
      </c>
      <c r="L1411" s="47" t="s">
        <v>520</v>
      </c>
      <c r="M1411" s="47" t="s">
        <v>514</v>
      </c>
      <c r="N1411" s="47" t="s">
        <v>515</v>
      </c>
      <c r="O1411" s="45" t="s">
        <v>382</v>
      </c>
      <c r="P1411" s="44" t="s">
        <v>309</v>
      </c>
      <c r="Q1411" s="59" t="str">
        <f>MID(Tabla1[[#This Row],[Aplicación]],14,1)</f>
        <v>2</v>
      </c>
      <c r="R1411" s="35" t="s">
        <v>298</v>
      </c>
      <c r="S1411" s="59" t="str">
        <f>MID(Tabla1[[#This Row],[Aplicación]],6,2)</f>
        <v>11</v>
      </c>
      <c r="T1411" s="35" t="str">
        <f>VLOOKUP(Tabla1[[#This Row],[AREA]],Hoja1!A:B,2,FALSE)</f>
        <v>11. Salud pública y seguridad ciudadana</v>
      </c>
      <c r="U1411" s="35" t="str">
        <f>MID(Tabla1[[#This Row],[Aplicación]],9,4)</f>
        <v>1631</v>
      </c>
      <c r="V1411" s="35" t="str">
        <f>VLOOKUP(Tabla1[[#This Row],[PROGRAMA]],Hoja1!A:B,2,FALSE)</f>
        <v>1631. Limpieza viaria</v>
      </c>
      <c r="W1411" s="56" t="str">
        <f>MID(Tabla1[[#This Row],[Aplicación]],14,2)</f>
        <v>21</v>
      </c>
      <c r="X1411" s="56" t="str">
        <f>MID(Tabla1[[#This Row],[Aplicación]],14,6)</f>
        <v>214</v>
      </c>
    </row>
    <row r="1412" spans="1:24" x14ac:dyDescent="0.25">
      <c r="A1412" s="46">
        <v>220230006329</v>
      </c>
      <c r="B1412" s="47" t="s">
        <v>1514</v>
      </c>
      <c r="C1412" s="52">
        <v>44981</v>
      </c>
      <c r="D1412" s="46">
        <v>22023001469</v>
      </c>
      <c r="E1412" s="47" t="s">
        <v>1683</v>
      </c>
      <c r="F1412" s="53">
        <v>128.26</v>
      </c>
      <c r="G1412" s="47" t="s">
        <v>2707</v>
      </c>
      <c r="H1412" s="47" t="s">
        <v>2712</v>
      </c>
      <c r="I1412" s="46" t="s">
        <v>1517</v>
      </c>
      <c r="J1412" s="47" t="s">
        <v>988</v>
      </c>
      <c r="K1412" s="47" t="s">
        <v>519</v>
      </c>
      <c r="L1412" s="47" t="s">
        <v>520</v>
      </c>
      <c r="M1412" s="47" t="s">
        <v>514</v>
      </c>
      <c r="N1412" s="47" t="s">
        <v>515</v>
      </c>
      <c r="O1412" s="45" t="s">
        <v>382</v>
      </c>
      <c r="P1412" s="44" t="s">
        <v>309</v>
      </c>
      <c r="Q1412" s="59" t="str">
        <f>MID(Tabla1[[#This Row],[Aplicación]],14,1)</f>
        <v>2</v>
      </c>
      <c r="R1412" s="35" t="s">
        <v>298</v>
      </c>
      <c r="S1412" s="59" t="str">
        <f>MID(Tabla1[[#This Row],[Aplicación]],6,2)</f>
        <v>11</v>
      </c>
      <c r="T1412" s="35" t="str">
        <f>VLOOKUP(Tabla1[[#This Row],[AREA]],Hoja1!A:B,2,FALSE)</f>
        <v>11. Salud pública y seguridad ciudadana</v>
      </c>
      <c r="U1412" s="35" t="str">
        <f>MID(Tabla1[[#This Row],[Aplicación]],9,4)</f>
        <v>1631</v>
      </c>
      <c r="V1412" s="35" t="str">
        <f>VLOOKUP(Tabla1[[#This Row],[PROGRAMA]],Hoja1!A:B,2,FALSE)</f>
        <v>1631. Limpieza viaria</v>
      </c>
      <c r="W1412" s="56" t="str">
        <f>MID(Tabla1[[#This Row],[Aplicación]],14,2)</f>
        <v>21</v>
      </c>
      <c r="X1412" s="56" t="str">
        <f>MID(Tabla1[[#This Row],[Aplicación]],14,6)</f>
        <v>214</v>
      </c>
    </row>
    <row r="1413" spans="1:24" x14ac:dyDescent="0.25">
      <c r="A1413" s="46">
        <v>220230002641</v>
      </c>
      <c r="B1413" s="47" t="s">
        <v>507</v>
      </c>
      <c r="C1413" s="52">
        <v>44966</v>
      </c>
      <c r="D1413" s="46">
        <v>22023002184</v>
      </c>
      <c r="E1413" s="47" t="s">
        <v>1299</v>
      </c>
      <c r="F1413" s="53">
        <v>40.5</v>
      </c>
      <c r="G1413" s="47" t="s">
        <v>472</v>
      </c>
      <c r="H1413" s="47" t="s">
        <v>2713</v>
      </c>
      <c r="I1413" s="46" t="s">
        <v>511</v>
      </c>
      <c r="J1413" s="47" t="s">
        <v>512</v>
      </c>
      <c r="K1413" s="47" t="s">
        <v>512</v>
      </c>
      <c r="L1413" s="47" t="s">
        <v>552</v>
      </c>
      <c r="M1413" s="47" t="s">
        <v>976</v>
      </c>
      <c r="N1413" s="47" t="s">
        <v>839</v>
      </c>
      <c r="O1413" s="45" t="s">
        <v>383</v>
      </c>
      <c r="P1413" s="44" t="s">
        <v>309</v>
      </c>
      <c r="Q1413" s="59" t="str">
        <f>MID(Tabla1[[#This Row],[Aplicación]],14,1)</f>
        <v>2</v>
      </c>
      <c r="R1413" s="35" t="s">
        <v>298</v>
      </c>
      <c r="S1413" s="59" t="str">
        <f>MID(Tabla1[[#This Row],[Aplicación]],6,2)</f>
        <v>06</v>
      </c>
      <c r="T1413" s="35" t="str">
        <f>VLOOKUP(Tabla1[[#This Row],[AREA]],Hoja1!A:B,2,FALSE)</f>
        <v>06. Educación, infancia, juventud e igualdad</v>
      </c>
      <c r="U1413" s="35" t="str">
        <f>MID(Tabla1[[#This Row],[Aplicación]],9,4)</f>
        <v>3321</v>
      </c>
      <c r="V1413" s="35" t="str">
        <f>VLOOKUP(Tabla1[[#This Row],[PROGRAMA]],Hoja1!A:B,2,FALSE)</f>
        <v>3321. Bibliotecas públicas</v>
      </c>
      <c r="W1413" s="56" t="str">
        <f>MID(Tabla1[[#This Row],[Aplicación]],14,2)</f>
        <v>22</v>
      </c>
      <c r="X1413" s="56" t="str">
        <f>MID(Tabla1[[#This Row],[Aplicación]],14,6)</f>
        <v>22001</v>
      </c>
    </row>
    <row r="1414" spans="1:24" x14ac:dyDescent="0.25">
      <c r="A1414" s="46">
        <v>220230006410</v>
      </c>
      <c r="B1414" s="47" t="s">
        <v>507</v>
      </c>
      <c r="C1414" s="52">
        <v>44985</v>
      </c>
      <c r="D1414" s="46">
        <v>22023002721</v>
      </c>
      <c r="E1414" s="47" t="s">
        <v>1260</v>
      </c>
      <c r="F1414" s="53">
        <v>2115.69</v>
      </c>
      <c r="G1414" s="47" t="s">
        <v>2714</v>
      </c>
      <c r="H1414" s="47" t="s">
        <v>2715</v>
      </c>
      <c r="I1414" s="46" t="s">
        <v>511</v>
      </c>
      <c r="J1414" s="47" t="s">
        <v>519</v>
      </c>
      <c r="K1414" s="47" t="s">
        <v>519</v>
      </c>
      <c r="L1414" s="47" t="s">
        <v>520</v>
      </c>
      <c r="M1414" s="47" t="s">
        <v>514</v>
      </c>
      <c r="N1414" s="47" t="s">
        <v>515</v>
      </c>
      <c r="O1414" s="45" t="s">
        <v>382</v>
      </c>
      <c r="P1414" s="44" t="s">
        <v>309</v>
      </c>
      <c r="Q1414" s="59" t="str">
        <f>MID(Tabla1[[#This Row],[Aplicación]],14,1)</f>
        <v>2</v>
      </c>
      <c r="R1414" s="35" t="s">
        <v>298</v>
      </c>
      <c r="S1414" s="59" t="str">
        <f>MID(Tabla1[[#This Row],[Aplicación]],6,2)</f>
        <v>03</v>
      </c>
      <c r="T1414" s="35" t="str">
        <f>VLOOKUP(Tabla1[[#This Row],[AREA]],Hoja1!A:B,2,FALSE)</f>
        <v>03. Participación ciudadana y deportes</v>
      </c>
      <c r="U1414" s="35" t="str">
        <f>MID(Tabla1[[#This Row],[Aplicación]],9,4)</f>
        <v>9241</v>
      </c>
      <c r="V1414" s="35" t="str">
        <f>VLOOKUP(Tabla1[[#This Row],[PROGRAMA]],Hoja1!A:B,2,FALSE)</f>
        <v>9241. Participación ciudadana</v>
      </c>
      <c r="W1414" s="56" t="str">
        <f>MID(Tabla1[[#This Row],[Aplicación]],14,2)</f>
        <v>22</v>
      </c>
      <c r="X1414" s="56" t="str">
        <f>MID(Tabla1[[#This Row],[Aplicación]],14,6)</f>
        <v>22602</v>
      </c>
    </row>
    <row r="1415" spans="1:24" x14ac:dyDescent="0.25">
      <c r="A1415" s="46">
        <v>220230007138</v>
      </c>
      <c r="B1415" s="47" t="s">
        <v>507</v>
      </c>
      <c r="C1415" s="52">
        <v>44987</v>
      </c>
      <c r="D1415" s="46">
        <v>22023002558</v>
      </c>
      <c r="E1415" s="47" t="s">
        <v>1492</v>
      </c>
      <c r="F1415" s="53">
        <v>4500</v>
      </c>
      <c r="G1415" s="47" t="s">
        <v>13</v>
      </c>
      <c r="H1415" s="47" t="s">
        <v>2716</v>
      </c>
      <c r="I1415" s="46" t="s">
        <v>511</v>
      </c>
      <c r="J1415" s="47" t="s">
        <v>519</v>
      </c>
      <c r="K1415" s="47" t="s">
        <v>519</v>
      </c>
      <c r="L1415" s="47" t="s">
        <v>520</v>
      </c>
      <c r="M1415" s="47" t="s">
        <v>976</v>
      </c>
      <c r="N1415" s="47" t="s">
        <v>839</v>
      </c>
      <c r="O1415" s="45" t="s">
        <v>383</v>
      </c>
      <c r="P1415" s="44" t="s">
        <v>309</v>
      </c>
      <c r="Q1415" s="59" t="str">
        <f>MID(Tabla1[[#This Row],[Aplicación]],14,1)</f>
        <v>2</v>
      </c>
      <c r="R1415" s="35" t="s">
        <v>298</v>
      </c>
      <c r="S1415" s="59" t="str">
        <f>MID(Tabla1[[#This Row],[Aplicación]],6,2)</f>
        <v>10</v>
      </c>
      <c r="T1415" s="35" t="str">
        <f>VLOOKUP(Tabla1[[#This Row],[AREA]],Hoja1!A:B,2,FALSE)</f>
        <v>10. Servicios sociales y mediación comunitaria</v>
      </c>
      <c r="U1415" s="35" t="str">
        <f>MID(Tabla1[[#This Row],[Aplicación]],9,4)</f>
        <v>2316</v>
      </c>
      <c r="V1415" s="35" t="str">
        <f>VLOOKUP(Tabla1[[#This Row],[PROGRAMA]],Hoja1!A:B,2,FALSE)</f>
        <v>2316. Mediación comunitaria</v>
      </c>
      <c r="W1415" s="56" t="str">
        <f>MID(Tabla1[[#This Row],[Aplicación]],14,2)</f>
        <v>22</v>
      </c>
      <c r="X1415" s="56" t="str">
        <f>MID(Tabla1[[#This Row],[Aplicación]],14,6)</f>
        <v>22799</v>
      </c>
    </row>
    <row r="1416" spans="1:24" x14ac:dyDescent="0.25">
      <c r="A1416" s="46">
        <v>220230006415</v>
      </c>
      <c r="B1416" s="47" t="s">
        <v>507</v>
      </c>
      <c r="C1416" s="52">
        <v>44985</v>
      </c>
      <c r="D1416" s="46">
        <v>22023002737</v>
      </c>
      <c r="E1416" s="47" t="s">
        <v>1260</v>
      </c>
      <c r="F1416" s="53">
        <v>2420</v>
      </c>
      <c r="G1416" s="47" t="s">
        <v>29</v>
      </c>
      <c r="H1416" s="47" t="s">
        <v>2717</v>
      </c>
      <c r="I1416" s="46" t="s">
        <v>511</v>
      </c>
      <c r="J1416" s="47" t="s">
        <v>519</v>
      </c>
      <c r="K1416" s="47" t="s">
        <v>519</v>
      </c>
      <c r="L1416" s="47" t="s">
        <v>520</v>
      </c>
      <c r="M1416" s="47" t="s">
        <v>514</v>
      </c>
      <c r="N1416" s="47" t="s">
        <v>515</v>
      </c>
      <c r="O1416" s="45" t="s">
        <v>382</v>
      </c>
      <c r="P1416" s="44" t="s">
        <v>309</v>
      </c>
      <c r="Q1416" s="59" t="str">
        <f>MID(Tabla1[[#This Row],[Aplicación]],14,1)</f>
        <v>2</v>
      </c>
      <c r="R1416" s="35" t="s">
        <v>298</v>
      </c>
      <c r="S1416" s="59" t="str">
        <f>MID(Tabla1[[#This Row],[Aplicación]],6,2)</f>
        <v>03</v>
      </c>
      <c r="T1416" s="35" t="str">
        <f>VLOOKUP(Tabla1[[#This Row],[AREA]],Hoja1!A:B,2,FALSE)</f>
        <v>03. Participación ciudadana y deportes</v>
      </c>
      <c r="U1416" s="35" t="str">
        <f>MID(Tabla1[[#This Row],[Aplicación]],9,4)</f>
        <v>9241</v>
      </c>
      <c r="V1416" s="35" t="str">
        <f>VLOOKUP(Tabla1[[#This Row],[PROGRAMA]],Hoja1!A:B,2,FALSE)</f>
        <v>9241. Participación ciudadana</v>
      </c>
      <c r="W1416" s="56" t="str">
        <f>MID(Tabla1[[#This Row],[Aplicación]],14,2)</f>
        <v>22</v>
      </c>
      <c r="X1416" s="56" t="str">
        <f>MID(Tabla1[[#This Row],[Aplicación]],14,6)</f>
        <v>22602</v>
      </c>
    </row>
    <row r="1417" spans="1:24" x14ac:dyDescent="0.25">
      <c r="A1417" s="46">
        <v>220230006553</v>
      </c>
      <c r="B1417" s="47" t="s">
        <v>507</v>
      </c>
      <c r="C1417" s="52">
        <v>44985</v>
      </c>
      <c r="D1417" s="46">
        <v>22023002571</v>
      </c>
      <c r="E1417" s="47" t="s">
        <v>1299</v>
      </c>
      <c r="F1417" s="53">
        <v>9191.23</v>
      </c>
      <c r="G1417" s="47" t="s">
        <v>29</v>
      </c>
      <c r="H1417" s="47" t="s">
        <v>2718</v>
      </c>
      <c r="I1417" s="46" t="s">
        <v>511</v>
      </c>
      <c r="J1417" s="47" t="s">
        <v>519</v>
      </c>
      <c r="K1417" s="47" t="s">
        <v>519</v>
      </c>
      <c r="L1417" s="47" t="s">
        <v>552</v>
      </c>
      <c r="M1417" s="47" t="s">
        <v>976</v>
      </c>
      <c r="N1417" s="47" t="s">
        <v>839</v>
      </c>
      <c r="O1417" s="45" t="s">
        <v>383</v>
      </c>
      <c r="P1417" s="44" t="s">
        <v>309</v>
      </c>
      <c r="Q1417" s="59" t="str">
        <f>MID(Tabla1[[#This Row],[Aplicación]],14,1)</f>
        <v>2</v>
      </c>
      <c r="R1417" s="35" t="s">
        <v>298</v>
      </c>
      <c r="S1417" s="59" t="str">
        <f>MID(Tabla1[[#This Row],[Aplicación]],6,2)</f>
        <v>06</v>
      </c>
      <c r="T1417" s="35" t="str">
        <f>VLOOKUP(Tabla1[[#This Row],[AREA]],Hoja1!A:B,2,FALSE)</f>
        <v>06. Educación, infancia, juventud e igualdad</v>
      </c>
      <c r="U1417" s="35" t="str">
        <f>MID(Tabla1[[#This Row],[Aplicación]],9,4)</f>
        <v>3321</v>
      </c>
      <c r="V1417" s="35" t="str">
        <f>VLOOKUP(Tabla1[[#This Row],[PROGRAMA]],Hoja1!A:B,2,FALSE)</f>
        <v>3321. Bibliotecas públicas</v>
      </c>
      <c r="W1417" s="56" t="str">
        <f>MID(Tabla1[[#This Row],[Aplicación]],14,2)</f>
        <v>22</v>
      </c>
      <c r="X1417" s="56" t="str">
        <f>MID(Tabla1[[#This Row],[Aplicación]],14,6)</f>
        <v>22001</v>
      </c>
    </row>
    <row r="1418" spans="1:24" x14ac:dyDescent="0.25">
      <c r="A1418" s="55">
        <v>220210039531</v>
      </c>
      <c r="B1418" s="47" t="s">
        <v>507</v>
      </c>
      <c r="C1418" s="52">
        <v>45014</v>
      </c>
      <c r="D1418" s="46">
        <v>22021004992</v>
      </c>
      <c r="E1418" s="47" t="s">
        <v>583</v>
      </c>
      <c r="F1418" s="53">
        <v>7909.38</v>
      </c>
      <c r="G1418" s="47" t="s">
        <v>2719</v>
      </c>
      <c r="H1418" s="47" t="s">
        <v>2720</v>
      </c>
      <c r="I1418" s="46" t="s">
        <v>511</v>
      </c>
      <c r="J1418" s="47" t="s">
        <v>2721</v>
      </c>
      <c r="K1418" s="47" t="s">
        <v>1293</v>
      </c>
      <c r="L1418" s="47" t="s">
        <v>520</v>
      </c>
      <c r="M1418" s="47" t="s">
        <v>976</v>
      </c>
      <c r="N1418" s="47" t="s">
        <v>839</v>
      </c>
      <c r="O1418" s="54" t="s">
        <v>383</v>
      </c>
      <c r="P1418" s="44" t="s">
        <v>309</v>
      </c>
      <c r="Q1418" s="59" t="str">
        <f>MID(Tabla1[[#This Row],[Aplicación]],14,1)</f>
        <v>6</v>
      </c>
      <c r="R1418" s="35" t="s">
        <v>299</v>
      </c>
      <c r="S1418" s="59" t="str">
        <f>MID(Tabla1[[#This Row],[Aplicación]],6,2)</f>
        <v>02</v>
      </c>
      <c r="T1418" s="35" t="str">
        <f>VLOOKUP(Tabla1[[#This Row],[AREA]],Hoja1!A:B,2,FALSE)</f>
        <v>02. Planeamiento urbanístico y vivienda</v>
      </c>
      <c r="U1418" s="35" t="str">
        <f>MID(Tabla1[[#This Row],[Aplicación]],9,4)</f>
        <v>1511</v>
      </c>
      <c r="V1418" s="35" t="str">
        <f>VLOOKUP(Tabla1[[#This Row],[PROGRAMA]],Hoja1!A:B,2,FALSE)</f>
        <v>1511. Planficación y gestión del urbanismo</v>
      </c>
      <c r="W1418" s="56" t="str">
        <f>MID(Tabla1[[#This Row],[Aplicación]],14,2)</f>
        <v>60</v>
      </c>
      <c r="X1418" s="56" t="str">
        <f>MID(Tabla1[[#This Row],[Aplicación]],14,6)</f>
        <v>609</v>
      </c>
    </row>
    <row r="1419" spans="1:24" x14ac:dyDescent="0.25">
      <c r="A1419" s="55">
        <v>220230009478</v>
      </c>
      <c r="B1419" s="47" t="s">
        <v>507</v>
      </c>
      <c r="C1419" s="52">
        <v>45006</v>
      </c>
      <c r="D1419" s="46">
        <v>22023003427</v>
      </c>
      <c r="E1419" s="47" t="s">
        <v>2722</v>
      </c>
      <c r="F1419" s="53">
        <v>726</v>
      </c>
      <c r="G1419" s="47" t="s">
        <v>2723</v>
      </c>
      <c r="H1419" s="47" t="s">
        <v>2724</v>
      </c>
      <c r="I1419" s="46" t="s">
        <v>511</v>
      </c>
      <c r="J1419" s="47" t="s">
        <v>519</v>
      </c>
      <c r="K1419" s="47" t="s">
        <v>519</v>
      </c>
      <c r="L1419" s="47" t="s">
        <v>520</v>
      </c>
      <c r="M1419" s="47" t="s">
        <v>976</v>
      </c>
      <c r="N1419" s="47" t="s">
        <v>839</v>
      </c>
      <c r="O1419" s="54" t="s">
        <v>383</v>
      </c>
      <c r="P1419" s="44" t="s">
        <v>309</v>
      </c>
      <c r="Q1419" s="59" t="str">
        <f>MID(Tabla1[[#This Row],[Aplicación]],14,1)</f>
        <v>2</v>
      </c>
      <c r="R1419" s="35" t="s">
        <v>298</v>
      </c>
      <c r="S1419" s="59" t="str">
        <f>MID(Tabla1[[#This Row],[Aplicación]],6,2)</f>
        <v>06</v>
      </c>
      <c r="T1419" s="35" t="str">
        <f>VLOOKUP(Tabla1[[#This Row],[AREA]],Hoja1!A:B,2,FALSE)</f>
        <v>06. Educación, infancia, juventud e igualdad</v>
      </c>
      <c r="U1419" s="35" t="str">
        <f>MID(Tabla1[[#This Row],[Aplicación]],9,4)</f>
        <v>3321</v>
      </c>
      <c r="V1419" s="35" t="str">
        <f>VLOOKUP(Tabla1[[#This Row],[PROGRAMA]],Hoja1!A:B,2,FALSE)</f>
        <v>3321. Bibliotecas públicas</v>
      </c>
      <c r="W1419" s="56" t="str">
        <f>MID(Tabla1[[#This Row],[Aplicación]],14,2)</f>
        <v>22</v>
      </c>
      <c r="X1419" s="56" t="str">
        <f>MID(Tabla1[[#This Row],[Aplicación]],14,6)</f>
        <v>223</v>
      </c>
    </row>
    <row r="1420" spans="1:24" x14ac:dyDescent="0.25">
      <c r="A1420" s="46">
        <v>220229000669</v>
      </c>
      <c r="B1420" s="47" t="s">
        <v>507</v>
      </c>
      <c r="C1420" s="52">
        <v>44927</v>
      </c>
      <c r="D1420" s="46">
        <v>22023002180</v>
      </c>
      <c r="E1420" s="47" t="s">
        <v>2725</v>
      </c>
      <c r="F1420" s="53">
        <v>3746.16</v>
      </c>
      <c r="G1420" s="47" t="s">
        <v>412</v>
      </c>
      <c r="H1420" s="47" t="s">
        <v>2726</v>
      </c>
      <c r="I1420" s="46" t="s">
        <v>511</v>
      </c>
      <c r="J1420" s="47" t="s">
        <v>519</v>
      </c>
      <c r="K1420" s="47" t="s">
        <v>519</v>
      </c>
      <c r="L1420" s="47" t="s">
        <v>520</v>
      </c>
      <c r="M1420" s="47" t="s">
        <v>976</v>
      </c>
      <c r="N1420" s="47" t="s">
        <v>839</v>
      </c>
      <c r="O1420" s="45" t="s">
        <v>383</v>
      </c>
      <c r="P1420" s="44" t="s">
        <v>309</v>
      </c>
      <c r="Q1420" s="59" t="str">
        <f>MID(Tabla1[[#This Row],[Aplicación]],14,1)</f>
        <v>2</v>
      </c>
      <c r="R1420" s="35" t="s">
        <v>298</v>
      </c>
      <c r="S1420" s="59" t="str">
        <f>MID(Tabla1[[#This Row],[Aplicación]],6,2)</f>
        <v>06</v>
      </c>
      <c r="T1420" s="35" t="str">
        <f>VLOOKUP(Tabla1[[#This Row],[AREA]],Hoja1!A:B,2,FALSE)</f>
        <v>06. Educación, infancia, juventud e igualdad</v>
      </c>
      <c r="U1420" s="35" t="str">
        <f>MID(Tabla1[[#This Row],[Aplicación]],9,4)</f>
        <v>2314</v>
      </c>
      <c r="V1420" s="35" t="str">
        <f>VLOOKUP(Tabla1[[#This Row],[PROGRAMA]],Hoja1!A:B,2,FALSE)</f>
        <v>2314. Centro de programas juveniles</v>
      </c>
      <c r="W1420" s="56" t="str">
        <f>MID(Tabla1[[#This Row],[Aplicación]],14,2)</f>
        <v>22</v>
      </c>
      <c r="X1420" s="56" t="str">
        <f>MID(Tabla1[[#This Row],[Aplicación]],14,6)</f>
        <v>22602</v>
      </c>
    </row>
    <row r="1421" spans="1:24" x14ac:dyDescent="0.25">
      <c r="A1421" s="46">
        <v>220230006414</v>
      </c>
      <c r="B1421" s="47" t="s">
        <v>507</v>
      </c>
      <c r="C1421" s="52">
        <v>44985</v>
      </c>
      <c r="D1421" s="46">
        <v>22023002735</v>
      </c>
      <c r="E1421" s="47" t="s">
        <v>1260</v>
      </c>
      <c r="F1421" s="53">
        <v>2420</v>
      </c>
      <c r="G1421" s="47" t="s">
        <v>2727</v>
      </c>
      <c r="H1421" s="47" t="s">
        <v>2717</v>
      </c>
      <c r="I1421" s="46" t="s">
        <v>511</v>
      </c>
      <c r="J1421" s="47" t="s">
        <v>519</v>
      </c>
      <c r="K1421" s="47" t="s">
        <v>519</v>
      </c>
      <c r="L1421" s="47" t="s">
        <v>520</v>
      </c>
      <c r="M1421" s="47" t="s">
        <v>514</v>
      </c>
      <c r="N1421" s="47" t="s">
        <v>515</v>
      </c>
      <c r="O1421" s="45" t="s">
        <v>382</v>
      </c>
      <c r="P1421" s="44" t="s">
        <v>309</v>
      </c>
      <c r="Q1421" s="59" t="str">
        <f>MID(Tabla1[[#This Row],[Aplicación]],14,1)</f>
        <v>2</v>
      </c>
      <c r="R1421" s="35" t="s">
        <v>298</v>
      </c>
      <c r="S1421" s="59" t="str">
        <f>MID(Tabla1[[#This Row],[Aplicación]],6,2)</f>
        <v>03</v>
      </c>
      <c r="T1421" s="35" t="str">
        <f>VLOOKUP(Tabla1[[#This Row],[AREA]],Hoja1!A:B,2,FALSE)</f>
        <v>03. Participación ciudadana y deportes</v>
      </c>
      <c r="U1421" s="35" t="str">
        <f>MID(Tabla1[[#This Row],[Aplicación]],9,4)</f>
        <v>9241</v>
      </c>
      <c r="V1421" s="35" t="str">
        <f>VLOOKUP(Tabla1[[#This Row],[PROGRAMA]],Hoja1!A:B,2,FALSE)</f>
        <v>9241. Participación ciudadana</v>
      </c>
      <c r="W1421" s="56" t="str">
        <f>MID(Tabla1[[#This Row],[Aplicación]],14,2)</f>
        <v>22</v>
      </c>
      <c r="X1421" s="56" t="str">
        <f>MID(Tabla1[[#This Row],[Aplicación]],14,6)</f>
        <v>22602</v>
      </c>
    </row>
    <row r="1422" spans="1:24" x14ac:dyDescent="0.25">
      <c r="A1422" s="46">
        <v>220230006409</v>
      </c>
      <c r="B1422" s="47" t="s">
        <v>507</v>
      </c>
      <c r="C1422" s="52">
        <v>44985</v>
      </c>
      <c r="D1422" s="46">
        <v>22023002720</v>
      </c>
      <c r="E1422" s="47" t="s">
        <v>1260</v>
      </c>
      <c r="F1422" s="53">
        <v>3021.61</v>
      </c>
      <c r="G1422" s="47" t="s">
        <v>2728</v>
      </c>
      <c r="H1422" s="47" t="s">
        <v>2715</v>
      </c>
      <c r="I1422" s="46" t="s">
        <v>511</v>
      </c>
      <c r="J1422" s="47" t="s">
        <v>519</v>
      </c>
      <c r="K1422" s="47" t="s">
        <v>519</v>
      </c>
      <c r="L1422" s="47" t="s">
        <v>520</v>
      </c>
      <c r="M1422" s="47" t="s">
        <v>514</v>
      </c>
      <c r="N1422" s="47" t="s">
        <v>515</v>
      </c>
      <c r="O1422" s="45" t="s">
        <v>382</v>
      </c>
      <c r="P1422" s="44" t="s">
        <v>309</v>
      </c>
      <c r="Q1422" s="59" t="str">
        <f>MID(Tabla1[[#This Row],[Aplicación]],14,1)</f>
        <v>2</v>
      </c>
      <c r="R1422" s="35" t="s">
        <v>298</v>
      </c>
      <c r="S1422" s="59" t="str">
        <f>MID(Tabla1[[#This Row],[Aplicación]],6,2)</f>
        <v>03</v>
      </c>
      <c r="T1422" s="35" t="str">
        <f>VLOOKUP(Tabla1[[#This Row],[AREA]],Hoja1!A:B,2,FALSE)</f>
        <v>03. Participación ciudadana y deportes</v>
      </c>
      <c r="U1422" s="35" t="str">
        <f>MID(Tabla1[[#This Row],[Aplicación]],9,4)</f>
        <v>9241</v>
      </c>
      <c r="V1422" s="35" t="str">
        <f>VLOOKUP(Tabla1[[#This Row],[PROGRAMA]],Hoja1!A:B,2,FALSE)</f>
        <v>9241. Participación ciudadana</v>
      </c>
      <c r="W1422" s="56" t="str">
        <f>MID(Tabla1[[#This Row],[Aplicación]],14,2)</f>
        <v>22</v>
      </c>
      <c r="X1422" s="56" t="str">
        <f>MID(Tabla1[[#This Row],[Aplicación]],14,6)</f>
        <v>22602</v>
      </c>
    </row>
    <row r="1423" spans="1:24" x14ac:dyDescent="0.25">
      <c r="A1423" s="46">
        <v>220230006413</v>
      </c>
      <c r="B1423" s="47" t="s">
        <v>507</v>
      </c>
      <c r="C1423" s="52">
        <v>44985</v>
      </c>
      <c r="D1423" s="46">
        <v>22023002728</v>
      </c>
      <c r="E1423" s="47" t="s">
        <v>1260</v>
      </c>
      <c r="F1423" s="53">
        <v>3630</v>
      </c>
      <c r="G1423" s="47" t="s">
        <v>2729</v>
      </c>
      <c r="H1423" s="47" t="s">
        <v>2715</v>
      </c>
      <c r="I1423" s="46" t="s">
        <v>511</v>
      </c>
      <c r="J1423" s="47" t="s">
        <v>519</v>
      </c>
      <c r="K1423" s="47" t="s">
        <v>519</v>
      </c>
      <c r="L1423" s="47" t="s">
        <v>520</v>
      </c>
      <c r="M1423" s="47" t="s">
        <v>514</v>
      </c>
      <c r="N1423" s="47" t="s">
        <v>515</v>
      </c>
      <c r="O1423" s="45" t="s">
        <v>382</v>
      </c>
      <c r="P1423" s="44" t="s">
        <v>309</v>
      </c>
      <c r="Q1423" s="59" t="str">
        <f>MID(Tabla1[[#This Row],[Aplicación]],14,1)</f>
        <v>2</v>
      </c>
      <c r="R1423" s="35" t="s">
        <v>298</v>
      </c>
      <c r="S1423" s="59" t="str">
        <f>MID(Tabla1[[#This Row],[Aplicación]],6,2)</f>
        <v>03</v>
      </c>
      <c r="T1423" s="35" t="str">
        <f>VLOOKUP(Tabla1[[#This Row],[AREA]],Hoja1!A:B,2,FALSE)</f>
        <v>03. Participación ciudadana y deportes</v>
      </c>
      <c r="U1423" s="35" t="str">
        <f>MID(Tabla1[[#This Row],[Aplicación]],9,4)</f>
        <v>9241</v>
      </c>
      <c r="V1423" s="35" t="str">
        <f>VLOOKUP(Tabla1[[#This Row],[PROGRAMA]],Hoja1!A:B,2,FALSE)</f>
        <v>9241. Participación ciudadana</v>
      </c>
      <c r="W1423" s="56" t="str">
        <f>MID(Tabla1[[#This Row],[Aplicación]],14,2)</f>
        <v>22</v>
      </c>
      <c r="X1423" s="56" t="str">
        <f>MID(Tabla1[[#This Row],[Aplicación]],14,6)</f>
        <v>22602</v>
      </c>
    </row>
    <row r="1424" spans="1:24" x14ac:dyDescent="0.25">
      <c r="A1424" s="46">
        <v>220230006416</v>
      </c>
      <c r="B1424" s="47" t="s">
        <v>507</v>
      </c>
      <c r="C1424" s="52">
        <v>44985</v>
      </c>
      <c r="D1424" s="46">
        <v>22023002738</v>
      </c>
      <c r="E1424" s="47" t="s">
        <v>1260</v>
      </c>
      <c r="F1424" s="53">
        <v>2413.9499999999998</v>
      </c>
      <c r="G1424" s="47" t="s">
        <v>1879</v>
      </c>
      <c r="H1424" s="47" t="s">
        <v>2717</v>
      </c>
      <c r="I1424" s="46" t="s">
        <v>511</v>
      </c>
      <c r="J1424" s="47" t="s">
        <v>545</v>
      </c>
      <c r="K1424" s="47" t="s">
        <v>545</v>
      </c>
      <c r="L1424" s="47" t="s">
        <v>520</v>
      </c>
      <c r="M1424" s="47" t="s">
        <v>514</v>
      </c>
      <c r="N1424" s="47" t="s">
        <v>515</v>
      </c>
      <c r="O1424" s="45" t="s">
        <v>382</v>
      </c>
      <c r="P1424" s="44" t="s">
        <v>309</v>
      </c>
      <c r="Q1424" s="59" t="str">
        <f>MID(Tabla1[[#This Row],[Aplicación]],14,1)</f>
        <v>2</v>
      </c>
      <c r="R1424" s="35" t="s">
        <v>298</v>
      </c>
      <c r="S1424" s="59" t="str">
        <f>MID(Tabla1[[#This Row],[Aplicación]],6,2)</f>
        <v>03</v>
      </c>
      <c r="T1424" s="35" t="str">
        <f>VLOOKUP(Tabla1[[#This Row],[AREA]],Hoja1!A:B,2,FALSE)</f>
        <v>03. Participación ciudadana y deportes</v>
      </c>
      <c r="U1424" s="35" t="str">
        <f>MID(Tabla1[[#This Row],[Aplicación]],9,4)</f>
        <v>9241</v>
      </c>
      <c r="V1424" s="35" t="str">
        <f>VLOOKUP(Tabla1[[#This Row],[PROGRAMA]],Hoja1!A:B,2,FALSE)</f>
        <v>9241. Participación ciudadana</v>
      </c>
      <c r="W1424" s="56" t="str">
        <f>MID(Tabla1[[#This Row],[Aplicación]],14,2)</f>
        <v>22</v>
      </c>
      <c r="X1424" s="56" t="str">
        <f>MID(Tabla1[[#This Row],[Aplicación]],14,6)</f>
        <v>22602</v>
      </c>
    </row>
    <row r="1425" spans="1:24" x14ac:dyDescent="0.25">
      <c r="A1425" s="46">
        <v>220230006411</v>
      </c>
      <c r="B1425" s="47" t="s">
        <v>507</v>
      </c>
      <c r="C1425" s="52">
        <v>44985</v>
      </c>
      <c r="D1425" s="46">
        <v>22023002726</v>
      </c>
      <c r="E1425" s="47" t="s">
        <v>1260</v>
      </c>
      <c r="F1425" s="53">
        <v>2420</v>
      </c>
      <c r="G1425" s="47" t="s">
        <v>2034</v>
      </c>
      <c r="H1425" s="47" t="s">
        <v>2715</v>
      </c>
      <c r="I1425" s="46" t="s">
        <v>511</v>
      </c>
      <c r="J1425" s="47" t="s">
        <v>2036</v>
      </c>
      <c r="K1425" s="47" t="s">
        <v>512</v>
      </c>
      <c r="L1425" s="47" t="s">
        <v>520</v>
      </c>
      <c r="M1425" s="47" t="s">
        <v>514</v>
      </c>
      <c r="N1425" s="47" t="s">
        <v>515</v>
      </c>
      <c r="O1425" s="45" t="s">
        <v>382</v>
      </c>
      <c r="P1425" s="44" t="s">
        <v>309</v>
      </c>
      <c r="Q1425" s="59" t="str">
        <f>MID(Tabla1[[#This Row],[Aplicación]],14,1)</f>
        <v>2</v>
      </c>
      <c r="R1425" s="35" t="s">
        <v>298</v>
      </c>
      <c r="S1425" s="59" t="str">
        <f>MID(Tabla1[[#This Row],[Aplicación]],6,2)</f>
        <v>03</v>
      </c>
      <c r="T1425" s="35" t="str">
        <f>VLOOKUP(Tabla1[[#This Row],[AREA]],Hoja1!A:B,2,FALSE)</f>
        <v>03. Participación ciudadana y deportes</v>
      </c>
      <c r="U1425" s="35" t="str">
        <f>MID(Tabla1[[#This Row],[Aplicación]],9,4)</f>
        <v>9241</v>
      </c>
      <c r="V1425" s="35" t="str">
        <f>VLOOKUP(Tabla1[[#This Row],[PROGRAMA]],Hoja1!A:B,2,FALSE)</f>
        <v>9241. Participación ciudadana</v>
      </c>
      <c r="W1425" s="56" t="str">
        <f>MID(Tabla1[[#This Row],[Aplicación]],14,2)</f>
        <v>22</v>
      </c>
      <c r="X1425" s="56" t="str">
        <f>MID(Tabla1[[#This Row],[Aplicación]],14,6)</f>
        <v>22602</v>
      </c>
    </row>
    <row r="1426" spans="1:24" x14ac:dyDescent="0.25">
      <c r="A1426" s="46">
        <v>220230006412</v>
      </c>
      <c r="B1426" s="47" t="s">
        <v>507</v>
      </c>
      <c r="C1426" s="52">
        <v>44985</v>
      </c>
      <c r="D1426" s="46">
        <v>22023002727</v>
      </c>
      <c r="E1426" s="47" t="s">
        <v>1260</v>
      </c>
      <c r="F1426" s="53">
        <v>1512.5</v>
      </c>
      <c r="G1426" s="47" t="s">
        <v>2730</v>
      </c>
      <c r="H1426" s="47" t="s">
        <v>2715</v>
      </c>
      <c r="I1426" s="46" t="s">
        <v>511</v>
      </c>
      <c r="J1426" s="47" t="s">
        <v>519</v>
      </c>
      <c r="K1426" s="47" t="s">
        <v>519</v>
      </c>
      <c r="L1426" s="47" t="s">
        <v>520</v>
      </c>
      <c r="M1426" s="47" t="s">
        <v>514</v>
      </c>
      <c r="N1426" s="47" t="s">
        <v>515</v>
      </c>
      <c r="O1426" s="45" t="s">
        <v>382</v>
      </c>
      <c r="P1426" s="44" t="s">
        <v>309</v>
      </c>
      <c r="Q1426" s="59" t="str">
        <f>MID(Tabla1[[#This Row],[Aplicación]],14,1)</f>
        <v>2</v>
      </c>
      <c r="R1426" s="35" t="s">
        <v>298</v>
      </c>
      <c r="S1426" s="59" t="str">
        <f>MID(Tabla1[[#This Row],[Aplicación]],6,2)</f>
        <v>03</v>
      </c>
      <c r="T1426" s="35" t="str">
        <f>VLOOKUP(Tabla1[[#This Row],[AREA]],Hoja1!A:B,2,FALSE)</f>
        <v>03. Participación ciudadana y deportes</v>
      </c>
      <c r="U1426" s="35" t="str">
        <f>MID(Tabla1[[#This Row],[Aplicación]],9,4)</f>
        <v>9241</v>
      </c>
      <c r="V1426" s="35" t="str">
        <f>VLOOKUP(Tabla1[[#This Row],[PROGRAMA]],Hoja1!A:B,2,FALSE)</f>
        <v>9241. Participación ciudadana</v>
      </c>
      <c r="W1426" s="56" t="str">
        <f>MID(Tabla1[[#This Row],[Aplicación]],14,2)</f>
        <v>22</v>
      </c>
      <c r="X1426" s="56" t="str">
        <f>MID(Tabla1[[#This Row],[Aplicación]],14,6)</f>
        <v>22602</v>
      </c>
    </row>
    <row r="1427" spans="1:24" x14ac:dyDescent="0.25">
      <c r="A1427" s="46">
        <v>220230006725</v>
      </c>
      <c r="B1427" s="47" t="s">
        <v>507</v>
      </c>
      <c r="C1427" s="52">
        <v>44986</v>
      </c>
      <c r="D1427" s="46">
        <v>22023002269</v>
      </c>
      <c r="E1427" s="47" t="s">
        <v>772</v>
      </c>
      <c r="F1427" s="53">
        <v>138285.56</v>
      </c>
      <c r="G1427" s="47" t="s">
        <v>778</v>
      </c>
      <c r="H1427" s="47" t="s">
        <v>2731</v>
      </c>
      <c r="I1427" s="46" t="s">
        <v>511</v>
      </c>
      <c r="J1427" s="47" t="s">
        <v>519</v>
      </c>
      <c r="K1427" s="47" t="s">
        <v>519</v>
      </c>
      <c r="L1427" s="47" t="s">
        <v>520</v>
      </c>
      <c r="M1427" s="47" t="s">
        <v>514</v>
      </c>
      <c r="N1427" s="47" t="s">
        <v>515</v>
      </c>
      <c r="O1427" s="45" t="s">
        <v>371</v>
      </c>
      <c r="P1427" s="44" t="s">
        <v>309</v>
      </c>
      <c r="Q1427" s="59" t="str">
        <f>MID(Tabla1[[#This Row],[Aplicación]],14,1)</f>
        <v>2</v>
      </c>
      <c r="R1427" s="35" t="s">
        <v>298</v>
      </c>
      <c r="S1427" s="59" t="str">
        <f>MID(Tabla1[[#This Row],[Aplicación]],6,2)</f>
        <v>06</v>
      </c>
      <c r="T1427" s="35" t="str">
        <f>VLOOKUP(Tabla1[[#This Row],[AREA]],Hoja1!A:B,2,FALSE)</f>
        <v>06. Educación, infancia, juventud e igualdad</v>
      </c>
      <c r="U1427" s="35" t="str">
        <f>MID(Tabla1[[#This Row],[Aplicación]],9,4)</f>
        <v>2314</v>
      </c>
      <c r="V1427" s="35" t="str">
        <f>VLOOKUP(Tabla1[[#This Row],[PROGRAMA]],Hoja1!A:B,2,FALSE)</f>
        <v>2314. Centro de programas juveniles</v>
      </c>
      <c r="W1427" s="56" t="str">
        <f>MID(Tabla1[[#This Row],[Aplicación]],14,2)</f>
        <v>22</v>
      </c>
      <c r="X1427" s="56" t="str">
        <f>MID(Tabla1[[#This Row],[Aplicación]],14,6)</f>
        <v>22799</v>
      </c>
    </row>
    <row r="1428" spans="1:24" x14ac:dyDescent="0.25">
      <c r="A1428" s="46">
        <v>220230006729</v>
      </c>
      <c r="B1428" s="47" t="s">
        <v>507</v>
      </c>
      <c r="C1428" s="52">
        <v>44986</v>
      </c>
      <c r="D1428" s="46">
        <v>22023002758</v>
      </c>
      <c r="E1428" s="47" t="s">
        <v>2732</v>
      </c>
      <c r="F1428" s="53">
        <v>7260</v>
      </c>
      <c r="G1428" s="47" t="s">
        <v>456</v>
      </c>
      <c r="H1428" s="47" t="s">
        <v>2733</v>
      </c>
      <c r="I1428" s="46" t="s">
        <v>511</v>
      </c>
      <c r="J1428" s="47" t="s">
        <v>519</v>
      </c>
      <c r="K1428" s="47" t="s">
        <v>519</v>
      </c>
      <c r="L1428" s="47" t="s">
        <v>552</v>
      </c>
      <c r="M1428" s="47" t="s">
        <v>976</v>
      </c>
      <c r="N1428" s="47" t="s">
        <v>839</v>
      </c>
      <c r="O1428" s="54" t="s">
        <v>383</v>
      </c>
      <c r="P1428" s="44" t="s">
        <v>309</v>
      </c>
      <c r="Q1428" s="59" t="str">
        <f>MID(Tabla1[[#This Row],[Aplicación]],14,1)</f>
        <v>6</v>
      </c>
      <c r="R1428" s="35" t="s">
        <v>299</v>
      </c>
      <c r="S1428" s="59" t="str">
        <f>MID(Tabla1[[#This Row],[Aplicación]],6,2)</f>
        <v>06</v>
      </c>
      <c r="T1428" s="35" t="str">
        <f>VLOOKUP(Tabla1[[#This Row],[AREA]],Hoja1!A:B,2,FALSE)</f>
        <v>06. Educación, infancia, juventud e igualdad</v>
      </c>
      <c r="U1428" s="35" t="str">
        <f>MID(Tabla1[[#This Row],[Aplicación]],9,4)</f>
        <v>3232</v>
      </c>
      <c r="V1428" s="35" t="str">
        <f>VLOOKUP(Tabla1[[#This Row],[PROGRAMA]],Hoja1!A:B,2,FALSE)</f>
        <v>3232. Conservación y mantenimiento centros educación infantil y primaria</v>
      </c>
      <c r="W1428" s="56" t="str">
        <f>MID(Tabla1[[#This Row],[Aplicación]],14,2)</f>
        <v>63</v>
      </c>
      <c r="X1428" s="56" t="str">
        <f>MID(Tabla1[[#This Row],[Aplicación]],14,6)</f>
        <v>632</v>
      </c>
    </row>
    <row r="1429" spans="1:24" x14ac:dyDescent="0.25">
      <c r="A1429" s="46">
        <v>220230006795</v>
      </c>
      <c r="B1429" s="47" t="s">
        <v>507</v>
      </c>
      <c r="C1429" s="52">
        <v>44986</v>
      </c>
      <c r="D1429" s="46">
        <v>22023002855</v>
      </c>
      <c r="E1429" s="47" t="s">
        <v>663</v>
      </c>
      <c r="F1429" s="53">
        <v>2420</v>
      </c>
      <c r="G1429" s="47" t="s">
        <v>94</v>
      </c>
      <c r="H1429" s="47" t="s">
        <v>2734</v>
      </c>
      <c r="I1429" s="46" t="s">
        <v>511</v>
      </c>
      <c r="J1429" s="47" t="s">
        <v>519</v>
      </c>
      <c r="K1429" s="47" t="s">
        <v>519</v>
      </c>
      <c r="L1429" s="47" t="s">
        <v>552</v>
      </c>
      <c r="M1429" s="47" t="s">
        <v>976</v>
      </c>
      <c r="N1429" s="47" t="s">
        <v>839</v>
      </c>
      <c r="O1429" s="45" t="s">
        <v>383</v>
      </c>
      <c r="P1429" s="44" t="s">
        <v>309</v>
      </c>
      <c r="Q1429" s="59" t="str">
        <f>MID(Tabla1[[#This Row],[Aplicación]],14,1)</f>
        <v>2</v>
      </c>
      <c r="R1429" s="35" t="s">
        <v>298</v>
      </c>
      <c r="S1429" s="59" t="str">
        <f>MID(Tabla1[[#This Row],[Aplicación]],6,2)</f>
        <v>08</v>
      </c>
      <c r="T1429" s="35" t="str">
        <f>VLOOKUP(Tabla1[[#This Row],[AREA]],Hoja1!A:B,2,FALSE)</f>
        <v>08. Movilidad y espacio urbano</v>
      </c>
      <c r="U1429" s="35" t="str">
        <f>MID(Tabla1[[#This Row],[Aplicación]],9,4)</f>
        <v>1532</v>
      </c>
      <c r="V1429" s="35" t="str">
        <f>VLOOKUP(Tabla1[[#This Row],[PROGRAMA]],Hoja1!A:B,2,FALSE)</f>
        <v>1532. Pavimentación vias públicas y otros servicios urbanísticos</v>
      </c>
      <c r="W1429" s="56" t="str">
        <f>MID(Tabla1[[#This Row],[Aplicación]],14,2)</f>
        <v>20</v>
      </c>
      <c r="X1429" s="56" t="str">
        <f>MID(Tabla1[[#This Row],[Aplicación]],14,6)</f>
        <v>203</v>
      </c>
    </row>
    <row r="1430" spans="1:24" x14ac:dyDescent="0.25">
      <c r="A1430" s="46">
        <v>220230006733</v>
      </c>
      <c r="B1430" s="47" t="s">
        <v>507</v>
      </c>
      <c r="C1430" s="52">
        <v>44986</v>
      </c>
      <c r="D1430" s="46">
        <v>22023002636</v>
      </c>
      <c r="E1430" s="47" t="s">
        <v>1907</v>
      </c>
      <c r="F1430" s="53">
        <v>272.25</v>
      </c>
      <c r="G1430" s="47" t="s">
        <v>1675</v>
      </c>
      <c r="H1430" s="47" t="s">
        <v>2735</v>
      </c>
      <c r="I1430" s="46" t="s">
        <v>511</v>
      </c>
      <c r="J1430" s="47" t="s">
        <v>519</v>
      </c>
      <c r="K1430" s="51" t="s">
        <v>519</v>
      </c>
      <c r="L1430" s="47" t="s">
        <v>552</v>
      </c>
      <c r="M1430" s="47" t="s">
        <v>976</v>
      </c>
      <c r="N1430" s="47" t="s">
        <v>839</v>
      </c>
      <c r="O1430" s="45" t="s">
        <v>383</v>
      </c>
      <c r="P1430" s="44" t="s">
        <v>309</v>
      </c>
      <c r="Q1430" s="59" t="str">
        <f>MID(Tabla1[[#This Row],[Aplicación]],14,1)</f>
        <v>2</v>
      </c>
      <c r="R1430" s="35" t="s">
        <v>298</v>
      </c>
      <c r="S1430" s="59" t="str">
        <f>MID(Tabla1[[#This Row],[Aplicación]],6,2)</f>
        <v>10</v>
      </c>
      <c r="T1430" s="35" t="str">
        <f>VLOOKUP(Tabla1[[#This Row],[AREA]],Hoja1!A:B,2,FALSE)</f>
        <v>10. Servicios sociales y mediación comunitaria</v>
      </c>
      <c r="U1430" s="35" t="str">
        <f>MID(Tabla1[[#This Row],[Aplicación]],9,4)</f>
        <v>2313</v>
      </c>
      <c r="V1430" s="35" t="str">
        <f>VLOOKUP(Tabla1[[#This Row],[PROGRAMA]],Hoja1!A:B,2,FALSE)</f>
        <v>2313. Dirección del área de servicios sociales</v>
      </c>
      <c r="W1430" s="56" t="str">
        <f>MID(Tabla1[[#This Row],[Aplicación]],14,2)</f>
        <v>22</v>
      </c>
      <c r="X1430" s="56" t="str">
        <f>MID(Tabla1[[#This Row],[Aplicación]],14,6)</f>
        <v>22699</v>
      </c>
    </row>
    <row r="1431" spans="1:24" x14ac:dyDescent="0.25">
      <c r="A1431" s="46">
        <v>220230006738</v>
      </c>
      <c r="B1431" s="47" t="s">
        <v>507</v>
      </c>
      <c r="C1431" s="52">
        <v>44986</v>
      </c>
      <c r="D1431" s="46">
        <v>22023002671</v>
      </c>
      <c r="E1431" s="47" t="s">
        <v>613</v>
      </c>
      <c r="F1431" s="53">
        <v>344.85</v>
      </c>
      <c r="G1431" s="47" t="s">
        <v>15</v>
      </c>
      <c r="H1431" s="47" t="s">
        <v>2736</v>
      </c>
      <c r="I1431" s="46" t="s">
        <v>511</v>
      </c>
      <c r="J1431" s="47" t="s">
        <v>519</v>
      </c>
      <c r="K1431" s="47" t="s">
        <v>519</v>
      </c>
      <c r="L1431" s="47" t="s">
        <v>520</v>
      </c>
      <c r="M1431" s="47" t="s">
        <v>976</v>
      </c>
      <c r="N1431" s="47" t="s">
        <v>839</v>
      </c>
      <c r="O1431" s="45" t="s">
        <v>383</v>
      </c>
      <c r="P1431" s="44" t="s">
        <v>309</v>
      </c>
      <c r="Q1431" s="59" t="str">
        <f>MID(Tabla1[[#This Row],[Aplicación]],14,1)</f>
        <v>2</v>
      </c>
      <c r="R1431" s="35" t="s">
        <v>298</v>
      </c>
      <c r="S1431" s="59" t="str">
        <f>MID(Tabla1[[#This Row],[Aplicación]],6,2)</f>
        <v>10</v>
      </c>
      <c r="T1431" s="35" t="str">
        <f>VLOOKUP(Tabla1[[#This Row],[AREA]],Hoja1!A:B,2,FALSE)</f>
        <v>10. Servicios sociales y mediación comunitaria</v>
      </c>
      <c r="U1431" s="35" t="str">
        <f>MID(Tabla1[[#This Row],[Aplicación]],9,4)</f>
        <v>2312</v>
      </c>
      <c r="V1431" s="35" t="str">
        <f>VLOOKUP(Tabla1[[#This Row],[PROGRAMA]],Hoja1!A:B,2,FALSE)</f>
        <v>2312. Iniciativas sociales</v>
      </c>
      <c r="W1431" s="56" t="str">
        <f>MID(Tabla1[[#This Row],[Aplicación]],14,2)</f>
        <v>21</v>
      </c>
      <c r="X1431" s="56" t="str">
        <f>MID(Tabla1[[#This Row],[Aplicación]],14,6)</f>
        <v>213</v>
      </c>
    </row>
    <row r="1432" spans="1:24" x14ac:dyDescent="0.25">
      <c r="A1432" s="46">
        <v>220230006738</v>
      </c>
      <c r="B1432" s="47" t="s">
        <v>507</v>
      </c>
      <c r="C1432" s="52">
        <v>44986</v>
      </c>
      <c r="D1432" s="46">
        <v>22023002672</v>
      </c>
      <c r="E1432" s="47" t="s">
        <v>613</v>
      </c>
      <c r="F1432" s="53">
        <v>344.85</v>
      </c>
      <c r="G1432" s="47" t="s">
        <v>15</v>
      </c>
      <c r="H1432" s="47" t="s">
        <v>2736</v>
      </c>
      <c r="I1432" s="46" t="s">
        <v>511</v>
      </c>
      <c r="J1432" s="47" t="s">
        <v>519</v>
      </c>
      <c r="K1432" s="47" t="s">
        <v>519</v>
      </c>
      <c r="L1432" s="47" t="s">
        <v>520</v>
      </c>
      <c r="M1432" s="47" t="s">
        <v>976</v>
      </c>
      <c r="N1432" s="47" t="s">
        <v>839</v>
      </c>
      <c r="O1432" s="45" t="s">
        <v>383</v>
      </c>
      <c r="P1432" s="44" t="s">
        <v>309</v>
      </c>
      <c r="Q1432" s="59" t="str">
        <f>MID(Tabla1[[#This Row],[Aplicación]],14,1)</f>
        <v>2</v>
      </c>
      <c r="R1432" s="35" t="s">
        <v>298</v>
      </c>
      <c r="S1432" s="59" t="str">
        <f>MID(Tabla1[[#This Row],[Aplicación]],6,2)</f>
        <v>10</v>
      </c>
      <c r="T1432" s="35" t="str">
        <f>VLOOKUP(Tabla1[[#This Row],[AREA]],Hoja1!A:B,2,FALSE)</f>
        <v>10. Servicios sociales y mediación comunitaria</v>
      </c>
      <c r="U1432" s="35" t="str">
        <f>MID(Tabla1[[#This Row],[Aplicación]],9,4)</f>
        <v>2312</v>
      </c>
      <c r="V1432" s="35" t="str">
        <f>VLOOKUP(Tabla1[[#This Row],[PROGRAMA]],Hoja1!A:B,2,FALSE)</f>
        <v>2312. Iniciativas sociales</v>
      </c>
      <c r="W1432" s="56" t="str">
        <f>MID(Tabla1[[#This Row],[Aplicación]],14,2)</f>
        <v>21</v>
      </c>
      <c r="X1432" s="56" t="str">
        <f>MID(Tabla1[[#This Row],[Aplicación]],14,6)</f>
        <v>213</v>
      </c>
    </row>
    <row r="1433" spans="1:24" x14ac:dyDescent="0.25">
      <c r="A1433" s="46">
        <v>220230006797</v>
      </c>
      <c r="B1433" s="47" t="s">
        <v>507</v>
      </c>
      <c r="C1433" s="52">
        <v>44986</v>
      </c>
      <c r="D1433" s="46">
        <v>22023002901</v>
      </c>
      <c r="E1433" s="47" t="s">
        <v>1603</v>
      </c>
      <c r="F1433" s="53">
        <v>7260</v>
      </c>
      <c r="G1433" s="47" t="s">
        <v>388</v>
      </c>
      <c r="H1433" s="47" t="s">
        <v>2737</v>
      </c>
      <c r="I1433" s="46" t="s">
        <v>511</v>
      </c>
      <c r="J1433" s="47" t="s">
        <v>837</v>
      </c>
      <c r="K1433" s="47" t="s">
        <v>837</v>
      </c>
      <c r="L1433" s="47" t="s">
        <v>552</v>
      </c>
      <c r="M1433" s="47" t="s">
        <v>976</v>
      </c>
      <c r="N1433" s="47" t="s">
        <v>839</v>
      </c>
      <c r="O1433" s="45" t="s">
        <v>383</v>
      </c>
      <c r="P1433" s="44" t="s">
        <v>309</v>
      </c>
      <c r="Q1433" s="59" t="str">
        <f>MID(Tabla1[[#This Row],[Aplicación]],14,1)</f>
        <v>2</v>
      </c>
      <c r="R1433" s="35" t="s">
        <v>298</v>
      </c>
      <c r="S1433" s="59" t="str">
        <f>MID(Tabla1[[#This Row],[Aplicación]],6,2)</f>
        <v>08</v>
      </c>
      <c r="T1433" s="35" t="str">
        <f>VLOOKUP(Tabla1[[#This Row],[AREA]],Hoja1!A:B,2,FALSE)</f>
        <v>08. Movilidad y espacio urbano</v>
      </c>
      <c r="U1433" s="35" t="str">
        <f>MID(Tabla1[[#This Row],[Aplicación]],9,4)</f>
        <v>1532</v>
      </c>
      <c r="V1433" s="35" t="str">
        <f>VLOOKUP(Tabla1[[#This Row],[PROGRAMA]],Hoja1!A:B,2,FALSE)</f>
        <v>1532. Pavimentación vias públicas y otros servicios urbanísticos</v>
      </c>
      <c r="W1433" s="56" t="str">
        <f>MID(Tabla1[[#This Row],[Aplicación]],14,2)</f>
        <v>21</v>
      </c>
      <c r="X1433" s="56" t="str">
        <f>MID(Tabla1[[#This Row],[Aplicación]],14,6)</f>
        <v>210</v>
      </c>
    </row>
    <row r="1434" spans="1:24" x14ac:dyDescent="0.25">
      <c r="A1434" s="46">
        <v>220230006769</v>
      </c>
      <c r="B1434" s="47" t="s">
        <v>507</v>
      </c>
      <c r="C1434" s="52">
        <v>44986</v>
      </c>
      <c r="D1434" s="46">
        <v>22023002773</v>
      </c>
      <c r="E1434" s="47" t="s">
        <v>663</v>
      </c>
      <c r="F1434" s="53">
        <v>387.2</v>
      </c>
      <c r="G1434" s="47" t="s">
        <v>102</v>
      </c>
      <c r="H1434" s="47" t="s">
        <v>2738</v>
      </c>
      <c r="I1434" s="46" t="s">
        <v>511</v>
      </c>
      <c r="J1434" s="47" t="s">
        <v>519</v>
      </c>
      <c r="K1434" s="47" t="s">
        <v>519</v>
      </c>
      <c r="L1434" s="47" t="s">
        <v>552</v>
      </c>
      <c r="M1434" s="47" t="s">
        <v>976</v>
      </c>
      <c r="N1434" s="47" t="s">
        <v>839</v>
      </c>
      <c r="O1434" s="45" t="s">
        <v>383</v>
      </c>
      <c r="P1434" s="44" t="s">
        <v>309</v>
      </c>
      <c r="Q1434" s="59" t="str">
        <f>MID(Tabla1[[#This Row],[Aplicación]],14,1)</f>
        <v>2</v>
      </c>
      <c r="R1434" s="35" t="s">
        <v>298</v>
      </c>
      <c r="S1434" s="59" t="str">
        <f>MID(Tabla1[[#This Row],[Aplicación]],6,2)</f>
        <v>08</v>
      </c>
      <c r="T1434" s="35" t="str">
        <f>VLOOKUP(Tabla1[[#This Row],[AREA]],Hoja1!A:B,2,FALSE)</f>
        <v>08. Movilidad y espacio urbano</v>
      </c>
      <c r="U1434" s="35" t="str">
        <f>MID(Tabla1[[#This Row],[Aplicación]],9,4)</f>
        <v>1532</v>
      </c>
      <c r="V1434" s="35" t="str">
        <f>VLOOKUP(Tabla1[[#This Row],[PROGRAMA]],Hoja1!A:B,2,FALSE)</f>
        <v>1532. Pavimentación vias públicas y otros servicios urbanísticos</v>
      </c>
      <c r="W1434" s="56" t="str">
        <f>MID(Tabla1[[#This Row],[Aplicación]],14,2)</f>
        <v>20</v>
      </c>
      <c r="X1434" s="56" t="str">
        <f>MID(Tabla1[[#This Row],[Aplicación]],14,6)</f>
        <v>203</v>
      </c>
    </row>
    <row r="1435" spans="1:24" x14ac:dyDescent="0.25">
      <c r="A1435" s="46">
        <v>220230006763</v>
      </c>
      <c r="B1435" s="47" t="s">
        <v>507</v>
      </c>
      <c r="C1435" s="52">
        <v>44986</v>
      </c>
      <c r="D1435" s="46">
        <v>22023002779</v>
      </c>
      <c r="E1435" s="47" t="s">
        <v>1299</v>
      </c>
      <c r="F1435" s="53">
        <v>136</v>
      </c>
      <c r="G1435" s="47" t="s">
        <v>110</v>
      </c>
      <c r="H1435" s="47" t="s">
        <v>2739</v>
      </c>
      <c r="I1435" s="46" t="s">
        <v>511</v>
      </c>
      <c r="J1435" s="47" t="s">
        <v>768</v>
      </c>
      <c r="K1435" s="47" t="s">
        <v>768</v>
      </c>
      <c r="L1435" s="47" t="s">
        <v>552</v>
      </c>
      <c r="M1435" s="47" t="s">
        <v>976</v>
      </c>
      <c r="N1435" s="47" t="s">
        <v>839</v>
      </c>
      <c r="O1435" s="45" t="s">
        <v>383</v>
      </c>
      <c r="P1435" s="44" t="s">
        <v>309</v>
      </c>
      <c r="Q1435" s="59" t="str">
        <f>MID(Tabla1[[#This Row],[Aplicación]],14,1)</f>
        <v>2</v>
      </c>
      <c r="R1435" s="35" t="s">
        <v>298</v>
      </c>
      <c r="S1435" s="59" t="str">
        <f>MID(Tabla1[[#This Row],[Aplicación]],6,2)</f>
        <v>06</v>
      </c>
      <c r="T1435" s="35" t="str">
        <f>VLOOKUP(Tabla1[[#This Row],[AREA]],Hoja1!A:B,2,FALSE)</f>
        <v>06. Educación, infancia, juventud e igualdad</v>
      </c>
      <c r="U1435" s="35" t="str">
        <f>MID(Tabla1[[#This Row],[Aplicación]],9,4)</f>
        <v>3321</v>
      </c>
      <c r="V1435" s="35" t="str">
        <f>VLOOKUP(Tabla1[[#This Row],[PROGRAMA]],Hoja1!A:B,2,FALSE)</f>
        <v>3321. Bibliotecas públicas</v>
      </c>
      <c r="W1435" s="56" t="str">
        <f>MID(Tabla1[[#This Row],[Aplicación]],14,2)</f>
        <v>22</v>
      </c>
      <c r="X1435" s="56" t="str">
        <f>MID(Tabla1[[#This Row],[Aplicación]],14,6)</f>
        <v>22001</v>
      </c>
    </row>
    <row r="1436" spans="1:24" x14ac:dyDescent="0.25">
      <c r="A1436" s="46">
        <v>220230006794</v>
      </c>
      <c r="B1436" s="47" t="s">
        <v>507</v>
      </c>
      <c r="C1436" s="52">
        <v>44986</v>
      </c>
      <c r="D1436" s="46">
        <v>22023002833</v>
      </c>
      <c r="E1436" s="47" t="s">
        <v>663</v>
      </c>
      <c r="F1436" s="53">
        <v>2420</v>
      </c>
      <c r="G1436" s="47" t="s">
        <v>115</v>
      </c>
      <c r="H1436" s="47" t="s">
        <v>2740</v>
      </c>
      <c r="I1436" s="46" t="s">
        <v>511</v>
      </c>
      <c r="J1436" s="47" t="s">
        <v>1726</v>
      </c>
      <c r="K1436" s="47" t="s">
        <v>519</v>
      </c>
      <c r="L1436" s="47" t="s">
        <v>552</v>
      </c>
      <c r="M1436" s="47" t="s">
        <v>976</v>
      </c>
      <c r="N1436" s="47" t="s">
        <v>839</v>
      </c>
      <c r="O1436" s="45" t="s">
        <v>383</v>
      </c>
      <c r="P1436" s="44" t="s">
        <v>309</v>
      </c>
      <c r="Q1436" s="59" t="str">
        <f>MID(Tabla1[[#This Row],[Aplicación]],14,1)</f>
        <v>2</v>
      </c>
      <c r="R1436" s="35" t="s">
        <v>298</v>
      </c>
      <c r="S1436" s="59" t="str">
        <f>MID(Tabla1[[#This Row],[Aplicación]],6,2)</f>
        <v>08</v>
      </c>
      <c r="T1436" s="35" t="str">
        <f>VLOOKUP(Tabla1[[#This Row],[AREA]],Hoja1!A:B,2,FALSE)</f>
        <v>08. Movilidad y espacio urbano</v>
      </c>
      <c r="U1436" s="35" t="str">
        <f>MID(Tabla1[[#This Row],[Aplicación]],9,4)</f>
        <v>1532</v>
      </c>
      <c r="V1436" s="35" t="str">
        <f>VLOOKUP(Tabla1[[#This Row],[PROGRAMA]],Hoja1!A:B,2,FALSE)</f>
        <v>1532. Pavimentación vias públicas y otros servicios urbanísticos</v>
      </c>
      <c r="W1436" s="56" t="str">
        <f>MID(Tabla1[[#This Row],[Aplicación]],14,2)</f>
        <v>20</v>
      </c>
      <c r="X1436" s="56" t="str">
        <f>MID(Tabla1[[#This Row],[Aplicación]],14,6)</f>
        <v>203</v>
      </c>
    </row>
    <row r="1437" spans="1:24" x14ac:dyDescent="0.25">
      <c r="A1437" s="46">
        <v>220230006793</v>
      </c>
      <c r="B1437" s="47" t="s">
        <v>507</v>
      </c>
      <c r="C1437" s="52">
        <v>44986</v>
      </c>
      <c r="D1437" s="46">
        <v>22023002769</v>
      </c>
      <c r="E1437" s="47" t="s">
        <v>958</v>
      </c>
      <c r="F1437" s="53">
        <v>2642.64</v>
      </c>
      <c r="G1437" s="47" t="s">
        <v>35</v>
      </c>
      <c r="H1437" s="47" t="s">
        <v>2741</v>
      </c>
      <c r="I1437" s="46" t="s">
        <v>511</v>
      </c>
      <c r="J1437" s="47" t="s">
        <v>519</v>
      </c>
      <c r="K1437" s="47" t="s">
        <v>519</v>
      </c>
      <c r="L1437" s="47" t="s">
        <v>552</v>
      </c>
      <c r="M1437" s="47" t="s">
        <v>976</v>
      </c>
      <c r="N1437" s="47" t="s">
        <v>839</v>
      </c>
      <c r="O1437" s="45" t="s">
        <v>383</v>
      </c>
      <c r="P1437" s="44" t="s">
        <v>309</v>
      </c>
      <c r="Q1437" s="59" t="str">
        <f>MID(Tabla1[[#This Row],[Aplicación]],14,1)</f>
        <v>2</v>
      </c>
      <c r="R1437" s="35" t="s">
        <v>298</v>
      </c>
      <c r="S1437" s="59" t="str">
        <f>MID(Tabla1[[#This Row],[Aplicación]],6,2)</f>
        <v>08</v>
      </c>
      <c r="T1437" s="35" t="str">
        <f>VLOOKUP(Tabla1[[#This Row],[AREA]],Hoja1!A:B,2,FALSE)</f>
        <v>08. Movilidad y espacio urbano</v>
      </c>
      <c r="U1437" s="35" t="str">
        <f>MID(Tabla1[[#This Row],[Aplicación]],9,4)</f>
        <v>1532</v>
      </c>
      <c r="V1437" s="35" t="str">
        <f>VLOOKUP(Tabla1[[#This Row],[PROGRAMA]],Hoja1!A:B,2,FALSE)</f>
        <v>1532. Pavimentación vias públicas y otros servicios urbanísticos</v>
      </c>
      <c r="W1437" s="56" t="str">
        <f>MID(Tabla1[[#This Row],[Aplicación]],14,2)</f>
        <v>22</v>
      </c>
      <c r="X1437" s="56" t="str">
        <f>MID(Tabla1[[#This Row],[Aplicación]],14,6)</f>
        <v>22103</v>
      </c>
    </row>
    <row r="1438" spans="1:24" x14ac:dyDescent="0.25">
      <c r="A1438" s="46">
        <v>220230001981</v>
      </c>
      <c r="B1438" s="47" t="s">
        <v>507</v>
      </c>
      <c r="C1438" s="52">
        <v>44960</v>
      </c>
      <c r="D1438" s="46">
        <v>22023001489</v>
      </c>
      <c r="E1438" s="47" t="s">
        <v>772</v>
      </c>
      <c r="F1438" s="53">
        <v>3746.16</v>
      </c>
      <c r="G1438" s="47" t="s">
        <v>412</v>
      </c>
      <c r="H1438" s="47" t="s">
        <v>2742</v>
      </c>
      <c r="I1438" s="46" t="s">
        <v>511</v>
      </c>
      <c r="J1438" s="47" t="s">
        <v>519</v>
      </c>
      <c r="K1438" s="47" t="s">
        <v>519</v>
      </c>
      <c r="L1438" s="47" t="s">
        <v>520</v>
      </c>
      <c r="M1438" s="47" t="s">
        <v>976</v>
      </c>
      <c r="N1438" s="47" t="s">
        <v>839</v>
      </c>
      <c r="O1438" s="45" t="s">
        <v>383</v>
      </c>
      <c r="P1438" s="44" t="s">
        <v>309</v>
      </c>
      <c r="Q1438" s="59" t="str">
        <f>MID(Tabla1[[#This Row],[Aplicación]],14,1)</f>
        <v>2</v>
      </c>
      <c r="R1438" s="35" t="s">
        <v>298</v>
      </c>
      <c r="S1438" s="59" t="str">
        <f>MID(Tabla1[[#This Row],[Aplicación]],6,2)</f>
        <v>06</v>
      </c>
      <c r="T1438" s="35" t="str">
        <f>VLOOKUP(Tabla1[[#This Row],[AREA]],Hoja1!A:B,2,FALSE)</f>
        <v>06. Educación, infancia, juventud e igualdad</v>
      </c>
      <c r="U1438" s="35" t="str">
        <f>MID(Tabla1[[#This Row],[Aplicación]],9,4)</f>
        <v>2314</v>
      </c>
      <c r="V1438" s="35" t="str">
        <f>VLOOKUP(Tabla1[[#This Row],[PROGRAMA]],Hoja1!A:B,2,FALSE)</f>
        <v>2314. Centro de programas juveniles</v>
      </c>
      <c r="W1438" s="56" t="str">
        <f>MID(Tabla1[[#This Row],[Aplicación]],14,2)</f>
        <v>22</v>
      </c>
      <c r="X1438" s="56" t="str">
        <f>MID(Tabla1[[#This Row],[Aplicación]],14,6)</f>
        <v>22799</v>
      </c>
    </row>
    <row r="1439" spans="1:24" x14ac:dyDescent="0.25">
      <c r="A1439" s="46">
        <v>220230005929</v>
      </c>
      <c r="B1439" s="47" t="s">
        <v>1337</v>
      </c>
      <c r="C1439" s="52">
        <v>44980</v>
      </c>
      <c r="D1439" s="46">
        <v>22023001489</v>
      </c>
      <c r="E1439" s="47" t="s">
        <v>772</v>
      </c>
      <c r="F1439" s="53">
        <v>-3746.16</v>
      </c>
      <c r="G1439" s="47" t="s">
        <v>412</v>
      </c>
      <c r="H1439" s="47" t="s">
        <v>2742</v>
      </c>
      <c r="I1439" s="46" t="s">
        <v>511</v>
      </c>
      <c r="J1439" s="47" t="s">
        <v>519</v>
      </c>
      <c r="K1439" s="47" t="s">
        <v>519</v>
      </c>
      <c r="L1439" s="47" t="s">
        <v>520</v>
      </c>
      <c r="M1439" s="47" t="s">
        <v>976</v>
      </c>
      <c r="N1439" s="47" t="s">
        <v>839</v>
      </c>
      <c r="O1439" s="54" t="s">
        <v>383</v>
      </c>
      <c r="P1439" s="44" t="s">
        <v>309</v>
      </c>
      <c r="Q1439" s="59" t="str">
        <f>MID(Tabla1[[#This Row],[Aplicación]],14,1)</f>
        <v>2</v>
      </c>
      <c r="R1439" s="35" t="s">
        <v>298</v>
      </c>
      <c r="S1439" s="59" t="str">
        <f>MID(Tabla1[[#This Row],[Aplicación]],6,2)</f>
        <v>06</v>
      </c>
      <c r="T1439" s="35" t="str">
        <f>VLOOKUP(Tabla1[[#This Row],[AREA]],Hoja1!A:B,2,FALSE)</f>
        <v>06. Educación, infancia, juventud e igualdad</v>
      </c>
      <c r="U1439" s="35" t="str">
        <f>MID(Tabla1[[#This Row],[Aplicación]],9,4)</f>
        <v>2314</v>
      </c>
      <c r="V1439" s="35" t="str">
        <f>VLOOKUP(Tabla1[[#This Row],[PROGRAMA]],Hoja1!A:B,2,FALSE)</f>
        <v>2314. Centro de programas juveniles</v>
      </c>
      <c r="W1439" s="56" t="str">
        <f>MID(Tabla1[[#This Row],[Aplicación]],14,2)</f>
        <v>22</v>
      </c>
      <c r="X1439" s="56" t="str">
        <f>MID(Tabla1[[#This Row],[Aplicación]],14,6)</f>
        <v>22799</v>
      </c>
    </row>
    <row r="1440" spans="1:24" x14ac:dyDescent="0.25">
      <c r="A1440" s="46">
        <v>220230001797</v>
      </c>
      <c r="B1440" s="47" t="s">
        <v>507</v>
      </c>
      <c r="C1440" s="52">
        <v>44960</v>
      </c>
      <c r="D1440" s="46">
        <v>22023000239</v>
      </c>
      <c r="E1440" s="47" t="s">
        <v>1285</v>
      </c>
      <c r="F1440" s="53">
        <v>33.6</v>
      </c>
      <c r="G1440" s="47" t="s">
        <v>2743</v>
      </c>
      <c r="H1440" s="47" t="s">
        <v>2744</v>
      </c>
      <c r="I1440" s="46" t="s">
        <v>511</v>
      </c>
      <c r="J1440" s="47" t="s">
        <v>519</v>
      </c>
      <c r="K1440" s="47" t="s">
        <v>519</v>
      </c>
      <c r="L1440" s="47" t="s">
        <v>552</v>
      </c>
      <c r="M1440" s="47" t="s">
        <v>976</v>
      </c>
      <c r="N1440" s="47" t="s">
        <v>839</v>
      </c>
      <c r="O1440" s="45" t="s">
        <v>383</v>
      </c>
      <c r="P1440" s="44" t="s">
        <v>309</v>
      </c>
      <c r="Q1440" s="59" t="str">
        <f>MID(Tabla1[[#This Row],[Aplicación]],14,1)</f>
        <v>2</v>
      </c>
      <c r="R1440" s="35" t="s">
        <v>298</v>
      </c>
      <c r="S1440" s="59" t="str">
        <f>MID(Tabla1[[#This Row],[Aplicación]],6,2)</f>
        <v>11</v>
      </c>
      <c r="T1440" s="35" t="str">
        <f>VLOOKUP(Tabla1[[#This Row],[AREA]],Hoja1!A:B,2,FALSE)</f>
        <v>11. Salud pública y seguridad ciudadana</v>
      </c>
      <c r="U1440" s="35" t="str">
        <f>MID(Tabla1[[#This Row],[Aplicación]],9,4)</f>
        <v>1361</v>
      </c>
      <c r="V1440" s="35" t="str">
        <f>VLOOKUP(Tabla1[[#This Row],[PROGRAMA]],Hoja1!A:B,2,FALSE)</f>
        <v>1361. Prevención y extinción de incencios</v>
      </c>
      <c r="W1440" s="56" t="str">
        <f>MID(Tabla1[[#This Row],[Aplicación]],14,2)</f>
        <v>22</v>
      </c>
      <c r="X1440" s="56" t="str">
        <f>MID(Tabla1[[#This Row],[Aplicación]],14,6)</f>
        <v>22199</v>
      </c>
    </row>
    <row r="1441" spans="1:24" x14ac:dyDescent="0.25">
      <c r="A1441" s="55">
        <v>220230011680</v>
      </c>
      <c r="B1441" s="47" t="s">
        <v>507</v>
      </c>
      <c r="C1441" s="52">
        <v>45013</v>
      </c>
      <c r="D1441" s="46">
        <v>22023003505</v>
      </c>
      <c r="E1441" s="47" t="s">
        <v>2745</v>
      </c>
      <c r="F1441" s="53">
        <v>22.91</v>
      </c>
      <c r="G1441" s="47" t="s">
        <v>2746</v>
      </c>
      <c r="H1441" s="47" t="s">
        <v>2747</v>
      </c>
      <c r="I1441" s="46" t="s">
        <v>511</v>
      </c>
      <c r="J1441" s="47" t="s">
        <v>519</v>
      </c>
      <c r="K1441" s="47" t="s">
        <v>519</v>
      </c>
      <c r="L1441" s="47" t="s">
        <v>652</v>
      </c>
      <c r="M1441" s="47" t="s">
        <v>976</v>
      </c>
      <c r="N1441" s="47" t="s">
        <v>839</v>
      </c>
      <c r="O1441" s="54" t="s">
        <v>383</v>
      </c>
      <c r="P1441" s="44" t="s">
        <v>309</v>
      </c>
      <c r="Q1441" s="59" t="str">
        <f>MID(Tabla1[[#This Row],[Aplicación]],14,1)</f>
        <v>2</v>
      </c>
      <c r="R1441" s="35" t="s">
        <v>298</v>
      </c>
      <c r="S1441" s="59" t="str">
        <f>MID(Tabla1[[#This Row],[Aplicación]],6,2)</f>
        <v>04</v>
      </c>
      <c r="T1441" s="35" t="str">
        <f>VLOOKUP(Tabla1[[#This Row],[AREA]],Hoja1!A:B,2,FALSE)</f>
        <v>04. Planificación y recursos</v>
      </c>
      <c r="U1441" s="35" t="str">
        <f>MID(Tabla1[[#This Row],[Aplicación]],9,4)</f>
        <v>9202</v>
      </c>
      <c r="V1441" s="35" t="str">
        <f>VLOOKUP(Tabla1[[#This Row],[PROGRAMA]],Hoja1!A:B,2,FALSE)</f>
        <v>9202. Gestión de recursos humanos</v>
      </c>
      <c r="W1441" s="56" t="str">
        <f>MID(Tabla1[[#This Row],[Aplicación]],14,2)</f>
        <v>22</v>
      </c>
      <c r="X1441" s="56" t="str">
        <f>MID(Tabla1[[#This Row],[Aplicación]],14,6)</f>
        <v>22699</v>
      </c>
    </row>
    <row r="1442" spans="1:24" x14ac:dyDescent="0.25">
      <c r="A1442" s="46">
        <v>220230002001</v>
      </c>
      <c r="B1442" s="47" t="s">
        <v>507</v>
      </c>
      <c r="C1442" s="52">
        <v>44960</v>
      </c>
      <c r="D1442" s="46">
        <v>22023001639</v>
      </c>
      <c r="E1442" s="47" t="s">
        <v>1305</v>
      </c>
      <c r="F1442" s="53">
        <v>14.17</v>
      </c>
      <c r="G1442" s="47" t="s">
        <v>2748</v>
      </c>
      <c r="H1442" s="47" t="s">
        <v>2749</v>
      </c>
      <c r="I1442" s="46" t="s">
        <v>511</v>
      </c>
      <c r="J1442" s="47" t="s">
        <v>519</v>
      </c>
      <c r="K1442" s="47" t="s">
        <v>519</v>
      </c>
      <c r="L1442" s="47" t="s">
        <v>552</v>
      </c>
      <c r="M1442" s="47" t="s">
        <v>976</v>
      </c>
      <c r="N1442" s="47" t="s">
        <v>839</v>
      </c>
      <c r="O1442" s="45" t="s">
        <v>383</v>
      </c>
      <c r="P1442" s="44" t="s">
        <v>309</v>
      </c>
      <c r="Q1442" s="59" t="str">
        <f>MID(Tabla1[[#This Row],[Aplicación]],14,1)</f>
        <v>2</v>
      </c>
      <c r="R1442" s="35" t="s">
        <v>298</v>
      </c>
      <c r="S1442" s="59" t="str">
        <f>MID(Tabla1[[#This Row],[Aplicación]],6,2)</f>
        <v>06</v>
      </c>
      <c r="T1442" s="35" t="str">
        <f>VLOOKUP(Tabla1[[#This Row],[AREA]],Hoja1!A:B,2,FALSE)</f>
        <v>06. Educación, infancia, juventud e igualdad</v>
      </c>
      <c r="U1442" s="35" t="str">
        <f>MID(Tabla1[[#This Row],[Aplicación]],9,4)</f>
        <v>3232</v>
      </c>
      <c r="V1442" s="35" t="str">
        <f>VLOOKUP(Tabla1[[#This Row],[PROGRAMA]],Hoja1!A:B,2,FALSE)</f>
        <v>3232. Conservación y mantenimiento centros educación infantil y primaria</v>
      </c>
      <c r="W1442" s="56" t="str">
        <f>MID(Tabla1[[#This Row],[Aplicación]],14,2)</f>
        <v>21</v>
      </c>
      <c r="X1442" s="56" t="str">
        <f>MID(Tabla1[[#This Row],[Aplicación]],14,6)</f>
        <v>212</v>
      </c>
    </row>
    <row r="1443" spans="1:24" x14ac:dyDescent="0.25">
      <c r="A1443" s="46">
        <v>220230005421</v>
      </c>
      <c r="B1443" s="47" t="s">
        <v>507</v>
      </c>
      <c r="C1443" s="52">
        <v>44979</v>
      </c>
      <c r="D1443" s="46">
        <v>22023002674</v>
      </c>
      <c r="E1443" s="47" t="s">
        <v>1055</v>
      </c>
      <c r="F1443" s="53">
        <v>439.23</v>
      </c>
      <c r="G1443" s="47" t="s">
        <v>2748</v>
      </c>
      <c r="H1443" s="47" t="s">
        <v>2750</v>
      </c>
      <c r="I1443" s="46" t="s">
        <v>511</v>
      </c>
      <c r="J1443" s="47" t="s">
        <v>519</v>
      </c>
      <c r="K1443" s="47" t="s">
        <v>519</v>
      </c>
      <c r="L1443" s="47" t="s">
        <v>520</v>
      </c>
      <c r="M1443" s="47" t="s">
        <v>976</v>
      </c>
      <c r="N1443" s="47" t="s">
        <v>839</v>
      </c>
      <c r="O1443" s="45" t="s">
        <v>383</v>
      </c>
      <c r="P1443" s="44" t="s">
        <v>309</v>
      </c>
      <c r="Q1443" s="59" t="str">
        <f>MID(Tabla1[[#This Row],[Aplicación]],14,1)</f>
        <v>2</v>
      </c>
      <c r="R1443" s="35" t="s">
        <v>298</v>
      </c>
      <c r="S1443" s="59" t="str">
        <f>MID(Tabla1[[#This Row],[Aplicación]],6,2)</f>
        <v>02</v>
      </c>
      <c r="T1443" s="35" t="str">
        <f>VLOOKUP(Tabla1[[#This Row],[AREA]],Hoja1!A:B,2,FALSE)</f>
        <v>02. Planeamiento urbanístico y vivienda</v>
      </c>
      <c r="U1443" s="35" t="str">
        <f>MID(Tabla1[[#This Row],[Aplicación]],9,4)</f>
        <v>9332</v>
      </c>
      <c r="V1443" s="35" t="str">
        <f>VLOOKUP(Tabla1[[#This Row],[PROGRAMA]],Hoja1!A:B,2,FALSE)</f>
        <v>9332. Mantenimiento de edificios e instalaciones municipales</v>
      </c>
      <c r="W1443" s="56" t="str">
        <f>MID(Tabla1[[#This Row],[Aplicación]],14,2)</f>
        <v>21</v>
      </c>
      <c r="X1443" s="56" t="str">
        <f>MID(Tabla1[[#This Row],[Aplicación]],14,6)</f>
        <v>213</v>
      </c>
    </row>
    <row r="1444" spans="1:24" x14ac:dyDescent="0.25">
      <c r="A1444" s="46">
        <v>220230003242</v>
      </c>
      <c r="B1444" s="47" t="s">
        <v>507</v>
      </c>
      <c r="C1444" s="52">
        <v>44971</v>
      </c>
      <c r="D1444" s="46">
        <v>22023002419</v>
      </c>
      <c r="E1444" s="47" t="s">
        <v>1683</v>
      </c>
      <c r="F1444" s="53">
        <v>1500</v>
      </c>
      <c r="G1444" s="47" t="s">
        <v>64</v>
      </c>
      <c r="H1444" s="47" t="s">
        <v>2751</v>
      </c>
      <c r="I1444" s="46" t="s">
        <v>511</v>
      </c>
      <c r="J1444" s="47" t="s">
        <v>519</v>
      </c>
      <c r="K1444" s="47" t="s">
        <v>519</v>
      </c>
      <c r="L1444" s="47" t="s">
        <v>552</v>
      </c>
      <c r="M1444" s="47" t="s">
        <v>976</v>
      </c>
      <c r="N1444" s="47" t="s">
        <v>839</v>
      </c>
      <c r="O1444" s="45" t="s">
        <v>383</v>
      </c>
      <c r="P1444" s="44" t="s">
        <v>309</v>
      </c>
      <c r="Q1444" s="59" t="str">
        <f>MID(Tabla1[[#This Row],[Aplicación]],14,1)</f>
        <v>2</v>
      </c>
      <c r="R1444" s="35" t="s">
        <v>298</v>
      </c>
      <c r="S1444" s="59" t="str">
        <f>MID(Tabla1[[#This Row],[Aplicación]],6,2)</f>
        <v>11</v>
      </c>
      <c r="T1444" s="35" t="str">
        <f>VLOOKUP(Tabla1[[#This Row],[AREA]],Hoja1!A:B,2,FALSE)</f>
        <v>11. Salud pública y seguridad ciudadana</v>
      </c>
      <c r="U1444" s="35" t="str">
        <f>MID(Tabla1[[#This Row],[Aplicación]],9,4)</f>
        <v>1631</v>
      </c>
      <c r="V1444" s="35" t="str">
        <f>VLOOKUP(Tabla1[[#This Row],[PROGRAMA]],Hoja1!A:B,2,FALSE)</f>
        <v>1631. Limpieza viaria</v>
      </c>
      <c r="W1444" s="56" t="str">
        <f>MID(Tabla1[[#This Row],[Aplicación]],14,2)</f>
        <v>21</v>
      </c>
      <c r="X1444" s="56" t="str">
        <f>MID(Tabla1[[#This Row],[Aplicación]],14,6)</f>
        <v>214</v>
      </c>
    </row>
    <row r="1445" spans="1:24" x14ac:dyDescent="0.25">
      <c r="A1445" s="46">
        <v>220230002009</v>
      </c>
      <c r="B1445" s="47" t="s">
        <v>507</v>
      </c>
      <c r="C1445" s="52">
        <v>44960</v>
      </c>
      <c r="D1445" s="46">
        <v>22023001499</v>
      </c>
      <c r="E1445" s="47" t="s">
        <v>1506</v>
      </c>
      <c r="F1445" s="53">
        <v>4670.6000000000004</v>
      </c>
      <c r="G1445" s="47" t="s">
        <v>2752</v>
      </c>
      <c r="H1445" s="47" t="s">
        <v>2753</v>
      </c>
      <c r="I1445" s="46" t="s">
        <v>511</v>
      </c>
      <c r="J1445" s="47" t="s">
        <v>1405</v>
      </c>
      <c r="K1445" s="47" t="s">
        <v>519</v>
      </c>
      <c r="L1445" s="47" t="s">
        <v>552</v>
      </c>
      <c r="M1445" s="47" t="s">
        <v>976</v>
      </c>
      <c r="N1445" s="47" t="s">
        <v>839</v>
      </c>
      <c r="O1445" s="45" t="s">
        <v>383</v>
      </c>
      <c r="P1445" s="44" t="s">
        <v>309</v>
      </c>
      <c r="Q1445" s="59" t="str">
        <f>MID(Tabla1[[#This Row],[Aplicación]],14,1)</f>
        <v>2</v>
      </c>
      <c r="R1445" s="35" t="s">
        <v>298</v>
      </c>
      <c r="S1445" s="59" t="str">
        <f>MID(Tabla1[[#This Row],[Aplicación]],6,2)</f>
        <v>03</v>
      </c>
      <c r="T1445" s="35" t="str">
        <f>VLOOKUP(Tabla1[[#This Row],[AREA]],Hoja1!A:B,2,FALSE)</f>
        <v>03. Participación ciudadana y deportes</v>
      </c>
      <c r="U1445" s="35" t="str">
        <f>MID(Tabla1[[#This Row],[Aplicación]],9,4)</f>
        <v>9241</v>
      </c>
      <c r="V1445" s="35" t="str">
        <f>VLOOKUP(Tabla1[[#This Row],[PROGRAMA]],Hoja1!A:B,2,FALSE)</f>
        <v>9241. Participación ciudadana</v>
      </c>
      <c r="W1445" s="56" t="str">
        <f>MID(Tabla1[[#This Row],[Aplicación]],14,2)</f>
        <v>21</v>
      </c>
      <c r="X1445" s="56" t="str">
        <f>MID(Tabla1[[#This Row],[Aplicación]],14,6)</f>
        <v>212</v>
      </c>
    </row>
    <row r="1446" spans="1:24" x14ac:dyDescent="0.25">
      <c r="A1446" s="46">
        <v>220230005928</v>
      </c>
      <c r="B1446" s="47" t="s">
        <v>507</v>
      </c>
      <c r="C1446" s="52">
        <v>44980</v>
      </c>
      <c r="D1446" s="46">
        <v>22023002677</v>
      </c>
      <c r="E1446" s="47" t="s">
        <v>2562</v>
      </c>
      <c r="F1446" s="53">
        <v>370.01</v>
      </c>
      <c r="G1446" s="47" t="s">
        <v>2754</v>
      </c>
      <c r="H1446" s="47" t="s">
        <v>2755</v>
      </c>
      <c r="I1446" s="46" t="s">
        <v>511</v>
      </c>
      <c r="J1446" s="47" t="s">
        <v>519</v>
      </c>
      <c r="K1446" s="47" t="s">
        <v>519</v>
      </c>
      <c r="L1446" s="47" t="s">
        <v>520</v>
      </c>
      <c r="M1446" s="47" t="s">
        <v>976</v>
      </c>
      <c r="N1446" s="47" t="s">
        <v>839</v>
      </c>
      <c r="O1446" s="45" t="s">
        <v>383</v>
      </c>
      <c r="P1446" s="44" t="s">
        <v>309</v>
      </c>
      <c r="Q1446" s="59" t="str">
        <f>MID(Tabla1[[#This Row],[Aplicación]],14,1)</f>
        <v>2</v>
      </c>
      <c r="R1446" s="35" t="s">
        <v>298</v>
      </c>
      <c r="S1446" s="59" t="str">
        <f>MID(Tabla1[[#This Row],[Aplicación]],6,2)</f>
        <v>06</v>
      </c>
      <c r="T1446" s="35" t="str">
        <f>VLOOKUP(Tabla1[[#This Row],[AREA]],Hoja1!A:B,2,FALSE)</f>
        <v>06. Educación, infancia, juventud e igualdad</v>
      </c>
      <c r="U1446" s="35" t="str">
        <f>MID(Tabla1[[#This Row],[Aplicación]],9,4)</f>
        <v>2315</v>
      </c>
      <c r="V1446" s="35" t="str">
        <f>VLOOKUP(Tabla1[[#This Row],[PROGRAMA]],Hoja1!A:B,2,FALSE)</f>
        <v>2315. Políticas de Igualdad e infancia</v>
      </c>
      <c r="W1446" s="56" t="str">
        <f>MID(Tabla1[[#This Row],[Aplicación]],14,2)</f>
        <v>22</v>
      </c>
      <c r="X1446" s="56" t="str">
        <f>MID(Tabla1[[#This Row],[Aplicación]],14,6)</f>
        <v>22699</v>
      </c>
    </row>
    <row r="1447" spans="1:24" x14ac:dyDescent="0.25">
      <c r="A1447" s="46">
        <v>220229000121</v>
      </c>
      <c r="B1447" s="47" t="s">
        <v>507</v>
      </c>
      <c r="C1447" s="52">
        <v>44927</v>
      </c>
      <c r="D1447" s="46">
        <v>22023000300</v>
      </c>
      <c r="E1447" s="47" t="s">
        <v>1456</v>
      </c>
      <c r="F1447" s="53">
        <v>9147.6</v>
      </c>
      <c r="G1447" s="47" t="s">
        <v>2756</v>
      </c>
      <c r="H1447" s="47" t="s">
        <v>2757</v>
      </c>
      <c r="I1447" s="46" t="s">
        <v>511</v>
      </c>
      <c r="J1447" s="47" t="s">
        <v>1535</v>
      </c>
      <c r="K1447" s="47" t="s">
        <v>512</v>
      </c>
      <c r="L1447" s="47" t="s">
        <v>520</v>
      </c>
      <c r="M1447" s="47" t="s">
        <v>514</v>
      </c>
      <c r="N1447" s="47" t="s">
        <v>515</v>
      </c>
      <c r="O1447" s="45" t="s">
        <v>371</v>
      </c>
      <c r="P1447" s="44" t="s">
        <v>309</v>
      </c>
      <c r="Q1447" s="59" t="str">
        <f>MID(Tabla1[[#This Row],[Aplicación]],14,1)</f>
        <v>2</v>
      </c>
      <c r="R1447" s="35" t="s">
        <v>298</v>
      </c>
      <c r="S1447" s="59" t="str">
        <f>MID(Tabla1[[#This Row],[Aplicación]],6,2)</f>
        <v>01</v>
      </c>
      <c r="T1447" s="35" t="str">
        <f>VLOOKUP(Tabla1[[#This Row],[AREA]],Hoja1!A:B,2,FALSE)</f>
        <v>01. Alcaldía</v>
      </c>
      <c r="U1447" s="35" t="str">
        <f>MID(Tabla1[[#This Row],[Aplicación]],9,4)</f>
        <v>9206</v>
      </c>
      <c r="V1447" s="35" t="str">
        <f>VLOOKUP(Tabla1[[#This Row],[PROGRAMA]],Hoja1!A:B,2,FALSE)</f>
        <v>9206. Archivo municipal</v>
      </c>
      <c r="W1447" s="56" t="str">
        <f>MID(Tabla1[[#This Row],[Aplicación]],14,2)</f>
        <v>22</v>
      </c>
      <c r="X1447" s="56" t="str">
        <f>MID(Tabla1[[#This Row],[Aplicación]],14,6)</f>
        <v>22799</v>
      </c>
    </row>
    <row r="1448" spans="1:24" x14ac:dyDescent="0.25">
      <c r="A1448" s="55">
        <v>220230012864</v>
      </c>
      <c r="B1448" s="47" t="s">
        <v>507</v>
      </c>
      <c r="C1448" s="52">
        <v>45016</v>
      </c>
      <c r="D1448" s="46">
        <v>22023003080</v>
      </c>
      <c r="E1448" s="47" t="s">
        <v>2233</v>
      </c>
      <c r="F1448" s="53">
        <v>14520</v>
      </c>
      <c r="G1448" s="47" t="s">
        <v>2758</v>
      </c>
      <c r="H1448" s="47" t="s">
        <v>2759</v>
      </c>
      <c r="I1448" s="46" t="s">
        <v>2168</v>
      </c>
      <c r="J1448" s="47" t="s">
        <v>1399</v>
      </c>
      <c r="K1448" s="47" t="s">
        <v>519</v>
      </c>
      <c r="L1448" s="47" t="s">
        <v>520</v>
      </c>
      <c r="M1448" s="47" t="s">
        <v>976</v>
      </c>
      <c r="N1448" s="47" t="s">
        <v>839</v>
      </c>
      <c r="O1448" s="54" t="s">
        <v>383</v>
      </c>
      <c r="P1448" s="44" t="s">
        <v>309</v>
      </c>
      <c r="Q1448" s="59" t="str">
        <f>MID(Tabla1[[#This Row],[Aplicación]],14,1)</f>
        <v>2</v>
      </c>
      <c r="R1448" s="35" t="s">
        <v>298</v>
      </c>
      <c r="S1448" s="59" t="str">
        <f>MID(Tabla1[[#This Row],[Aplicación]],6,2)</f>
        <v>05</v>
      </c>
      <c r="T1448" s="35" t="str">
        <f>VLOOKUP(Tabla1[[#This Row],[AREA]],Hoja1!A:B,2,FALSE)</f>
        <v>05. Innovación, desarrollo económico, empleo y comercio</v>
      </c>
      <c r="U1448" s="35" t="str">
        <f>MID(Tabla1[[#This Row],[Aplicación]],9,4)</f>
        <v>4331</v>
      </c>
      <c r="V1448" s="35" t="str">
        <f>VLOOKUP(Tabla1[[#This Row],[PROGRAMA]],Hoja1!A:B,2,FALSE)</f>
        <v>4331. Desarrollo empresarial</v>
      </c>
      <c r="W1448" s="56" t="str">
        <f>MID(Tabla1[[#This Row],[Aplicación]],14,2)</f>
        <v>22</v>
      </c>
      <c r="X1448" s="56" t="str">
        <f>MID(Tabla1[[#This Row],[Aplicación]],14,6)</f>
        <v>22609</v>
      </c>
    </row>
    <row r="1449" spans="1:24" x14ac:dyDescent="0.25">
      <c r="A1449" s="46">
        <v>220230007171</v>
      </c>
      <c r="B1449" s="47" t="s">
        <v>507</v>
      </c>
      <c r="C1449" s="52">
        <v>44987</v>
      </c>
      <c r="D1449" s="46">
        <v>22023002857</v>
      </c>
      <c r="E1449" s="47" t="s">
        <v>616</v>
      </c>
      <c r="F1449" s="53">
        <v>219.35</v>
      </c>
      <c r="G1449" s="47" t="s">
        <v>20</v>
      </c>
      <c r="H1449" s="47" t="s">
        <v>2760</v>
      </c>
      <c r="I1449" s="46" t="s">
        <v>511</v>
      </c>
      <c r="J1449" s="47" t="s">
        <v>519</v>
      </c>
      <c r="K1449" s="47" t="s">
        <v>519</v>
      </c>
      <c r="L1449" s="47" t="s">
        <v>520</v>
      </c>
      <c r="M1449" s="47" t="s">
        <v>976</v>
      </c>
      <c r="N1449" s="47" t="s">
        <v>839</v>
      </c>
      <c r="O1449" s="45" t="s">
        <v>383</v>
      </c>
      <c r="P1449" s="44" t="s">
        <v>309</v>
      </c>
      <c r="Q1449" s="59" t="str">
        <f>MID(Tabla1[[#This Row],[Aplicación]],14,1)</f>
        <v>2</v>
      </c>
      <c r="R1449" s="35" t="s">
        <v>298</v>
      </c>
      <c r="S1449" s="59" t="str">
        <f>MID(Tabla1[[#This Row],[Aplicación]],6,2)</f>
        <v>10</v>
      </c>
      <c r="T1449" s="35" t="str">
        <f>VLOOKUP(Tabla1[[#This Row],[AREA]],Hoja1!A:B,2,FALSE)</f>
        <v>10. Servicios sociales y mediación comunitaria</v>
      </c>
      <c r="U1449" s="35" t="str">
        <f>MID(Tabla1[[#This Row],[Aplicación]],9,4)</f>
        <v>2412</v>
      </c>
      <c r="V1449" s="35" t="str">
        <f>VLOOKUP(Tabla1[[#This Row],[PROGRAMA]],Hoja1!A:B,2,FALSE)</f>
        <v>2412. Formación para el empleo</v>
      </c>
      <c r="W1449" s="56" t="str">
        <f>MID(Tabla1[[#This Row],[Aplicación]],14,2)</f>
        <v>21</v>
      </c>
      <c r="X1449" s="56" t="str">
        <f>MID(Tabla1[[#This Row],[Aplicación]],14,6)</f>
        <v>213</v>
      </c>
    </row>
    <row r="1450" spans="1:24" x14ac:dyDescent="0.25">
      <c r="A1450" s="46">
        <v>220230005628</v>
      </c>
      <c r="B1450" s="47" t="s">
        <v>507</v>
      </c>
      <c r="C1450" s="52">
        <v>44979</v>
      </c>
      <c r="D1450" s="46">
        <v>22023002608</v>
      </c>
      <c r="E1450" s="47" t="s">
        <v>659</v>
      </c>
      <c r="F1450" s="53">
        <v>1183.3800000000001</v>
      </c>
      <c r="G1450" s="47" t="s">
        <v>986</v>
      </c>
      <c r="H1450" s="47" t="s">
        <v>2761</v>
      </c>
      <c r="I1450" s="46" t="s">
        <v>511</v>
      </c>
      <c r="J1450" s="47" t="s">
        <v>988</v>
      </c>
      <c r="K1450" s="47" t="s">
        <v>519</v>
      </c>
      <c r="L1450" s="47" t="s">
        <v>520</v>
      </c>
      <c r="M1450" s="47" t="s">
        <v>976</v>
      </c>
      <c r="N1450" s="47" t="s">
        <v>839</v>
      </c>
      <c r="O1450" s="45" t="s">
        <v>383</v>
      </c>
      <c r="P1450" s="44" t="s">
        <v>309</v>
      </c>
      <c r="Q1450" s="59" t="str">
        <f>MID(Tabla1[[#This Row],[Aplicación]],14,1)</f>
        <v>2</v>
      </c>
      <c r="R1450" s="35" t="s">
        <v>298</v>
      </c>
      <c r="S1450" s="59" t="str">
        <f>MID(Tabla1[[#This Row],[Aplicación]],6,2)</f>
        <v>11</v>
      </c>
      <c r="T1450" s="35" t="str">
        <f>VLOOKUP(Tabla1[[#This Row],[AREA]],Hoja1!A:B,2,FALSE)</f>
        <v>11. Salud pública y seguridad ciudadana</v>
      </c>
      <c r="U1450" s="35" t="str">
        <f>MID(Tabla1[[#This Row],[Aplicación]],9,4)</f>
        <v>1321</v>
      </c>
      <c r="V1450" s="35" t="str">
        <f>VLOOKUP(Tabla1[[#This Row],[PROGRAMA]],Hoja1!A:B,2,FALSE)</f>
        <v>1321. Policía municipal</v>
      </c>
      <c r="W1450" s="56" t="str">
        <f>MID(Tabla1[[#This Row],[Aplicación]],14,2)</f>
        <v>21</v>
      </c>
      <c r="X1450" s="56" t="str">
        <f>MID(Tabla1[[#This Row],[Aplicación]],14,6)</f>
        <v>213</v>
      </c>
    </row>
    <row r="1451" spans="1:24" x14ac:dyDescent="0.25">
      <c r="A1451" s="46">
        <v>220230008584</v>
      </c>
      <c r="B1451" s="47" t="s">
        <v>507</v>
      </c>
      <c r="C1451" s="52">
        <v>45000</v>
      </c>
      <c r="D1451" s="46">
        <v>22023002987</v>
      </c>
      <c r="E1451" s="47" t="s">
        <v>1479</v>
      </c>
      <c r="F1451" s="53">
        <v>605</v>
      </c>
      <c r="G1451" s="47" t="s">
        <v>448</v>
      </c>
      <c r="H1451" s="47" t="s">
        <v>2762</v>
      </c>
      <c r="I1451" s="46" t="s">
        <v>511</v>
      </c>
      <c r="J1451" s="47" t="s">
        <v>2045</v>
      </c>
      <c r="K1451" s="47" t="s">
        <v>519</v>
      </c>
      <c r="L1451" s="47" t="s">
        <v>520</v>
      </c>
      <c r="M1451" s="47" t="s">
        <v>976</v>
      </c>
      <c r="N1451" s="47" t="s">
        <v>839</v>
      </c>
      <c r="O1451" s="54" t="s">
        <v>383</v>
      </c>
      <c r="P1451" s="44" t="s">
        <v>309</v>
      </c>
      <c r="Q1451" s="59" t="str">
        <f>MID(Tabla1[[#This Row],[Aplicación]],14,1)</f>
        <v>2</v>
      </c>
      <c r="R1451" s="35" t="s">
        <v>298</v>
      </c>
      <c r="S1451" s="59" t="str">
        <f>MID(Tabla1[[#This Row],[Aplicación]],6,2)</f>
        <v>03</v>
      </c>
      <c r="T1451" s="35" t="str">
        <f>VLOOKUP(Tabla1[[#This Row],[AREA]],Hoja1!A:B,2,FALSE)</f>
        <v>03. Participación ciudadana y deportes</v>
      </c>
      <c r="U1451" s="35" t="str">
        <f>MID(Tabla1[[#This Row],[Aplicación]],9,4)</f>
        <v>9241</v>
      </c>
      <c r="V1451" s="35" t="str">
        <f>VLOOKUP(Tabla1[[#This Row],[PROGRAMA]],Hoja1!A:B,2,FALSE)</f>
        <v>9241. Participación ciudadana</v>
      </c>
      <c r="W1451" s="56" t="str">
        <f>MID(Tabla1[[#This Row],[Aplicación]],14,2)</f>
        <v>22</v>
      </c>
      <c r="X1451" s="56" t="str">
        <f>MID(Tabla1[[#This Row],[Aplicación]],14,6)</f>
        <v>22609</v>
      </c>
    </row>
    <row r="1452" spans="1:24" x14ac:dyDescent="0.25">
      <c r="A1452" s="46">
        <v>220229000671</v>
      </c>
      <c r="B1452" s="47" t="s">
        <v>507</v>
      </c>
      <c r="C1452" s="52">
        <v>44927</v>
      </c>
      <c r="D1452" s="46">
        <v>22023001274</v>
      </c>
      <c r="E1452" s="47" t="s">
        <v>1191</v>
      </c>
      <c r="F1452" s="53">
        <v>1742.4</v>
      </c>
      <c r="G1452" s="47" t="s">
        <v>453</v>
      </c>
      <c r="H1452" s="47" t="s">
        <v>2763</v>
      </c>
      <c r="I1452" s="46" t="s">
        <v>511</v>
      </c>
      <c r="J1452" s="47" t="s">
        <v>2764</v>
      </c>
      <c r="K1452" s="47" t="s">
        <v>519</v>
      </c>
      <c r="L1452" s="47" t="s">
        <v>520</v>
      </c>
      <c r="M1452" s="47" t="s">
        <v>976</v>
      </c>
      <c r="N1452" s="47" t="s">
        <v>839</v>
      </c>
      <c r="O1452" s="45" t="s">
        <v>383</v>
      </c>
      <c r="P1452" s="44" t="s">
        <v>309</v>
      </c>
      <c r="Q1452" s="59" t="str">
        <f>MID(Tabla1[[#This Row],[Aplicación]],14,1)</f>
        <v>2</v>
      </c>
      <c r="R1452" s="35" t="s">
        <v>298</v>
      </c>
      <c r="S1452" s="59" t="str">
        <f>MID(Tabla1[[#This Row],[Aplicación]],6,2)</f>
        <v>06</v>
      </c>
      <c r="T1452" s="35" t="str">
        <f>VLOOKUP(Tabla1[[#This Row],[AREA]],Hoja1!A:B,2,FALSE)</f>
        <v>06. Educación, infancia, juventud e igualdad</v>
      </c>
      <c r="U1452" s="35" t="str">
        <f>MID(Tabla1[[#This Row],[Aplicación]],9,4)</f>
        <v>2315</v>
      </c>
      <c r="V1452" s="35" t="str">
        <f>VLOOKUP(Tabla1[[#This Row],[PROGRAMA]],Hoja1!A:B,2,FALSE)</f>
        <v>2315. Políticas de Igualdad e infancia</v>
      </c>
      <c r="W1452" s="56" t="str">
        <f>MID(Tabla1[[#This Row],[Aplicación]],14,2)</f>
        <v>22</v>
      </c>
      <c r="X1452" s="56" t="str">
        <f>MID(Tabla1[[#This Row],[Aplicación]],14,6)</f>
        <v>22611</v>
      </c>
    </row>
    <row r="1453" spans="1:24" x14ac:dyDescent="0.25">
      <c r="A1453" s="55">
        <v>220230011729</v>
      </c>
      <c r="B1453" s="47" t="s">
        <v>507</v>
      </c>
      <c r="C1453" s="52">
        <v>45014</v>
      </c>
      <c r="D1453" s="46">
        <v>22023003568</v>
      </c>
      <c r="E1453" s="47" t="s">
        <v>1191</v>
      </c>
      <c r="F1453" s="53">
        <v>5227.2</v>
      </c>
      <c r="G1453" s="47" t="s">
        <v>453</v>
      </c>
      <c r="H1453" s="47" t="s">
        <v>2765</v>
      </c>
      <c r="I1453" s="46" t="s">
        <v>511</v>
      </c>
      <c r="J1453" s="47" t="s">
        <v>2764</v>
      </c>
      <c r="K1453" s="47" t="s">
        <v>519</v>
      </c>
      <c r="L1453" s="47" t="s">
        <v>520</v>
      </c>
      <c r="M1453" s="47" t="s">
        <v>976</v>
      </c>
      <c r="N1453" s="47" t="s">
        <v>839</v>
      </c>
      <c r="O1453" s="54" t="s">
        <v>383</v>
      </c>
      <c r="P1453" s="44" t="s">
        <v>309</v>
      </c>
      <c r="Q1453" s="59" t="str">
        <f>MID(Tabla1[[#This Row],[Aplicación]],14,1)</f>
        <v>2</v>
      </c>
      <c r="R1453" s="35" t="s">
        <v>298</v>
      </c>
      <c r="S1453" s="59" t="str">
        <f>MID(Tabla1[[#This Row],[Aplicación]],6,2)</f>
        <v>06</v>
      </c>
      <c r="T1453" s="35" t="str">
        <f>VLOOKUP(Tabla1[[#This Row],[AREA]],Hoja1!A:B,2,FALSE)</f>
        <v>06. Educación, infancia, juventud e igualdad</v>
      </c>
      <c r="U1453" s="35" t="str">
        <f>MID(Tabla1[[#This Row],[Aplicación]],9,4)</f>
        <v>2315</v>
      </c>
      <c r="V1453" s="35" t="str">
        <f>VLOOKUP(Tabla1[[#This Row],[PROGRAMA]],Hoja1!A:B,2,FALSE)</f>
        <v>2315. Políticas de Igualdad e infancia</v>
      </c>
      <c r="W1453" s="56" t="str">
        <f>MID(Tabla1[[#This Row],[Aplicación]],14,2)</f>
        <v>22</v>
      </c>
      <c r="X1453" s="56" t="str">
        <f>MID(Tabla1[[#This Row],[Aplicación]],14,6)</f>
        <v>22611</v>
      </c>
    </row>
    <row r="1454" spans="1:24" x14ac:dyDescent="0.25">
      <c r="A1454" s="46">
        <v>220230007148</v>
      </c>
      <c r="B1454" s="47" t="s">
        <v>507</v>
      </c>
      <c r="C1454" s="52">
        <v>44987</v>
      </c>
      <c r="D1454" s="46">
        <v>22023002893</v>
      </c>
      <c r="E1454" s="47" t="s">
        <v>1603</v>
      </c>
      <c r="F1454" s="53">
        <v>5445</v>
      </c>
      <c r="G1454" s="47" t="s">
        <v>473</v>
      </c>
      <c r="H1454" s="47" t="s">
        <v>2766</v>
      </c>
      <c r="I1454" s="46" t="s">
        <v>511</v>
      </c>
      <c r="J1454" s="47" t="s">
        <v>2767</v>
      </c>
      <c r="K1454" s="47" t="s">
        <v>519</v>
      </c>
      <c r="L1454" s="47" t="s">
        <v>552</v>
      </c>
      <c r="M1454" s="47" t="s">
        <v>976</v>
      </c>
      <c r="N1454" s="47" t="s">
        <v>839</v>
      </c>
      <c r="O1454" s="45" t="s">
        <v>383</v>
      </c>
      <c r="P1454" s="44" t="s">
        <v>309</v>
      </c>
      <c r="Q1454" s="59" t="str">
        <f>MID(Tabla1[[#This Row],[Aplicación]],14,1)</f>
        <v>2</v>
      </c>
      <c r="R1454" s="35" t="s">
        <v>298</v>
      </c>
      <c r="S1454" s="59" t="str">
        <f>MID(Tabla1[[#This Row],[Aplicación]],6,2)</f>
        <v>08</v>
      </c>
      <c r="T1454" s="35" t="str">
        <f>VLOOKUP(Tabla1[[#This Row],[AREA]],Hoja1!A:B,2,FALSE)</f>
        <v>08. Movilidad y espacio urbano</v>
      </c>
      <c r="U1454" s="35" t="str">
        <f>MID(Tabla1[[#This Row],[Aplicación]],9,4)</f>
        <v>1532</v>
      </c>
      <c r="V1454" s="35" t="str">
        <f>VLOOKUP(Tabla1[[#This Row],[PROGRAMA]],Hoja1!A:B,2,FALSE)</f>
        <v>1532. Pavimentación vias públicas y otros servicios urbanísticos</v>
      </c>
      <c r="W1454" s="56" t="str">
        <f>MID(Tabla1[[#This Row],[Aplicación]],14,2)</f>
        <v>21</v>
      </c>
      <c r="X1454" s="56" t="str">
        <f>MID(Tabla1[[#This Row],[Aplicación]],14,6)</f>
        <v>210</v>
      </c>
    </row>
    <row r="1455" spans="1:24" x14ac:dyDescent="0.25">
      <c r="A1455" s="46">
        <v>220230005390</v>
      </c>
      <c r="B1455" s="47" t="s">
        <v>507</v>
      </c>
      <c r="C1455" s="52">
        <v>44979</v>
      </c>
      <c r="D1455" s="46">
        <v>22023002565</v>
      </c>
      <c r="E1455" s="47" t="s">
        <v>2768</v>
      </c>
      <c r="F1455" s="53">
        <v>203.66</v>
      </c>
      <c r="G1455" s="47" t="s">
        <v>2769</v>
      </c>
      <c r="H1455" s="47" t="s">
        <v>2770</v>
      </c>
      <c r="I1455" s="46" t="s">
        <v>511</v>
      </c>
      <c r="J1455" s="47" t="s">
        <v>1487</v>
      </c>
      <c r="K1455" s="47" t="s">
        <v>519</v>
      </c>
      <c r="L1455" s="47" t="s">
        <v>520</v>
      </c>
      <c r="M1455" s="47" t="s">
        <v>976</v>
      </c>
      <c r="N1455" s="47" t="s">
        <v>839</v>
      </c>
      <c r="O1455" s="45" t="s">
        <v>383</v>
      </c>
      <c r="P1455" s="44" t="s">
        <v>309</v>
      </c>
      <c r="Q1455" s="59" t="str">
        <f>MID(Tabla1[[#This Row],[Aplicación]],14,1)</f>
        <v>2</v>
      </c>
      <c r="R1455" s="35" t="s">
        <v>298</v>
      </c>
      <c r="S1455" s="59" t="str">
        <f>MID(Tabla1[[#This Row],[Aplicación]],6,2)</f>
        <v>02</v>
      </c>
      <c r="T1455" s="35" t="str">
        <f>VLOOKUP(Tabla1[[#This Row],[AREA]],Hoja1!A:B,2,FALSE)</f>
        <v>02. Planeamiento urbanístico y vivienda</v>
      </c>
      <c r="U1455" s="35" t="str">
        <f>MID(Tabla1[[#This Row],[Aplicación]],9,4)</f>
        <v>9332</v>
      </c>
      <c r="V1455" s="35" t="str">
        <f>VLOOKUP(Tabla1[[#This Row],[PROGRAMA]],Hoja1!A:B,2,FALSE)</f>
        <v>9332. Mantenimiento de edificios e instalaciones municipales</v>
      </c>
      <c r="W1455" s="56" t="str">
        <f>MID(Tabla1[[#This Row],[Aplicación]],14,2)</f>
        <v>22</v>
      </c>
      <c r="X1455" s="56" t="str">
        <f>MID(Tabla1[[#This Row],[Aplicación]],14,6)</f>
        <v>22699</v>
      </c>
    </row>
    <row r="1456" spans="1:24" x14ac:dyDescent="0.25">
      <c r="A1456" s="46">
        <v>220230007152</v>
      </c>
      <c r="B1456" s="47" t="s">
        <v>507</v>
      </c>
      <c r="C1456" s="52">
        <v>44987</v>
      </c>
      <c r="D1456" s="46">
        <v>22023002770</v>
      </c>
      <c r="E1456" s="47" t="s">
        <v>1150</v>
      </c>
      <c r="F1456" s="53">
        <v>2057</v>
      </c>
      <c r="G1456" s="47" t="s">
        <v>2769</v>
      </c>
      <c r="H1456" s="47" t="s">
        <v>2771</v>
      </c>
      <c r="I1456" s="46" t="s">
        <v>511</v>
      </c>
      <c r="J1456" s="47" t="s">
        <v>1487</v>
      </c>
      <c r="K1456" s="47" t="s">
        <v>519</v>
      </c>
      <c r="L1456" s="47" t="s">
        <v>520</v>
      </c>
      <c r="M1456" s="47" t="s">
        <v>976</v>
      </c>
      <c r="N1456" s="47" t="s">
        <v>839</v>
      </c>
      <c r="O1456" s="45" t="s">
        <v>383</v>
      </c>
      <c r="P1456" s="44" t="s">
        <v>309</v>
      </c>
      <c r="Q1456" s="59" t="str">
        <f>MID(Tabla1[[#This Row],[Aplicación]],14,1)</f>
        <v>2</v>
      </c>
      <c r="R1456" s="35" t="s">
        <v>298</v>
      </c>
      <c r="S1456" s="59" t="str">
        <f>MID(Tabla1[[#This Row],[Aplicación]],6,2)</f>
        <v>03</v>
      </c>
      <c r="T1456" s="35" t="str">
        <f>VLOOKUP(Tabla1[[#This Row],[AREA]],Hoja1!A:B,2,FALSE)</f>
        <v>03. Participación ciudadana y deportes</v>
      </c>
      <c r="U1456" s="35" t="str">
        <f>MID(Tabla1[[#This Row],[Aplicación]],9,4)</f>
        <v>9241</v>
      </c>
      <c r="V1456" s="35" t="str">
        <f>VLOOKUP(Tabla1[[#This Row],[PROGRAMA]],Hoja1!A:B,2,FALSE)</f>
        <v>9241. Participación ciudadana</v>
      </c>
      <c r="W1456" s="56" t="str">
        <f>MID(Tabla1[[#This Row],[Aplicación]],14,2)</f>
        <v>21</v>
      </c>
      <c r="X1456" s="56" t="str">
        <f>MID(Tabla1[[#This Row],[Aplicación]],14,6)</f>
        <v>213</v>
      </c>
    </row>
    <row r="1457" spans="1:24" x14ac:dyDescent="0.25">
      <c r="A1457" s="46">
        <v>220230002636</v>
      </c>
      <c r="B1457" s="47" t="s">
        <v>507</v>
      </c>
      <c r="C1457" s="52">
        <v>44966</v>
      </c>
      <c r="D1457" s="46">
        <v>22023002162</v>
      </c>
      <c r="E1457" s="47" t="s">
        <v>1299</v>
      </c>
      <c r="F1457" s="53">
        <v>1658.68</v>
      </c>
      <c r="G1457" s="47" t="s">
        <v>351</v>
      </c>
      <c r="H1457" s="47" t="s">
        <v>2772</v>
      </c>
      <c r="I1457" s="46" t="s">
        <v>511</v>
      </c>
      <c r="J1457" s="47" t="s">
        <v>512</v>
      </c>
      <c r="K1457" s="47" t="s">
        <v>512</v>
      </c>
      <c r="L1457" s="47" t="s">
        <v>552</v>
      </c>
      <c r="M1457" s="47" t="s">
        <v>976</v>
      </c>
      <c r="N1457" s="47" t="s">
        <v>839</v>
      </c>
      <c r="O1457" s="45" t="s">
        <v>383</v>
      </c>
      <c r="P1457" s="44" t="s">
        <v>309</v>
      </c>
      <c r="Q1457" s="59" t="str">
        <f>MID(Tabla1[[#This Row],[Aplicación]],14,1)</f>
        <v>2</v>
      </c>
      <c r="R1457" s="35" t="s">
        <v>298</v>
      </c>
      <c r="S1457" s="59" t="str">
        <f>MID(Tabla1[[#This Row],[Aplicación]],6,2)</f>
        <v>06</v>
      </c>
      <c r="T1457" s="35" t="str">
        <f>VLOOKUP(Tabla1[[#This Row],[AREA]],Hoja1!A:B,2,FALSE)</f>
        <v>06. Educación, infancia, juventud e igualdad</v>
      </c>
      <c r="U1457" s="35" t="str">
        <f>MID(Tabla1[[#This Row],[Aplicación]],9,4)</f>
        <v>3321</v>
      </c>
      <c r="V1457" s="35" t="str">
        <f>VLOOKUP(Tabla1[[#This Row],[PROGRAMA]],Hoja1!A:B,2,FALSE)</f>
        <v>3321. Bibliotecas públicas</v>
      </c>
      <c r="W1457" s="56" t="str">
        <f>MID(Tabla1[[#This Row],[Aplicación]],14,2)</f>
        <v>22</v>
      </c>
      <c r="X1457" s="56" t="str">
        <f>MID(Tabla1[[#This Row],[Aplicación]],14,6)</f>
        <v>22001</v>
      </c>
    </row>
    <row r="1458" spans="1:24" x14ac:dyDescent="0.25">
      <c r="A1458" s="46">
        <v>220229000855</v>
      </c>
      <c r="B1458" s="47" t="s">
        <v>507</v>
      </c>
      <c r="C1458" s="52">
        <v>44927</v>
      </c>
      <c r="D1458" s="46">
        <v>22023001951</v>
      </c>
      <c r="E1458" s="47" t="s">
        <v>566</v>
      </c>
      <c r="F1458" s="53">
        <v>19299.5</v>
      </c>
      <c r="G1458" s="47" t="s">
        <v>567</v>
      </c>
      <c r="H1458" s="47" t="s">
        <v>2773</v>
      </c>
      <c r="I1458" s="46" t="s">
        <v>511</v>
      </c>
      <c r="J1458" s="47" t="s">
        <v>519</v>
      </c>
      <c r="K1458" s="47" t="s">
        <v>519</v>
      </c>
      <c r="L1458" s="47" t="s">
        <v>520</v>
      </c>
      <c r="M1458" s="47" t="s">
        <v>514</v>
      </c>
      <c r="N1458" s="47" t="s">
        <v>515</v>
      </c>
      <c r="O1458" s="45" t="s">
        <v>371</v>
      </c>
      <c r="P1458" s="44" t="s">
        <v>309</v>
      </c>
      <c r="Q1458" s="59" t="str">
        <f>MID(Tabla1[[#This Row],[Aplicación]],14,1)</f>
        <v>2</v>
      </c>
      <c r="R1458" s="35" t="s">
        <v>298</v>
      </c>
      <c r="S1458" s="59" t="str">
        <f>MID(Tabla1[[#This Row],[Aplicación]],6,2)</f>
        <v>04</v>
      </c>
      <c r="T1458" s="35" t="str">
        <f>VLOOKUP(Tabla1[[#This Row],[AREA]],Hoja1!A:B,2,FALSE)</f>
        <v>04. Planificación y recursos</v>
      </c>
      <c r="U1458" s="35" t="str">
        <f>MID(Tabla1[[#This Row],[Aplicación]],9,4)</f>
        <v>9204</v>
      </c>
      <c r="V1458" s="35" t="str">
        <f>VLOOKUP(Tabla1[[#This Row],[PROGRAMA]],Hoja1!A:B,2,FALSE)</f>
        <v>9204. Tecnologías de la información y comunicación</v>
      </c>
      <c r="W1458" s="56" t="str">
        <f>MID(Tabla1[[#This Row],[Aplicación]],14,2)</f>
        <v>21</v>
      </c>
      <c r="X1458" s="56" t="str">
        <f>MID(Tabla1[[#This Row],[Aplicación]],14,6)</f>
        <v>216</v>
      </c>
    </row>
    <row r="1459" spans="1:24" x14ac:dyDescent="0.25">
      <c r="A1459" s="46">
        <v>220229000665</v>
      </c>
      <c r="B1459" s="47" t="s">
        <v>507</v>
      </c>
      <c r="C1459" s="52">
        <v>44927</v>
      </c>
      <c r="D1459" s="46">
        <v>22023001269</v>
      </c>
      <c r="E1459" s="47" t="s">
        <v>1415</v>
      </c>
      <c r="F1459" s="53">
        <v>2316.3000000000002</v>
      </c>
      <c r="G1459" s="47" t="s">
        <v>567</v>
      </c>
      <c r="H1459" s="47" t="s">
        <v>2774</v>
      </c>
      <c r="I1459" s="46" t="s">
        <v>511</v>
      </c>
      <c r="J1459" s="47" t="s">
        <v>519</v>
      </c>
      <c r="K1459" s="47" t="s">
        <v>519</v>
      </c>
      <c r="L1459" s="47" t="s">
        <v>520</v>
      </c>
      <c r="M1459" s="47" t="s">
        <v>976</v>
      </c>
      <c r="N1459" s="47" t="s">
        <v>839</v>
      </c>
      <c r="O1459" s="45" t="s">
        <v>383</v>
      </c>
      <c r="P1459" s="44" t="s">
        <v>309</v>
      </c>
      <c r="Q1459" s="59" t="str">
        <f>MID(Tabla1[[#This Row],[Aplicación]],14,1)</f>
        <v>2</v>
      </c>
      <c r="R1459" s="35" t="s">
        <v>298</v>
      </c>
      <c r="S1459" s="59" t="str">
        <f>MID(Tabla1[[#This Row],[Aplicación]],6,2)</f>
        <v>04</v>
      </c>
      <c r="T1459" s="35" t="str">
        <f>VLOOKUP(Tabla1[[#This Row],[AREA]],Hoja1!A:B,2,FALSE)</f>
        <v>04. Planificación y recursos</v>
      </c>
      <c r="U1459" s="35" t="str">
        <f>MID(Tabla1[[#This Row],[Aplicación]],9,4)</f>
        <v>9204</v>
      </c>
      <c r="V1459" s="35" t="str">
        <f>VLOOKUP(Tabla1[[#This Row],[PROGRAMA]],Hoja1!A:B,2,FALSE)</f>
        <v>9204. Tecnologías de la información y comunicación</v>
      </c>
      <c r="W1459" s="56" t="str">
        <f>MID(Tabla1[[#This Row],[Aplicación]],14,2)</f>
        <v>22</v>
      </c>
      <c r="X1459" s="56" t="str">
        <f>MID(Tabla1[[#This Row],[Aplicación]],14,6)</f>
        <v>22799</v>
      </c>
    </row>
    <row r="1460" spans="1:24" x14ac:dyDescent="0.25">
      <c r="A1460" s="46">
        <v>220230007143</v>
      </c>
      <c r="B1460" s="47" t="s">
        <v>507</v>
      </c>
      <c r="C1460" s="52">
        <v>44987</v>
      </c>
      <c r="D1460" s="46">
        <v>22023002864</v>
      </c>
      <c r="E1460" s="47" t="s">
        <v>2226</v>
      </c>
      <c r="F1460" s="53">
        <v>1989.28</v>
      </c>
      <c r="G1460" s="47" t="s">
        <v>981</v>
      </c>
      <c r="H1460" s="47" t="s">
        <v>2775</v>
      </c>
      <c r="I1460" s="46" t="s">
        <v>511</v>
      </c>
      <c r="J1460" s="47" t="s">
        <v>519</v>
      </c>
      <c r="K1460" s="47" t="s">
        <v>519</v>
      </c>
      <c r="L1460" s="47" t="s">
        <v>520</v>
      </c>
      <c r="M1460" s="47" t="s">
        <v>976</v>
      </c>
      <c r="N1460" s="47" t="s">
        <v>839</v>
      </c>
      <c r="O1460" s="45" t="s">
        <v>383</v>
      </c>
      <c r="P1460" s="44" t="s">
        <v>309</v>
      </c>
      <c r="Q1460" s="59" t="str">
        <f>MID(Tabla1[[#This Row],[Aplicación]],14,1)</f>
        <v>2</v>
      </c>
      <c r="R1460" s="35" t="s">
        <v>298</v>
      </c>
      <c r="S1460" s="59" t="str">
        <f>MID(Tabla1[[#This Row],[Aplicación]],6,2)</f>
        <v>11</v>
      </c>
      <c r="T1460" s="35" t="str">
        <f>VLOOKUP(Tabla1[[#This Row],[AREA]],Hoja1!A:B,2,FALSE)</f>
        <v>11. Salud pública y seguridad ciudadana</v>
      </c>
      <c r="U1460" s="35" t="str">
        <f>MID(Tabla1[[#This Row],[Aplicación]],9,4)</f>
        <v>1621</v>
      </c>
      <c r="V1460" s="35" t="str">
        <f>VLOOKUP(Tabla1[[#This Row],[PROGRAMA]],Hoja1!A:B,2,FALSE)</f>
        <v>1621. Servicio de limpieza</v>
      </c>
      <c r="W1460" s="56" t="str">
        <f>MID(Tabla1[[#This Row],[Aplicación]],14,2)</f>
        <v>21</v>
      </c>
      <c r="X1460" s="56" t="str">
        <f>MID(Tabla1[[#This Row],[Aplicación]],14,6)</f>
        <v>219</v>
      </c>
    </row>
    <row r="1461" spans="1:24" x14ac:dyDescent="0.25">
      <c r="A1461" s="46">
        <v>220230005923</v>
      </c>
      <c r="B1461" s="47" t="s">
        <v>507</v>
      </c>
      <c r="C1461" s="52">
        <v>44980</v>
      </c>
      <c r="D1461" s="46">
        <v>22023002647</v>
      </c>
      <c r="E1461" s="47" t="s">
        <v>1191</v>
      </c>
      <c r="F1461" s="53">
        <v>120</v>
      </c>
      <c r="G1461" s="47" t="s">
        <v>2776</v>
      </c>
      <c r="H1461" s="47" t="s">
        <v>2777</v>
      </c>
      <c r="I1461" s="46" t="s">
        <v>511</v>
      </c>
      <c r="J1461" s="47" t="s">
        <v>512</v>
      </c>
      <c r="K1461" s="47" t="s">
        <v>512</v>
      </c>
      <c r="L1461" s="47" t="s">
        <v>520</v>
      </c>
      <c r="M1461" s="47" t="s">
        <v>976</v>
      </c>
      <c r="N1461" s="47" t="s">
        <v>839</v>
      </c>
      <c r="O1461" s="45" t="s">
        <v>383</v>
      </c>
      <c r="P1461" s="44" t="s">
        <v>309</v>
      </c>
      <c r="Q1461" s="59" t="str">
        <f>MID(Tabla1[[#This Row],[Aplicación]],14,1)</f>
        <v>2</v>
      </c>
      <c r="R1461" s="35" t="s">
        <v>298</v>
      </c>
      <c r="S1461" s="59" t="str">
        <f>MID(Tabla1[[#This Row],[Aplicación]],6,2)</f>
        <v>06</v>
      </c>
      <c r="T1461" s="35" t="str">
        <f>VLOOKUP(Tabla1[[#This Row],[AREA]],Hoja1!A:B,2,FALSE)</f>
        <v>06. Educación, infancia, juventud e igualdad</v>
      </c>
      <c r="U1461" s="35" t="str">
        <f>MID(Tabla1[[#This Row],[Aplicación]],9,4)</f>
        <v>2315</v>
      </c>
      <c r="V1461" s="35" t="str">
        <f>VLOOKUP(Tabla1[[#This Row],[PROGRAMA]],Hoja1!A:B,2,FALSE)</f>
        <v>2315. Políticas de Igualdad e infancia</v>
      </c>
      <c r="W1461" s="56" t="str">
        <f>MID(Tabla1[[#This Row],[Aplicación]],14,2)</f>
        <v>22</v>
      </c>
      <c r="X1461" s="56" t="str">
        <f>MID(Tabla1[[#This Row],[Aplicación]],14,6)</f>
        <v>22611</v>
      </c>
    </row>
    <row r="1462" spans="1:24" x14ac:dyDescent="0.25">
      <c r="A1462" s="46">
        <v>220230007145</v>
      </c>
      <c r="B1462" s="47" t="s">
        <v>507</v>
      </c>
      <c r="C1462" s="52">
        <v>44987</v>
      </c>
      <c r="D1462" s="46">
        <v>22023002872</v>
      </c>
      <c r="E1462" s="47" t="s">
        <v>2458</v>
      </c>
      <c r="F1462" s="53">
        <v>300</v>
      </c>
      <c r="G1462" s="47" t="s">
        <v>456</v>
      </c>
      <c r="H1462" s="47" t="s">
        <v>2778</v>
      </c>
      <c r="I1462" s="46" t="s">
        <v>511</v>
      </c>
      <c r="J1462" s="47" t="s">
        <v>519</v>
      </c>
      <c r="K1462" s="47" t="s">
        <v>519</v>
      </c>
      <c r="L1462" s="47" t="s">
        <v>552</v>
      </c>
      <c r="M1462" s="47" t="s">
        <v>976</v>
      </c>
      <c r="N1462" s="47" t="s">
        <v>839</v>
      </c>
      <c r="O1462" s="45" t="s">
        <v>383</v>
      </c>
      <c r="P1462" s="44" t="s">
        <v>309</v>
      </c>
      <c r="Q1462" s="59" t="str">
        <f>MID(Tabla1[[#This Row],[Aplicación]],14,1)</f>
        <v>2</v>
      </c>
      <c r="R1462" s="35" t="s">
        <v>298</v>
      </c>
      <c r="S1462" s="59" t="str">
        <f>MID(Tabla1[[#This Row],[Aplicación]],6,2)</f>
        <v>06</v>
      </c>
      <c r="T1462" s="35" t="str">
        <f>VLOOKUP(Tabla1[[#This Row],[AREA]],Hoja1!A:B,2,FALSE)</f>
        <v>06. Educación, infancia, juventud e igualdad</v>
      </c>
      <c r="U1462" s="35" t="str">
        <f>MID(Tabla1[[#This Row],[Aplicación]],9,4)</f>
        <v>3231</v>
      </c>
      <c r="V1462" s="35" t="str">
        <f>VLOOKUP(Tabla1[[#This Row],[PROGRAMA]],Hoja1!A:B,2,FALSE)</f>
        <v>3231. Escuelas infantiles</v>
      </c>
      <c r="W1462" s="56" t="str">
        <f>MID(Tabla1[[#This Row],[Aplicación]],14,2)</f>
        <v>21</v>
      </c>
      <c r="X1462" s="56" t="str">
        <f>MID(Tabla1[[#This Row],[Aplicación]],14,6)</f>
        <v>212</v>
      </c>
    </row>
    <row r="1463" spans="1:24" x14ac:dyDescent="0.25">
      <c r="A1463" s="55">
        <v>220230008924</v>
      </c>
      <c r="B1463" s="47" t="s">
        <v>507</v>
      </c>
      <c r="C1463" s="52">
        <v>45002</v>
      </c>
      <c r="D1463" s="46">
        <v>22023003077</v>
      </c>
      <c r="E1463" s="47" t="s">
        <v>669</v>
      </c>
      <c r="F1463" s="53">
        <v>3025</v>
      </c>
      <c r="G1463" s="47" t="s">
        <v>39</v>
      </c>
      <c r="H1463" s="47" t="s">
        <v>2779</v>
      </c>
      <c r="I1463" s="46" t="s">
        <v>511</v>
      </c>
      <c r="J1463" s="47" t="s">
        <v>1152</v>
      </c>
      <c r="K1463" s="47" t="s">
        <v>771</v>
      </c>
      <c r="L1463" s="47" t="s">
        <v>552</v>
      </c>
      <c r="M1463" s="47" t="s">
        <v>976</v>
      </c>
      <c r="N1463" s="47" t="s">
        <v>839</v>
      </c>
      <c r="O1463" s="54" t="s">
        <v>383</v>
      </c>
      <c r="P1463" s="44" t="s">
        <v>309</v>
      </c>
      <c r="Q1463" s="59" t="str">
        <f>MID(Tabla1[[#This Row],[Aplicación]],14,1)</f>
        <v>2</v>
      </c>
      <c r="R1463" s="35" t="s">
        <v>298</v>
      </c>
      <c r="S1463" s="59" t="str">
        <f>MID(Tabla1[[#This Row],[Aplicación]],6,2)</f>
        <v>06</v>
      </c>
      <c r="T1463" s="35" t="str">
        <f>VLOOKUP(Tabla1[[#This Row],[AREA]],Hoja1!A:B,2,FALSE)</f>
        <v>06. Educación, infancia, juventud e igualdad</v>
      </c>
      <c r="U1463" s="35" t="str">
        <f>MID(Tabla1[[#This Row],[Aplicación]],9,4)</f>
        <v>3232</v>
      </c>
      <c r="V1463" s="35" t="str">
        <f>VLOOKUP(Tabla1[[#This Row],[PROGRAMA]],Hoja1!A:B,2,FALSE)</f>
        <v>3232. Conservación y mantenimiento centros educación infantil y primaria</v>
      </c>
      <c r="W1463" s="56" t="str">
        <f>MID(Tabla1[[#This Row],[Aplicación]],14,2)</f>
        <v>21</v>
      </c>
      <c r="X1463" s="56" t="str">
        <f>MID(Tabla1[[#This Row],[Aplicación]],14,6)</f>
        <v>213</v>
      </c>
    </row>
    <row r="1464" spans="1:24" x14ac:dyDescent="0.25">
      <c r="A1464" s="46">
        <v>220230007149</v>
      </c>
      <c r="B1464" s="47" t="s">
        <v>507</v>
      </c>
      <c r="C1464" s="52">
        <v>44987</v>
      </c>
      <c r="D1464" s="46">
        <v>22023002554</v>
      </c>
      <c r="E1464" s="47" t="s">
        <v>1548</v>
      </c>
      <c r="F1464" s="53">
        <v>3929.43</v>
      </c>
      <c r="G1464" s="47" t="s">
        <v>315</v>
      </c>
      <c r="H1464" s="47" t="s">
        <v>2780</v>
      </c>
      <c r="I1464" s="46" t="s">
        <v>511</v>
      </c>
      <c r="J1464" s="47" t="s">
        <v>519</v>
      </c>
      <c r="K1464" s="47" t="s">
        <v>519</v>
      </c>
      <c r="L1464" s="47" t="s">
        <v>520</v>
      </c>
      <c r="M1464" s="47" t="s">
        <v>514</v>
      </c>
      <c r="N1464" s="47" t="s">
        <v>515</v>
      </c>
      <c r="O1464" s="45" t="s">
        <v>382</v>
      </c>
      <c r="P1464" s="44" t="s">
        <v>309</v>
      </c>
      <c r="Q1464" s="59" t="str">
        <f>MID(Tabla1[[#This Row],[Aplicación]],14,1)</f>
        <v>2</v>
      </c>
      <c r="R1464" s="35" t="s">
        <v>298</v>
      </c>
      <c r="S1464" s="59" t="str">
        <f>MID(Tabla1[[#This Row],[Aplicación]],6,2)</f>
        <v>07</v>
      </c>
      <c r="T1464" s="35" t="str">
        <f>VLOOKUP(Tabla1[[#This Row],[AREA]],Hoja1!A:B,2,FALSE)</f>
        <v>07. Medio ambiente y desarrollo sostenible</v>
      </c>
      <c r="U1464" s="35" t="str">
        <f>MID(Tabla1[[#This Row],[Aplicación]],9,4)</f>
        <v>1721</v>
      </c>
      <c r="V1464" s="35" t="str">
        <f>VLOOKUP(Tabla1[[#This Row],[PROGRAMA]],Hoja1!A:B,2,FALSE)</f>
        <v>1721. Protección del medio ambiente</v>
      </c>
      <c r="W1464" s="56" t="str">
        <f>MID(Tabla1[[#This Row],[Aplicación]],14,2)</f>
        <v>22</v>
      </c>
      <c r="X1464" s="56" t="str">
        <f>MID(Tabla1[[#This Row],[Aplicación]],14,6)</f>
        <v>22706</v>
      </c>
    </row>
    <row r="1465" spans="1:24" x14ac:dyDescent="0.25">
      <c r="A1465" s="46">
        <v>220230007142</v>
      </c>
      <c r="B1465" s="47" t="s">
        <v>507</v>
      </c>
      <c r="C1465" s="52">
        <v>44987</v>
      </c>
      <c r="D1465" s="46">
        <v>22023002042</v>
      </c>
      <c r="E1465" s="47" t="s">
        <v>1532</v>
      </c>
      <c r="F1465" s="53">
        <v>47.85</v>
      </c>
      <c r="G1465" s="47" t="s">
        <v>419</v>
      </c>
      <c r="H1465" s="47" t="s">
        <v>2781</v>
      </c>
      <c r="I1465" s="46" t="s">
        <v>511</v>
      </c>
      <c r="J1465" s="47" t="s">
        <v>519</v>
      </c>
      <c r="K1465" s="47" t="s">
        <v>519</v>
      </c>
      <c r="L1465" s="47" t="s">
        <v>652</v>
      </c>
      <c r="M1465" s="47" t="s">
        <v>976</v>
      </c>
      <c r="N1465" s="47" t="s">
        <v>839</v>
      </c>
      <c r="O1465" s="45" t="s">
        <v>383</v>
      </c>
      <c r="P1465" s="44" t="s">
        <v>309</v>
      </c>
      <c r="Q1465" s="59" t="str">
        <f>MID(Tabla1[[#This Row],[Aplicación]],14,1)</f>
        <v>2</v>
      </c>
      <c r="R1465" s="35" t="s">
        <v>298</v>
      </c>
      <c r="S1465" s="59" t="str">
        <f>MID(Tabla1[[#This Row],[Aplicación]],6,2)</f>
        <v>09</v>
      </c>
      <c r="T1465" s="35" t="str">
        <f>VLOOKUP(Tabla1[[#This Row],[AREA]],Hoja1!A:B,2,FALSE)</f>
        <v>09. Cultura y turismo</v>
      </c>
      <c r="U1465" s="35" t="str">
        <f>MID(Tabla1[[#This Row],[Aplicación]],9,4)</f>
        <v>3341</v>
      </c>
      <c r="V1465" s="35" t="str">
        <f>VLOOKUP(Tabla1[[#This Row],[PROGRAMA]],Hoja1!A:B,2,FALSE)</f>
        <v>3341. Coordinación de políticas culturales</v>
      </c>
      <c r="W1465" s="56" t="str">
        <f>MID(Tabla1[[#This Row],[Aplicación]],14,2)</f>
        <v>22</v>
      </c>
      <c r="X1465" s="56" t="str">
        <f>MID(Tabla1[[#This Row],[Aplicación]],14,6)</f>
        <v>22699</v>
      </c>
    </row>
    <row r="1466" spans="1:24" x14ac:dyDescent="0.25">
      <c r="A1466" s="46">
        <v>220230007147</v>
      </c>
      <c r="B1466" s="47" t="s">
        <v>507</v>
      </c>
      <c r="C1466" s="52">
        <v>44987</v>
      </c>
      <c r="D1466" s="46">
        <v>22023002889</v>
      </c>
      <c r="E1466" s="47" t="s">
        <v>659</v>
      </c>
      <c r="F1466" s="53">
        <v>529.53</v>
      </c>
      <c r="G1466" s="47" t="s">
        <v>321</v>
      </c>
      <c r="H1466" s="47" t="s">
        <v>2782</v>
      </c>
      <c r="I1466" s="46" t="s">
        <v>511</v>
      </c>
      <c r="J1466" s="47" t="s">
        <v>1737</v>
      </c>
      <c r="K1466" s="47" t="s">
        <v>512</v>
      </c>
      <c r="L1466" s="47" t="s">
        <v>520</v>
      </c>
      <c r="M1466" s="47" t="s">
        <v>976</v>
      </c>
      <c r="N1466" s="47" t="s">
        <v>839</v>
      </c>
      <c r="O1466" s="45" t="s">
        <v>383</v>
      </c>
      <c r="P1466" s="44" t="s">
        <v>309</v>
      </c>
      <c r="Q1466" s="59" t="str">
        <f>MID(Tabla1[[#This Row],[Aplicación]],14,1)</f>
        <v>2</v>
      </c>
      <c r="R1466" s="35" t="s">
        <v>298</v>
      </c>
      <c r="S1466" s="59" t="str">
        <f>MID(Tabla1[[#This Row],[Aplicación]],6,2)</f>
        <v>11</v>
      </c>
      <c r="T1466" s="35" t="str">
        <f>VLOOKUP(Tabla1[[#This Row],[AREA]],Hoja1!A:B,2,FALSE)</f>
        <v>11. Salud pública y seguridad ciudadana</v>
      </c>
      <c r="U1466" s="35" t="str">
        <f>MID(Tabla1[[#This Row],[Aplicación]],9,4)</f>
        <v>1321</v>
      </c>
      <c r="V1466" s="35" t="str">
        <f>VLOOKUP(Tabla1[[#This Row],[PROGRAMA]],Hoja1!A:B,2,FALSE)</f>
        <v>1321. Policía municipal</v>
      </c>
      <c r="W1466" s="56" t="str">
        <f>MID(Tabla1[[#This Row],[Aplicación]],14,2)</f>
        <v>21</v>
      </c>
      <c r="X1466" s="56" t="str">
        <f>MID(Tabla1[[#This Row],[Aplicación]],14,6)</f>
        <v>213</v>
      </c>
    </row>
    <row r="1467" spans="1:24" x14ac:dyDescent="0.25">
      <c r="A1467" s="46">
        <v>220230007153</v>
      </c>
      <c r="B1467" s="47" t="s">
        <v>507</v>
      </c>
      <c r="C1467" s="52">
        <v>44987</v>
      </c>
      <c r="D1467" s="46">
        <v>22023002775</v>
      </c>
      <c r="E1467" s="47" t="s">
        <v>1506</v>
      </c>
      <c r="F1467" s="53">
        <v>1604.05</v>
      </c>
      <c r="G1467" s="47" t="s">
        <v>911</v>
      </c>
      <c r="H1467" s="47" t="s">
        <v>2783</v>
      </c>
      <c r="I1467" s="46" t="s">
        <v>511</v>
      </c>
      <c r="J1467" s="47" t="s">
        <v>519</v>
      </c>
      <c r="K1467" s="47" t="s">
        <v>519</v>
      </c>
      <c r="L1467" s="47" t="s">
        <v>552</v>
      </c>
      <c r="M1467" s="47" t="s">
        <v>976</v>
      </c>
      <c r="N1467" s="47" t="s">
        <v>839</v>
      </c>
      <c r="O1467" s="45" t="s">
        <v>383</v>
      </c>
      <c r="P1467" s="44" t="s">
        <v>309</v>
      </c>
      <c r="Q1467" s="59" t="str">
        <f>MID(Tabla1[[#This Row],[Aplicación]],14,1)</f>
        <v>2</v>
      </c>
      <c r="R1467" s="35" t="s">
        <v>298</v>
      </c>
      <c r="S1467" s="59" t="str">
        <f>MID(Tabla1[[#This Row],[Aplicación]],6,2)</f>
        <v>03</v>
      </c>
      <c r="T1467" s="35" t="str">
        <f>VLOOKUP(Tabla1[[#This Row],[AREA]],Hoja1!A:B,2,FALSE)</f>
        <v>03. Participación ciudadana y deportes</v>
      </c>
      <c r="U1467" s="35" t="str">
        <f>MID(Tabla1[[#This Row],[Aplicación]],9,4)</f>
        <v>9241</v>
      </c>
      <c r="V1467" s="35" t="str">
        <f>VLOOKUP(Tabla1[[#This Row],[PROGRAMA]],Hoja1!A:B,2,FALSE)</f>
        <v>9241. Participación ciudadana</v>
      </c>
      <c r="W1467" s="56" t="str">
        <f>MID(Tabla1[[#This Row],[Aplicación]],14,2)</f>
        <v>21</v>
      </c>
      <c r="X1467" s="56" t="str">
        <f>MID(Tabla1[[#This Row],[Aplicación]],14,6)</f>
        <v>212</v>
      </c>
    </row>
    <row r="1468" spans="1:24" x14ac:dyDescent="0.25">
      <c r="A1468" s="46">
        <v>220230007144</v>
      </c>
      <c r="B1468" s="47" t="s">
        <v>507</v>
      </c>
      <c r="C1468" s="52">
        <v>44987</v>
      </c>
      <c r="D1468" s="46">
        <v>22023002867</v>
      </c>
      <c r="E1468" s="47" t="s">
        <v>2458</v>
      </c>
      <c r="F1468" s="53">
        <v>1500</v>
      </c>
      <c r="G1468" s="47" t="s">
        <v>1915</v>
      </c>
      <c r="H1468" s="47" t="s">
        <v>2784</v>
      </c>
      <c r="I1468" s="46" t="s">
        <v>511</v>
      </c>
      <c r="J1468" s="47" t="s">
        <v>953</v>
      </c>
      <c r="K1468" s="47" t="s">
        <v>519</v>
      </c>
      <c r="L1468" s="47" t="s">
        <v>552</v>
      </c>
      <c r="M1468" s="47" t="s">
        <v>976</v>
      </c>
      <c r="N1468" s="47" t="s">
        <v>839</v>
      </c>
      <c r="O1468" s="45" t="s">
        <v>383</v>
      </c>
      <c r="P1468" s="44" t="s">
        <v>309</v>
      </c>
      <c r="Q1468" s="59" t="str">
        <f>MID(Tabla1[[#This Row],[Aplicación]],14,1)</f>
        <v>2</v>
      </c>
      <c r="R1468" s="35" t="s">
        <v>298</v>
      </c>
      <c r="S1468" s="59" t="str">
        <f>MID(Tabla1[[#This Row],[Aplicación]],6,2)</f>
        <v>06</v>
      </c>
      <c r="T1468" s="35" t="str">
        <f>VLOOKUP(Tabla1[[#This Row],[AREA]],Hoja1!A:B,2,FALSE)</f>
        <v>06. Educación, infancia, juventud e igualdad</v>
      </c>
      <c r="U1468" s="35" t="str">
        <f>MID(Tabla1[[#This Row],[Aplicación]],9,4)</f>
        <v>3231</v>
      </c>
      <c r="V1468" s="35" t="str">
        <f>VLOOKUP(Tabla1[[#This Row],[PROGRAMA]],Hoja1!A:B,2,FALSE)</f>
        <v>3231. Escuelas infantiles</v>
      </c>
      <c r="W1468" s="56" t="str">
        <f>MID(Tabla1[[#This Row],[Aplicación]],14,2)</f>
        <v>21</v>
      </c>
      <c r="X1468" s="56" t="str">
        <f>MID(Tabla1[[#This Row],[Aplicación]],14,6)</f>
        <v>212</v>
      </c>
    </row>
    <row r="1469" spans="1:24" x14ac:dyDescent="0.25">
      <c r="A1469" s="46">
        <v>220230006864</v>
      </c>
      <c r="B1469" s="47" t="s">
        <v>1514</v>
      </c>
      <c r="C1469" s="52">
        <v>44987</v>
      </c>
      <c r="D1469" s="46">
        <v>22023002182</v>
      </c>
      <c r="E1469" s="47" t="s">
        <v>2785</v>
      </c>
      <c r="F1469" s="53">
        <v>125.27</v>
      </c>
      <c r="G1469" s="47" t="s">
        <v>1979</v>
      </c>
      <c r="H1469" s="47" t="s">
        <v>2786</v>
      </c>
      <c r="I1469" s="46" t="s">
        <v>1517</v>
      </c>
      <c r="J1469" s="47" t="s">
        <v>519</v>
      </c>
      <c r="K1469" s="47" t="s">
        <v>519</v>
      </c>
      <c r="L1469" s="47" t="s">
        <v>552</v>
      </c>
      <c r="M1469" s="47" t="s">
        <v>514</v>
      </c>
      <c r="N1469" s="47" t="s">
        <v>515</v>
      </c>
      <c r="O1469" s="45" t="s">
        <v>382</v>
      </c>
      <c r="P1469" s="44" t="s">
        <v>309</v>
      </c>
      <c r="Q1469" s="59" t="str">
        <f>MID(Tabla1[[#This Row],[Aplicación]],14,1)</f>
        <v>2</v>
      </c>
      <c r="R1469" s="35" t="s">
        <v>298</v>
      </c>
      <c r="S1469" s="59" t="str">
        <f>MID(Tabla1[[#This Row],[Aplicación]],6,2)</f>
        <v>06</v>
      </c>
      <c r="T1469" s="35" t="str">
        <f>VLOOKUP(Tabla1[[#This Row],[AREA]],Hoja1!A:B,2,FALSE)</f>
        <v>06. Educación, infancia, juventud e igualdad</v>
      </c>
      <c r="U1469" s="35" t="str">
        <f>MID(Tabla1[[#This Row],[Aplicación]],9,4)</f>
        <v>3321</v>
      </c>
      <c r="V1469" s="35" t="str">
        <f>VLOOKUP(Tabla1[[#This Row],[PROGRAMA]],Hoja1!A:B,2,FALSE)</f>
        <v>3321. Bibliotecas públicas</v>
      </c>
      <c r="W1469" s="56" t="str">
        <f>MID(Tabla1[[#This Row],[Aplicación]],14,2)</f>
        <v>21</v>
      </c>
      <c r="X1469" s="56" t="str">
        <f>MID(Tabla1[[#This Row],[Aplicación]],14,6)</f>
        <v>212</v>
      </c>
    </row>
    <row r="1470" spans="1:24" x14ac:dyDescent="0.25">
      <c r="A1470" s="46">
        <v>220230007156</v>
      </c>
      <c r="B1470" s="47" t="s">
        <v>507</v>
      </c>
      <c r="C1470" s="52">
        <v>44987</v>
      </c>
      <c r="D1470" s="46">
        <v>22023002841</v>
      </c>
      <c r="E1470" s="47" t="s">
        <v>1382</v>
      </c>
      <c r="F1470" s="53">
        <v>275.88</v>
      </c>
      <c r="G1470" s="47" t="s">
        <v>24</v>
      </c>
      <c r="H1470" s="47" t="s">
        <v>2787</v>
      </c>
      <c r="I1470" s="46" t="s">
        <v>511</v>
      </c>
      <c r="J1470" s="47" t="s">
        <v>519</v>
      </c>
      <c r="K1470" s="47" t="s">
        <v>519</v>
      </c>
      <c r="L1470" s="47" t="s">
        <v>520</v>
      </c>
      <c r="M1470" s="47" t="s">
        <v>976</v>
      </c>
      <c r="N1470" s="47" t="s">
        <v>839</v>
      </c>
      <c r="O1470" s="45" t="s">
        <v>383</v>
      </c>
      <c r="P1470" s="44" t="s">
        <v>309</v>
      </c>
      <c r="Q1470" s="59" t="str">
        <f>MID(Tabla1[[#This Row],[Aplicación]],14,1)</f>
        <v>2</v>
      </c>
      <c r="R1470" s="35" t="s">
        <v>298</v>
      </c>
      <c r="S1470" s="59" t="str">
        <f>MID(Tabla1[[#This Row],[Aplicación]],6,2)</f>
        <v>03</v>
      </c>
      <c r="T1470" s="35" t="str">
        <f>VLOOKUP(Tabla1[[#This Row],[AREA]],Hoja1!A:B,2,FALSE)</f>
        <v>03. Participación ciudadana y deportes</v>
      </c>
      <c r="U1470" s="35" t="str">
        <f>MID(Tabla1[[#This Row],[Aplicación]],9,4)</f>
        <v>9241</v>
      </c>
      <c r="V1470" s="35" t="str">
        <f>VLOOKUP(Tabla1[[#This Row],[PROGRAMA]],Hoja1!A:B,2,FALSE)</f>
        <v>9241. Participación ciudadana</v>
      </c>
      <c r="W1470" s="56" t="str">
        <f>MID(Tabla1[[#This Row],[Aplicación]],14,2)</f>
        <v>22</v>
      </c>
      <c r="X1470" s="56" t="str">
        <f>MID(Tabla1[[#This Row],[Aplicación]],14,6)</f>
        <v>22699</v>
      </c>
    </row>
    <row r="1471" spans="1:24" x14ac:dyDescent="0.25">
      <c r="A1471" s="46">
        <v>220230006845</v>
      </c>
      <c r="B1471" s="47" t="s">
        <v>1514</v>
      </c>
      <c r="C1471" s="52">
        <v>44987</v>
      </c>
      <c r="D1471" s="46">
        <v>22023002182</v>
      </c>
      <c r="E1471" s="47" t="s">
        <v>2785</v>
      </c>
      <c r="F1471" s="53">
        <v>24.78</v>
      </c>
      <c r="G1471" s="47" t="s">
        <v>1979</v>
      </c>
      <c r="H1471" s="47" t="s">
        <v>2788</v>
      </c>
      <c r="I1471" s="46" t="s">
        <v>1517</v>
      </c>
      <c r="J1471" s="47" t="s">
        <v>519</v>
      </c>
      <c r="K1471" s="47" t="s">
        <v>519</v>
      </c>
      <c r="L1471" s="47" t="s">
        <v>552</v>
      </c>
      <c r="M1471" s="47" t="s">
        <v>514</v>
      </c>
      <c r="N1471" s="47" t="s">
        <v>515</v>
      </c>
      <c r="O1471" s="45" t="s">
        <v>382</v>
      </c>
      <c r="P1471" s="44" t="s">
        <v>309</v>
      </c>
      <c r="Q1471" s="59" t="str">
        <f>MID(Tabla1[[#This Row],[Aplicación]],14,1)</f>
        <v>2</v>
      </c>
      <c r="R1471" s="35" t="s">
        <v>298</v>
      </c>
      <c r="S1471" s="59" t="str">
        <f>MID(Tabla1[[#This Row],[Aplicación]],6,2)</f>
        <v>06</v>
      </c>
      <c r="T1471" s="35" t="str">
        <f>VLOOKUP(Tabla1[[#This Row],[AREA]],Hoja1!A:B,2,FALSE)</f>
        <v>06. Educación, infancia, juventud e igualdad</v>
      </c>
      <c r="U1471" s="35" t="str">
        <f>MID(Tabla1[[#This Row],[Aplicación]],9,4)</f>
        <v>3321</v>
      </c>
      <c r="V1471" s="35" t="str">
        <f>VLOOKUP(Tabla1[[#This Row],[PROGRAMA]],Hoja1!A:B,2,FALSE)</f>
        <v>3321. Bibliotecas públicas</v>
      </c>
      <c r="W1471" s="56" t="str">
        <f>MID(Tabla1[[#This Row],[Aplicación]],14,2)</f>
        <v>21</v>
      </c>
      <c r="X1471" s="56" t="str">
        <f>MID(Tabla1[[#This Row],[Aplicación]],14,6)</f>
        <v>212</v>
      </c>
    </row>
    <row r="1472" spans="1:24" x14ac:dyDescent="0.25">
      <c r="A1472" s="46">
        <v>220230006859</v>
      </c>
      <c r="B1472" s="47" t="s">
        <v>1514</v>
      </c>
      <c r="C1472" s="52">
        <v>44987</v>
      </c>
      <c r="D1472" s="46">
        <v>22023001578</v>
      </c>
      <c r="E1472" s="47" t="s">
        <v>2275</v>
      </c>
      <c r="F1472" s="53">
        <v>16.940000000000001</v>
      </c>
      <c r="G1472" s="47" t="s">
        <v>1979</v>
      </c>
      <c r="H1472" s="47" t="s">
        <v>2789</v>
      </c>
      <c r="I1472" s="46" t="s">
        <v>1517</v>
      </c>
      <c r="J1472" s="47" t="s">
        <v>519</v>
      </c>
      <c r="K1472" s="47" t="s">
        <v>519</v>
      </c>
      <c r="L1472" s="47" t="s">
        <v>552</v>
      </c>
      <c r="M1472" s="47" t="s">
        <v>514</v>
      </c>
      <c r="N1472" s="47" t="s">
        <v>515</v>
      </c>
      <c r="O1472" s="45" t="s">
        <v>382</v>
      </c>
      <c r="P1472" s="44" t="s">
        <v>309</v>
      </c>
      <c r="Q1472" s="59" t="str">
        <f>MID(Tabla1[[#This Row],[Aplicación]],14,1)</f>
        <v>2</v>
      </c>
      <c r="R1472" s="35" t="s">
        <v>298</v>
      </c>
      <c r="S1472" s="59" t="str">
        <f>MID(Tabla1[[#This Row],[Aplicación]],6,2)</f>
        <v>11</v>
      </c>
      <c r="T1472" s="35" t="str">
        <f>VLOOKUP(Tabla1[[#This Row],[AREA]],Hoja1!A:B,2,FALSE)</f>
        <v>11. Salud pública y seguridad ciudadana</v>
      </c>
      <c r="U1472" s="35" t="str">
        <f>MID(Tabla1[[#This Row],[Aplicación]],9,4)</f>
        <v>3111</v>
      </c>
      <c r="V1472" s="35" t="str">
        <f>VLOOKUP(Tabla1[[#This Row],[PROGRAMA]],Hoja1!A:B,2,FALSE)</f>
        <v>3111. Protección de la salubridad pública</v>
      </c>
      <c r="W1472" s="56" t="str">
        <f>MID(Tabla1[[#This Row],[Aplicación]],14,2)</f>
        <v>22</v>
      </c>
      <c r="X1472" s="56" t="str">
        <f>MID(Tabla1[[#This Row],[Aplicación]],14,6)</f>
        <v>22199</v>
      </c>
    </row>
    <row r="1473" spans="1:24" x14ac:dyDescent="0.25">
      <c r="A1473" s="46">
        <v>220230000051</v>
      </c>
      <c r="B1473" s="47" t="s">
        <v>507</v>
      </c>
      <c r="C1473" s="52">
        <v>44927</v>
      </c>
      <c r="D1473" s="46">
        <v>22023000543</v>
      </c>
      <c r="E1473" s="47" t="s">
        <v>792</v>
      </c>
      <c r="F1473" s="53">
        <v>21780</v>
      </c>
      <c r="G1473" s="47" t="s">
        <v>2790</v>
      </c>
      <c r="H1473" s="47" t="s">
        <v>2791</v>
      </c>
      <c r="I1473" s="46" t="s">
        <v>511</v>
      </c>
      <c r="J1473" s="47" t="s">
        <v>837</v>
      </c>
      <c r="K1473" s="47" t="s">
        <v>837</v>
      </c>
      <c r="L1473" s="47" t="s">
        <v>552</v>
      </c>
      <c r="M1473" s="47" t="s">
        <v>514</v>
      </c>
      <c r="N1473" s="47" t="s">
        <v>515</v>
      </c>
      <c r="O1473" s="54" t="s">
        <v>371</v>
      </c>
      <c r="P1473" s="44" t="s">
        <v>309</v>
      </c>
      <c r="Q1473" s="59" t="str">
        <f>MID(Tabla1[[#This Row],[Aplicación]],14,1)</f>
        <v>6</v>
      </c>
      <c r="R1473" s="35" t="s">
        <v>299</v>
      </c>
      <c r="S1473" s="59" t="str">
        <f>MID(Tabla1[[#This Row],[Aplicación]],6,2)</f>
        <v>04</v>
      </c>
      <c r="T1473" s="35" t="str">
        <f>VLOOKUP(Tabla1[[#This Row],[AREA]],Hoja1!A:B,2,FALSE)</f>
        <v>04. Planificación y recursos</v>
      </c>
      <c r="U1473" s="35" t="str">
        <f>MID(Tabla1[[#This Row],[Aplicación]],9,4)</f>
        <v>9204</v>
      </c>
      <c r="V1473" s="35" t="str">
        <f>VLOOKUP(Tabla1[[#This Row],[PROGRAMA]],Hoja1!A:B,2,FALSE)</f>
        <v>9204. Tecnologías de la información y comunicación</v>
      </c>
      <c r="W1473" s="56" t="str">
        <f>MID(Tabla1[[#This Row],[Aplicación]],14,2)</f>
        <v>62</v>
      </c>
      <c r="X1473" s="56" t="str">
        <f>MID(Tabla1[[#This Row],[Aplicación]],14,6)</f>
        <v>626</v>
      </c>
    </row>
    <row r="1474" spans="1:24" x14ac:dyDescent="0.25">
      <c r="A1474" s="46">
        <v>220230006815</v>
      </c>
      <c r="B1474" s="47" t="s">
        <v>1514</v>
      </c>
      <c r="C1474" s="52">
        <v>44987</v>
      </c>
      <c r="D1474" s="46">
        <v>22023000268</v>
      </c>
      <c r="E1474" s="47" t="s">
        <v>659</v>
      </c>
      <c r="F1474" s="53">
        <v>88.33</v>
      </c>
      <c r="G1474" s="47" t="s">
        <v>1979</v>
      </c>
      <c r="H1474" s="47" t="s">
        <v>2792</v>
      </c>
      <c r="I1474" s="46" t="s">
        <v>1517</v>
      </c>
      <c r="J1474" s="47" t="s">
        <v>519</v>
      </c>
      <c r="K1474" s="47" t="s">
        <v>519</v>
      </c>
      <c r="L1474" s="47" t="s">
        <v>552</v>
      </c>
      <c r="M1474" s="47" t="s">
        <v>514</v>
      </c>
      <c r="N1474" s="47" t="s">
        <v>515</v>
      </c>
      <c r="O1474" s="54" t="s">
        <v>382</v>
      </c>
      <c r="P1474" s="44" t="s">
        <v>309</v>
      </c>
      <c r="Q1474" s="59" t="str">
        <f>MID(Tabla1[[#This Row],[Aplicación]],14,1)</f>
        <v>2</v>
      </c>
      <c r="R1474" s="35" t="s">
        <v>298</v>
      </c>
      <c r="S1474" s="59" t="str">
        <f>MID(Tabla1[[#This Row],[Aplicación]],6,2)</f>
        <v>11</v>
      </c>
      <c r="T1474" s="35" t="str">
        <f>VLOOKUP(Tabla1[[#This Row],[AREA]],Hoja1!A:B,2,FALSE)</f>
        <v>11. Salud pública y seguridad ciudadana</v>
      </c>
      <c r="U1474" s="35" t="str">
        <f>MID(Tabla1[[#This Row],[Aplicación]],9,4)</f>
        <v>1321</v>
      </c>
      <c r="V1474" s="35" t="str">
        <f>VLOOKUP(Tabla1[[#This Row],[PROGRAMA]],Hoja1!A:B,2,FALSE)</f>
        <v>1321. Policía municipal</v>
      </c>
      <c r="W1474" s="56" t="str">
        <f>MID(Tabla1[[#This Row],[Aplicación]],14,2)</f>
        <v>21</v>
      </c>
      <c r="X1474" s="56" t="str">
        <f>MID(Tabla1[[#This Row],[Aplicación]],14,6)</f>
        <v>213</v>
      </c>
    </row>
    <row r="1475" spans="1:24" x14ac:dyDescent="0.25">
      <c r="A1475" s="46">
        <v>220230006879</v>
      </c>
      <c r="B1475" s="47" t="s">
        <v>1514</v>
      </c>
      <c r="C1475" s="52">
        <v>44987</v>
      </c>
      <c r="D1475" s="46">
        <v>22023001608</v>
      </c>
      <c r="E1475" s="47" t="s">
        <v>1728</v>
      </c>
      <c r="F1475" s="53">
        <v>141.22</v>
      </c>
      <c r="G1475" s="47" t="s">
        <v>1985</v>
      </c>
      <c r="H1475" s="47" t="s">
        <v>2793</v>
      </c>
      <c r="I1475" s="46" t="s">
        <v>1517</v>
      </c>
      <c r="J1475" s="47" t="s">
        <v>519</v>
      </c>
      <c r="K1475" s="47" t="s">
        <v>519</v>
      </c>
      <c r="L1475" s="47" t="s">
        <v>520</v>
      </c>
      <c r="M1475" s="47" t="s">
        <v>514</v>
      </c>
      <c r="N1475" s="47" t="s">
        <v>515</v>
      </c>
      <c r="O1475" s="45" t="s">
        <v>382</v>
      </c>
      <c r="P1475" s="44" t="s">
        <v>309</v>
      </c>
      <c r="Q1475" s="59" t="str">
        <f>MID(Tabla1[[#This Row],[Aplicación]],14,1)</f>
        <v>2</v>
      </c>
      <c r="R1475" s="35" t="s">
        <v>298</v>
      </c>
      <c r="S1475" s="59" t="str">
        <f>MID(Tabla1[[#This Row],[Aplicación]],6,2)</f>
        <v>08</v>
      </c>
      <c r="T1475" s="35" t="str">
        <f>VLOOKUP(Tabla1[[#This Row],[AREA]],Hoja1!A:B,2,FALSE)</f>
        <v>08. Movilidad y espacio urbano</v>
      </c>
      <c r="U1475" s="35" t="str">
        <f>MID(Tabla1[[#This Row],[Aplicación]],9,4)</f>
        <v>1532</v>
      </c>
      <c r="V1475" s="35" t="str">
        <f>VLOOKUP(Tabla1[[#This Row],[PROGRAMA]],Hoja1!A:B,2,FALSE)</f>
        <v>1532. Pavimentación vias públicas y otros servicios urbanísticos</v>
      </c>
      <c r="W1475" s="56" t="str">
        <f>MID(Tabla1[[#This Row],[Aplicación]],14,2)</f>
        <v>21</v>
      </c>
      <c r="X1475" s="56" t="str">
        <f>MID(Tabla1[[#This Row],[Aplicación]],14,6)</f>
        <v>214</v>
      </c>
    </row>
    <row r="1476" spans="1:24" x14ac:dyDescent="0.25">
      <c r="A1476" s="46">
        <v>220230005902</v>
      </c>
      <c r="B1476" s="47" t="s">
        <v>1337</v>
      </c>
      <c r="C1476" s="52">
        <v>44980</v>
      </c>
      <c r="D1476" s="46">
        <v>22023000543</v>
      </c>
      <c r="E1476" s="47" t="s">
        <v>792</v>
      </c>
      <c r="F1476" s="53">
        <v>-21780</v>
      </c>
      <c r="G1476" s="47" t="s">
        <v>2790</v>
      </c>
      <c r="H1476" s="47" t="s">
        <v>2794</v>
      </c>
      <c r="I1476" s="46" t="s">
        <v>511</v>
      </c>
      <c r="J1476" s="47" t="s">
        <v>837</v>
      </c>
      <c r="K1476" s="47" t="s">
        <v>837</v>
      </c>
      <c r="L1476" s="47" t="s">
        <v>552</v>
      </c>
      <c r="M1476" s="47" t="s">
        <v>514</v>
      </c>
      <c r="N1476" s="47" t="s">
        <v>515</v>
      </c>
      <c r="O1476" s="54" t="s">
        <v>371</v>
      </c>
      <c r="P1476" s="44" t="s">
        <v>309</v>
      </c>
      <c r="Q1476" s="59" t="str">
        <f>MID(Tabla1[[#This Row],[Aplicación]],14,1)</f>
        <v>6</v>
      </c>
      <c r="R1476" s="35" t="s">
        <v>299</v>
      </c>
      <c r="S1476" s="59" t="str">
        <f>MID(Tabla1[[#This Row],[Aplicación]],6,2)</f>
        <v>04</v>
      </c>
      <c r="T1476" s="35" t="str">
        <f>VLOOKUP(Tabla1[[#This Row],[AREA]],Hoja1!A:B,2,FALSE)</f>
        <v>04. Planificación y recursos</v>
      </c>
      <c r="U1476" s="35" t="str">
        <f>MID(Tabla1[[#This Row],[Aplicación]],9,4)</f>
        <v>9204</v>
      </c>
      <c r="V1476" s="35" t="str">
        <f>VLOOKUP(Tabla1[[#This Row],[PROGRAMA]],Hoja1!A:B,2,FALSE)</f>
        <v>9204. Tecnologías de la información y comunicación</v>
      </c>
      <c r="W1476" s="56" t="str">
        <f>MID(Tabla1[[#This Row],[Aplicación]],14,2)</f>
        <v>62</v>
      </c>
      <c r="X1476" s="56" t="str">
        <f>MID(Tabla1[[#This Row],[Aplicación]],14,6)</f>
        <v>626</v>
      </c>
    </row>
    <row r="1477" spans="1:24" x14ac:dyDescent="0.25">
      <c r="A1477" s="46">
        <v>220230006887</v>
      </c>
      <c r="B1477" s="47" t="s">
        <v>1514</v>
      </c>
      <c r="C1477" s="52">
        <v>44987</v>
      </c>
      <c r="D1477" s="46">
        <v>22023002139</v>
      </c>
      <c r="E1477" s="47" t="s">
        <v>2795</v>
      </c>
      <c r="F1477" s="53">
        <v>23.07</v>
      </c>
      <c r="G1477" s="47" t="s">
        <v>70</v>
      </c>
      <c r="H1477" s="47" t="s">
        <v>2796</v>
      </c>
      <c r="I1477" s="46" t="s">
        <v>1517</v>
      </c>
      <c r="J1477" s="47" t="s">
        <v>519</v>
      </c>
      <c r="K1477" s="47" t="s">
        <v>519</v>
      </c>
      <c r="L1477" s="47" t="s">
        <v>552</v>
      </c>
      <c r="M1477" s="47" t="s">
        <v>514</v>
      </c>
      <c r="N1477" s="47" t="s">
        <v>515</v>
      </c>
      <c r="O1477" s="45" t="s">
        <v>382</v>
      </c>
      <c r="P1477" s="44" t="s">
        <v>309</v>
      </c>
      <c r="Q1477" s="59" t="str">
        <f>MID(Tabla1[[#This Row],[Aplicación]],14,1)</f>
        <v>2</v>
      </c>
      <c r="R1477" s="35" t="s">
        <v>298</v>
      </c>
      <c r="S1477" s="59" t="str">
        <f>MID(Tabla1[[#This Row],[Aplicación]],6,2)</f>
        <v>08</v>
      </c>
      <c r="T1477" s="35" t="str">
        <f>VLOOKUP(Tabla1[[#This Row],[AREA]],Hoja1!A:B,2,FALSE)</f>
        <v>08. Movilidad y espacio urbano</v>
      </c>
      <c r="U1477" s="56" t="str">
        <f>MID(Tabla1[[#This Row],[Aplicación]],9,4)</f>
        <v>1341</v>
      </c>
      <c r="V1477" s="35" t="str">
        <f>VLOOKUP(Tabla1[[#This Row],[PROGRAMA]],Hoja1!A:B,2,FALSE)</f>
        <v>1341. Movilidad</v>
      </c>
      <c r="W1477" s="56" t="str">
        <f>MID(Tabla1[[#This Row],[Aplicación]],14,2)</f>
        <v>22</v>
      </c>
      <c r="X1477" s="56" t="str">
        <f>MID(Tabla1[[#This Row],[Aplicación]],14,6)</f>
        <v>22699</v>
      </c>
    </row>
    <row r="1478" spans="1:24" x14ac:dyDescent="0.25">
      <c r="A1478" s="46">
        <v>220229000790</v>
      </c>
      <c r="B1478" s="47" t="s">
        <v>507</v>
      </c>
      <c r="C1478" s="52">
        <v>44927</v>
      </c>
      <c r="D1478" s="46">
        <v>22023001935</v>
      </c>
      <c r="E1478" s="47" t="s">
        <v>1390</v>
      </c>
      <c r="F1478" s="53">
        <v>17787</v>
      </c>
      <c r="G1478" s="47" t="s">
        <v>2797</v>
      </c>
      <c r="H1478" s="47" t="s">
        <v>2798</v>
      </c>
      <c r="I1478" s="46" t="s">
        <v>511</v>
      </c>
      <c r="J1478" s="47" t="s">
        <v>837</v>
      </c>
      <c r="K1478" s="47" t="s">
        <v>837</v>
      </c>
      <c r="L1478" s="47" t="s">
        <v>520</v>
      </c>
      <c r="M1478" s="47" t="s">
        <v>514</v>
      </c>
      <c r="N1478" s="47" t="s">
        <v>515</v>
      </c>
      <c r="O1478" s="45" t="s">
        <v>371</v>
      </c>
      <c r="P1478" s="44" t="s">
        <v>309</v>
      </c>
      <c r="Q1478" s="59" t="str">
        <f>MID(Tabla1[[#This Row],[Aplicación]],14,1)</f>
        <v>2</v>
      </c>
      <c r="R1478" s="35" t="s">
        <v>298</v>
      </c>
      <c r="S1478" s="59" t="str">
        <f>MID(Tabla1[[#This Row],[Aplicación]],6,2)</f>
        <v>07</v>
      </c>
      <c r="T1478" s="35" t="str">
        <f>VLOOKUP(Tabla1[[#This Row],[AREA]],Hoja1!A:B,2,FALSE)</f>
        <v>07. Medio ambiente y desarrollo sostenible</v>
      </c>
      <c r="U1478" s="35" t="str">
        <f>MID(Tabla1[[#This Row],[Aplicación]],9,4)</f>
        <v>1721</v>
      </c>
      <c r="V1478" s="35" t="str">
        <f>VLOOKUP(Tabla1[[#This Row],[PROGRAMA]],Hoja1!A:B,2,FALSE)</f>
        <v>1721. Protección del medio ambiente</v>
      </c>
      <c r="W1478" s="56" t="str">
        <f>MID(Tabla1[[#This Row],[Aplicación]],14,2)</f>
        <v>22</v>
      </c>
      <c r="X1478" s="56" t="str">
        <f>MID(Tabla1[[#This Row],[Aplicación]],14,6)</f>
        <v>22799</v>
      </c>
    </row>
    <row r="1479" spans="1:24" x14ac:dyDescent="0.25">
      <c r="A1479" s="46">
        <v>220230006811</v>
      </c>
      <c r="B1479" s="47" t="s">
        <v>1514</v>
      </c>
      <c r="C1479" s="52">
        <v>44987</v>
      </c>
      <c r="D1479" s="46">
        <v>22023000213</v>
      </c>
      <c r="E1479" s="47" t="s">
        <v>1694</v>
      </c>
      <c r="F1479" s="53">
        <v>451.9</v>
      </c>
      <c r="G1479" s="47" t="s">
        <v>1993</v>
      </c>
      <c r="H1479" s="47" t="s">
        <v>2799</v>
      </c>
      <c r="I1479" s="46" t="s">
        <v>1517</v>
      </c>
      <c r="J1479" s="47" t="s">
        <v>519</v>
      </c>
      <c r="K1479" s="47" t="s">
        <v>519</v>
      </c>
      <c r="L1479" s="47" t="s">
        <v>520</v>
      </c>
      <c r="M1479" s="47" t="s">
        <v>514</v>
      </c>
      <c r="N1479" s="47" t="s">
        <v>515</v>
      </c>
      <c r="O1479" s="54" t="s">
        <v>382</v>
      </c>
      <c r="P1479" s="44" t="s">
        <v>309</v>
      </c>
      <c r="Q1479" s="59" t="str">
        <f>MID(Tabla1[[#This Row],[Aplicación]],14,1)</f>
        <v>2</v>
      </c>
      <c r="R1479" s="35" t="s">
        <v>298</v>
      </c>
      <c r="S1479" s="59" t="str">
        <f>MID(Tabla1[[#This Row],[Aplicación]],6,2)</f>
        <v>11</v>
      </c>
      <c r="T1479" s="35" t="str">
        <f>VLOOKUP(Tabla1[[#This Row],[AREA]],Hoja1!A:B,2,FALSE)</f>
        <v>11. Salud pública y seguridad ciudadana</v>
      </c>
      <c r="U1479" s="35" t="str">
        <f>MID(Tabla1[[#This Row],[Aplicación]],9,4)</f>
        <v>1321</v>
      </c>
      <c r="V1479" s="35" t="str">
        <f>VLOOKUP(Tabla1[[#This Row],[PROGRAMA]],Hoja1!A:B,2,FALSE)</f>
        <v>1321. Policía municipal</v>
      </c>
      <c r="W1479" s="56" t="str">
        <f>MID(Tabla1[[#This Row],[Aplicación]],14,2)</f>
        <v>21</v>
      </c>
      <c r="X1479" s="56" t="str">
        <f>MID(Tabla1[[#This Row],[Aplicación]],14,6)</f>
        <v>214</v>
      </c>
    </row>
    <row r="1480" spans="1:24" x14ac:dyDescent="0.25">
      <c r="A1480" s="46">
        <v>220230007162</v>
      </c>
      <c r="B1480" s="47" t="s">
        <v>507</v>
      </c>
      <c r="C1480" s="52">
        <v>44987</v>
      </c>
      <c r="D1480" s="46">
        <v>22023002600</v>
      </c>
      <c r="E1480" s="47" t="s">
        <v>1315</v>
      </c>
      <c r="F1480" s="53">
        <v>3025</v>
      </c>
      <c r="G1480" s="47" t="s">
        <v>2800</v>
      </c>
      <c r="H1480" s="47" t="s">
        <v>2801</v>
      </c>
      <c r="I1480" s="46" t="s">
        <v>511</v>
      </c>
      <c r="J1480" s="47" t="s">
        <v>519</v>
      </c>
      <c r="K1480" s="47" t="s">
        <v>519</v>
      </c>
      <c r="L1480" s="47" t="s">
        <v>520</v>
      </c>
      <c r="M1480" s="47" t="s">
        <v>514</v>
      </c>
      <c r="N1480" s="47" t="s">
        <v>515</v>
      </c>
      <c r="O1480" s="45" t="s">
        <v>382</v>
      </c>
      <c r="P1480" s="44" t="s">
        <v>309</v>
      </c>
      <c r="Q1480" s="59" t="str">
        <f>MID(Tabla1[[#This Row],[Aplicación]],14,1)</f>
        <v>2</v>
      </c>
      <c r="R1480" s="35" t="s">
        <v>298</v>
      </c>
      <c r="S1480" s="59" t="str">
        <f>MID(Tabla1[[#This Row],[Aplicación]],6,2)</f>
        <v>01</v>
      </c>
      <c r="T1480" s="35" t="str">
        <f>VLOOKUP(Tabla1[[#This Row],[AREA]],Hoja1!A:B,2,FALSE)</f>
        <v>01. Alcaldía</v>
      </c>
      <c r="U1480" s="35" t="str">
        <f>MID(Tabla1[[#This Row],[Aplicación]],9,4)</f>
        <v>9207</v>
      </c>
      <c r="V1480" s="35" t="str">
        <f>VLOOKUP(Tabla1[[#This Row],[PROGRAMA]],Hoja1!A:B,2,FALSE)</f>
        <v>9207. Gobierno y relaciones</v>
      </c>
      <c r="W1480" s="56" t="str">
        <f>MID(Tabla1[[#This Row],[Aplicación]],14,2)</f>
        <v>22</v>
      </c>
      <c r="X1480" s="56" t="str">
        <f>MID(Tabla1[[#This Row],[Aplicación]],14,6)</f>
        <v>22602</v>
      </c>
    </row>
    <row r="1481" spans="1:24" x14ac:dyDescent="0.25">
      <c r="A1481" s="46">
        <v>220230007163</v>
      </c>
      <c r="B1481" s="47" t="s">
        <v>507</v>
      </c>
      <c r="C1481" s="52">
        <v>44987</v>
      </c>
      <c r="D1481" s="46">
        <v>22023002656</v>
      </c>
      <c r="E1481" s="47" t="s">
        <v>1315</v>
      </c>
      <c r="F1481" s="53">
        <v>60.5</v>
      </c>
      <c r="G1481" s="47" t="s">
        <v>2800</v>
      </c>
      <c r="H1481" s="47" t="s">
        <v>2802</v>
      </c>
      <c r="I1481" s="46" t="s">
        <v>511</v>
      </c>
      <c r="J1481" s="47" t="s">
        <v>519</v>
      </c>
      <c r="K1481" s="47" t="s">
        <v>519</v>
      </c>
      <c r="L1481" s="47" t="s">
        <v>520</v>
      </c>
      <c r="M1481" s="47" t="s">
        <v>514</v>
      </c>
      <c r="N1481" s="47" t="s">
        <v>515</v>
      </c>
      <c r="O1481" s="45" t="s">
        <v>382</v>
      </c>
      <c r="P1481" s="44" t="s">
        <v>309</v>
      </c>
      <c r="Q1481" s="59" t="str">
        <f>MID(Tabla1[[#This Row],[Aplicación]],14,1)</f>
        <v>2</v>
      </c>
      <c r="R1481" s="35" t="s">
        <v>298</v>
      </c>
      <c r="S1481" s="59" t="str">
        <f>MID(Tabla1[[#This Row],[Aplicación]],6,2)</f>
        <v>01</v>
      </c>
      <c r="T1481" s="35" t="str">
        <f>VLOOKUP(Tabla1[[#This Row],[AREA]],Hoja1!A:B,2,FALSE)</f>
        <v>01. Alcaldía</v>
      </c>
      <c r="U1481" s="35" t="str">
        <f>MID(Tabla1[[#This Row],[Aplicación]],9,4)</f>
        <v>9207</v>
      </c>
      <c r="V1481" s="35" t="str">
        <f>VLOOKUP(Tabla1[[#This Row],[PROGRAMA]],Hoja1!A:B,2,FALSE)</f>
        <v>9207. Gobierno y relaciones</v>
      </c>
      <c r="W1481" s="56" t="str">
        <f>MID(Tabla1[[#This Row],[Aplicación]],14,2)</f>
        <v>22</v>
      </c>
      <c r="X1481" s="56" t="str">
        <f>MID(Tabla1[[#This Row],[Aplicación]],14,6)</f>
        <v>22602</v>
      </c>
    </row>
    <row r="1482" spans="1:24" x14ac:dyDescent="0.25">
      <c r="A1482" s="46">
        <v>220230007137</v>
      </c>
      <c r="B1482" s="47" t="s">
        <v>507</v>
      </c>
      <c r="C1482" s="52">
        <v>44987</v>
      </c>
      <c r="D1482" s="46">
        <v>22023000073</v>
      </c>
      <c r="E1482" s="47" t="s">
        <v>2803</v>
      </c>
      <c r="F1482" s="53">
        <v>5000</v>
      </c>
      <c r="G1482" s="47" t="s">
        <v>1764</v>
      </c>
      <c r="H1482" s="47" t="s">
        <v>2804</v>
      </c>
      <c r="I1482" s="46" t="s">
        <v>511</v>
      </c>
      <c r="J1482" s="47" t="s">
        <v>519</v>
      </c>
      <c r="K1482" s="47" t="s">
        <v>519</v>
      </c>
      <c r="L1482" s="47" t="s">
        <v>520</v>
      </c>
      <c r="M1482" s="47" t="s">
        <v>514</v>
      </c>
      <c r="N1482" s="47" t="s">
        <v>515</v>
      </c>
      <c r="O1482" s="45" t="s">
        <v>382</v>
      </c>
      <c r="P1482" s="44" t="s">
        <v>309</v>
      </c>
      <c r="Q1482" s="59" t="str">
        <f>MID(Tabla1[[#This Row],[Aplicación]],14,1)</f>
        <v>2</v>
      </c>
      <c r="R1482" s="35" t="s">
        <v>298</v>
      </c>
      <c r="S1482" s="59" t="str">
        <f>MID(Tabla1[[#This Row],[Aplicación]],6,2)</f>
        <v>04</v>
      </c>
      <c r="T1482" s="35" t="str">
        <f>VLOOKUP(Tabla1[[#This Row],[AREA]],Hoja1!A:B,2,FALSE)</f>
        <v>04. Planificación y recursos</v>
      </c>
      <c r="U1482" s="35" t="str">
        <f>MID(Tabla1[[#This Row],[Aplicación]],9,4)</f>
        <v>9321</v>
      </c>
      <c r="V1482" s="35" t="str">
        <f>VLOOKUP(Tabla1[[#This Row],[PROGRAMA]],Hoja1!A:B,2,FALSE)</f>
        <v>9321. Gestión de ingresos e inspección</v>
      </c>
      <c r="W1482" s="56" t="str">
        <f>MID(Tabla1[[#This Row],[Aplicación]],14,2)</f>
        <v>22</v>
      </c>
      <c r="X1482" s="56" t="str">
        <f>MID(Tabla1[[#This Row],[Aplicación]],14,6)</f>
        <v>22602</v>
      </c>
    </row>
    <row r="1483" spans="1:24" x14ac:dyDescent="0.25">
      <c r="A1483" s="46">
        <v>220230007136</v>
      </c>
      <c r="B1483" s="47" t="s">
        <v>507</v>
      </c>
      <c r="C1483" s="52">
        <v>44987</v>
      </c>
      <c r="D1483" s="46">
        <v>22023000072</v>
      </c>
      <c r="E1483" s="47" t="s">
        <v>2803</v>
      </c>
      <c r="F1483" s="53">
        <v>5500</v>
      </c>
      <c r="G1483" s="47" t="s">
        <v>29</v>
      </c>
      <c r="H1483" s="47" t="s">
        <v>2804</v>
      </c>
      <c r="I1483" s="46" t="s">
        <v>511</v>
      </c>
      <c r="J1483" s="47" t="s">
        <v>519</v>
      </c>
      <c r="K1483" s="47" t="s">
        <v>519</v>
      </c>
      <c r="L1483" s="47" t="s">
        <v>520</v>
      </c>
      <c r="M1483" s="47" t="s">
        <v>514</v>
      </c>
      <c r="N1483" s="47" t="s">
        <v>515</v>
      </c>
      <c r="O1483" s="45" t="s">
        <v>382</v>
      </c>
      <c r="P1483" s="44" t="s">
        <v>309</v>
      </c>
      <c r="Q1483" s="59" t="str">
        <f>MID(Tabla1[[#This Row],[Aplicación]],14,1)</f>
        <v>2</v>
      </c>
      <c r="R1483" s="35" t="s">
        <v>298</v>
      </c>
      <c r="S1483" s="59" t="str">
        <f>MID(Tabla1[[#This Row],[Aplicación]],6,2)</f>
        <v>04</v>
      </c>
      <c r="T1483" s="35" t="str">
        <f>VLOOKUP(Tabla1[[#This Row],[AREA]],Hoja1!A:B,2,FALSE)</f>
        <v>04. Planificación y recursos</v>
      </c>
      <c r="U1483" s="35" t="str">
        <f>MID(Tabla1[[#This Row],[Aplicación]],9,4)</f>
        <v>9321</v>
      </c>
      <c r="V1483" s="35" t="str">
        <f>VLOOKUP(Tabla1[[#This Row],[PROGRAMA]],Hoja1!A:B,2,FALSE)</f>
        <v>9321. Gestión de ingresos e inspección</v>
      </c>
      <c r="W1483" s="56" t="str">
        <f>MID(Tabla1[[#This Row],[Aplicación]],14,2)</f>
        <v>22</v>
      </c>
      <c r="X1483" s="56" t="str">
        <f>MID(Tabla1[[#This Row],[Aplicación]],14,6)</f>
        <v>22602</v>
      </c>
    </row>
    <row r="1484" spans="1:24" x14ac:dyDescent="0.25">
      <c r="A1484" s="46">
        <v>220219001099</v>
      </c>
      <c r="B1484" s="47" t="s">
        <v>507</v>
      </c>
      <c r="C1484" s="52">
        <v>44927</v>
      </c>
      <c r="D1484" s="46">
        <v>22023003293</v>
      </c>
      <c r="E1484" s="47" t="s">
        <v>695</v>
      </c>
      <c r="F1484" s="53">
        <v>16843.2</v>
      </c>
      <c r="G1484" s="47" t="s">
        <v>2805</v>
      </c>
      <c r="H1484" s="47" t="s">
        <v>2806</v>
      </c>
      <c r="I1484" s="46" t="s">
        <v>511</v>
      </c>
      <c r="J1484" s="47" t="s">
        <v>1449</v>
      </c>
      <c r="K1484" s="47" t="s">
        <v>512</v>
      </c>
      <c r="L1484" s="47" t="s">
        <v>520</v>
      </c>
      <c r="M1484" s="47" t="s">
        <v>514</v>
      </c>
      <c r="N1484" s="47" t="s">
        <v>515</v>
      </c>
      <c r="O1484" s="45" t="s">
        <v>371</v>
      </c>
      <c r="P1484" s="44" t="s">
        <v>309</v>
      </c>
      <c r="Q1484" s="59" t="str">
        <f>MID(Tabla1[[#This Row],[Aplicación]],14,1)</f>
        <v>2</v>
      </c>
      <c r="R1484" s="35" t="s">
        <v>298</v>
      </c>
      <c r="S1484" s="59" t="str">
        <f>MID(Tabla1[[#This Row],[Aplicación]],6,2)</f>
        <v>04</v>
      </c>
      <c r="T1484" s="35" t="str">
        <f>VLOOKUP(Tabla1[[#This Row],[AREA]],Hoja1!A:B,2,FALSE)</f>
        <v>04. Planificación y recursos</v>
      </c>
      <c r="U1484" s="35" t="str">
        <f>MID(Tabla1[[#This Row],[Aplicación]],9,4)</f>
        <v>9204</v>
      </c>
      <c r="V1484" s="35" t="str">
        <f>VLOOKUP(Tabla1[[#This Row],[PROGRAMA]],Hoja1!A:B,2,FALSE)</f>
        <v>9204. Tecnologías de la información y comunicación</v>
      </c>
      <c r="W1484" s="56" t="str">
        <f>MID(Tabla1[[#This Row],[Aplicación]],14,2)</f>
        <v>22</v>
      </c>
      <c r="X1484" s="56" t="str">
        <f>MID(Tabla1[[#This Row],[Aplicación]],14,6)</f>
        <v>22200</v>
      </c>
    </row>
    <row r="1485" spans="1:24" x14ac:dyDescent="0.25">
      <c r="A1485" s="46">
        <v>220229000727</v>
      </c>
      <c r="B1485" s="47" t="s">
        <v>507</v>
      </c>
      <c r="C1485" s="52">
        <v>44927</v>
      </c>
      <c r="D1485" s="46">
        <v>22023001307</v>
      </c>
      <c r="E1485" s="47" t="s">
        <v>669</v>
      </c>
      <c r="F1485" s="53">
        <v>6487.8</v>
      </c>
      <c r="G1485" s="47" t="s">
        <v>33</v>
      </c>
      <c r="H1485" s="47" t="s">
        <v>2807</v>
      </c>
      <c r="I1485" s="46" t="s">
        <v>511</v>
      </c>
      <c r="J1485" s="47" t="s">
        <v>519</v>
      </c>
      <c r="K1485" s="47" t="s">
        <v>519</v>
      </c>
      <c r="L1485" s="47" t="s">
        <v>520</v>
      </c>
      <c r="M1485" s="47" t="s">
        <v>514</v>
      </c>
      <c r="N1485" s="47" t="s">
        <v>604</v>
      </c>
      <c r="O1485" s="45" t="s">
        <v>371</v>
      </c>
      <c r="P1485" s="44" t="s">
        <v>309</v>
      </c>
      <c r="Q1485" s="59" t="str">
        <f>MID(Tabla1[[#This Row],[Aplicación]],14,1)</f>
        <v>2</v>
      </c>
      <c r="R1485" s="35" t="s">
        <v>298</v>
      </c>
      <c r="S1485" s="59" t="str">
        <f>MID(Tabla1[[#This Row],[Aplicación]],6,2)</f>
        <v>06</v>
      </c>
      <c r="T1485" s="35" t="str">
        <f>VLOOKUP(Tabla1[[#This Row],[AREA]],Hoja1!A:B,2,FALSE)</f>
        <v>06. Educación, infancia, juventud e igualdad</v>
      </c>
      <c r="U1485" s="35" t="str">
        <f>MID(Tabla1[[#This Row],[Aplicación]],9,4)</f>
        <v>3232</v>
      </c>
      <c r="V1485" s="35" t="str">
        <f>VLOOKUP(Tabla1[[#This Row],[PROGRAMA]],Hoja1!A:B,2,FALSE)</f>
        <v>3232. Conservación y mantenimiento centros educación infantil y primaria</v>
      </c>
      <c r="W1485" s="56" t="str">
        <f>MID(Tabla1[[#This Row],[Aplicación]],14,2)</f>
        <v>21</v>
      </c>
      <c r="X1485" s="56" t="str">
        <f>MID(Tabla1[[#This Row],[Aplicación]],14,6)</f>
        <v>213</v>
      </c>
    </row>
    <row r="1486" spans="1:24" x14ac:dyDescent="0.25">
      <c r="A1486" s="46">
        <v>220229000721</v>
      </c>
      <c r="B1486" s="47" t="s">
        <v>507</v>
      </c>
      <c r="C1486" s="52">
        <v>44927</v>
      </c>
      <c r="D1486" s="46">
        <v>22023001302</v>
      </c>
      <c r="E1486" s="47" t="s">
        <v>1241</v>
      </c>
      <c r="F1486" s="53">
        <v>497.03</v>
      </c>
      <c r="G1486" s="47" t="s">
        <v>33</v>
      </c>
      <c r="H1486" s="47" t="s">
        <v>2808</v>
      </c>
      <c r="I1486" s="46" t="s">
        <v>511</v>
      </c>
      <c r="J1486" s="47" t="s">
        <v>519</v>
      </c>
      <c r="K1486" s="47" t="s">
        <v>519</v>
      </c>
      <c r="L1486" s="47" t="s">
        <v>520</v>
      </c>
      <c r="M1486" s="47" t="s">
        <v>514</v>
      </c>
      <c r="N1486" s="47" t="s">
        <v>604</v>
      </c>
      <c r="O1486" s="45" t="s">
        <v>371</v>
      </c>
      <c r="P1486" s="44" t="s">
        <v>309</v>
      </c>
      <c r="Q1486" s="59" t="str">
        <f>MID(Tabla1[[#This Row],[Aplicación]],14,1)</f>
        <v>2</v>
      </c>
      <c r="R1486" s="35" t="s">
        <v>298</v>
      </c>
      <c r="S1486" s="59" t="str">
        <f>MID(Tabla1[[#This Row],[Aplicación]],6,2)</f>
        <v>06</v>
      </c>
      <c r="T1486" s="35" t="str">
        <f>VLOOKUP(Tabla1[[#This Row],[AREA]],Hoja1!A:B,2,FALSE)</f>
        <v>06. Educación, infancia, juventud e igualdad</v>
      </c>
      <c r="U1486" s="35" t="str">
        <f>MID(Tabla1[[#This Row],[Aplicación]],9,4)</f>
        <v>3231</v>
      </c>
      <c r="V1486" s="35" t="str">
        <f>VLOOKUP(Tabla1[[#This Row],[PROGRAMA]],Hoja1!A:B,2,FALSE)</f>
        <v>3231. Escuelas infantiles</v>
      </c>
      <c r="W1486" s="56" t="str">
        <f>MID(Tabla1[[#This Row],[Aplicación]],14,2)</f>
        <v>21</v>
      </c>
      <c r="X1486" s="56" t="str">
        <f>MID(Tabla1[[#This Row],[Aplicación]],14,6)</f>
        <v>213</v>
      </c>
    </row>
    <row r="1487" spans="1:24" x14ac:dyDescent="0.25">
      <c r="A1487" s="46">
        <v>220229000726</v>
      </c>
      <c r="B1487" s="47" t="s">
        <v>507</v>
      </c>
      <c r="C1487" s="52">
        <v>44927</v>
      </c>
      <c r="D1487" s="46">
        <v>22023001306</v>
      </c>
      <c r="E1487" s="47" t="s">
        <v>1155</v>
      </c>
      <c r="F1487" s="53">
        <v>497.03</v>
      </c>
      <c r="G1487" s="47" t="s">
        <v>33</v>
      </c>
      <c r="H1487" s="47" t="s">
        <v>2809</v>
      </c>
      <c r="I1487" s="46" t="s">
        <v>511</v>
      </c>
      <c r="J1487" s="47" t="s">
        <v>519</v>
      </c>
      <c r="K1487" s="47" t="s">
        <v>519</v>
      </c>
      <c r="L1487" s="47" t="s">
        <v>520</v>
      </c>
      <c r="M1487" s="47" t="s">
        <v>514</v>
      </c>
      <c r="N1487" s="47" t="s">
        <v>604</v>
      </c>
      <c r="O1487" s="45" t="s">
        <v>371</v>
      </c>
      <c r="P1487" s="44" t="s">
        <v>309</v>
      </c>
      <c r="Q1487" s="59" t="str">
        <f>MID(Tabla1[[#This Row],[Aplicación]],14,1)</f>
        <v>2</v>
      </c>
      <c r="R1487" s="35" t="s">
        <v>298</v>
      </c>
      <c r="S1487" s="59" t="str">
        <f>MID(Tabla1[[#This Row],[Aplicación]],6,2)</f>
        <v>06</v>
      </c>
      <c r="T1487" s="35" t="str">
        <f>VLOOKUP(Tabla1[[#This Row],[AREA]],Hoja1!A:B,2,FALSE)</f>
        <v>06. Educación, infancia, juventud e igualdad</v>
      </c>
      <c r="U1487" s="35" t="str">
        <f>MID(Tabla1[[#This Row],[Aplicación]],9,4)</f>
        <v>2314</v>
      </c>
      <c r="V1487" s="35" t="str">
        <f>VLOOKUP(Tabla1[[#This Row],[PROGRAMA]],Hoja1!A:B,2,FALSE)</f>
        <v>2314. Centro de programas juveniles</v>
      </c>
      <c r="W1487" s="56" t="str">
        <f>MID(Tabla1[[#This Row],[Aplicación]],14,2)</f>
        <v>21</v>
      </c>
      <c r="X1487" s="56" t="str">
        <f>MID(Tabla1[[#This Row],[Aplicación]],14,6)</f>
        <v>213</v>
      </c>
    </row>
    <row r="1488" spans="1:24" x14ac:dyDescent="0.25">
      <c r="A1488" s="46">
        <v>220230001972</v>
      </c>
      <c r="B1488" s="47" t="s">
        <v>507</v>
      </c>
      <c r="C1488" s="52">
        <v>44960</v>
      </c>
      <c r="D1488" s="46">
        <v>22023001491</v>
      </c>
      <c r="E1488" s="47" t="s">
        <v>659</v>
      </c>
      <c r="F1488" s="53">
        <v>2310</v>
      </c>
      <c r="G1488" s="47" t="s">
        <v>33</v>
      </c>
      <c r="H1488" s="47" t="s">
        <v>2810</v>
      </c>
      <c r="I1488" s="46" t="s">
        <v>511</v>
      </c>
      <c r="J1488" s="47" t="s">
        <v>519</v>
      </c>
      <c r="K1488" s="47" t="s">
        <v>519</v>
      </c>
      <c r="L1488" s="47" t="s">
        <v>520</v>
      </c>
      <c r="M1488" s="47" t="s">
        <v>976</v>
      </c>
      <c r="N1488" s="47" t="s">
        <v>839</v>
      </c>
      <c r="O1488" s="45" t="s">
        <v>383</v>
      </c>
      <c r="P1488" s="44" t="s">
        <v>309</v>
      </c>
      <c r="Q1488" s="59" t="str">
        <f>MID(Tabla1[[#This Row],[Aplicación]],14,1)</f>
        <v>2</v>
      </c>
      <c r="R1488" s="35" t="s">
        <v>298</v>
      </c>
      <c r="S1488" s="59" t="str">
        <f>MID(Tabla1[[#This Row],[Aplicación]],6,2)</f>
        <v>11</v>
      </c>
      <c r="T1488" s="35" t="str">
        <f>VLOOKUP(Tabla1[[#This Row],[AREA]],Hoja1!A:B,2,FALSE)</f>
        <v>11. Salud pública y seguridad ciudadana</v>
      </c>
      <c r="U1488" s="35" t="str">
        <f>MID(Tabla1[[#This Row],[Aplicación]],9,4)</f>
        <v>1321</v>
      </c>
      <c r="V1488" s="35" t="str">
        <f>VLOOKUP(Tabla1[[#This Row],[PROGRAMA]],Hoja1!A:B,2,FALSE)</f>
        <v>1321. Policía municipal</v>
      </c>
      <c r="W1488" s="56" t="str">
        <f>MID(Tabla1[[#This Row],[Aplicación]],14,2)</f>
        <v>21</v>
      </c>
      <c r="X1488" s="56" t="str">
        <f>MID(Tabla1[[#This Row],[Aplicación]],14,6)</f>
        <v>213</v>
      </c>
    </row>
    <row r="1489" spans="1:24" x14ac:dyDescent="0.25">
      <c r="A1489" s="46">
        <v>220230007171</v>
      </c>
      <c r="B1489" s="47" t="s">
        <v>507</v>
      </c>
      <c r="C1489" s="52">
        <v>44987</v>
      </c>
      <c r="D1489" s="46">
        <v>22023002858</v>
      </c>
      <c r="E1489" s="47" t="s">
        <v>616</v>
      </c>
      <c r="F1489" s="53">
        <v>311.95</v>
      </c>
      <c r="G1489" s="47" t="s">
        <v>20</v>
      </c>
      <c r="H1489" s="47" t="s">
        <v>2760</v>
      </c>
      <c r="I1489" s="46" t="s">
        <v>511</v>
      </c>
      <c r="J1489" s="47" t="s">
        <v>519</v>
      </c>
      <c r="K1489" s="47" t="s">
        <v>519</v>
      </c>
      <c r="L1489" s="47" t="s">
        <v>520</v>
      </c>
      <c r="M1489" s="47" t="s">
        <v>976</v>
      </c>
      <c r="N1489" s="47" t="s">
        <v>839</v>
      </c>
      <c r="O1489" s="45" t="s">
        <v>383</v>
      </c>
      <c r="P1489" s="44" t="s">
        <v>309</v>
      </c>
      <c r="Q1489" s="59" t="str">
        <f>MID(Tabla1[[#This Row],[Aplicación]],14,1)</f>
        <v>2</v>
      </c>
      <c r="R1489" s="35" t="s">
        <v>298</v>
      </c>
      <c r="S1489" s="59" t="str">
        <f>MID(Tabla1[[#This Row],[Aplicación]],6,2)</f>
        <v>10</v>
      </c>
      <c r="T1489" s="35" t="str">
        <f>VLOOKUP(Tabla1[[#This Row],[AREA]],Hoja1!A:B,2,FALSE)</f>
        <v>10. Servicios sociales y mediación comunitaria</v>
      </c>
      <c r="U1489" s="35" t="str">
        <f>MID(Tabla1[[#This Row],[Aplicación]],9,4)</f>
        <v>2412</v>
      </c>
      <c r="V1489" s="35" t="str">
        <f>VLOOKUP(Tabla1[[#This Row],[PROGRAMA]],Hoja1!A:B,2,FALSE)</f>
        <v>2412. Formación para el empleo</v>
      </c>
      <c r="W1489" s="56" t="str">
        <f>MID(Tabla1[[#This Row],[Aplicación]],14,2)</f>
        <v>21</v>
      </c>
      <c r="X1489" s="56" t="str">
        <f>MID(Tabla1[[#This Row],[Aplicación]],14,6)</f>
        <v>213</v>
      </c>
    </row>
    <row r="1490" spans="1:24" x14ac:dyDescent="0.25">
      <c r="A1490" s="46">
        <v>220230006849</v>
      </c>
      <c r="B1490" s="47" t="s">
        <v>1514</v>
      </c>
      <c r="C1490" s="52">
        <v>44987</v>
      </c>
      <c r="D1490" s="46">
        <v>22023002182</v>
      </c>
      <c r="E1490" s="47" t="s">
        <v>2785</v>
      </c>
      <c r="F1490" s="53">
        <v>11.2</v>
      </c>
      <c r="G1490" s="47" t="s">
        <v>2115</v>
      </c>
      <c r="H1490" s="47" t="s">
        <v>2811</v>
      </c>
      <c r="I1490" s="46" t="s">
        <v>1517</v>
      </c>
      <c r="J1490" s="47" t="s">
        <v>519</v>
      </c>
      <c r="K1490" s="47" t="s">
        <v>519</v>
      </c>
      <c r="L1490" s="47" t="s">
        <v>552</v>
      </c>
      <c r="M1490" s="47" t="s">
        <v>514</v>
      </c>
      <c r="N1490" s="47" t="s">
        <v>515</v>
      </c>
      <c r="O1490" s="45" t="s">
        <v>382</v>
      </c>
      <c r="P1490" s="44" t="s">
        <v>309</v>
      </c>
      <c r="Q1490" s="59" t="str">
        <f>MID(Tabla1[[#This Row],[Aplicación]],14,1)</f>
        <v>2</v>
      </c>
      <c r="R1490" s="35" t="s">
        <v>298</v>
      </c>
      <c r="S1490" s="59" t="str">
        <f>MID(Tabla1[[#This Row],[Aplicación]],6,2)</f>
        <v>06</v>
      </c>
      <c r="T1490" s="35" t="str">
        <f>VLOOKUP(Tabla1[[#This Row],[AREA]],Hoja1!A:B,2,FALSE)</f>
        <v>06. Educación, infancia, juventud e igualdad</v>
      </c>
      <c r="U1490" s="35" t="str">
        <f>MID(Tabla1[[#This Row],[Aplicación]],9,4)</f>
        <v>3321</v>
      </c>
      <c r="V1490" s="35" t="str">
        <f>VLOOKUP(Tabla1[[#This Row],[PROGRAMA]],Hoja1!A:B,2,FALSE)</f>
        <v>3321. Bibliotecas públicas</v>
      </c>
      <c r="W1490" s="56" t="str">
        <f>MID(Tabla1[[#This Row],[Aplicación]],14,2)</f>
        <v>21</v>
      </c>
      <c r="X1490" s="56" t="str">
        <f>MID(Tabla1[[#This Row],[Aplicación]],14,6)</f>
        <v>212</v>
      </c>
    </row>
    <row r="1491" spans="1:24" x14ac:dyDescent="0.25">
      <c r="A1491" s="46">
        <v>220230002647</v>
      </c>
      <c r="B1491" s="47" t="s">
        <v>507</v>
      </c>
      <c r="C1491" s="52">
        <v>44966</v>
      </c>
      <c r="D1491" s="46">
        <v>22023002265</v>
      </c>
      <c r="E1491" s="47" t="s">
        <v>669</v>
      </c>
      <c r="F1491" s="53">
        <v>1210</v>
      </c>
      <c r="G1491" s="47" t="s">
        <v>33</v>
      </c>
      <c r="H1491" s="47" t="s">
        <v>2812</v>
      </c>
      <c r="I1491" s="46" t="s">
        <v>511</v>
      </c>
      <c r="J1491" s="47" t="s">
        <v>519</v>
      </c>
      <c r="K1491" s="47" t="s">
        <v>519</v>
      </c>
      <c r="L1491" s="47" t="s">
        <v>552</v>
      </c>
      <c r="M1491" s="47" t="s">
        <v>976</v>
      </c>
      <c r="N1491" s="47" t="s">
        <v>839</v>
      </c>
      <c r="O1491" s="45" t="s">
        <v>383</v>
      </c>
      <c r="P1491" s="44" t="s">
        <v>309</v>
      </c>
      <c r="Q1491" s="59" t="str">
        <f>MID(Tabla1[[#This Row],[Aplicación]],14,1)</f>
        <v>2</v>
      </c>
      <c r="R1491" s="35" t="s">
        <v>298</v>
      </c>
      <c r="S1491" s="59" t="str">
        <f>MID(Tabla1[[#This Row],[Aplicación]],6,2)</f>
        <v>06</v>
      </c>
      <c r="T1491" s="35" t="str">
        <f>VLOOKUP(Tabla1[[#This Row],[AREA]],Hoja1!A:B,2,FALSE)</f>
        <v>06. Educación, infancia, juventud e igualdad</v>
      </c>
      <c r="U1491" s="35" t="str">
        <f>MID(Tabla1[[#This Row],[Aplicación]],9,4)</f>
        <v>3232</v>
      </c>
      <c r="V1491" s="35" t="str">
        <f>VLOOKUP(Tabla1[[#This Row],[PROGRAMA]],Hoja1!A:B,2,FALSE)</f>
        <v>3232. Conservación y mantenimiento centros educación infantil y primaria</v>
      </c>
      <c r="W1491" s="56" t="str">
        <f>MID(Tabla1[[#This Row],[Aplicación]],14,2)</f>
        <v>21</v>
      </c>
      <c r="X1491" s="56" t="str">
        <f>MID(Tabla1[[#This Row],[Aplicación]],14,6)</f>
        <v>213</v>
      </c>
    </row>
    <row r="1492" spans="1:24" x14ac:dyDescent="0.25">
      <c r="A1492" s="46">
        <v>220230005407</v>
      </c>
      <c r="B1492" s="47" t="s">
        <v>507</v>
      </c>
      <c r="C1492" s="52">
        <v>44979</v>
      </c>
      <c r="D1492" s="46">
        <v>22023002601</v>
      </c>
      <c r="E1492" s="47" t="s">
        <v>613</v>
      </c>
      <c r="F1492" s="53">
        <v>1694</v>
      </c>
      <c r="G1492" s="47" t="s">
        <v>33</v>
      </c>
      <c r="H1492" s="47" t="s">
        <v>2813</v>
      </c>
      <c r="I1492" s="46" t="s">
        <v>511</v>
      </c>
      <c r="J1492" s="47" t="s">
        <v>519</v>
      </c>
      <c r="K1492" s="47" t="s">
        <v>519</v>
      </c>
      <c r="L1492" s="47" t="s">
        <v>520</v>
      </c>
      <c r="M1492" s="47" t="s">
        <v>976</v>
      </c>
      <c r="N1492" s="47" t="s">
        <v>839</v>
      </c>
      <c r="O1492" s="45" t="s">
        <v>383</v>
      </c>
      <c r="P1492" s="44" t="s">
        <v>309</v>
      </c>
      <c r="Q1492" s="59" t="str">
        <f>MID(Tabla1[[#This Row],[Aplicación]],14,1)</f>
        <v>2</v>
      </c>
      <c r="R1492" s="35" t="s">
        <v>298</v>
      </c>
      <c r="S1492" s="59" t="str">
        <f>MID(Tabla1[[#This Row],[Aplicación]],6,2)</f>
        <v>10</v>
      </c>
      <c r="T1492" s="35" t="str">
        <f>VLOOKUP(Tabla1[[#This Row],[AREA]],Hoja1!A:B,2,FALSE)</f>
        <v>10. Servicios sociales y mediación comunitaria</v>
      </c>
      <c r="U1492" s="35" t="str">
        <f>MID(Tabla1[[#This Row],[Aplicación]],9,4)</f>
        <v>2312</v>
      </c>
      <c r="V1492" s="35" t="str">
        <f>VLOOKUP(Tabla1[[#This Row],[PROGRAMA]],Hoja1!A:B,2,FALSE)</f>
        <v>2312. Iniciativas sociales</v>
      </c>
      <c r="W1492" s="56" t="str">
        <f>MID(Tabla1[[#This Row],[Aplicación]],14,2)</f>
        <v>21</v>
      </c>
      <c r="X1492" s="56" t="str">
        <f>MID(Tabla1[[#This Row],[Aplicación]],14,6)</f>
        <v>213</v>
      </c>
    </row>
    <row r="1493" spans="1:24" x14ac:dyDescent="0.25">
      <c r="A1493" s="46">
        <v>220230007171</v>
      </c>
      <c r="B1493" s="47" t="s">
        <v>507</v>
      </c>
      <c r="C1493" s="52">
        <v>44987</v>
      </c>
      <c r="D1493" s="46">
        <v>22023002859</v>
      </c>
      <c r="E1493" s="47" t="s">
        <v>616</v>
      </c>
      <c r="F1493" s="53">
        <v>492.3</v>
      </c>
      <c r="G1493" s="47" t="s">
        <v>20</v>
      </c>
      <c r="H1493" s="47" t="s">
        <v>2760</v>
      </c>
      <c r="I1493" s="46" t="s">
        <v>511</v>
      </c>
      <c r="J1493" s="47" t="s">
        <v>519</v>
      </c>
      <c r="K1493" s="47" t="s">
        <v>519</v>
      </c>
      <c r="L1493" s="47" t="s">
        <v>520</v>
      </c>
      <c r="M1493" s="47" t="s">
        <v>976</v>
      </c>
      <c r="N1493" s="47" t="s">
        <v>839</v>
      </c>
      <c r="O1493" s="45" t="s">
        <v>383</v>
      </c>
      <c r="P1493" s="44" t="s">
        <v>309</v>
      </c>
      <c r="Q1493" s="59" t="str">
        <f>MID(Tabla1[[#This Row],[Aplicación]],14,1)</f>
        <v>2</v>
      </c>
      <c r="R1493" s="35" t="s">
        <v>298</v>
      </c>
      <c r="S1493" s="59" t="str">
        <f>MID(Tabla1[[#This Row],[Aplicación]],6,2)</f>
        <v>10</v>
      </c>
      <c r="T1493" s="35" t="str">
        <f>VLOOKUP(Tabla1[[#This Row],[AREA]],Hoja1!A:B,2,FALSE)</f>
        <v>10. Servicios sociales y mediación comunitaria</v>
      </c>
      <c r="U1493" s="35" t="str">
        <f>MID(Tabla1[[#This Row],[Aplicación]],9,4)</f>
        <v>2412</v>
      </c>
      <c r="V1493" s="35" t="str">
        <f>VLOOKUP(Tabla1[[#This Row],[PROGRAMA]],Hoja1!A:B,2,FALSE)</f>
        <v>2412. Formación para el empleo</v>
      </c>
      <c r="W1493" s="56" t="str">
        <f>MID(Tabla1[[#This Row],[Aplicación]],14,2)</f>
        <v>21</v>
      </c>
      <c r="X1493" s="56" t="str">
        <f>MID(Tabla1[[#This Row],[Aplicación]],14,6)</f>
        <v>213</v>
      </c>
    </row>
    <row r="1494" spans="1:24" x14ac:dyDescent="0.25">
      <c r="A1494" s="46">
        <v>220230006851</v>
      </c>
      <c r="B1494" s="47" t="s">
        <v>1514</v>
      </c>
      <c r="C1494" s="52">
        <v>44987</v>
      </c>
      <c r="D1494" s="46">
        <v>22023002182</v>
      </c>
      <c r="E1494" s="47" t="s">
        <v>2785</v>
      </c>
      <c r="F1494" s="53">
        <v>306.35000000000002</v>
      </c>
      <c r="G1494" s="47" t="s">
        <v>98</v>
      </c>
      <c r="H1494" s="47" t="s">
        <v>2814</v>
      </c>
      <c r="I1494" s="46" t="s">
        <v>1517</v>
      </c>
      <c r="J1494" s="47" t="s">
        <v>519</v>
      </c>
      <c r="K1494" s="47" t="s">
        <v>519</v>
      </c>
      <c r="L1494" s="47" t="s">
        <v>552</v>
      </c>
      <c r="M1494" s="47" t="s">
        <v>514</v>
      </c>
      <c r="N1494" s="47" t="s">
        <v>515</v>
      </c>
      <c r="O1494" s="45" t="s">
        <v>382</v>
      </c>
      <c r="P1494" s="44" t="s">
        <v>309</v>
      </c>
      <c r="Q1494" s="59" t="str">
        <f>MID(Tabla1[[#This Row],[Aplicación]],14,1)</f>
        <v>2</v>
      </c>
      <c r="R1494" s="35" t="s">
        <v>298</v>
      </c>
      <c r="S1494" s="59" t="str">
        <f>MID(Tabla1[[#This Row],[Aplicación]],6,2)</f>
        <v>06</v>
      </c>
      <c r="T1494" s="35" t="str">
        <f>VLOOKUP(Tabla1[[#This Row],[AREA]],Hoja1!A:B,2,FALSE)</f>
        <v>06. Educación, infancia, juventud e igualdad</v>
      </c>
      <c r="U1494" s="35" t="str">
        <f>MID(Tabla1[[#This Row],[Aplicación]],9,4)</f>
        <v>3321</v>
      </c>
      <c r="V1494" s="35" t="str">
        <f>VLOOKUP(Tabla1[[#This Row],[PROGRAMA]],Hoja1!A:B,2,FALSE)</f>
        <v>3321. Bibliotecas públicas</v>
      </c>
      <c r="W1494" s="56" t="str">
        <f>MID(Tabla1[[#This Row],[Aplicación]],14,2)</f>
        <v>21</v>
      </c>
      <c r="X1494" s="56" t="str">
        <f>MID(Tabla1[[#This Row],[Aplicación]],14,6)</f>
        <v>212</v>
      </c>
    </row>
    <row r="1495" spans="1:24" x14ac:dyDescent="0.25">
      <c r="A1495" s="46">
        <v>220230006847</v>
      </c>
      <c r="B1495" s="47" t="s">
        <v>1514</v>
      </c>
      <c r="C1495" s="52">
        <v>44987</v>
      </c>
      <c r="D1495" s="46">
        <v>22023002182</v>
      </c>
      <c r="E1495" s="47" t="s">
        <v>2785</v>
      </c>
      <c r="F1495" s="53">
        <v>95.87</v>
      </c>
      <c r="G1495" s="47" t="s">
        <v>98</v>
      </c>
      <c r="H1495" s="47" t="s">
        <v>2815</v>
      </c>
      <c r="I1495" s="46" t="s">
        <v>1517</v>
      </c>
      <c r="J1495" s="47" t="s">
        <v>519</v>
      </c>
      <c r="K1495" s="47" t="s">
        <v>519</v>
      </c>
      <c r="L1495" s="47" t="s">
        <v>552</v>
      </c>
      <c r="M1495" s="47" t="s">
        <v>514</v>
      </c>
      <c r="N1495" s="47" t="s">
        <v>515</v>
      </c>
      <c r="O1495" s="45" t="s">
        <v>382</v>
      </c>
      <c r="P1495" s="44" t="s">
        <v>309</v>
      </c>
      <c r="Q1495" s="59" t="str">
        <f>MID(Tabla1[[#This Row],[Aplicación]],14,1)</f>
        <v>2</v>
      </c>
      <c r="R1495" s="35" t="s">
        <v>298</v>
      </c>
      <c r="S1495" s="59" t="str">
        <f>MID(Tabla1[[#This Row],[Aplicación]],6,2)</f>
        <v>06</v>
      </c>
      <c r="T1495" s="35" t="str">
        <f>VLOOKUP(Tabla1[[#This Row],[AREA]],Hoja1!A:B,2,FALSE)</f>
        <v>06. Educación, infancia, juventud e igualdad</v>
      </c>
      <c r="U1495" s="35" t="str">
        <f>MID(Tabla1[[#This Row],[Aplicación]],9,4)</f>
        <v>3321</v>
      </c>
      <c r="V1495" s="35" t="str">
        <f>VLOOKUP(Tabla1[[#This Row],[PROGRAMA]],Hoja1!A:B,2,FALSE)</f>
        <v>3321. Bibliotecas públicas</v>
      </c>
      <c r="W1495" s="56" t="str">
        <f>MID(Tabla1[[#This Row],[Aplicación]],14,2)</f>
        <v>21</v>
      </c>
      <c r="X1495" s="56" t="str">
        <f>MID(Tabla1[[#This Row],[Aplicación]],14,6)</f>
        <v>212</v>
      </c>
    </row>
    <row r="1496" spans="1:24" x14ac:dyDescent="0.25">
      <c r="A1496" s="46">
        <v>220230006862</v>
      </c>
      <c r="B1496" s="47" t="s">
        <v>1514</v>
      </c>
      <c r="C1496" s="52">
        <v>44987</v>
      </c>
      <c r="D1496" s="46">
        <v>22023002182</v>
      </c>
      <c r="E1496" s="47" t="s">
        <v>2785</v>
      </c>
      <c r="F1496" s="53">
        <v>5.51</v>
      </c>
      <c r="G1496" s="47" t="s">
        <v>98</v>
      </c>
      <c r="H1496" s="47" t="s">
        <v>2816</v>
      </c>
      <c r="I1496" s="46" t="s">
        <v>1517</v>
      </c>
      <c r="J1496" s="47" t="s">
        <v>519</v>
      </c>
      <c r="K1496" s="47" t="s">
        <v>519</v>
      </c>
      <c r="L1496" s="47" t="s">
        <v>552</v>
      </c>
      <c r="M1496" s="47" t="s">
        <v>514</v>
      </c>
      <c r="N1496" s="47" t="s">
        <v>515</v>
      </c>
      <c r="O1496" s="45" t="s">
        <v>382</v>
      </c>
      <c r="P1496" s="44" t="s">
        <v>309</v>
      </c>
      <c r="Q1496" s="59" t="str">
        <f>MID(Tabla1[[#This Row],[Aplicación]],14,1)</f>
        <v>2</v>
      </c>
      <c r="R1496" s="35" t="s">
        <v>298</v>
      </c>
      <c r="S1496" s="59" t="str">
        <f>MID(Tabla1[[#This Row],[Aplicación]],6,2)</f>
        <v>06</v>
      </c>
      <c r="T1496" s="35" t="str">
        <f>VLOOKUP(Tabla1[[#This Row],[AREA]],Hoja1!A:B,2,FALSE)</f>
        <v>06. Educación, infancia, juventud e igualdad</v>
      </c>
      <c r="U1496" s="35" t="str">
        <f>MID(Tabla1[[#This Row],[Aplicación]],9,4)</f>
        <v>3321</v>
      </c>
      <c r="V1496" s="35" t="str">
        <f>VLOOKUP(Tabla1[[#This Row],[PROGRAMA]],Hoja1!A:B,2,FALSE)</f>
        <v>3321. Bibliotecas públicas</v>
      </c>
      <c r="W1496" s="56" t="str">
        <f>MID(Tabla1[[#This Row],[Aplicación]],14,2)</f>
        <v>21</v>
      </c>
      <c r="X1496" s="56" t="str">
        <f>MID(Tabla1[[#This Row],[Aplicación]],14,6)</f>
        <v>212</v>
      </c>
    </row>
    <row r="1497" spans="1:24" x14ac:dyDescent="0.25">
      <c r="A1497" s="46">
        <v>220230006813</v>
      </c>
      <c r="B1497" s="47" t="s">
        <v>1514</v>
      </c>
      <c r="C1497" s="52">
        <v>44987</v>
      </c>
      <c r="D1497" s="46">
        <v>22023000273</v>
      </c>
      <c r="E1497" s="47" t="s">
        <v>2310</v>
      </c>
      <c r="F1497" s="53">
        <v>6.27</v>
      </c>
      <c r="G1497" s="47" t="s">
        <v>98</v>
      </c>
      <c r="H1497" s="47" t="s">
        <v>2817</v>
      </c>
      <c r="I1497" s="46" t="s">
        <v>1517</v>
      </c>
      <c r="J1497" s="47" t="s">
        <v>519</v>
      </c>
      <c r="K1497" s="47" t="s">
        <v>519</v>
      </c>
      <c r="L1497" s="47" t="s">
        <v>552</v>
      </c>
      <c r="M1497" s="47" t="s">
        <v>514</v>
      </c>
      <c r="N1497" s="47" t="s">
        <v>515</v>
      </c>
      <c r="O1497" s="54" t="s">
        <v>382</v>
      </c>
      <c r="P1497" s="44" t="s">
        <v>309</v>
      </c>
      <c r="Q1497" s="59" t="str">
        <f>MID(Tabla1[[#This Row],[Aplicación]],14,1)</f>
        <v>2</v>
      </c>
      <c r="R1497" s="35" t="s">
        <v>298</v>
      </c>
      <c r="S1497" s="59" t="str">
        <f>MID(Tabla1[[#This Row],[Aplicación]],6,2)</f>
        <v>11</v>
      </c>
      <c r="T1497" s="35" t="str">
        <f>VLOOKUP(Tabla1[[#This Row],[AREA]],Hoja1!A:B,2,FALSE)</f>
        <v>11. Salud pública y seguridad ciudadana</v>
      </c>
      <c r="U1497" s="35" t="str">
        <f>MID(Tabla1[[#This Row],[Aplicación]],9,4)</f>
        <v>1321</v>
      </c>
      <c r="V1497" s="35" t="str">
        <f>VLOOKUP(Tabla1[[#This Row],[PROGRAMA]],Hoja1!A:B,2,FALSE)</f>
        <v>1321. Policía municipal</v>
      </c>
      <c r="W1497" s="56" t="str">
        <f>MID(Tabla1[[#This Row],[Aplicación]],14,2)</f>
        <v>22</v>
      </c>
      <c r="X1497" s="56" t="str">
        <f>MID(Tabla1[[#This Row],[Aplicación]],14,6)</f>
        <v>22199</v>
      </c>
    </row>
    <row r="1498" spans="1:24" x14ac:dyDescent="0.25">
      <c r="A1498" s="46">
        <v>220230007171</v>
      </c>
      <c r="B1498" s="47" t="s">
        <v>507</v>
      </c>
      <c r="C1498" s="52">
        <v>44987</v>
      </c>
      <c r="D1498" s="46">
        <v>22023002860</v>
      </c>
      <c r="E1498" s="47" t="s">
        <v>616</v>
      </c>
      <c r="F1498" s="53">
        <v>204.73</v>
      </c>
      <c r="G1498" s="47" t="s">
        <v>20</v>
      </c>
      <c r="H1498" s="47" t="s">
        <v>2760</v>
      </c>
      <c r="I1498" s="46" t="s">
        <v>511</v>
      </c>
      <c r="J1498" s="47" t="s">
        <v>519</v>
      </c>
      <c r="K1498" s="47" t="s">
        <v>519</v>
      </c>
      <c r="L1498" s="47" t="s">
        <v>520</v>
      </c>
      <c r="M1498" s="47" t="s">
        <v>976</v>
      </c>
      <c r="N1498" s="47" t="s">
        <v>839</v>
      </c>
      <c r="O1498" s="45" t="s">
        <v>383</v>
      </c>
      <c r="P1498" s="44" t="s">
        <v>309</v>
      </c>
      <c r="Q1498" s="59" t="str">
        <f>MID(Tabla1[[#This Row],[Aplicación]],14,1)</f>
        <v>2</v>
      </c>
      <c r="R1498" s="35" t="s">
        <v>298</v>
      </c>
      <c r="S1498" s="59" t="str">
        <f>MID(Tabla1[[#This Row],[Aplicación]],6,2)</f>
        <v>10</v>
      </c>
      <c r="T1498" s="35" t="str">
        <f>VLOOKUP(Tabla1[[#This Row],[AREA]],Hoja1!A:B,2,FALSE)</f>
        <v>10. Servicios sociales y mediación comunitaria</v>
      </c>
      <c r="U1498" s="35" t="str">
        <f>MID(Tabla1[[#This Row],[Aplicación]],9,4)</f>
        <v>2412</v>
      </c>
      <c r="V1498" s="35" t="str">
        <f>VLOOKUP(Tabla1[[#This Row],[PROGRAMA]],Hoja1!A:B,2,FALSE)</f>
        <v>2412. Formación para el empleo</v>
      </c>
      <c r="W1498" s="56" t="str">
        <f>MID(Tabla1[[#This Row],[Aplicación]],14,2)</f>
        <v>21</v>
      </c>
      <c r="X1498" s="56" t="str">
        <f>MID(Tabla1[[#This Row],[Aplicación]],14,6)</f>
        <v>213</v>
      </c>
    </row>
    <row r="1499" spans="1:24" x14ac:dyDescent="0.25">
      <c r="A1499" s="55">
        <v>220230012853</v>
      </c>
      <c r="B1499" s="47" t="s">
        <v>507</v>
      </c>
      <c r="C1499" s="52">
        <v>45016</v>
      </c>
      <c r="D1499" s="46">
        <v>22023003072</v>
      </c>
      <c r="E1499" s="47" t="s">
        <v>607</v>
      </c>
      <c r="F1499" s="53">
        <v>2205.12</v>
      </c>
      <c r="G1499" s="47" t="s">
        <v>33</v>
      </c>
      <c r="H1499" s="47" t="s">
        <v>2818</v>
      </c>
      <c r="I1499" s="46" t="s">
        <v>511</v>
      </c>
      <c r="J1499" s="47" t="s">
        <v>519</v>
      </c>
      <c r="K1499" s="47" t="s">
        <v>519</v>
      </c>
      <c r="L1499" s="47" t="s">
        <v>520</v>
      </c>
      <c r="M1499" s="47" t="s">
        <v>976</v>
      </c>
      <c r="N1499" s="47" t="s">
        <v>839</v>
      </c>
      <c r="O1499" s="54" t="s">
        <v>383</v>
      </c>
      <c r="P1499" s="44" t="s">
        <v>309</v>
      </c>
      <c r="Q1499" s="59" t="str">
        <f>MID(Tabla1[[#This Row],[Aplicación]],14,1)</f>
        <v>2</v>
      </c>
      <c r="R1499" s="35" t="s">
        <v>298</v>
      </c>
      <c r="S1499" s="59" t="str">
        <f>MID(Tabla1[[#This Row],[Aplicación]],6,2)</f>
        <v>11</v>
      </c>
      <c r="T1499" s="35" t="str">
        <f>VLOOKUP(Tabla1[[#This Row],[AREA]],Hoja1!A:B,2,FALSE)</f>
        <v>11. Salud pública y seguridad ciudadana</v>
      </c>
      <c r="U1499" s="35" t="str">
        <f>MID(Tabla1[[#This Row],[Aplicación]],9,4)</f>
        <v>1621</v>
      </c>
      <c r="V1499" s="35" t="str">
        <f>VLOOKUP(Tabla1[[#This Row],[PROGRAMA]],Hoja1!A:B,2,FALSE)</f>
        <v>1621. Servicio de limpieza</v>
      </c>
      <c r="W1499" s="56" t="str">
        <f>MID(Tabla1[[#This Row],[Aplicación]],14,2)</f>
        <v>21</v>
      </c>
      <c r="X1499" s="56" t="str">
        <f>MID(Tabla1[[#This Row],[Aplicación]],14,6)</f>
        <v>213</v>
      </c>
    </row>
    <row r="1500" spans="1:24" x14ac:dyDescent="0.25">
      <c r="A1500" s="46">
        <v>220230008575</v>
      </c>
      <c r="B1500" s="47" t="s">
        <v>507</v>
      </c>
      <c r="C1500" s="52">
        <v>45000</v>
      </c>
      <c r="D1500" s="46">
        <v>22023002941</v>
      </c>
      <c r="E1500" s="47" t="s">
        <v>1479</v>
      </c>
      <c r="F1500" s="53">
        <v>605</v>
      </c>
      <c r="G1500" s="47" t="s">
        <v>2819</v>
      </c>
      <c r="H1500" s="47" t="s">
        <v>2820</v>
      </c>
      <c r="I1500" s="46" t="s">
        <v>511</v>
      </c>
      <c r="J1500" s="47" t="s">
        <v>545</v>
      </c>
      <c r="K1500" s="47" t="s">
        <v>545</v>
      </c>
      <c r="L1500" s="47" t="s">
        <v>520</v>
      </c>
      <c r="M1500" s="47" t="s">
        <v>976</v>
      </c>
      <c r="N1500" s="47" t="s">
        <v>839</v>
      </c>
      <c r="O1500" s="54" t="s">
        <v>383</v>
      </c>
      <c r="P1500" s="44" t="s">
        <v>309</v>
      </c>
      <c r="Q1500" s="59" t="str">
        <f>MID(Tabla1[[#This Row],[Aplicación]],14,1)</f>
        <v>2</v>
      </c>
      <c r="R1500" s="35" t="s">
        <v>298</v>
      </c>
      <c r="S1500" s="59" t="str">
        <f>MID(Tabla1[[#This Row],[Aplicación]],6,2)</f>
        <v>03</v>
      </c>
      <c r="T1500" s="35" t="str">
        <f>VLOOKUP(Tabla1[[#This Row],[AREA]],Hoja1!A:B,2,FALSE)</f>
        <v>03. Participación ciudadana y deportes</v>
      </c>
      <c r="U1500" s="35" t="str">
        <f>MID(Tabla1[[#This Row],[Aplicación]],9,4)</f>
        <v>9241</v>
      </c>
      <c r="V1500" s="35" t="str">
        <f>VLOOKUP(Tabla1[[#This Row],[PROGRAMA]],Hoja1!A:B,2,FALSE)</f>
        <v>9241. Participación ciudadana</v>
      </c>
      <c r="W1500" s="56" t="str">
        <f>MID(Tabla1[[#This Row],[Aplicación]],14,2)</f>
        <v>22</v>
      </c>
      <c r="X1500" s="56" t="str">
        <f>MID(Tabla1[[#This Row],[Aplicación]],14,6)</f>
        <v>22609</v>
      </c>
    </row>
    <row r="1501" spans="1:24" x14ac:dyDescent="0.25">
      <c r="A1501" s="46">
        <v>220230002645</v>
      </c>
      <c r="B1501" s="47" t="s">
        <v>507</v>
      </c>
      <c r="C1501" s="52">
        <v>44966</v>
      </c>
      <c r="D1501" s="46">
        <v>22023002261</v>
      </c>
      <c r="E1501" s="47" t="s">
        <v>1191</v>
      </c>
      <c r="F1501" s="53">
        <v>653.4</v>
      </c>
      <c r="G1501" s="47" t="s">
        <v>336</v>
      </c>
      <c r="H1501" s="47" t="s">
        <v>2821</v>
      </c>
      <c r="I1501" s="46" t="s">
        <v>511</v>
      </c>
      <c r="J1501" s="47" t="s">
        <v>519</v>
      </c>
      <c r="K1501" s="47" t="s">
        <v>519</v>
      </c>
      <c r="L1501" s="47" t="s">
        <v>552</v>
      </c>
      <c r="M1501" s="47" t="s">
        <v>976</v>
      </c>
      <c r="N1501" s="47" t="s">
        <v>839</v>
      </c>
      <c r="O1501" s="45" t="s">
        <v>383</v>
      </c>
      <c r="P1501" s="44" t="s">
        <v>309</v>
      </c>
      <c r="Q1501" s="59" t="str">
        <f>MID(Tabla1[[#This Row],[Aplicación]],14,1)</f>
        <v>2</v>
      </c>
      <c r="R1501" s="35" t="s">
        <v>298</v>
      </c>
      <c r="S1501" s="59" t="str">
        <f>MID(Tabla1[[#This Row],[Aplicación]],6,2)</f>
        <v>06</v>
      </c>
      <c r="T1501" s="35" t="str">
        <f>VLOOKUP(Tabla1[[#This Row],[AREA]],Hoja1!A:B,2,FALSE)</f>
        <v>06. Educación, infancia, juventud e igualdad</v>
      </c>
      <c r="U1501" s="35" t="str">
        <f>MID(Tabla1[[#This Row],[Aplicación]],9,4)</f>
        <v>2315</v>
      </c>
      <c r="V1501" s="35" t="str">
        <f>VLOOKUP(Tabla1[[#This Row],[PROGRAMA]],Hoja1!A:B,2,FALSE)</f>
        <v>2315. Políticas de Igualdad e infancia</v>
      </c>
      <c r="W1501" s="56" t="str">
        <f>MID(Tabla1[[#This Row],[Aplicación]],14,2)</f>
        <v>22</v>
      </c>
      <c r="X1501" s="56" t="str">
        <f>MID(Tabla1[[#This Row],[Aplicación]],14,6)</f>
        <v>22611</v>
      </c>
    </row>
    <row r="1502" spans="1:24" x14ac:dyDescent="0.25">
      <c r="A1502" s="46">
        <v>220230005925</v>
      </c>
      <c r="B1502" s="47" t="s">
        <v>507</v>
      </c>
      <c r="C1502" s="52">
        <v>44980</v>
      </c>
      <c r="D1502" s="46">
        <v>22023002657</v>
      </c>
      <c r="E1502" s="47" t="s">
        <v>1191</v>
      </c>
      <c r="F1502" s="53">
        <v>1754.5</v>
      </c>
      <c r="G1502" s="47" t="s">
        <v>336</v>
      </c>
      <c r="H1502" s="47" t="s">
        <v>2822</v>
      </c>
      <c r="I1502" s="46" t="s">
        <v>511</v>
      </c>
      <c r="J1502" s="47" t="s">
        <v>519</v>
      </c>
      <c r="K1502" s="47" t="s">
        <v>519</v>
      </c>
      <c r="L1502" s="47" t="s">
        <v>520</v>
      </c>
      <c r="M1502" s="47" t="s">
        <v>976</v>
      </c>
      <c r="N1502" s="47" t="s">
        <v>839</v>
      </c>
      <c r="O1502" s="45" t="s">
        <v>383</v>
      </c>
      <c r="P1502" s="44" t="s">
        <v>309</v>
      </c>
      <c r="Q1502" s="59" t="str">
        <f>MID(Tabla1[[#This Row],[Aplicación]],14,1)</f>
        <v>2</v>
      </c>
      <c r="R1502" s="35" t="s">
        <v>298</v>
      </c>
      <c r="S1502" s="59" t="str">
        <f>MID(Tabla1[[#This Row],[Aplicación]],6,2)</f>
        <v>06</v>
      </c>
      <c r="T1502" s="35" t="str">
        <f>VLOOKUP(Tabla1[[#This Row],[AREA]],Hoja1!A:B,2,FALSE)</f>
        <v>06. Educación, infancia, juventud e igualdad</v>
      </c>
      <c r="U1502" s="35" t="str">
        <f>MID(Tabla1[[#This Row],[Aplicación]],9,4)</f>
        <v>2315</v>
      </c>
      <c r="V1502" s="35" t="str">
        <f>VLOOKUP(Tabla1[[#This Row],[PROGRAMA]],Hoja1!A:B,2,FALSE)</f>
        <v>2315. Políticas de Igualdad e infancia</v>
      </c>
      <c r="W1502" s="56" t="str">
        <f>MID(Tabla1[[#This Row],[Aplicación]],14,2)</f>
        <v>22</v>
      </c>
      <c r="X1502" s="56" t="str">
        <f>MID(Tabla1[[#This Row],[Aplicación]],14,6)</f>
        <v>22611</v>
      </c>
    </row>
    <row r="1503" spans="1:24" x14ac:dyDescent="0.25">
      <c r="A1503" s="46">
        <v>220230006875</v>
      </c>
      <c r="B1503" s="47" t="s">
        <v>1514</v>
      </c>
      <c r="C1503" s="52">
        <v>44987</v>
      </c>
      <c r="D1503" s="46">
        <v>22023001607</v>
      </c>
      <c r="E1503" s="47" t="s">
        <v>1603</v>
      </c>
      <c r="F1503" s="53">
        <v>1363.34</v>
      </c>
      <c r="G1503" s="47" t="s">
        <v>2823</v>
      </c>
      <c r="H1503" s="47" t="s">
        <v>2824</v>
      </c>
      <c r="I1503" s="46" t="s">
        <v>1517</v>
      </c>
      <c r="J1503" s="47" t="s">
        <v>519</v>
      </c>
      <c r="K1503" s="47" t="s">
        <v>519</v>
      </c>
      <c r="L1503" s="47" t="s">
        <v>552</v>
      </c>
      <c r="M1503" s="47" t="s">
        <v>514</v>
      </c>
      <c r="N1503" s="47" t="s">
        <v>515</v>
      </c>
      <c r="O1503" s="45" t="s">
        <v>382</v>
      </c>
      <c r="P1503" s="44" t="s">
        <v>309</v>
      </c>
      <c r="Q1503" s="59" t="str">
        <f>MID(Tabla1[[#This Row],[Aplicación]],14,1)</f>
        <v>2</v>
      </c>
      <c r="R1503" s="35" t="s">
        <v>298</v>
      </c>
      <c r="S1503" s="59" t="str">
        <f>MID(Tabla1[[#This Row],[Aplicación]],6,2)</f>
        <v>08</v>
      </c>
      <c r="T1503" s="35" t="str">
        <f>VLOOKUP(Tabla1[[#This Row],[AREA]],Hoja1!A:B,2,FALSE)</f>
        <v>08. Movilidad y espacio urbano</v>
      </c>
      <c r="U1503" s="35" t="str">
        <f>MID(Tabla1[[#This Row],[Aplicación]],9,4)</f>
        <v>1532</v>
      </c>
      <c r="V1503" s="35" t="str">
        <f>VLOOKUP(Tabla1[[#This Row],[PROGRAMA]],Hoja1!A:B,2,FALSE)</f>
        <v>1532. Pavimentación vias públicas y otros servicios urbanísticos</v>
      </c>
      <c r="W1503" s="56" t="str">
        <f>MID(Tabla1[[#This Row],[Aplicación]],14,2)</f>
        <v>21</v>
      </c>
      <c r="X1503" s="56" t="str">
        <f>MID(Tabla1[[#This Row],[Aplicación]],14,6)</f>
        <v>210</v>
      </c>
    </row>
    <row r="1504" spans="1:24" x14ac:dyDescent="0.25">
      <c r="A1504" s="55">
        <v>220230008918</v>
      </c>
      <c r="B1504" s="47" t="s">
        <v>507</v>
      </c>
      <c r="C1504" s="52">
        <v>45002</v>
      </c>
      <c r="D1504" s="46">
        <v>22023003052</v>
      </c>
      <c r="E1504" s="47" t="s">
        <v>1191</v>
      </c>
      <c r="F1504" s="53">
        <v>108.9</v>
      </c>
      <c r="G1504" s="47" t="s">
        <v>336</v>
      </c>
      <c r="H1504" s="47" t="s">
        <v>2825</v>
      </c>
      <c r="I1504" s="46" t="s">
        <v>511</v>
      </c>
      <c r="J1504" s="47" t="s">
        <v>519</v>
      </c>
      <c r="K1504" s="47" t="s">
        <v>519</v>
      </c>
      <c r="L1504" s="47" t="s">
        <v>520</v>
      </c>
      <c r="M1504" s="47" t="s">
        <v>976</v>
      </c>
      <c r="N1504" s="47" t="s">
        <v>839</v>
      </c>
      <c r="O1504" s="54" t="s">
        <v>383</v>
      </c>
      <c r="P1504" s="44" t="s">
        <v>309</v>
      </c>
      <c r="Q1504" s="59" t="str">
        <f>MID(Tabla1[[#This Row],[Aplicación]],14,1)</f>
        <v>2</v>
      </c>
      <c r="R1504" s="35" t="s">
        <v>298</v>
      </c>
      <c r="S1504" s="59" t="str">
        <f>MID(Tabla1[[#This Row],[Aplicación]],6,2)</f>
        <v>06</v>
      </c>
      <c r="T1504" s="35" t="str">
        <f>VLOOKUP(Tabla1[[#This Row],[AREA]],Hoja1!A:B,2,FALSE)</f>
        <v>06. Educación, infancia, juventud e igualdad</v>
      </c>
      <c r="U1504" s="35" t="str">
        <f>MID(Tabla1[[#This Row],[Aplicación]],9,4)</f>
        <v>2315</v>
      </c>
      <c r="V1504" s="35" t="str">
        <f>VLOOKUP(Tabla1[[#This Row],[PROGRAMA]],Hoja1!A:B,2,FALSE)</f>
        <v>2315. Políticas de Igualdad e infancia</v>
      </c>
      <c r="W1504" s="56" t="str">
        <f>MID(Tabla1[[#This Row],[Aplicación]],14,2)</f>
        <v>22</v>
      </c>
      <c r="X1504" s="56" t="str">
        <f>MID(Tabla1[[#This Row],[Aplicación]],14,6)</f>
        <v>22611</v>
      </c>
    </row>
    <row r="1505" spans="1:24" x14ac:dyDescent="0.25">
      <c r="A1505" s="46">
        <v>220230008591</v>
      </c>
      <c r="B1505" s="47" t="s">
        <v>507</v>
      </c>
      <c r="C1505" s="52">
        <v>45000</v>
      </c>
      <c r="D1505" s="46">
        <v>22023002994</v>
      </c>
      <c r="E1505" s="47" t="s">
        <v>1479</v>
      </c>
      <c r="F1505" s="53">
        <v>665.5</v>
      </c>
      <c r="G1505" s="47" t="s">
        <v>474</v>
      </c>
      <c r="H1505" s="47" t="s">
        <v>2826</v>
      </c>
      <c r="I1505" s="46" t="s">
        <v>511</v>
      </c>
      <c r="J1505" s="47" t="s">
        <v>2827</v>
      </c>
      <c r="K1505" s="47" t="s">
        <v>519</v>
      </c>
      <c r="L1505" s="47" t="s">
        <v>520</v>
      </c>
      <c r="M1505" s="47" t="s">
        <v>976</v>
      </c>
      <c r="N1505" s="47" t="s">
        <v>839</v>
      </c>
      <c r="O1505" s="54" t="s">
        <v>383</v>
      </c>
      <c r="P1505" s="44" t="s">
        <v>309</v>
      </c>
      <c r="Q1505" s="59" t="str">
        <f>MID(Tabla1[[#This Row],[Aplicación]],14,1)</f>
        <v>2</v>
      </c>
      <c r="R1505" s="35" t="s">
        <v>298</v>
      </c>
      <c r="S1505" s="59" t="str">
        <f>MID(Tabla1[[#This Row],[Aplicación]],6,2)</f>
        <v>03</v>
      </c>
      <c r="T1505" s="35" t="str">
        <f>VLOOKUP(Tabla1[[#This Row],[AREA]],Hoja1!A:B,2,FALSE)</f>
        <v>03. Participación ciudadana y deportes</v>
      </c>
      <c r="U1505" s="35" t="str">
        <f>MID(Tabla1[[#This Row],[Aplicación]],9,4)</f>
        <v>9241</v>
      </c>
      <c r="V1505" s="35" t="str">
        <f>VLOOKUP(Tabla1[[#This Row],[PROGRAMA]],Hoja1!A:B,2,FALSE)</f>
        <v>9241. Participación ciudadana</v>
      </c>
      <c r="W1505" s="56" t="str">
        <f>MID(Tabla1[[#This Row],[Aplicación]],14,2)</f>
        <v>22</v>
      </c>
      <c r="X1505" s="56" t="str">
        <f>MID(Tabla1[[#This Row],[Aplicación]],14,6)</f>
        <v>22609</v>
      </c>
    </row>
    <row r="1506" spans="1:24" x14ac:dyDescent="0.25">
      <c r="A1506" s="46">
        <v>220230001796</v>
      </c>
      <c r="B1506" s="47" t="s">
        <v>507</v>
      </c>
      <c r="C1506" s="52">
        <v>44960</v>
      </c>
      <c r="D1506" s="46">
        <v>22023000225</v>
      </c>
      <c r="E1506" s="47" t="s">
        <v>1285</v>
      </c>
      <c r="F1506" s="53">
        <v>7.56</v>
      </c>
      <c r="G1506" s="47" t="s">
        <v>2828</v>
      </c>
      <c r="H1506" s="47" t="s">
        <v>2829</v>
      </c>
      <c r="I1506" s="46" t="s">
        <v>511</v>
      </c>
      <c r="J1506" s="47" t="s">
        <v>519</v>
      </c>
      <c r="K1506" s="47" t="s">
        <v>519</v>
      </c>
      <c r="L1506" s="47" t="s">
        <v>552</v>
      </c>
      <c r="M1506" s="47" t="s">
        <v>976</v>
      </c>
      <c r="N1506" s="47" t="s">
        <v>839</v>
      </c>
      <c r="O1506" s="45" t="s">
        <v>383</v>
      </c>
      <c r="P1506" s="44" t="s">
        <v>309</v>
      </c>
      <c r="Q1506" s="59" t="str">
        <f>MID(Tabla1[[#This Row],[Aplicación]],14,1)</f>
        <v>2</v>
      </c>
      <c r="R1506" s="35" t="s">
        <v>298</v>
      </c>
      <c r="S1506" s="59" t="str">
        <f>MID(Tabla1[[#This Row],[Aplicación]],6,2)</f>
        <v>11</v>
      </c>
      <c r="T1506" s="35" t="str">
        <f>VLOOKUP(Tabla1[[#This Row],[AREA]],Hoja1!A:B,2,FALSE)</f>
        <v>11. Salud pública y seguridad ciudadana</v>
      </c>
      <c r="U1506" s="35" t="str">
        <f>MID(Tabla1[[#This Row],[Aplicación]],9,4)</f>
        <v>1361</v>
      </c>
      <c r="V1506" s="35" t="str">
        <f>VLOOKUP(Tabla1[[#This Row],[PROGRAMA]],Hoja1!A:B,2,FALSE)</f>
        <v>1361. Prevención y extinción de incencios</v>
      </c>
      <c r="W1506" s="56" t="str">
        <f>MID(Tabla1[[#This Row],[Aplicación]],14,2)</f>
        <v>22</v>
      </c>
      <c r="X1506" s="56" t="str">
        <f>MID(Tabla1[[#This Row],[Aplicación]],14,6)</f>
        <v>22199</v>
      </c>
    </row>
    <row r="1507" spans="1:24" x14ac:dyDescent="0.25">
      <c r="A1507" s="46">
        <v>220230003243</v>
      </c>
      <c r="B1507" s="47" t="s">
        <v>507</v>
      </c>
      <c r="C1507" s="52">
        <v>44971</v>
      </c>
      <c r="D1507" s="46">
        <v>22023002421</v>
      </c>
      <c r="E1507" s="47" t="s">
        <v>1290</v>
      </c>
      <c r="F1507" s="53">
        <v>5000</v>
      </c>
      <c r="G1507" s="47" t="s">
        <v>56</v>
      </c>
      <c r="H1507" s="47" t="s">
        <v>2830</v>
      </c>
      <c r="I1507" s="46" t="s">
        <v>511</v>
      </c>
      <c r="J1507" s="47" t="s">
        <v>1049</v>
      </c>
      <c r="K1507" s="47" t="s">
        <v>519</v>
      </c>
      <c r="L1507" s="47" t="s">
        <v>552</v>
      </c>
      <c r="M1507" s="47" t="s">
        <v>976</v>
      </c>
      <c r="N1507" s="47" t="s">
        <v>839</v>
      </c>
      <c r="O1507" s="45" t="s">
        <v>383</v>
      </c>
      <c r="P1507" s="44" t="s">
        <v>309</v>
      </c>
      <c r="Q1507" s="59" t="str">
        <f>MID(Tabla1[[#This Row],[Aplicación]],14,1)</f>
        <v>2</v>
      </c>
      <c r="R1507" s="35" t="s">
        <v>298</v>
      </c>
      <c r="S1507" s="59" t="str">
        <f>MID(Tabla1[[#This Row],[Aplicación]],6,2)</f>
        <v>11</v>
      </c>
      <c r="T1507" s="35" t="str">
        <f>VLOOKUP(Tabla1[[#This Row],[AREA]],Hoja1!A:B,2,FALSE)</f>
        <v>11. Salud pública y seguridad ciudadana</v>
      </c>
      <c r="U1507" s="35" t="str">
        <f>MID(Tabla1[[#This Row],[Aplicación]],9,4)</f>
        <v>1621</v>
      </c>
      <c r="V1507" s="35" t="str">
        <f>VLOOKUP(Tabla1[[#This Row],[PROGRAMA]],Hoja1!A:B,2,FALSE)</f>
        <v>1621. Servicio de limpieza</v>
      </c>
      <c r="W1507" s="56" t="str">
        <f>MID(Tabla1[[#This Row],[Aplicación]],14,2)</f>
        <v>21</v>
      </c>
      <c r="X1507" s="56" t="str">
        <f>MID(Tabla1[[#This Row],[Aplicación]],14,6)</f>
        <v>214</v>
      </c>
    </row>
    <row r="1508" spans="1:24" x14ac:dyDescent="0.25">
      <c r="A1508" s="46">
        <v>220230002026</v>
      </c>
      <c r="B1508" s="47" t="s">
        <v>507</v>
      </c>
      <c r="C1508" s="52">
        <v>44960</v>
      </c>
      <c r="D1508" s="46">
        <v>22023001650</v>
      </c>
      <c r="E1508" s="47" t="s">
        <v>659</v>
      </c>
      <c r="F1508" s="53">
        <v>500</v>
      </c>
      <c r="G1508" s="47" t="s">
        <v>2831</v>
      </c>
      <c r="H1508" s="47" t="s">
        <v>2832</v>
      </c>
      <c r="I1508" s="46" t="s">
        <v>511</v>
      </c>
      <c r="J1508" s="47" t="s">
        <v>2833</v>
      </c>
      <c r="K1508" s="47" t="s">
        <v>512</v>
      </c>
      <c r="L1508" s="47" t="s">
        <v>520</v>
      </c>
      <c r="M1508" s="47" t="s">
        <v>976</v>
      </c>
      <c r="N1508" s="47" t="s">
        <v>839</v>
      </c>
      <c r="O1508" s="45" t="s">
        <v>383</v>
      </c>
      <c r="P1508" s="44" t="s">
        <v>309</v>
      </c>
      <c r="Q1508" s="59" t="str">
        <f>MID(Tabla1[[#This Row],[Aplicación]],14,1)</f>
        <v>2</v>
      </c>
      <c r="R1508" s="35" t="s">
        <v>298</v>
      </c>
      <c r="S1508" s="59" t="str">
        <f>MID(Tabla1[[#This Row],[Aplicación]],6,2)</f>
        <v>11</v>
      </c>
      <c r="T1508" s="35" t="str">
        <f>VLOOKUP(Tabla1[[#This Row],[AREA]],Hoja1!A:B,2,FALSE)</f>
        <v>11. Salud pública y seguridad ciudadana</v>
      </c>
      <c r="U1508" s="35" t="str">
        <f>MID(Tabla1[[#This Row],[Aplicación]],9,4)</f>
        <v>1321</v>
      </c>
      <c r="V1508" s="35" t="str">
        <f>VLOOKUP(Tabla1[[#This Row],[PROGRAMA]],Hoja1!A:B,2,FALSE)</f>
        <v>1321. Policía municipal</v>
      </c>
      <c r="W1508" s="56" t="str">
        <f>MID(Tabla1[[#This Row],[Aplicación]],14,2)</f>
        <v>21</v>
      </c>
      <c r="X1508" s="56" t="str">
        <f>MID(Tabla1[[#This Row],[Aplicación]],14,6)</f>
        <v>213</v>
      </c>
    </row>
    <row r="1509" spans="1:24" x14ac:dyDescent="0.25">
      <c r="A1509" s="46">
        <v>220230002600</v>
      </c>
      <c r="B1509" s="47" t="s">
        <v>507</v>
      </c>
      <c r="C1509" s="52">
        <v>44965</v>
      </c>
      <c r="D1509" s="46">
        <v>22023001669</v>
      </c>
      <c r="E1509" s="47" t="s">
        <v>2834</v>
      </c>
      <c r="F1509" s="53">
        <v>1932.38</v>
      </c>
      <c r="G1509" s="47" t="s">
        <v>67</v>
      </c>
      <c r="H1509" s="47" t="s">
        <v>2835</v>
      </c>
      <c r="I1509" s="46" t="s">
        <v>511</v>
      </c>
      <c r="J1509" s="47" t="s">
        <v>953</v>
      </c>
      <c r="K1509" s="47" t="s">
        <v>519</v>
      </c>
      <c r="L1509" s="47" t="s">
        <v>520</v>
      </c>
      <c r="M1509" s="47" t="s">
        <v>514</v>
      </c>
      <c r="N1509" s="47" t="s">
        <v>515</v>
      </c>
      <c r="O1509" s="54" t="s">
        <v>382</v>
      </c>
      <c r="P1509" s="44" t="s">
        <v>309</v>
      </c>
      <c r="Q1509" s="59" t="str">
        <f>MID(Tabla1[[#This Row],[Aplicación]],14,1)</f>
        <v>2</v>
      </c>
      <c r="R1509" s="35" t="s">
        <v>298</v>
      </c>
      <c r="S1509" s="59" t="str">
        <f>MID(Tabla1[[#This Row],[Aplicación]],6,2)</f>
        <v>08</v>
      </c>
      <c r="T1509" s="35" t="str">
        <f>VLOOKUP(Tabla1[[#This Row],[AREA]],Hoja1!A:B,2,FALSE)</f>
        <v>08. Movilidad y espacio urbano</v>
      </c>
      <c r="U1509" s="35" t="str">
        <f>MID(Tabla1[[#This Row],[Aplicación]],9,4)</f>
        <v>1651</v>
      </c>
      <c r="V1509" s="35" t="str">
        <f>VLOOKUP(Tabla1[[#This Row],[PROGRAMA]],Hoja1!A:B,2,FALSE)</f>
        <v>1651. Alumbrado público</v>
      </c>
      <c r="W1509" s="56" t="str">
        <f>MID(Tabla1[[#This Row],[Aplicación]],14,2)</f>
        <v>22</v>
      </c>
      <c r="X1509" s="56" t="str">
        <f>MID(Tabla1[[#This Row],[Aplicación]],14,6)</f>
        <v>22706</v>
      </c>
    </row>
    <row r="1510" spans="1:24" x14ac:dyDescent="0.25">
      <c r="A1510" s="46">
        <v>220230001956</v>
      </c>
      <c r="B1510" s="47" t="s">
        <v>507</v>
      </c>
      <c r="C1510" s="52">
        <v>44960</v>
      </c>
      <c r="D1510" s="46">
        <v>22023001382</v>
      </c>
      <c r="E1510" s="47" t="s">
        <v>1719</v>
      </c>
      <c r="F1510" s="53">
        <v>1185.8</v>
      </c>
      <c r="G1510" s="47" t="s">
        <v>2836</v>
      </c>
      <c r="H1510" s="47" t="s">
        <v>2837</v>
      </c>
      <c r="I1510" s="46" t="s">
        <v>511</v>
      </c>
      <c r="J1510" s="47" t="s">
        <v>731</v>
      </c>
      <c r="K1510" s="47" t="s">
        <v>519</v>
      </c>
      <c r="L1510" s="47" t="s">
        <v>552</v>
      </c>
      <c r="M1510" s="47" t="s">
        <v>976</v>
      </c>
      <c r="N1510" s="47" t="s">
        <v>839</v>
      </c>
      <c r="O1510" s="45" t="s">
        <v>383</v>
      </c>
      <c r="P1510" s="44" t="s">
        <v>309</v>
      </c>
      <c r="Q1510" s="59" t="str">
        <f>MID(Tabla1[[#This Row],[Aplicación]],14,1)</f>
        <v>2</v>
      </c>
      <c r="R1510" s="35" t="s">
        <v>298</v>
      </c>
      <c r="S1510" s="59" t="str">
        <f>MID(Tabla1[[#This Row],[Aplicación]],6,2)</f>
        <v>01</v>
      </c>
      <c r="T1510" s="35" t="str">
        <f>VLOOKUP(Tabla1[[#This Row],[AREA]],Hoja1!A:B,2,FALSE)</f>
        <v>01. Alcaldía</v>
      </c>
      <c r="U1510" s="35" t="str">
        <f>MID(Tabla1[[#This Row],[Aplicación]],9,4)</f>
        <v>9206</v>
      </c>
      <c r="V1510" s="35" t="str">
        <f>VLOOKUP(Tabla1[[#This Row],[PROGRAMA]],Hoja1!A:B,2,FALSE)</f>
        <v>9206. Archivo municipal</v>
      </c>
      <c r="W1510" s="56" t="str">
        <f>MID(Tabla1[[#This Row],[Aplicación]],14,2)</f>
        <v>22</v>
      </c>
      <c r="X1510" s="56" t="str">
        <f>MID(Tabla1[[#This Row],[Aplicación]],14,6)</f>
        <v>22001</v>
      </c>
    </row>
    <row r="1511" spans="1:24" x14ac:dyDescent="0.25">
      <c r="A1511" s="55">
        <v>220230011741</v>
      </c>
      <c r="B1511" s="47" t="s">
        <v>507</v>
      </c>
      <c r="C1511" s="52">
        <v>45014</v>
      </c>
      <c r="D1511" s="46">
        <v>22023003584</v>
      </c>
      <c r="E1511" s="47" t="s">
        <v>1262</v>
      </c>
      <c r="F1511" s="53">
        <v>1512.5</v>
      </c>
      <c r="G1511" s="47" t="s">
        <v>49</v>
      </c>
      <c r="H1511" s="47" t="s">
        <v>2838</v>
      </c>
      <c r="I1511" s="46" t="s">
        <v>511</v>
      </c>
      <c r="J1511" s="47" t="s">
        <v>519</v>
      </c>
      <c r="K1511" s="47" t="s">
        <v>519</v>
      </c>
      <c r="L1511" s="47" t="s">
        <v>520</v>
      </c>
      <c r="M1511" s="47" t="s">
        <v>976</v>
      </c>
      <c r="N1511" s="47" t="s">
        <v>839</v>
      </c>
      <c r="O1511" s="54" t="s">
        <v>383</v>
      </c>
      <c r="P1511" s="44" t="s">
        <v>309</v>
      </c>
      <c r="Q1511" s="59" t="str">
        <f>MID(Tabla1[[#This Row],[Aplicación]],14,1)</f>
        <v>2</v>
      </c>
      <c r="R1511" s="35" t="s">
        <v>298</v>
      </c>
      <c r="S1511" s="59" t="str">
        <f>MID(Tabla1[[#This Row],[Aplicación]],6,2)</f>
        <v>05</v>
      </c>
      <c r="T1511" s="35" t="str">
        <f>VLOOKUP(Tabla1[[#This Row],[AREA]],Hoja1!A:B,2,FALSE)</f>
        <v>05. Innovación, desarrollo económico, empleo y comercio</v>
      </c>
      <c r="U1511" s="35" t="str">
        <f>MID(Tabla1[[#This Row],[Aplicación]],9,4)</f>
        <v>4314</v>
      </c>
      <c r="V1511" s="35" t="str">
        <f>VLOOKUP(Tabla1[[#This Row],[PROGRAMA]],Hoja1!A:B,2,FALSE)</f>
        <v>4314. Fomento del comercio</v>
      </c>
      <c r="W1511" s="56" t="str">
        <f>MID(Tabla1[[#This Row],[Aplicación]],14,2)</f>
        <v>22</v>
      </c>
      <c r="X1511" s="56" t="str">
        <f>MID(Tabla1[[#This Row],[Aplicación]],14,6)</f>
        <v>22799</v>
      </c>
    </row>
    <row r="1512" spans="1:24" x14ac:dyDescent="0.25">
      <c r="A1512" s="46">
        <v>220230006817</v>
      </c>
      <c r="B1512" s="47" t="s">
        <v>1514</v>
      </c>
      <c r="C1512" s="52">
        <v>44987</v>
      </c>
      <c r="D1512" s="46">
        <v>22023000270</v>
      </c>
      <c r="E1512" s="47" t="s">
        <v>1694</v>
      </c>
      <c r="F1512" s="53">
        <v>115.6</v>
      </c>
      <c r="G1512" s="47" t="s">
        <v>2430</v>
      </c>
      <c r="H1512" s="47" t="s">
        <v>2428</v>
      </c>
      <c r="I1512" s="46" t="s">
        <v>1517</v>
      </c>
      <c r="J1512" s="47" t="s">
        <v>573</v>
      </c>
      <c r="K1512" s="47" t="s">
        <v>573</v>
      </c>
      <c r="L1512" s="47" t="s">
        <v>552</v>
      </c>
      <c r="M1512" s="47" t="s">
        <v>514</v>
      </c>
      <c r="N1512" s="47" t="s">
        <v>515</v>
      </c>
      <c r="O1512" s="54" t="s">
        <v>382</v>
      </c>
      <c r="P1512" s="44" t="s">
        <v>309</v>
      </c>
      <c r="Q1512" s="59" t="str">
        <f>MID(Tabla1[[#This Row],[Aplicación]],14,1)</f>
        <v>2</v>
      </c>
      <c r="R1512" s="35" t="s">
        <v>298</v>
      </c>
      <c r="S1512" s="59" t="str">
        <f>MID(Tabla1[[#This Row],[Aplicación]],6,2)</f>
        <v>11</v>
      </c>
      <c r="T1512" s="35" t="str">
        <f>VLOOKUP(Tabla1[[#This Row],[AREA]],Hoja1!A:B,2,FALSE)</f>
        <v>11. Salud pública y seguridad ciudadana</v>
      </c>
      <c r="U1512" s="35" t="str">
        <f>MID(Tabla1[[#This Row],[Aplicación]],9,4)</f>
        <v>1321</v>
      </c>
      <c r="V1512" s="35" t="str">
        <f>VLOOKUP(Tabla1[[#This Row],[PROGRAMA]],Hoja1!A:B,2,FALSE)</f>
        <v>1321. Policía municipal</v>
      </c>
      <c r="W1512" s="56" t="str">
        <f>MID(Tabla1[[#This Row],[Aplicación]],14,2)</f>
        <v>21</v>
      </c>
      <c r="X1512" s="56" t="str">
        <f>MID(Tabla1[[#This Row],[Aplicación]],14,6)</f>
        <v>214</v>
      </c>
    </row>
    <row r="1513" spans="1:24" x14ac:dyDescent="0.25">
      <c r="A1513" s="46">
        <v>220230006882</v>
      </c>
      <c r="B1513" s="47" t="s">
        <v>1514</v>
      </c>
      <c r="C1513" s="52">
        <v>44987</v>
      </c>
      <c r="D1513" s="46">
        <v>22023001607</v>
      </c>
      <c r="E1513" s="47" t="s">
        <v>1603</v>
      </c>
      <c r="F1513" s="53">
        <v>1217.03</v>
      </c>
      <c r="G1513" s="47" t="s">
        <v>2432</v>
      </c>
      <c r="H1513" s="47" t="s">
        <v>2839</v>
      </c>
      <c r="I1513" s="46" t="s">
        <v>1517</v>
      </c>
      <c r="J1513" s="47" t="s">
        <v>519</v>
      </c>
      <c r="K1513" s="47" t="s">
        <v>519</v>
      </c>
      <c r="L1513" s="47" t="s">
        <v>552</v>
      </c>
      <c r="M1513" s="47" t="s">
        <v>514</v>
      </c>
      <c r="N1513" s="47" t="s">
        <v>515</v>
      </c>
      <c r="O1513" s="45" t="s">
        <v>382</v>
      </c>
      <c r="P1513" s="44" t="s">
        <v>309</v>
      </c>
      <c r="Q1513" s="59" t="str">
        <f>MID(Tabla1[[#This Row],[Aplicación]],14,1)</f>
        <v>2</v>
      </c>
      <c r="R1513" s="35" t="s">
        <v>298</v>
      </c>
      <c r="S1513" s="59" t="str">
        <f>MID(Tabla1[[#This Row],[Aplicación]],6,2)</f>
        <v>08</v>
      </c>
      <c r="T1513" s="35" t="str">
        <f>VLOOKUP(Tabla1[[#This Row],[AREA]],Hoja1!A:B,2,FALSE)</f>
        <v>08. Movilidad y espacio urbano</v>
      </c>
      <c r="U1513" s="35" t="str">
        <f>MID(Tabla1[[#This Row],[Aplicación]],9,4)</f>
        <v>1532</v>
      </c>
      <c r="V1513" s="35" t="str">
        <f>VLOOKUP(Tabla1[[#This Row],[PROGRAMA]],Hoja1!A:B,2,FALSE)</f>
        <v>1532. Pavimentación vias públicas y otros servicios urbanísticos</v>
      </c>
      <c r="W1513" s="56" t="str">
        <f>MID(Tabla1[[#This Row],[Aplicación]],14,2)</f>
        <v>21</v>
      </c>
      <c r="X1513" s="56" t="str">
        <f>MID(Tabla1[[#This Row],[Aplicación]],14,6)</f>
        <v>210</v>
      </c>
    </row>
    <row r="1514" spans="1:24" x14ac:dyDescent="0.25">
      <c r="A1514" s="46">
        <v>220230007159</v>
      </c>
      <c r="B1514" s="47" t="s">
        <v>507</v>
      </c>
      <c r="C1514" s="52">
        <v>44987</v>
      </c>
      <c r="D1514" s="46">
        <v>22023002891</v>
      </c>
      <c r="E1514" s="47" t="s">
        <v>1315</v>
      </c>
      <c r="F1514" s="53">
        <v>7250.32</v>
      </c>
      <c r="G1514" s="47" t="s">
        <v>2728</v>
      </c>
      <c r="H1514" s="47" t="s">
        <v>2840</v>
      </c>
      <c r="I1514" s="46" t="s">
        <v>511</v>
      </c>
      <c r="J1514" s="47" t="s">
        <v>519</v>
      </c>
      <c r="K1514" s="47" t="s">
        <v>519</v>
      </c>
      <c r="L1514" s="47" t="s">
        <v>520</v>
      </c>
      <c r="M1514" s="47" t="s">
        <v>514</v>
      </c>
      <c r="N1514" s="47" t="s">
        <v>515</v>
      </c>
      <c r="O1514" s="45" t="s">
        <v>382</v>
      </c>
      <c r="P1514" s="44" t="s">
        <v>309</v>
      </c>
      <c r="Q1514" s="59" t="str">
        <f>MID(Tabla1[[#This Row],[Aplicación]],14,1)</f>
        <v>2</v>
      </c>
      <c r="R1514" s="35" t="s">
        <v>298</v>
      </c>
      <c r="S1514" s="59" t="str">
        <f>MID(Tabla1[[#This Row],[Aplicación]],6,2)</f>
        <v>01</v>
      </c>
      <c r="T1514" s="35" t="str">
        <f>VLOOKUP(Tabla1[[#This Row],[AREA]],Hoja1!A:B,2,FALSE)</f>
        <v>01. Alcaldía</v>
      </c>
      <c r="U1514" s="35" t="str">
        <f>MID(Tabla1[[#This Row],[Aplicación]],9,4)</f>
        <v>9207</v>
      </c>
      <c r="V1514" s="35" t="str">
        <f>VLOOKUP(Tabla1[[#This Row],[PROGRAMA]],Hoja1!A:B,2,FALSE)</f>
        <v>9207. Gobierno y relaciones</v>
      </c>
      <c r="W1514" s="56" t="str">
        <f>MID(Tabla1[[#This Row],[Aplicación]],14,2)</f>
        <v>22</v>
      </c>
      <c r="X1514" s="56" t="str">
        <f>MID(Tabla1[[#This Row],[Aplicación]],14,6)</f>
        <v>22602</v>
      </c>
    </row>
    <row r="1515" spans="1:24" x14ac:dyDescent="0.25">
      <c r="A1515" s="46">
        <v>220230006828</v>
      </c>
      <c r="B1515" s="47" t="s">
        <v>1514</v>
      </c>
      <c r="C1515" s="52">
        <v>44987</v>
      </c>
      <c r="D1515" s="46">
        <v>22023001607</v>
      </c>
      <c r="E1515" s="47" t="s">
        <v>1603</v>
      </c>
      <c r="F1515" s="53">
        <v>1310.31</v>
      </c>
      <c r="G1515" s="47" t="s">
        <v>2841</v>
      </c>
      <c r="H1515" s="47" t="s">
        <v>2842</v>
      </c>
      <c r="I1515" s="46" t="s">
        <v>1517</v>
      </c>
      <c r="J1515" s="47" t="s">
        <v>519</v>
      </c>
      <c r="K1515" s="47" t="s">
        <v>519</v>
      </c>
      <c r="L1515" s="47" t="s">
        <v>552</v>
      </c>
      <c r="M1515" s="47" t="s">
        <v>514</v>
      </c>
      <c r="N1515" s="47" t="s">
        <v>515</v>
      </c>
      <c r="O1515" s="45" t="s">
        <v>382</v>
      </c>
      <c r="P1515" s="44" t="s">
        <v>309</v>
      </c>
      <c r="Q1515" s="59" t="str">
        <f>MID(Tabla1[[#This Row],[Aplicación]],14,1)</f>
        <v>2</v>
      </c>
      <c r="R1515" s="35" t="s">
        <v>298</v>
      </c>
      <c r="S1515" s="59" t="str">
        <f>MID(Tabla1[[#This Row],[Aplicación]],6,2)</f>
        <v>08</v>
      </c>
      <c r="T1515" s="35" t="str">
        <f>VLOOKUP(Tabla1[[#This Row],[AREA]],Hoja1!A:B,2,FALSE)</f>
        <v>08. Movilidad y espacio urbano</v>
      </c>
      <c r="U1515" s="35" t="str">
        <f>MID(Tabla1[[#This Row],[Aplicación]],9,4)</f>
        <v>1532</v>
      </c>
      <c r="V1515" s="35" t="str">
        <f>VLOOKUP(Tabla1[[#This Row],[PROGRAMA]],Hoja1!A:B,2,FALSE)</f>
        <v>1532. Pavimentación vias públicas y otros servicios urbanísticos</v>
      </c>
      <c r="W1515" s="56" t="str">
        <f>MID(Tabla1[[#This Row],[Aplicación]],14,2)</f>
        <v>21</v>
      </c>
      <c r="X1515" s="56" t="str">
        <f>MID(Tabla1[[#This Row],[Aplicación]],14,6)</f>
        <v>210</v>
      </c>
    </row>
    <row r="1516" spans="1:24" x14ac:dyDescent="0.25">
      <c r="A1516" s="46">
        <v>220230008430</v>
      </c>
      <c r="B1516" s="47" t="s">
        <v>1249</v>
      </c>
      <c r="C1516" s="52">
        <v>45000</v>
      </c>
      <c r="D1516" s="46">
        <v>22023002885</v>
      </c>
      <c r="E1516" s="47" t="s">
        <v>669</v>
      </c>
      <c r="F1516" s="53">
        <v>496.69</v>
      </c>
      <c r="G1516" s="47" t="s">
        <v>33</v>
      </c>
      <c r="H1516" s="47" t="s">
        <v>2843</v>
      </c>
      <c r="I1516" s="46" t="s">
        <v>1251</v>
      </c>
      <c r="J1516" s="47" t="s">
        <v>519</v>
      </c>
      <c r="K1516" s="47" t="s">
        <v>519</v>
      </c>
      <c r="L1516" s="47" t="s">
        <v>520</v>
      </c>
      <c r="M1516" s="47" t="s">
        <v>514</v>
      </c>
      <c r="N1516" s="47" t="s">
        <v>515</v>
      </c>
      <c r="O1516" s="54" t="s">
        <v>371</v>
      </c>
      <c r="P1516" s="44" t="s">
        <v>309</v>
      </c>
      <c r="Q1516" s="59" t="str">
        <f>MID(Tabla1[[#This Row],[Aplicación]],14,1)</f>
        <v>2</v>
      </c>
      <c r="R1516" s="35" t="s">
        <v>298</v>
      </c>
      <c r="S1516" s="59" t="str">
        <f>MID(Tabla1[[#This Row],[Aplicación]],6,2)</f>
        <v>06</v>
      </c>
      <c r="T1516" s="35" t="str">
        <f>VLOOKUP(Tabla1[[#This Row],[AREA]],Hoja1!A:B,2,FALSE)</f>
        <v>06. Educación, infancia, juventud e igualdad</v>
      </c>
      <c r="U1516" s="35" t="str">
        <f>MID(Tabla1[[#This Row],[Aplicación]],9,4)</f>
        <v>3232</v>
      </c>
      <c r="V1516" s="35" t="str">
        <f>VLOOKUP(Tabla1[[#This Row],[PROGRAMA]],Hoja1!A:B,2,FALSE)</f>
        <v>3232. Conservación y mantenimiento centros educación infantil y primaria</v>
      </c>
      <c r="W1516" s="56" t="str">
        <f>MID(Tabla1[[#This Row],[Aplicación]],14,2)</f>
        <v>21</v>
      </c>
      <c r="X1516" s="56" t="str">
        <f>MID(Tabla1[[#This Row],[Aplicación]],14,6)</f>
        <v>213</v>
      </c>
    </row>
    <row r="1517" spans="1:24" x14ac:dyDescent="0.25">
      <c r="A1517" s="55">
        <v>220230008973</v>
      </c>
      <c r="B1517" s="47" t="s">
        <v>507</v>
      </c>
      <c r="C1517" s="52">
        <v>45002</v>
      </c>
      <c r="D1517" s="46">
        <v>22023003172</v>
      </c>
      <c r="E1517" s="47" t="s">
        <v>1318</v>
      </c>
      <c r="F1517" s="53">
        <v>6759.42</v>
      </c>
      <c r="G1517" s="47" t="s">
        <v>2844</v>
      </c>
      <c r="H1517" s="47" t="s">
        <v>2845</v>
      </c>
      <c r="I1517" s="46" t="s">
        <v>511</v>
      </c>
      <c r="J1517" s="47" t="s">
        <v>519</v>
      </c>
      <c r="K1517" s="47" t="s">
        <v>519</v>
      </c>
      <c r="L1517" s="47" t="s">
        <v>652</v>
      </c>
      <c r="M1517" s="47" t="s">
        <v>976</v>
      </c>
      <c r="N1517" s="47" t="s">
        <v>839</v>
      </c>
      <c r="O1517" s="54" t="s">
        <v>383</v>
      </c>
      <c r="P1517" s="44" t="s">
        <v>309</v>
      </c>
      <c r="Q1517" s="59" t="str">
        <f>MID(Tabla1[[#This Row],[Aplicación]],14,1)</f>
        <v>2</v>
      </c>
      <c r="R1517" s="35" t="s">
        <v>298</v>
      </c>
      <c r="S1517" s="59" t="str">
        <f>MID(Tabla1[[#This Row],[Aplicación]],6,2)</f>
        <v>05</v>
      </c>
      <c r="T1517" s="35" t="str">
        <f>VLOOKUP(Tabla1[[#This Row],[AREA]],Hoja1!A:B,2,FALSE)</f>
        <v>05. Innovación, desarrollo económico, empleo y comercio</v>
      </c>
      <c r="U1517" s="35" t="str">
        <f>MID(Tabla1[[#This Row],[Aplicación]],9,4)</f>
        <v>4331</v>
      </c>
      <c r="V1517" s="35" t="str">
        <f>VLOOKUP(Tabla1[[#This Row],[PROGRAMA]],Hoja1!A:B,2,FALSE)</f>
        <v>4331. Desarrollo empresarial</v>
      </c>
      <c r="W1517" s="56" t="str">
        <f>MID(Tabla1[[#This Row],[Aplicación]],14,2)</f>
        <v>22</v>
      </c>
      <c r="X1517" s="56" t="str">
        <f>MID(Tabla1[[#This Row],[Aplicación]],14,6)</f>
        <v>22699</v>
      </c>
    </row>
    <row r="1518" spans="1:24" x14ac:dyDescent="0.25">
      <c r="A1518" s="46">
        <v>220230008585</v>
      </c>
      <c r="B1518" s="47" t="s">
        <v>507</v>
      </c>
      <c r="C1518" s="52">
        <v>45000</v>
      </c>
      <c r="D1518" s="46">
        <v>22023002988</v>
      </c>
      <c r="E1518" s="47" t="s">
        <v>1479</v>
      </c>
      <c r="F1518" s="53">
        <v>605</v>
      </c>
      <c r="G1518" s="47" t="s">
        <v>1650</v>
      </c>
      <c r="H1518" s="47" t="s">
        <v>2846</v>
      </c>
      <c r="I1518" s="46" t="s">
        <v>511</v>
      </c>
      <c r="J1518" s="47" t="s">
        <v>1652</v>
      </c>
      <c r="K1518" s="47" t="s">
        <v>545</v>
      </c>
      <c r="L1518" s="47" t="s">
        <v>520</v>
      </c>
      <c r="M1518" s="47" t="s">
        <v>976</v>
      </c>
      <c r="N1518" s="47" t="s">
        <v>839</v>
      </c>
      <c r="O1518" s="54" t="s">
        <v>383</v>
      </c>
      <c r="P1518" s="44" t="s">
        <v>309</v>
      </c>
      <c r="Q1518" s="59" t="str">
        <f>MID(Tabla1[[#This Row],[Aplicación]],14,1)</f>
        <v>2</v>
      </c>
      <c r="R1518" s="35" t="s">
        <v>298</v>
      </c>
      <c r="S1518" s="59" t="str">
        <f>MID(Tabla1[[#This Row],[Aplicación]],6,2)</f>
        <v>03</v>
      </c>
      <c r="T1518" s="35" t="str">
        <f>VLOOKUP(Tabla1[[#This Row],[AREA]],Hoja1!A:B,2,FALSE)</f>
        <v>03. Participación ciudadana y deportes</v>
      </c>
      <c r="U1518" s="35" t="str">
        <f>MID(Tabla1[[#This Row],[Aplicación]],9,4)</f>
        <v>9241</v>
      </c>
      <c r="V1518" s="35" t="str">
        <f>VLOOKUP(Tabla1[[#This Row],[PROGRAMA]],Hoja1!A:B,2,FALSE)</f>
        <v>9241. Participación ciudadana</v>
      </c>
      <c r="W1518" s="56" t="str">
        <f>MID(Tabla1[[#This Row],[Aplicación]],14,2)</f>
        <v>22</v>
      </c>
      <c r="X1518" s="56" t="str">
        <f>MID(Tabla1[[#This Row],[Aplicación]],14,6)</f>
        <v>22609</v>
      </c>
    </row>
    <row r="1519" spans="1:24" x14ac:dyDescent="0.25">
      <c r="A1519" s="46">
        <v>220230005924</v>
      </c>
      <c r="B1519" s="47" t="s">
        <v>507</v>
      </c>
      <c r="C1519" s="52">
        <v>44980</v>
      </c>
      <c r="D1519" s="46">
        <v>22023002653</v>
      </c>
      <c r="E1519" s="47" t="s">
        <v>1191</v>
      </c>
      <c r="F1519" s="53">
        <v>462.71</v>
      </c>
      <c r="G1519" s="47" t="s">
        <v>425</v>
      </c>
      <c r="H1519" s="47" t="s">
        <v>2847</v>
      </c>
      <c r="I1519" s="46" t="s">
        <v>511</v>
      </c>
      <c r="J1519" s="47" t="s">
        <v>519</v>
      </c>
      <c r="K1519" s="47" t="s">
        <v>519</v>
      </c>
      <c r="L1519" s="47" t="s">
        <v>552</v>
      </c>
      <c r="M1519" s="47" t="s">
        <v>976</v>
      </c>
      <c r="N1519" s="47" t="s">
        <v>839</v>
      </c>
      <c r="O1519" s="45" t="s">
        <v>383</v>
      </c>
      <c r="P1519" s="44" t="s">
        <v>309</v>
      </c>
      <c r="Q1519" s="59" t="str">
        <f>MID(Tabla1[[#This Row],[Aplicación]],14,1)</f>
        <v>2</v>
      </c>
      <c r="R1519" s="35" t="s">
        <v>298</v>
      </c>
      <c r="S1519" s="59" t="str">
        <f>MID(Tabla1[[#This Row],[Aplicación]],6,2)</f>
        <v>06</v>
      </c>
      <c r="T1519" s="35" t="str">
        <f>VLOOKUP(Tabla1[[#This Row],[AREA]],Hoja1!A:B,2,FALSE)</f>
        <v>06. Educación, infancia, juventud e igualdad</v>
      </c>
      <c r="U1519" s="35" t="str">
        <f>MID(Tabla1[[#This Row],[Aplicación]],9,4)</f>
        <v>2315</v>
      </c>
      <c r="V1519" s="35" t="str">
        <f>VLOOKUP(Tabla1[[#This Row],[PROGRAMA]],Hoja1!A:B,2,FALSE)</f>
        <v>2315. Políticas de Igualdad e infancia</v>
      </c>
      <c r="W1519" s="56" t="str">
        <f>MID(Tabla1[[#This Row],[Aplicación]],14,2)</f>
        <v>22</v>
      </c>
      <c r="X1519" s="56" t="str">
        <f>MID(Tabla1[[#This Row],[Aplicación]],14,6)</f>
        <v>22611</v>
      </c>
    </row>
    <row r="1520" spans="1:24" x14ac:dyDescent="0.25">
      <c r="A1520" s="46">
        <v>220230006727</v>
      </c>
      <c r="B1520" s="47" t="s">
        <v>507</v>
      </c>
      <c r="C1520" s="52">
        <v>44986</v>
      </c>
      <c r="D1520" s="46">
        <v>22023002679</v>
      </c>
      <c r="E1520" s="47" t="s">
        <v>2785</v>
      </c>
      <c r="F1520" s="53">
        <v>1497.13</v>
      </c>
      <c r="G1520" s="47" t="s">
        <v>2848</v>
      </c>
      <c r="H1520" s="47" t="s">
        <v>2849</v>
      </c>
      <c r="I1520" s="46" t="s">
        <v>511</v>
      </c>
      <c r="J1520" s="47" t="s">
        <v>519</v>
      </c>
      <c r="K1520" s="47" t="s">
        <v>519</v>
      </c>
      <c r="L1520" s="47" t="s">
        <v>520</v>
      </c>
      <c r="M1520" s="47" t="s">
        <v>976</v>
      </c>
      <c r="N1520" s="47" t="s">
        <v>839</v>
      </c>
      <c r="O1520" s="45" t="s">
        <v>383</v>
      </c>
      <c r="P1520" s="44" t="s">
        <v>309</v>
      </c>
      <c r="Q1520" s="59" t="str">
        <f>MID(Tabla1[[#This Row],[Aplicación]],14,1)</f>
        <v>2</v>
      </c>
      <c r="R1520" s="35" t="s">
        <v>298</v>
      </c>
      <c r="S1520" s="59" t="str">
        <f>MID(Tabla1[[#This Row],[Aplicación]],6,2)</f>
        <v>06</v>
      </c>
      <c r="T1520" s="35" t="str">
        <f>VLOOKUP(Tabla1[[#This Row],[AREA]],Hoja1!A:B,2,FALSE)</f>
        <v>06. Educación, infancia, juventud e igualdad</v>
      </c>
      <c r="U1520" s="35" t="str">
        <f>MID(Tabla1[[#This Row],[Aplicación]],9,4)</f>
        <v>3321</v>
      </c>
      <c r="V1520" s="35" t="str">
        <f>VLOOKUP(Tabla1[[#This Row],[PROGRAMA]],Hoja1!A:B,2,FALSE)</f>
        <v>3321. Bibliotecas públicas</v>
      </c>
      <c r="W1520" s="56" t="str">
        <f>MID(Tabla1[[#This Row],[Aplicación]],14,2)</f>
        <v>21</v>
      </c>
      <c r="X1520" s="56" t="str">
        <f>MID(Tabla1[[#This Row],[Aplicación]],14,6)</f>
        <v>212</v>
      </c>
    </row>
    <row r="1521" spans="1:24" x14ac:dyDescent="0.25">
      <c r="A1521" s="46">
        <v>220230003626</v>
      </c>
      <c r="B1521" s="47" t="s">
        <v>507</v>
      </c>
      <c r="C1521" s="52">
        <v>44973</v>
      </c>
      <c r="D1521" s="46">
        <v>22023002016</v>
      </c>
      <c r="E1521" s="47" t="s">
        <v>2850</v>
      </c>
      <c r="F1521" s="53">
        <v>323.07</v>
      </c>
      <c r="G1521" s="47" t="s">
        <v>437</v>
      </c>
      <c r="H1521" s="47" t="s">
        <v>2851</v>
      </c>
      <c r="I1521" s="46" t="s">
        <v>511</v>
      </c>
      <c r="J1521" s="47" t="s">
        <v>519</v>
      </c>
      <c r="K1521" s="47" t="s">
        <v>519</v>
      </c>
      <c r="L1521" s="47" t="s">
        <v>552</v>
      </c>
      <c r="M1521" s="47" t="s">
        <v>976</v>
      </c>
      <c r="N1521" s="47" t="s">
        <v>839</v>
      </c>
      <c r="O1521" s="45" t="s">
        <v>383</v>
      </c>
      <c r="P1521" s="44" t="s">
        <v>309</v>
      </c>
      <c r="Q1521" s="59" t="str">
        <f>MID(Tabla1[[#This Row],[Aplicación]],14,1)</f>
        <v>2</v>
      </c>
      <c r="R1521" s="35" t="s">
        <v>298</v>
      </c>
      <c r="S1521" s="59" t="str">
        <f>MID(Tabla1[[#This Row],[Aplicación]],6,2)</f>
        <v>01</v>
      </c>
      <c r="T1521" s="35" t="str">
        <f>VLOOKUP(Tabla1[[#This Row],[AREA]],Hoja1!A:B,2,FALSE)</f>
        <v>01. Alcaldía</v>
      </c>
      <c r="U1521" s="35" t="str">
        <f>MID(Tabla1[[#This Row],[Aplicación]],9,4)</f>
        <v>9203</v>
      </c>
      <c r="V1521" s="35" t="str">
        <f>VLOOKUP(Tabla1[[#This Row],[PROGRAMA]],Hoja1!A:B,2,FALSE)</f>
        <v>9203. Unidad de régimen interior</v>
      </c>
      <c r="W1521" s="56" t="str">
        <f>MID(Tabla1[[#This Row],[Aplicación]],14,2)</f>
        <v>22</v>
      </c>
      <c r="X1521" s="56" t="str">
        <f>MID(Tabla1[[#This Row],[Aplicación]],14,6)</f>
        <v>22699</v>
      </c>
    </row>
    <row r="1522" spans="1:24" x14ac:dyDescent="0.25">
      <c r="A1522" s="46">
        <v>220230006889</v>
      </c>
      <c r="B1522" s="47" t="s">
        <v>1514</v>
      </c>
      <c r="C1522" s="52">
        <v>44987</v>
      </c>
      <c r="D1522" s="46">
        <v>22023002138</v>
      </c>
      <c r="E1522" s="47" t="s">
        <v>2852</v>
      </c>
      <c r="F1522" s="53">
        <v>120.65</v>
      </c>
      <c r="G1522" s="47" t="s">
        <v>1857</v>
      </c>
      <c r="H1522" s="47" t="s">
        <v>2853</v>
      </c>
      <c r="I1522" s="46" t="s">
        <v>1517</v>
      </c>
      <c r="J1522" s="47" t="s">
        <v>519</v>
      </c>
      <c r="K1522" s="47" t="s">
        <v>519</v>
      </c>
      <c r="L1522" s="47" t="s">
        <v>520</v>
      </c>
      <c r="M1522" s="47" t="s">
        <v>514</v>
      </c>
      <c r="N1522" s="47" t="s">
        <v>515</v>
      </c>
      <c r="O1522" s="45" t="s">
        <v>382</v>
      </c>
      <c r="P1522" s="44" t="s">
        <v>309</v>
      </c>
      <c r="Q1522" s="59" t="str">
        <f>MID(Tabla1[[#This Row],[Aplicación]],14,1)</f>
        <v>2</v>
      </c>
      <c r="R1522" s="35" t="s">
        <v>298</v>
      </c>
      <c r="S1522" s="59" t="str">
        <f>MID(Tabla1[[#This Row],[Aplicación]],6,2)</f>
        <v>08</v>
      </c>
      <c r="T1522" s="35" t="str">
        <f>VLOOKUP(Tabla1[[#This Row],[AREA]],Hoja1!A:B,2,FALSE)</f>
        <v>08. Movilidad y espacio urbano</v>
      </c>
      <c r="U1522" s="56" t="str">
        <f>MID(Tabla1[[#This Row],[Aplicación]],9,4)</f>
        <v>1341</v>
      </c>
      <c r="V1522" s="35" t="str">
        <f>VLOOKUP(Tabla1[[#This Row],[PROGRAMA]],Hoja1!A:B,2,FALSE)</f>
        <v>1341. Movilidad</v>
      </c>
      <c r="W1522" s="56" t="str">
        <f>MID(Tabla1[[#This Row],[Aplicación]],14,2)</f>
        <v>21</v>
      </c>
      <c r="X1522" s="56" t="str">
        <f>MID(Tabla1[[#This Row],[Aplicación]],14,6)</f>
        <v>214</v>
      </c>
    </row>
    <row r="1523" spans="1:24" x14ac:dyDescent="0.25">
      <c r="A1523" s="55">
        <v>220230008968</v>
      </c>
      <c r="B1523" s="47" t="s">
        <v>507</v>
      </c>
      <c r="C1523" s="52">
        <v>45002</v>
      </c>
      <c r="D1523" s="46">
        <v>22023003094</v>
      </c>
      <c r="E1523" s="47" t="s">
        <v>1155</v>
      </c>
      <c r="F1523" s="53">
        <v>722.98</v>
      </c>
      <c r="G1523" s="47" t="s">
        <v>437</v>
      </c>
      <c r="H1523" s="47" t="s">
        <v>2854</v>
      </c>
      <c r="I1523" s="46" t="s">
        <v>511</v>
      </c>
      <c r="J1523" s="47" t="s">
        <v>519</v>
      </c>
      <c r="K1523" s="47" t="s">
        <v>519</v>
      </c>
      <c r="L1523" s="47" t="s">
        <v>520</v>
      </c>
      <c r="M1523" s="47" t="s">
        <v>976</v>
      </c>
      <c r="N1523" s="47" t="s">
        <v>839</v>
      </c>
      <c r="O1523" s="54" t="s">
        <v>383</v>
      </c>
      <c r="P1523" s="44" t="s">
        <v>309</v>
      </c>
      <c r="Q1523" s="59" t="str">
        <f>MID(Tabla1[[#This Row],[Aplicación]],14,1)</f>
        <v>2</v>
      </c>
      <c r="R1523" s="35" t="s">
        <v>298</v>
      </c>
      <c r="S1523" s="59" t="str">
        <f>MID(Tabla1[[#This Row],[Aplicación]],6,2)</f>
        <v>06</v>
      </c>
      <c r="T1523" s="35" t="str">
        <f>VLOOKUP(Tabla1[[#This Row],[AREA]],Hoja1!A:B,2,FALSE)</f>
        <v>06. Educación, infancia, juventud e igualdad</v>
      </c>
      <c r="U1523" s="35" t="str">
        <f>MID(Tabla1[[#This Row],[Aplicación]],9,4)</f>
        <v>2314</v>
      </c>
      <c r="V1523" s="35" t="str">
        <f>VLOOKUP(Tabla1[[#This Row],[PROGRAMA]],Hoja1!A:B,2,FALSE)</f>
        <v>2314. Centro de programas juveniles</v>
      </c>
      <c r="W1523" s="56" t="str">
        <f>MID(Tabla1[[#This Row],[Aplicación]],14,2)</f>
        <v>21</v>
      </c>
      <c r="X1523" s="56" t="str">
        <f>MID(Tabla1[[#This Row],[Aplicación]],14,6)</f>
        <v>213</v>
      </c>
    </row>
    <row r="1524" spans="1:24" x14ac:dyDescent="0.25">
      <c r="A1524" s="46">
        <v>220230005920</v>
      </c>
      <c r="B1524" s="47" t="s">
        <v>507</v>
      </c>
      <c r="C1524" s="52">
        <v>44980</v>
      </c>
      <c r="D1524" s="46">
        <v>22023002627</v>
      </c>
      <c r="E1524" s="47" t="s">
        <v>616</v>
      </c>
      <c r="F1524" s="53">
        <v>84.65</v>
      </c>
      <c r="G1524" s="47" t="s">
        <v>1621</v>
      </c>
      <c r="H1524" s="47" t="s">
        <v>2205</v>
      </c>
      <c r="I1524" s="46" t="s">
        <v>511</v>
      </c>
      <c r="J1524" s="47" t="s">
        <v>1623</v>
      </c>
      <c r="K1524" s="47" t="s">
        <v>1624</v>
      </c>
      <c r="L1524" s="47" t="s">
        <v>520</v>
      </c>
      <c r="M1524" s="47" t="s">
        <v>514</v>
      </c>
      <c r="N1524" s="47" t="s">
        <v>515</v>
      </c>
      <c r="O1524" s="45" t="s">
        <v>371</v>
      </c>
      <c r="P1524" s="44" t="s">
        <v>309</v>
      </c>
      <c r="Q1524" s="59" t="str">
        <f>MID(Tabla1[[#This Row],[Aplicación]],14,1)</f>
        <v>2</v>
      </c>
      <c r="R1524" s="35" t="s">
        <v>298</v>
      </c>
      <c r="S1524" s="59" t="str">
        <f>MID(Tabla1[[#This Row],[Aplicación]],6,2)</f>
        <v>10</v>
      </c>
      <c r="T1524" s="35" t="str">
        <f>VLOOKUP(Tabla1[[#This Row],[AREA]],Hoja1!A:B,2,FALSE)</f>
        <v>10. Servicios sociales y mediación comunitaria</v>
      </c>
      <c r="U1524" s="35" t="str">
        <f>MID(Tabla1[[#This Row],[Aplicación]],9,4)</f>
        <v>2412</v>
      </c>
      <c r="V1524" s="35" t="str">
        <f>VLOOKUP(Tabla1[[#This Row],[PROGRAMA]],Hoja1!A:B,2,FALSE)</f>
        <v>2412. Formación para el empleo</v>
      </c>
      <c r="W1524" s="56" t="str">
        <f>MID(Tabla1[[#This Row],[Aplicación]],14,2)</f>
        <v>21</v>
      </c>
      <c r="X1524" s="56" t="str">
        <f>MID(Tabla1[[#This Row],[Aplicación]],14,6)</f>
        <v>213</v>
      </c>
    </row>
    <row r="1525" spans="1:24" x14ac:dyDescent="0.25">
      <c r="A1525" s="46">
        <v>220230007160</v>
      </c>
      <c r="B1525" s="47" t="s">
        <v>507</v>
      </c>
      <c r="C1525" s="52">
        <v>44987</v>
      </c>
      <c r="D1525" s="46">
        <v>22023002892</v>
      </c>
      <c r="E1525" s="47" t="s">
        <v>1315</v>
      </c>
      <c r="F1525" s="53">
        <v>1210</v>
      </c>
      <c r="G1525" s="47" t="s">
        <v>1879</v>
      </c>
      <c r="H1525" s="47" t="s">
        <v>2855</v>
      </c>
      <c r="I1525" s="46" t="s">
        <v>511</v>
      </c>
      <c r="J1525" s="47" t="s">
        <v>545</v>
      </c>
      <c r="K1525" s="47" t="s">
        <v>545</v>
      </c>
      <c r="L1525" s="47" t="s">
        <v>520</v>
      </c>
      <c r="M1525" s="47" t="s">
        <v>514</v>
      </c>
      <c r="N1525" s="47" t="s">
        <v>515</v>
      </c>
      <c r="O1525" s="45" t="s">
        <v>382</v>
      </c>
      <c r="P1525" s="44" t="s">
        <v>309</v>
      </c>
      <c r="Q1525" s="59" t="str">
        <f>MID(Tabla1[[#This Row],[Aplicación]],14,1)</f>
        <v>2</v>
      </c>
      <c r="R1525" s="35" t="s">
        <v>298</v>
      </c>
      <c r="S1525" s="59" t="str">
        <f>MID(Tabla1[[#This Row],[Aplicación]],6,2)</f>
        <v>01</v>
      </c>
      <c r="T1525" s="35" t="str">
        <f>VLOOKUP(Tabla1[[#This Row],[AREA]],Hoja1!A:B,2,FALSE)</f>
        <v>01. Alcaldía</v>
      </c>
      <c r="U1525" s="35" t="str">
        <f>MID(Tabla1[[#This Row],[Aplicación]],9,4)</f>
        <v>9207</v>
      </c>
      <c r="V1525" s="35" t="str">
        <f>VLOOKUP(Tabla1[[#This Row],[PROGRAMA]],Hoja1!A:B,2,FALSE)</f>
        <v>9207. Gobierno y relaciones</v>
      </c>
      <c r="W1525" s="56" t="str">
        <f>MID(Tabla1[[#This Row],[Aplicación]],14,2)</f>
        <v>22</v>
      </c>
      <c r="X1525" s="56" t="str">
        <f>MID(Tabla1[[#This Row],[Aplicación]],14,6)</f>
        <v>22602</v>
      </c>
    </row>
    <row r="1526" spans="1:24" x14ac:dyDescent="0.25">
      <c r="A1526" s="46">
        <v>220230006877</v>
      </c>
      <c r="B1526" s="47" t="s">
        <v>1514</v>
      </c>
      <c r="C1526" s="52">
        <v>44987</v>
      </c>
      <c r="D1526" s="46">
        <v>22023001608</v>
      </c>
      <c r="E1526" s="47" t="s">
        <v>1728</v>
      </c>
      <c r="F1526" s="53">
        <v>35.74</v>
      </c>
      <c r="G1526" s="47" t="s">
        <v>2705</v>
      </c>
      <c r="H1526" s="47" t="s">
        <v>2856</v>
      </c>
      <c r="I1526" s="46" t="s">
        <v>1517</v>
      </c>
      <c r="J1526" s="47" t="s">
        <v>519</v>
      </c>
      <c r="K1526" s="47" t="s">
        <v>519</v>
      </c>
      <c r="L1526" s="47" t="s">
        <v>520</v>
      </c>
      <c r="M1526" s="47" t="s">
        <v>514</v>
      </c>
      <c r="N1526" s="47" t="s">
        <v>515</v>
      </c>
      <c r="O1526" s="45" t="s">
        <v>382</v>
      </c>
      <c r="P1526" s="44" t="s">
        <v>309</v>
      </c>
      <c r="Q1526" s="59" t="str">
        <f>MID(Tabla1[[#This Row],[Aplicación]],14,1)</f>
        <v>2</v>
      </c>
      <c r="R1526" s="35" t="s">
        <v>298</v>
      </c>
      <c r="S1526" s="59" t="str">
        <f>MID(Tabla1[[#This Row],[Aplicación]],6,2)</f>
        <v>08</v>
      </c>
      <c r="T1526" s="35" t="str">
        <f>VLOOKUP(Tabla1[[#This Row],[AREA]],Hoja1!A:B,2,FALSE)</f>
        <v>08. Movilidad y espacio urbano</v>
      </c>
      <c r="U1526" s="35" t="str">
        <f>MID(Tabla1[[#This Row],[Aplicación]],9,4)</f>
        <v>1532</v>
      </c>
      <c r="V1526" s="35" t="str">
        <f>VLOOKUP(Tabla1[[#This Row],[PROGRAMA]],Hoja1!A:B,2,FALSE)</f>
        <v>1532. Pavimentación vias públicas y otros servicios urbanísticos</v>
      </c>
      <c r="W1526" s="56" t="str">
        <f>MID(Tabla1[[#This Row],[Aplicación]],14,2)</f>
        <v>21</v>
      </c>
      <c r="X1526" s="56" t="str">
        <f>MID(Tabla1[[#This Row],[Aplicación]],14,6)</f>
        <v>214</v>
      </c>
    </row>
    <row r="1527" spans="1:24" x14ac:dyDescent="0.25">
      <c r="A1527" s="46">
        <v>220230007351</v>
      </c>
      <c r="B1527" s="47" t="s">
        <v>507</v>
      </c>
      <c r="C1527" s="52">
        <v>44988</v>
      </c>
      <c r="D1527" s="46">
        <v>22023002176</v>
      </c>
      <c r="E1527" s="47" t="s">
        <v>2857</v>
      </c>
      <c r="F1527" s="53">
        <v>30976</v>
      </c>
      <c r="G1527" s="47" t="s">
        <v>429</v>
      </c>
      <c r="H1527" s="47" t="s">
        <v>2858</v>
      </c>
      <c r="I1527" s="46" t="s">
        <v>511</v>
      </c>
      <c r="J1527" s="47" t="s">
        <v>2859</v>
      </c>
      <c r="K1527" s="47" t="s">
        <v>853</v>
      </c>
      <c r="L1527" s="47" t="s">
        <v>552</v>
      </c>
      <c r="M1527" s="47" t="s">
        <v>514</v>
      </c>
      <c r="N1527" s="47" t="s">
        <v>515</v>
      </c>
      <c r="O1527" s="54" t="s">
        <v>371</v>
      </c>
      <c r="P1527" s="44" t="s">
        <v>309</v>
      </c>
      <c r="Q1527" s="59" t="str">
        <f>MID(Tabla1[[#This Row],[Aplicación]],14,1)</f>
        <v>2</v>
      </c>
      <c r="R1527" s="35" t="s">
        <v>298</v>
      </c>
      <c r="S1527" s="59" t="str">
        <f>MID(Tabla1[[#This Row],[Aplicación]],6,2)</f>
        <v>11</v>
      </c>
      <c r="T1527" s="35" t="str">
        <f>VLOOKUP(Tabla1[[#This Row],[AREA]],Hoja1!A:B,2,FALSE)</f>
        <v>11. Salud pública y seguridad ciudadana</v>
      </c>
      <c r="U1527" s="35" t="str">
        <f>MID(Tabla1[[#This Row],[Aplicación]],9,4)</f>
        <v>1361</v>
      </c>
      <c r="V1527" s="35" t="str">
        <f>VLOOKUP(Tabla1[[#This Row],[PROGRAMA]],Hoja1!A:B,2,FALSE)</f>
        <v>1361. Prevención y extinción de incencios</v>
      </c>
      <c r="W1527" s="56" t="str">
        <f>MID(Tabla1[[#This Row],[Aplicación]],14,2)</f>
        <v>22</v>
      </c>
      <c r="X1527" s="56" t="str">
        <f>MID(Tabla1[[#This Row],[Aplicación]],14,6)</f>
        <v>22104</v>
      </c>
    </row>
    <row r="1528" spans="1:24" x14ac:dyDescent="0.25">
      <c r="A1528" s="46">
        <v>220230007349</v>
      </c>
      <c r="B1528" s="47" t="s">
        <v>507</v>
      </c>
      <c r="C1528" s="52">
        <v>44988</v>
      </c>
      <c r="D1528" s="46">
        <v>22023002173</v>
      </c>
      <c r="E1528" s="47" t="s">
        <v>2857</v>
      </c>
      <c r="F1528" s="53">
        <v>24805</v>
      </c>
      <c r="G1528" s="47" t="s">
        <v>429</v>
      </c>
      <c r="H1528" s="47" t="s">
        <v>2860</v>
      </c>
      <c r="I1528" s="46" t="s">
        <v>511</v>
      </c>
      <c r="J1528" s="47" t="s">
        <v>2859</v>
      </c>
      <c r="K1528" s="47" t="s">
        <v>853</v>
      </c>
      <c r="L1528" s="47" t="s">
        <v>552</v>
      </c>
      <c r="M1528" s="47" t="s">
        <v>514</v>
      </c>
      <c r="N1528" s="47" t="s">
        <v>515</v>
      </c>
      <c r="O1528" s="45" t="s">
        <v>371</v>
      </c>
      <c r="P1528" s="44" t="s">
        <v>309</v>
      </c>
      <c r="Q1528" s="59" t="str">
        <f>MID(Tabla1[[#This Row],[Aplicación]],14,1)</f>
        <v>2</v>
      </c>
      <c r="R1528" s="35" t="s">
        <v>298</v>
      </c>
      <c r="S1528" s="59" t="str">
        <f>MID(Tabla1[[#This Row],[Aplicación]],6,2)</f>
        <v>11</v>
      </c>
      <c r="T1528" s="35" t="str">
        <f>VLOOKUP(Tabla1[[#This Row],[AREA]],Hoja1!A:B,2,FALSE)</f>
        <v>11. Salud pública y seguridad ciudadana</v>
      </c>
      <c r="U1528" s="35" t="str">
        <f>MID(Tabla1[[#This Row],[Aplicación]],9,4)</f>
        <v>1361</v>
      </c>
      <c r="V1528" s="35" t="str">
        <f>VLOOKUP(Tabla1[[#This Row],[PROGRAMA]],Hoja1!A:B,2,FALSE)</f>
        <v>1361. Prevención y extinción de incencios</v>
      </c>
      <c r="W1528" s="56" t="str">
        <f>MID(Tabla1[[#This Row],[Aplicación]],14,2)</f>
        <v>22</v>
      </c>
      <c r="X1528" s="56" t="str">
        <f>MID(Tabla1[[#This Row],[Aplicación]],14,6)</f>
        <v>22104</v>
      </c>
    </row>
    <row r="1529" spans="1:24" x14ac:dyDescent="0.25">
      <c r="A1529" s="46">
        <v>220230007357</v>
      </c>
      <c r="B1529" s="47" t="s">
        <v>507</v>
      </c>
      <c r="C1529" s="52">
        <v>44988</v>
      </c>
      <c r="D1529" s="46">
        <v>22023002887</v>
      </c>
      <c r="E1529" s="47" t="s">
        <v>1072</v>
      </c>
      <c r="F1529" s="53">
        <v>7260</v>
      </c>
      <c r="G1529" s="47" t="s">
        <v>384</v>
      </c>
      <c r="H1529" s="47" t="s">
        <v>2861</v>
      </c>
      <c r="I1529" s="46" t="s">
        <v>511</v>
      </c>
      <c r="J1529" s="47" t="s">
        <v>765</v>
      </c>
      <c r="K1529" s="47" t="s">
        <v>512</v>
      </c>
      <c r="L1529" s="47" t="s">
        <v>520</v>
      </c>
      <c r="M1529" s="47" t="s">
        <v>976</v>
      </c>
      <c r="N1529" s="47" t="s">
        <v>839</v>
      </c>
      <c r="O1529" s="45" t="s">
        <v>383</v>
      </c>
      <c r="P1529" s="44" t="s">
        <v>309</v>
      </c>
      <c r="Q1529" s="59" t="str">
        <f>MID(Tabla1[[#This Row],[Aplicación]],14,1)</f>
        <v>2</v>
      </c>
      <c r="R1529" s="35" t="s">
        <v>298</v>
      </c>
      <c r="S1529" s="59" t="str">
        <f>MID(Tabla1[[#This Row],[Aplicación]],6,2)</f>
        <v>07</v>
      </c>
      <c r="T1529" s="35" t="str">
        <f>VLOOKUP(Tabla1[[#This Row],[AREA]],Hoja1!A:B,2,FALSE)</f>
        <v>07. Medio ambiente y desarrollo sostenible</v>
      </c>
      <c r="U1529" s="35" t="str">
        <f>MID(Tabla1[[#This Row],[Aplicación]],9,4)</f>
        <v>1721</v>
      </c>
      <c r="V1529" s="35" t="str">
        <f>VLOOKUP(Tabla1[[#This Row],[PROGRAMA]],Hoja1!A:B,2,FALSE)</f>
        <v>1721. Protección del medio ambiente</v>
      </c>
      <c r="W1529" s="56" t="str">
        <f>MID(Tabla1[[#This Row],[Aplicación]],14,2)</f>
        <v>22</v>
      </c>
      <c r="X1529" s="56" t="str">
        <f>MID(Tabla1[[#This Row],[Aplicación]],14,6)</f>
        <v>22199</v>
      </c>
    </row>
    <row r="1530" spans="1:24" x14ac:dyDescent="0.25">
      <c r="A1530" s="46">
        <v>220230007352</v>
      </c>
      <c r="B1530" s="47" t="s">
        <v>507</v>
      </c>
      <c r="C1530" s="52">
        <v>44988</v>
      </c>
      <c r="D1530" s="46">
        <v>22023002177</v>
      </c>
      <c r="E1530" s="47" t="s">
        <v>2857</v>
      </c>
      <c r="F1530" s="53">
        <v>3630</v>
      </c>
      <c r="G1530" s="47" t="s">
        <v>468</v>
      </c>
      <c r="H1530" s="47" t="s">
        <v>2862</v>
      </c>
      <c r="I1530" s="46" t="s">
        <v>511</v>
      </c>
      <c r="J1530" s="47" t="s">
        <v>2863</v>
      </c>
      <c r="K1530" s="47" t="s">
        <v>729</v>
      </c>
      <c r="L1530" s="47" t="s">
        <v>552</v>
      </c>
      <c r="M1530" s="47" t="s">
        <v>514</v>
      </c>
      <c r="N1530" s="47" t="s">
        <v>515</v>
      </c>
      <c r="O1530" s="45" t="s">
        <v>371</v>
      </c>
      <c r="P1530" s="44" t="s">
        <v>309</v>
      </c>
      <c r="Q1530" s="59" t="str">
        <f>MID(Tabla1[[#This Row],[Aplicación]],14,1)</f>
        <v>2</v>
      </c>
      <c r="R1530" s="35" t="s">
        <v>298</v>
      </c>
      <c r="S1530" s="59" t="str">
        <f>MID(Tabla1[[#This Row],[Aplicación]],6,2)</f>
        <v>11</v>
      </c>
      <c r="T1530" s="35" t="str">
        <f>VLOOKUP(Tabla1[[#This Row],[AREA]],Hoja1!A:B,2,FALSE)</f>
        <v>11. Salud pública y seguridad ciudadana</v>
      </c>
      <c r="U1530" s="35" t="str">
        <f>MID(Tabla1[[#This Row],[Aplicación]],9,4)</f>
        <v>1361</v>
      </c>
      <c r="V1530" s="35" t="str">
        <f>VLOOKUP(Tabla1[[#This Row],[PROGRAMA]],Hoja1!A:B,2,FALSE)</f>
        <v>1361. Prevención y extinción de incencios</v>
      </c>
      <c r="W1530" s="56" t="str">
        <f>MID(Tabla1[[#This Row],[Aplicación]],14,2)</f>
        <v>22</v>
      </c>
      <c r="X1530" s="56" t="str">
        <f>MID(Tabla1[[#This Row],[Aplicación]],14,6)</f>
        <v>22104</v>
      </c>
    </row>
    <row r="1531" spans="1:24" x14ac:dyDescent="0.25">
      <c r="A1531" s="46">
        <v>220230007356</v>
      </c>
      <c r="B1531" s="47" t="s">
        <v>507</v>
      </c>
      <c r="C1531" s="52">
        <v>44988</v>
      </c>
      <c r="D1531" s="46">
        <v>22023002742</v>
      </c>
      <c r="E1531" s="47" t="s">
        <v>1318</v>
      </c>
      <c r="F1531" s="53">
        <v>9680</v>
      </c>
      <c r="G1531" s="47" t="s">
        <v>470</v>
      </c>
      <c r="H1531" s="47" t="s">
        <v>2864</v>
      </c>
      <c r="I1531" s="46" t="s">
        <v>511</v>
      </c>
      <c r="J1531" s="47" t="s">
        <v>512</v>
      </c>
      <c r="K1531" s="47" t="s">
        <v>512</v>
      </c>
      <c r="L1531" s="47" t="s">
        <v>520</v>
      </c>
      <c r="M1531" s="47" t="s">
        <v>976</v>
      </c>
      <c r="N1531" s="47" t="s">
        <v>839</v>
      </c>
      <c r="O1531" s="45" t="s">
        <v>383</v>
      </c>
      <c r="P1531" s="44" t="s">
        <v>309</v>
      </c>
      <c r="Q1531" s="59" t="str">
        <f>MID(Tabla1[[#This Row],[Aplicación]],14,1)</f>
        <v>2</v>
      </c>
      <c r="R1531" s="35" t="s">
        <v>298</v>
      </c>
      <c r="S1531" s="59" t="str">
        <f>MID(Tabla1[[#This Row],[Aplicación]],6,2)</f>
        <v>05</v>
      </c>
      <c r="T1531" s="35" t="str">
        <f>VLOOKUP(Tabla1[[#This Row],[AREA]],Hoja1!A:B,2,FALSE)</f>
        <v>05. Innovación, desarrollo económico, empleo y comercio</v>
      </c>
      <c r="U1531" s="35" t="str">
        <f>MID(Tabla1[[#This Row],[Aplicación]],9,4)</f>
        <v>4331</v>
      </c>
      <c r="V1531" s="35" t="str">
        <f>VLOOKUP(Tabla1[[#This Row],[PROGRAMA]],Hoja1!A:B,2,FALSE)</f>
        <v>4331. Desarrollo empresarial</v>
      </c>
      <c r="W1531" s="56" t="str">
        <f>MID(Tabla1[[#This Row],[Aplicación]],14,2)</f>
        <v>22</v>
      </c>
      <c r="X1531" s="56" t="str">
        <f>MID(Tabla1[[#This Row],[Aplicación]],14,6)</f>
        <v>22699</v>
      </c>
    </row>
    <row r="1532" spans="1:24" x14ac:dyDescent="0.25">
      <c r="A1532" s="55">
        <v>220230010343</v>
      </c>
      <c r="B1532" s="47" t="s">
        <v>507</v>
      </c>
      <c r="C1532" s="52">
        <v>45008</v>
      </c>
      <c r="D1532" s="46">
        <v>22023003396</v>
      </c>
      <c r="E1532" s="47" t="s">
        <v>2865</v>
      </c>
      <c r="F1532" s="53">
        <v>160</v>
      </c>
      <c r="G1532" s="47" t="s">
        <v>100</v>
      </c>
      <c r="H1532" s="47" t="s">
        <v>2866</v>
      </c>
      <c r="I1532" s="46" t="s">
        <v>511</v>
      </c>
      <c r="J1532" s="47" t="s">
        <v>519</v>
      </c>
      <c r="K1532" s="47" t="s">
        <v>519</v>
      </c>
      <c r="L1532" s="47" t="s">
        <v>552</v>
      </c>
      <c r="M1532" s="47" t="s">
        <v>976</v>
      </c>
      <c r="N1532" s="47" t="s">
        <v>839</v>
      </c>
      <c r="O1532" s="54" t="s">
        <v>383</v>
      </c>
      <c r="P1532" s="44" t="s">
        <v>309</v>
      </c>
      <c r="Q1532" s="59" t="str">
        <f>MID(Tabla1[[#This Row],[Aplicación]],14,1)</f>
        <v>2</v>
      </c>
      <c r="R1532" s="35" t="s">
        <v>298</v>
      </c>
      <c r="S1532" s="59" t="str">
        <f>MID(Tabla1[[#This Row],[Aplicación]],6,2)</f>
        <v>10</v>
      </c>
      <c r="T1532" s="35" t="str">
        <f>VLOOKUP(Tabla1[[#This Row],[AREA]],Hoja1!A:B,2,FALSE)</f>
        <v>10. Servicios sociales y mediación comunitaria</v>
      </c>
      <c r="U1532" s="35" t="str">
        <f>MID(Tabla1[[#This Row],[Aplicación]],9,4)</f>
        <v>2412</v>
      </c>
      <c r="V1532" s="35" t="str">
        <f>VLOOKUP(Tabla1[[#This Row],[PROGRAMA]],Hoja1!A:B,2,FALSE)</f>
        <v>2412. Formación para el empleo</v>
      </c>
      <c r="W1532" s="56" t="str">
        <f>MID(Tabla1[[#This Row],[Aplicación]],14,2)</f>
        <v>22</v>
      </c>
      <c r="X1532" s="56" t="str">
        <f>MID(Tabla1[[#This Row],[Aplicación]],14,6)</f>
        <v>22110</v>
      </c>
    </row>
    <row r="1533" spans="1:24" x14ac:dyDescent="0.25">
      <c r="A1533" s="46">
        <v>220230007350</v>
      </c>
      <c r="B1533" s="47" t="s">
        <v>507</v>
      </c>
      <c r="C1533" s="52">
        <v>44988</v>
      </c>
      <c r="D1533" s="46">
        <v>22023002174</v>
      </c>
      <c r="E1533" s="47" t="s">
        <v>2857</v>
      </c>
      <c r="F1533" s="53">
        <v>16879.5</v>
      </c>
      <c r="G1533" s="47" t="s">
        <v>70</v>
      </c>
      <c r="H1533" s="47" t="s">
        <v>2867</v>
      </c>
      <c r="I1533" s="46" t="s">
        <v>511</v>
      </c>
      <c r="J1533" s="47" t="s">
        <v>519</v>
      </c>
      <c r="K1533" s="47" t="s">
        <v>519</v>
      </c>
      <c r="L1533" s="47" t="s">
        <v>552</v>
      </c>
      <c r="M1533" s="47" t="s">
        <v>514</v>
      </c>
      <c r="N1533" s="47" t="s">
        <v>515</v>
      </c>
      <c r="O1533" s="45" t="s">
        <v>371</v>
      </c>
      <c r="P1533" s="44" t="s">
        <v>309</v>
      </c>
      <c r="Q1533" s="59" t="str">
        <f>MID(Tabla1[[#This Row],[Aplicación]],14,1)</f>
        <v>2</v>
      </c>
      <c r="R1533" s="35" t="s">
        <v>298</v>
      </c>
      <c r="S1533" s="59" t="str">
        <f>MID(Tabla1[[#This Row],[Aplicación]],6,2)</f>
        <v>11</v>
      </c>
      <c r="T1533" s="35" t="str">
        <f>VLOOKUP(Tabla1[[#This Row],[AREA]],Hoja1!A:B,2,FALSE)</f>
        <v>11. Salud pública y seguridad ciudadana</v>
      </c>
      <c r="U1533" s="35" t="str">
        <f>MID(Tabla1[[#This Row],[Aplicación]],9,4)</f>
        <v>1361</v>
      </c>
      <c r="V1533" s="35" t="str">
        <f>VLOOKUP(Tabla1[[#This Row],[PROGRAMA]],Hoja1!A:B,2,FALSE)</f>
        <v>1361. Prevención y extinción de incencios</v>
      </c>
      <c r="W1533" s="56" t="str">
        <f>MID(Tabla1[[#This Row],[Aplicación]],14,2)</f>
        <v>22</v>
      </c>
      <c r="X1533" s="56" t="str">
        <f>MID(Tabla1[[#This Row],[Aplicación]],14,6)</f>
        <v>22104</v>
      </c>
    </row>
    <row r="1534" spans="1:24" x14ac:dyDescent="0.25">
      <c r="A1534" s="46">
        <v>220230007353</v>
      </c>
      <c r="B1534" s="47" t="s">
        <v>1514</v>
      </c>
      <c r="C1534" s="52">
        <v>44988</v>
      </c>
      <c r="D1534" s="46">
        <v>22023002295</v>
      </c>
      <c r="E1534" s="47" t="s">
        <v>693</v>
      </c>
      <c r="F1534" s="53">
        <v>54208</v>
      </c>
      <c r="G1534" s="47" t="s">
        <v>2868</v>
      </c>
      <c r="H1534" s="47" t="s">
        <v>2869</v>
      </c>
      <c r="I1534" s="46" t="s">
        <v>1517</v>
      </c>
      <c r="J1534" s="47" t="s">
        <v>512</v>
      </c>
      <c r="K1534" s="47" t="s">
        <v>512</v>
      </c>
      <c r="L1534" s="47" t="s">
        <v>520</v>
      </c>
      <c r="M1534" s="47" t="s">
        <v>514</v>
      </c>
      <c r="N1534" s="47" t="s">
        <v>515</v>
      </c>
      <c r="O1534" s="45" t="s">
        <v>371</v>
      </c>
      <c r="P1534" s="44" t="s">
        <v>309</v>
      </c>
      <c r="Q1534" s="59" t="str">
        <f>MID(Tabla1[[#This Row],[Aplicación]],14,1)</f>
        <v>2</v>
      </c>
      <c r="R1534" s="35" t="s">
        <v>298</v>
      </c>
      <c r="S1534" s="59" t="str">
        <f>MID(Tabla1[[#This Row],[Aplicación]],6,2)</f>
        <v>11</v>
      </c>
      <c r="T1534" s="35" t="str">
        <f>VLOOKUP(Tabla1[[#This Row],[AREA]],Hoja1!A:B,2,FALSE)</f>
        <v>11. Salud pública y seguridad ciudadana</v>
      </c>
      <c r="U1534" s="35" t="str">
        <f>MID(Tabla1[[#This Row],[Aplicación]],9,4)</f>
        <v>1361</v>
      </c>
      <c r="V1534" s="35" t="str">
        <f>VLOOKUP(Tabla1[[#This Row],[PROGRAMA]],Hoja1!A:B,2,FALSE)</f>
        <v>1361. Prevención y extinción de incencios</v>
      </c>
      <c r="W1534" s="56" t="str">
        <f>MID(Tabla1[[#This Row],[Aplicación]],14,2)</f>
        <v>21</v>
      </c>
      <c r="X1534" s="56" t="str">
        <f>MID(Tabla1[[#This Row],[Aplicación]],14,6)</f>
        <v>213</v>
      </c>
    </row>
    <row r="1535" spans="1:24" x14ac:dyDescent="0.25">
      <c r="A1535" s="46">
        <v>220230007354</v>
      </c>
      <c r="B1535" s="47" t="s">
        <v>1514</v>
      </c>
      <c r="C1535" s="52">
        <v>44988</v>
      </c>
      <c r="D1535" s="46">
        <v>22023002307</v>
      </c>
      <c r="E1535" s="47" t="s">
        <v>693</v>
      </c>
      <c r="F1535" s="53">
        <v>9052.5</v>
      </c>
      <c r="G1535" s="47" t="s">
        <v>2870</v>
      </c>
      <c r="H1535" s="47" t="s">
        <v>2871</v>
      </c>
      <c r="I1535" s="46" t="s">
        <v>1517</v>
      </c>
      <c r="J1535" s="47" t="s">
        <v>2872</v>
      </c>
      <c r="K1535" s="47" t="s">
        <v>771</v>
      </c>
      <c r="L1535" s="47" t="s">
        <v>520</v>
      </c>
      <c r="M1535" s="47" t="s">
        <v>514</v>
      </c>
      <c r="N1535" s="47" t="s">
        <v>515</v>
      </c>
      <c r="O1535" s="45" t="s">
        <v>371</v>
      </c>
      <c r="P1535" s="44" t="s">
        <v>309</v>
      </c>
      <c r="Q1535" s="59" t="str">
        <f>MID(Tabla1[[#This Row],[Aplicación]],14,1)</f>
        <v>2</v>
      </c>
      <c r="R1535" s="35" t="s">
        <v>298</v>
      </c>
      <c r="S1535" s="59" t="str">
        <f>MID(Tabla1[[#This Row],[Aplicación]],6,2)</f>
        <v>11</v>
      </c>
      <c r="T1535" s="35" t="str">
        <f>VLOOKUP(Tabla1[[#This Row],[AREA]],Hoja1!A:B,2,FALSE)</f>
        <v>11. Salud pública y seguridad ciudadana</v>
      </c>
      <c r="U1535" s="35" t="str">
        <f>MID(Tabla1[[#This Row],[Aplicación]],9,4)</f>
        <v>1361</v>
      </c>
      <c r="V1535" s="35" t="str">
        <f>VLOOKUP(Tabla1[[#This Row],[PROGRAMA]],Hoja1!A:B,2,FALSE)</f>
        <v>1361. Prevención y extinción de incencios</v>
      </c>
      <c r="W1535" s="56" t="str">
        <f>MID(Tabla1[[#This Row],[Aplicación]],14,2)</f>
        <v>21</v>
      </c>
      <c r="X1535" s="56" t="str">
        <f>MID(Tabla1[[#This Row],[Aplicación]],14,6)</f>
        <v>213</v>
      </c>
    </row>
    <row r="1536" spans="1:24" x14ac:dyDescent="0.25">
      <c r="A1536" s="55">
        <v>220230010343</v>
      </c>
      <c r="B1536" s="47" t="s">
        <v>507</v>
      </c>
      <c r="C1536" s="52">
        <v>45008</v>
      </c>
      <c r="D1536" s="46">
        <v>22023003393</v>
      </c>
      <c r="E1536" s="47" t="s">
        <v>2865</v>
      </c>
      <c r="F1536" s="53">
        <v>500</v>
      </c>
      <c r="G1536" s="47" t="s">
        <v>100</v>
      </c>
      <c r="H1536" s="47" t="s">
        <v>2866</v>
      </c>
      <c r="I1536" s="46" t="s">
        <v>511</v>
      </c>
      <c r="J1536" s="47" t="s">
        <v>519</v>
      </c>
      <c r="K1536" s="47" t="s">
        <v>519</v>
      </c>
      <c r="L1536" s="47" t="s">
        <v>552</v>
      </c>
      <c r="M1536" s="47" t="s">
        <v>976</v>
      </c>
      <c r="N1536" s="47" t="s">
        <v>839</v>
      </c>
      <c r="O1536" s="54" t="s">
        <v>383</v>
      </c>
      <c r="P1536" s="44" t="s">
        <v>309</v>
      </c>
      <c r="Q1536" s="59" t="str">
        <f>MID(Tabla1[[#This Row],[Aplicación]],14,1)</f>
        <v>2</v>
      </c>
      <c r="R1536" s="35" t="s">
        <v>298</v>
      </c>
      <c r="S1536" s="59" t="str">
        <f>MID(Tabla1[[#This Row],[Aplicación]],6,2)</f>
        <v>10</v>
      </c>
      <c r="T1536" s="35" t="str">
        <f>VLOOKUP(Tabla1[[#This Row],[AREA]],Hoja1!A:B,2,FALSE)</f>
        <v>10. Servicios sociales y mediación comunitaria</v>
      </c>
      <c r="U1536" s="35" t="str">
        <f>MID(Tabla1[[#This Row],[Aplicación]],9,4)</f>
        <v>2412</v>
      </c>
      <c r="V1536" s="35" t="str">
        <f>VLOOKUP(Tabla1[[#This Row],[PROGRAMA]],Hoja1!A:B,2,FALSE)</f>
        <v>2412. Formación para el empleo</v>
      </c>
      <c r="W1536" s="56" t="str">
        <f>MID(Tabla1[[#This Row],[Aplicación]],14,2)</f>
        <v>22</v>
      </c>
      <c r="X1536" s="56" t="str">
        <f>MID(Tabla1[[#This Row],[Aplicación]],14,6)</f>
        <v>22110</v>
      </c>
    </row>
    <row r="1537" spans="1:24" x14ac:dyDescent="0.25">
      <c r="A1537" s="55">
        <v>220230011710</v>
      </c>
      <c r="B1537" s="47" t="s">
        <v>507</v>
      </c>
      <c r="C1537" s="52">
        <v>45014</v>
      </c>
      <c r="D1537" s="46">
        <v>22023003601</v>
      </c>
      <c r="E1537" s="47" t="s">
        <v>1490</v>
      </c>
      <c r="F1537" s="53">
        <v>395</v>
      </c>
      <c r="G1537" s="47" t="s">
        <v>2873</v>
      </c>
      <c r="H1537" s="47" t="s">
        <v>2874</v>
      </c>
      <c r="I1537" s="46" t="s">
        <v>511</v>
      </c>
      <c r="J1537" s="47" t="s">
        <v>519</v>
      </c>
      <c r="K1537" s="47" t="s">
        <v>519</v>
      </c>
      <c r="L1537" s="47" t="s">
        <v>520</v>
      </c>
      <c r="M1537" s="47" t="s">
        <v>976</v>
      </c>
      <c r="N1537" s="47" t="s">
        <v>839</v>
      </c>
      <c r="O1537" s="54" t="s">
        <v>383</v>
      </c>
      <c r="P1537" s="44" t="s">
        <v>309</v>
      </c>
      <c r="Q1537" s="59" t="str">
        <f>MID(Tabla1[[#This Row],[Aplicación]],14,1)</f>
        <v>2</v>
      </c>
      <c r="R1537" s="35" t="s">
        <v>298</v>
      </c>
      <c r="S1537" s="59" t="str">
        <f>MID(Tabla1[[#This Row],[Aplicación]],6,2)</f>
        <v>06</v>
      </c>
      <c r="T1537" s="35" t="str">
        <f>VLOOKUP(Tabla1[[#This Row],[AREA]],Hoja1!A:B,2,FALSE)</f>
        <v>06. Educación, infancia, juventud e igualdad</v>
      </c>
      <c r="U1537" s="35" t="str">
        <f>MID(Tabla1[[#This Row],[Aplicación]],9,4)</f>
        <v>2314</v>
      </c>
      <c r="V1537" s="35" t="str">
        <f>VLOOKUP(Tabla1[[#This Row],[PROGRAMA]],Hoja1!A:B,2,FALSE)</f>
        <v>2314. Centro de programas juveniles</v>
      </c>
      <c r="W1537" s="56" t="str">
        <f>MID(Tabla1[[#This Row],[Aplicación]],14,2)</f>
        <v>22</v>
      </c>
      <c r="X1537" s="56" t="str">
        <f>MID(Tabla1[[#This Row],[Aplicación]],14,6)</f>
        <v>22613</v>
      </c>
    </row>
    <row r="1538" spans="1:24" x14ac:dyDescent="0.25">
      <c r="A1538" s="46">
        <v>220230007411</v>
      </c>
      <c r="B1538" s="47" t="s">
        <v>1514</v>
      </c>
      <c r="C1538" s="52">
        <v>44993</v>
      </c>
      <c r="D1538" s="46">
        <v>22023001462</v>
      </c>
      <c r="E1538" s="47" t="s">
        <v>1290</v>
      </c>
      <c r="F1538" s="53">
        <v>2382.2800000000002</v>
      </c>
      <c r="G1538" s="47" t="s">
        <v>2257</v>
      </c>
      <c r="H1538" s="47" t="s">
        <v>2875</v>
      </c>
      <c r="I1538" s="46" t="s">
        <v>1517</v>
      </c>
      <c r="J1538" s="47" t="s">
        <v>519</v>
      </c>
      <c r="K1538" s="47" t="s">
        <v>519</v>
      </c>
      <c r="L1538" s="47" t="s">
        <v>552</v>
      </c>
      <c r="M1538" s="47" t="s">
        <v>514</v>
      </c>
      <c r="N1538" s="47" t="s">
        <v>515</v>
      </c>
      <c r="O1538" s="45" t="s">
        <v>382</v>
      </c>
      <c r="P1538" s="44" t="s">
        <v>309</v>
      </c>
      <c r="Q1538" s="59" t="str">
        <f>MID(Tabla1[[#This Row],[Aplicación]],14,1)</f>
        <v>2</v>
      </c>
      <c r="R1538" s="35" t="s">
        <v>298</v>
      </c>
      <c r="S1538" s="59" t="str">
        <f>MID(Tabla1[[#This Row],[Aplicación]],6,2)</f>
        <v>11</v>
      </c>
      <c r="T1538" s="35" t="str">
        <f>VLOOKUP(Tabla1[[#This Row],[AREA]],Hoja1!A:B,2,FALSE)</f>
        <v>11. Salud pública y seguridad ciudadana</v>
      </c>
      <c r="U1538" s="35" t="str">
        <f>MID(Tabla1[[#This Row],[Aplicación]],9,4)</f>
        <v>1621</v>
      </c>
      <c r="V1538" s="35" t="str">
        <f>VLOOKUP(Tabla1[[#This Row],[PROGRAMA]],Hoja1!A:B,2,FALSE)</f>
        <v>1621. Servicio de limpieza</v>
      </c>
      <c r="W1538" s="56" t="str">
        <f>MID(Tabla1[[#This Row],[Aplicación]],14,2)</f>
        <v>21</v>
      </c>
      <c r="X1538" s="56" t="str">
        <f>MID(Tabla1[[#This Row],[Aplicación]],14,6)</f>
        <v>214</v>
      </c>
    </row>
    <row r="1539" spans="1:24" x14ac:dyDescent="0.25">
      <c r="A1539" s="46">
        <v>220230007476</v>
      </c>
      <c r="B1539" s="47" t="s">
        <v>1514</v>
      </c>
      <c r="C1539" s="52">
        <v>44993</v>
      </c>
      <c r="D1539" s="46">
        <v>22023001459</v>
      </c>
      <c r="E1539" s="47" t="s">
        <v>1290</v>
      </c>
      <c r="F1539" s="53">
        <v>2094.4699999999998</v>
      </c>
      <c r="G1539" s="47" t="s">
        <v>2391</v>
      </c>
      <c r="H1539" s="47" t="s">
        <v>2876</v>
      </c>
      <c r="I1539" s="46" t="s">
        <v>1517</v>
      </c>
      <c r="J1539" s="47" t="s">
        <v>519</v>
      </c>
      <c r="K1539" s="47" t="s">
        <v>519</v>
      </c>
      <c r="L1539" s="47" t="s">
        <v>520</v>
      </c>
      <c r="M1539" s="47" t="s">
        <v>514</v>
      </c>
      <c r="N1539" s="47" t="s">
        <v>515</v>
      </c>
      <c r="O1539" s="54" t="s">
        <v>382</v>
      </c>
      <c r="P1539" s="44" t="s">
        <v>309</v>
      </c>
      <c r="Q1539" s="59" t="str">
        <f>MID(Tabla1[[#This Row],[Aplicación]],14,1)</f>
        <v>2</v>
      </c>
      <c r="R1539" s="35" t="s">
        <v>298</v>
      </c>
      <c r="S1539" s="59" t="str">
        <f>MID(Tabla1[[#This Row],[Aplicación]],6,2)</f>
        <v>11</v>
      </c>
      <c r="T1539" s="35" t="str">
        <f>VLOOKUP(Tabla1[[#This Row],[AREA]],Hoja1!A:B,2,FALSE)</f>
        <v>11. Salud pública y seguridad ciudadana</v>
      </c>
      <c r="U1539" s="35" t="str">
        <f>MID(Tabla1[[#This Row],[Aplicación]],9,4)</f>
        <v>1621</v>
      </c>
      <c r="V1539" s="35" t="str">
        <f>VLOOKUP(Tabla1[[#This Row],[PROGRAMA]],Hoja1!A:B,2,FALSE)</f>
        <v>1621. Servicio de limpieza</v>
      </c>
      <c r="W1539" s="56" t="str">
        <f>MID(Tabla1[[#This Row],[Aplicación]],14,2)</f>
        <v>21</v>
      </c>
      <c r="X1539" s="56" t="str">
        <f>MID(Tabla1[[#This Row],[Aplicación]],14,6)</f>
        <v>214</v>
      </c>
    </row>
    <row r="1540" spans="1:24" x14ac:dyDescent="0.25">
      <c r="A1540" s="46">
        <v>220230007418</v>
      </c>
      <c r="B1540" s="47" t="s">
        <v>1514</v>
      </c>
      <c r="C1540" s="52">
        <v>44993</v>
      </c>
      <c r="D1540" s="46">
        <v>22023001459</v>
      </c>
      <c r="E1540" s="47" t="s">
        <v>1290</v>
      </c>
      <c r="F1540" s="53">
        <v>623.21</v>
      </c>
      <c r="G1540" s="47" t="s">
        <v>1985</v>
      </c>
      <c r="H1540" s="47" t="s">
        <v>2877</v>
      </c>
      <c r="I1540" s="46" t="s">
        <v>1517</v>
      </c>
      <c r="J1540" s="47" t="s">
        <v>519</v>
      </c>
      <c r="K1540" s="47" t="s">
        <v>519</v>
      </c>
      <c r="L1540" s="47" t="s">
        <v>520</v>
      </c>
      <c r="M1540" s="47" t="s">
        <v>514</v>
      </c>
      <c r="N1540" s="47" t="s">
        <v>515</v>
      </c>
      <c r="O1540" s="54" t="s">
        <v>382</v>
      </c>
      <c r="P1540" s="44" t="s">
        <v>309</v>
      </c>
      <c r="Q1540" s="59" t="str">
        <f>MID(Tabla1[[#This Row],[Aplicación]],14,1)</f>
        <v>2</v>
      </c>
      <c r="R1540" s="35" t="s">
        <v>298</v>
      </c>
      <c r="S1540" s="59" t="str">
        <f>MID(Tabla1[[#This Row],[Aplicación]],6,2)</f>
        <v>11</v>
      </c>
      <c r="T1540" s="35" t="str">
        <f>VLOOKUP(Tabla1[[#This Row],[AREA]],Hoja1!A:B,2,FALSE)</f>
        <v>11. Salud pública y seguridad ciudadana</v>
      </c>
      <c r="U1540" s="35" t="str">
        <f>MID(Tabla1[[#This Row],[Aplicación]],9,4)</f>
        <v>1621</v>
      </c>
      <c r="V1540" s="35" t="str">
        <f>VLOOKUP(Tabla1[[#This Row],[PROGRAMA]],Hoja1!A:B,2,FALSE)</f>
        <v>1621. Servicio de limpieza</v>
      </c>
      <c r="W1540" s="56" t="str">
        <f>MID(Tabla1[[#This Row],[Aplicación]],14,2)</f>
        <v>21</v>
      </c>
      <c r="X1540" s="56" t="str">
        <f>MID(Tabla1[[#This Row],[Aplicación]],14,6)</f>
        <v>214</v>
      </c>
    </row>
    <row r="1541" spans="1:24" x14ac:dyDescent="0.25">
      <c r="A1541" s="46">
        <v>220230007421</v>
      </c>
      <c r="B1541" s="47" t="s">
        <v>1514</v>
      </c>
      <c r="C1541" s="52">
        <v>44993</v>
      </c>
      <c r="D1541" s="46">
        <v>22023001459</v>
      </c>
      <c r="E1541" s="47" t="s">
        <v>1290</v>
      </c>
      <c r="F1541" s="53">
        <v>122.52</v>
      </c>
      <c r="G1541" s="47" t="s">
        <v>1985</v>
      </c>
      <c r="H1541" s="47" t="s">
        <v>2878</v>
      </c>
      <c r="I1541" s="46" t="s">
        <v>1517</v>
      </c>
      <c r="J1541" s="47" t="s">
        <v>519</v>
      </c>
      <c r="K1541" s="47" t="s">
        <v>519</v>
      </c>
      <c r="L1541" s="47" t="s">
        <v>520</v>
      </c>
      <c r="M1541" s="47" t="s">
        <v>514</v>
      </c>
      <c r="N1541" s="47" t="s">
        <v>515</v>
      </c>
      <c r="O1541" s="54" t="s">
        <v>382</v>
      </c>
      <c r="P1541" s="44" t="s">
        <v>309</v>
      </c>
      <c r="Q1541" s="59" t="str">
        <f>MID(Tabla1[[#This Row],[Aplicación]],14,1)</f>
        <v>2</v>
      </c>
      <c r="R1541" s="35" t="s">
        <v>298</v>
      </c>
      <c r="S1541" s="59" t="str">
        <f>MID(Tabla1[[#This Row],[Aplicación]],6,2)</f>
        <v>11</v>
      </c>
      <c r="T1541" s="35" t="str">
        <f>VLOOKUP(Tabla1[[#This Row],[AREA]],Hoja1!A:B,2,FALSE)</f>
        <v>11. Salud pública y seguridad ciudadana</v>
      </c>
      <c r="U1541" s="35" t="str">
        <f>MID(Tabla1[[#This Row],[Aplicación]],9,4)</f>
        <v>1621</v>
      </c>
      <c r="V1541" s="35" t="str">
        <f>VLOOKUP(Tabla1[[#This Row],[PROGRAMA]],Hoja1!A:B,2,FALSE)</f>
        <v>1621. Servicio de limpieza</v>
      </c>
      <c r="W1541" s="56" t="str">
        <f>MID(Tabla1[[#This Row],[Aplicación]],14,2)</f>
        <v>21</v>
      </c>
      <c r="X1541" s="56" t="str">
        <f>MID(Tabla1[[#This Row],[Aplicación]],14,6)</f>
        <v>214</v>
      </c>
    </row>
    <row r="1542" spans="1:24" x14ac:dyDescent="0.25">
      <c r="A1542" s="46">
        <v>220230007431</v>
      </c>
      <c r="B1542" s="47" t="s">
        <v>1514</v>
      </c>
      <c r="C1542" s="52">
        <v>44993</v>
      </c>
      <c r="D1542" s="46">
        <v>22023001462</v>
      </c>
      <c r="E1542" s="47" t="s">
        <v>1290</v>
      </c>
      <c r="F1542" s="53">
        <v>2060.75</v>
      </c>
      <c r="G1542" s="47" t="s">
        <v>2636</v>
      </c>
      <c r="H1542" s="47" t="s">
        <v>2879</v>
      </c>
      <c r="I1542" s="46" t="s">
        <v>1517</v>
      </c>
      <c r="J1542" s="47" t="s">
        <v>519</v>
      </c>
      <c r="K1542" s="47" t="s">
        <v>519</v>
      </c>
      <c r="L1542" s="47" t="s">
        <v>552</v>
      </c>
      <c r="M1542" s="47" t="s">
        <v>514</v>
      </c>
      <c r="N1542" s="47" t="s">
        <v>515</v>
      </c>
      <c r="O1542" s="54" t="s">
        <v>382</v>
      </c>
      <c r="P1542" s="44" t="s">
        <v>309</v>
      </c>
      <c r="Q1542" s="59" t="str">
        <f>MID(Tabla1[[#This Row],[Aplicación]],14,1)</f>
        <v>2</v>
      </c>
      <c r="R1542" s="35" t="s">
        <v>298</v>
      </c>
      <c r="S1542" s="59" t="str">
        <f>MID(Tabla1[[#This Row],[Aplicación]],6,2)</f>
        <v>11</v>
      </c>
      <c r="T1542" s="35" t="str">
        <f>VLOOKUP(Tabla1[[#This Row],[AREA]],Hoja1!A:B,2,FALSE)</f>
        <v>11. Salud pública y seguridad ciudadana</v>
      </c>
      <c r="U1542" s="35" t="str">
        <f>MID(Tabla1[[#This Row],[Aplicación]],9,4)</f>
        <v>1621</v>
      </c>
      <c r="V1542" s="35" t="str">
        <f>VLOOKUP(Tabla1[[#This Row],[PROGRAMA]],Hoja1!A:B,2,FALSE)</f>
        <v>1621. Servicio de limpieza</v>
      </c>
      <c r="W1542" s="56" t="str">
        <f>MID(Tabla1[[#This Row],[Aplicación]],14,2)</f>
        <v>21</v>
      </c>
      <c r="X1542" s="56" t="str">
        <f>MID(Tabla1[[#This Row],[Aplicación]],14,6)</f>
        <v>214</v>
      </c>
    </row>
    <row r="1543" spans="1:24" x14ac:dyDescent="0.25">
      <c r="A1543" s="46">
        <v>220230007472</v>
      </c>
      <c r="B1543" s="47" t="s">
        <v>1514</v>
      </c>
      <c r="C1543" s="52">
        <v>44993</v>
      </c>
      <c r="D1543" s="46">
        <v>22023001466</v>
      </c>
      <c r="E1543" s="47" t="s">
        <v>2624</v>
      </c>
      <c r="F1543" s="53">
        <v>464.81</v>
      </c>
      <c r="G1543" s="47" t="s">
        <v>70</v>
      </c>
      <c r="H1543" s="47" t="s">
        <v>2880</v>
      </c>
      <c r="I1543" s="46" t="s">
        <v>1517</v>
      </c>
      <c r="J1543" s="47" t="s">
        <v>519</v>
      </c>
      <c r="K1543" s="47" t="s">
        <v>519</v>
      </c>
      <c r="L1543" s="47" t="s">
        <v>552</v>
      </c>
      <c r="M1543" s="47" t="s">
        <v>514</v>
      </c>
      <c r="N1543" s="47" t="s">
        <v>515</v>
      </c>
      <c r="O1543" s="54" t="s">
        <v>382</v>
      </c>
      <c r="P1543" s="44" t="s">
        <v>309</v>
      </c>
      <c r="Q1543" s="59" t="str">
        <f>MID(Tabla1[[#This Row],[Aplicación]],14,1)</f>
        <v>2</v>
      </c>
      <c r="R1543" s="35" t="s">
        <v>298</v>
      </c>
      <c r="S1543" s="59" t="str">
        <f>MID(Tabla1[[#This Row],[Aplicación]],6,2)</f>
        <v>11</v>
      </c>
      <c r="T1543" s="35" t="str">
        <f>VLOOKUP(Tabla1[[#This Row],[AREA]],Hoja1!A:B,2,FALSE)</f>
        <v>11. Salud pública y seguridad ciudadana</v>
      </c>
      <c r="U1543" s="35" t="str">
        <f>MID(Tabla1[[#This Row],[Aplicación]],9,4)</f>
        <v>1621</v>
      </c>
      <c r="V1543" s="35" t="str">
        <f>VLOOKUP(Tabla1[[#This Row],[PROGRAMA]],Hoja1!A:B,2,FALSE)</f>
        <v>1621. Servicio de limpieza</v>
      </c>
      <c r="W1543" s="56" t="str">
        <f>MID(Tabla1[[#This Row],[Aplicación]],14,2)</f>
        <v>22</v>
      </c>
      <c r="X1543" s="56" t="str">
        <f>MID(Tabla1[[#This Row],[Aplicación]],14,6)</f>
        <v>22199</v>
      </c>
    </row>
    <row r="1544" spans="1:24" x14ac:dyDescent="0.25">
      <c r="A1544" s="46">
        <v>220230007400</v>
      </c>
      <c r="B1544" s="47" t="s">
        <v>1514</v>
      </c>
      <c r="C1544" s="52">
        <v>44993</v>
      </c>
      <c r="D1544" s="46">
        <v>22023001549</v>
      </c>
      <c r="E1544" s="47" t="s">
        <v>1515</v>
      </c>
      <c r="F1544" s="53">
        <v>323.02999999999997</v>
      </c>
      <c r="G1544" s="47" t="s">
        <v>70</v>
      </c>
      <c r="H1544" s="47" t="s">
        <v>2881</v>
      </c>
      <c r="I1544" s="46" t="s">
        <v>1517</v>
      </c>
      <c r="J1544" s="47" t="s">
        <v>519</v>
      </c>
      <c r="K1544" s="47" t="s">
        <v>519</v>
      </c>
      <c r="L1544" s="47" t="s">
        <v>552</v>
      </c>
      <c r="M1544" s="47" t="s">
        <v>514</v>
      </c>
      <c r="N1544" s="47" t="s">
        <v>515</v>
      </c>
      <c r="O1544" s="45" t="s">
        <v>382</v>
      </c>
      <c r="P1544" s="44" t="s">
        <v>309</v>
      </c>
      <c r="Q1544" s="59" t="str">
        <f>MID(Tabla1[[#This Row],[Aplicación]],14,1)</f>
        <v>2</v>
      </c>
      <c r="R1544" s="35" t="s">
        <v>298</v>
      </c>
      <c r="S1544" s="59" t="str">
        <f>MID(Tabla1[[#This Row],[Aplicación]],6,2)</f>
        <v>07</v>
      </c>
      <c r="T1544" s="35" t="str">
        <f>VLOOKUP(Tabla1[[#This Row],[AREA]],Hoja1!A:B,2,FALSE)</f>
        <v>07. Medio ambiente y desarrollo sostenible</v>
      </c>
      <c r="U1544" s="35" t="str">
        <f>MID(Tabla1[[#This Row],[Aplicación]],9,4)</f>
        <v>1711</v>
      </c>
      <c r="V1544" s="35" t="str">
        <f>VLOOKUP(Tabla1[[#This Row],[PROGRAMA]],Hoja1!A:B,2,FALSE)</f>
        <v>1711. Parques y jardines</v>
      </c>
      <c r="W1544" s="56" t="str">
        <f>MID(Tabla1[[#This Row],[Aplicación]],14,2)</f>
        <v>22</v>
      </c>
      <c r="X1544" s="56" t="str">
        <f>MID(Tabla1[[#This Row],[Aplicación]],14,6)</f>
        <v>22199</v>
      </c>
    </row>
    <row r="1545" spans="1:24" x14ac:dyDescent="0.25">
      <c r="A1545" s="46">
        <v>220230007440</v>
      </c>
      <c r="B1545" s="47" t="s">
        <v>1514</v>
      </c>
      <c r="C1545" s="52">
        <v>44993</v>
      </c>
      <c r="D1545" s="46">
        <v>22023001578</v>
      </c>
      <c r="E1545" s="47" t="s">
        <v>2275</v>
      </c>
      <c r="F1545" s="53">
        <v>183.92</v>
      </c>
      <c r="G1545" s="47" t="s">
        <v>70</v>
      </c>
      <c r="H1545" s="47" t="s">
        <v>2882</v>
      </c>
      <c r="I1545" s="46" t="s">
        <v>1517</v>
      </c>
      <c r="J1545" s="47" t="s">
        <v>519</v>
      </c>
      <c r="K1545" s="47" t="s">
        <v>519</v>
      </c>
      <c r="L1545" s="47" t="s">
        <v>552</v>
      </c>
      <c r="M1545" s="47" t="s">
        <v>514</v>
      </c>
      <c r="N1545" s="47" t="s">
        <v>515</v>
      </c>
      <c r="O1545" s="54" t="s">
        <v>382</v>
      </c>
      <c r="P1545" s="44" t="s">
        <v>309</v>
      </c>
      <c r="Q1545" s="59" t="str">
        <f>MID(Tabla1[[#This Row],[Aplicación]],14,1)</f>
        <v>2</v>
      </c>
      <c r="R1545" s="35" t="s">
        <v>298</v>
      </c>
      <c r="S1545" s="59" t="str">
        <f>MID(Tabla1[[#This Row],[Aplicación]],6,2)</f>
        <v>11</v>
      </c>
      <c r="T1545" s="35" t="str">
        <f>VLOOKUP(Tabla1[[#This Row],[AREA]],Hoja1!A:B,2,FALSE)</f>
        <v>11. Salud pública y seguridad ciudadana</v>
      </c>
      <c r="U1545" s="35" t="str">
        <f>MID(Tabla1[[#This Row],[Aplicación]],9,4)</f>
        <v>3111</v>
      </c>
      <c r="V1545" s="35" t="str">
        <f>VLOOKUP(Tabla1[[#This Row],[PROGRAMA]],Hoja1!A:B,2,FALSE)</f>
        <v>3111. Protección de la salubridad pública</v>
      </c>
      <c r="W1545" s="56" t="str">
        <f>MID(Tabla1[[#This Row],[Aplicación]],14,2)</f>
        <v>22</v>
      </c>
      <c r="X1545" s="56" t="str">
        <f>MID(Tabla1[[#This Row],[Aplicación]],14,6)</f>
        <v>22199</v>
      </c>
    </row>
    <row r="1546" spans="1:24" x14ac:dyDescent="0.25">
      <c r="A1546" s="46">
        <v>220230007474</v>
      </c>
      <c r="B1546" s="47" t="s">
        <v>1514</v>
      </c>
      <c r="C1546" s="52">
        <v>44993</v>
      </c>
      <c r="D1546" s="46">
        <v>22023001464</v>
      </c>
      <c r="E1546" s="47" t="s">
        <v>1084</v>
      </c>
      <c r="F1546" s="53">
        <v>35.03</v>
      </c>
      <c r="G1546" s="47" t="s">
        <v>70</v>
      </c>
      <c r="H1546" s="47" t="s">
        <v>2883</v>
      </c>
      <c r="I1546" s="46" t="s">
        <v>1517</v>
      </c>
      <c r="J1546" s="47" t="s">
        <v>519</v>
      </c>
      <c r="K1546" s="47" t="s">
        <v>519</v>
      </c>
      <c r="L1546" s="47" t="s">
        <v>552</v>
      </c>
      <c r="M1546" s="47" t="s">
        <v>514</v>
      </c>
      <c r="N1546" s="47" t="s">
        <v>515</v>
      </c>
      <c r="O1546" s="54" t="s">
        <v>382</v>
      </c>
      <c r="P1546" s="44" t="s">
        <v>309</v>
      </c>
      <c r="Q1546" s="59" t="str">
        <f>MID(Tabla1[[#This Row],[Aplicación]],14,1)</f>
        <v>2</v>
      </c>
      <c r="R1546" s="35" t="s">
        <v>298</v>
      </c>
      <c r="S1546" s="59" t="str">
        <f>MID(Tabla1[[#This Row],[Aplicación]],6,2)</f>
        <v>11</v>
      </c>
      <c r="T1546" s="35" t="str">
        <f>VLOOKUP(Tabla1[[#This Row],[AREA]],Hoja1!A:B,2,FALSE)</f>
        <v>11. Salud pública y seguridad ciudadana</v>
      </c>
      <c r="U1546" s="35" t="str">
        <f>MID(Tabla1[[#This Row],[Aplicación]],9,4)</f>
        <v>1621</v>
      </c>
      <c r="V1546" s="35" t="str">
        <f>VLOOKUP(Tabla1[[#This Row],[PROGRAMA]],Hoja1!A:B,2,FALSE)</f>
        <v>1621. Servicio de limpieza</v>
      </c>
      <c r="W1546" s="56" t="str">
        <f>MID(Tabla1[[#This Row],[Aplicación]],14,2)</f>
        <v>22</v>
      </c>
      <c r="X1546" s="56" t="str">
        <f>MID(Tabla1[[#This Row],[Aplicación]],14,6)</f>
        <v>22104</v>
      </c>
    </row>
    <row r="1547" spans="1:24" x14ac:dyDescent="0.25">
      <c r="A1547" s="46">
        <v>220230007405</v>
      </c>
      <c r="B1547" s="47" t="s">
        <v>1514</v>
      </c>
      <c r="C1547" s="52">
        <v>44993</v>
      </c>
      <c r="D1547" s="46">
        <v>22023000213</v>
      </c>
      <c r="E1547" s="47" t="s">
        <v>1694</v>
      </c>
      <c r="F1547" s="53">
        <v>359.73</v>
      </c>
      <c r="G1547" s="47" t="s">
        <v>1993</v>
      </c>
      <c r="H1547" s="47" t="s">
        <v>2884</v>
      </c>
      <c r="I1547" s="46" t="s">
        <v>1517</v>
      </c>
      <c r="J1547" s="47" t="s">
        <v>519</v>
      </c>
      <c r="K1547" s="47" t="s">
        <v>519</v>
      </c>
      <c r="L1547" s="47" t="s">
        <v>520</v>
      </c>
      <c r="M1547" s="47" t="s">
        <v>514</v>
      </c>
      <c r="N1547" s="47" t="s">
        <v>515</v>
      </c>
      <c r="O1547" s="54" t="s">
        <v>382</v>
      </c>
      <c r="P1547" s="44" t="s">
        <v>309</v>
      </c>
      <c r="Q1547" s="59" t="str">
        <f>MID(Tabla1[[#This Row],[Aplicación]],14,1)</f>
        <v>2</v>
      </c>
      <c r="R1547" s="35" t="s">
        <v>298</v>
      </c>
      <c r="S1547" s="59" t="str">
        <f>MID(Tabla1[[#This Row],[Aplicación]],6,2)</f>
        <v>11</v>
      </c>
      <c r="T1547" s="35" t="str">
        <f>VLOOKUP(Tabla1[[#This Row],[AREA]],Hoja1!A:B,2,FALSE)</f>
        <v>11. Salud pública y seguridad ciudadana</v>
      </c>
      <c r="U1547" s="35" t="str">
        <f>MID(Tabla1[[#This Row],[Aplicación]],9,4)</f>
        <v>1321</v>
      </c>
      <c r="V1547" s="35" t="str">
        <f>VLOOKUP(Tabla1[[#This Row],[PROGRAMA]],Hoja1!A:B,2,FALSE)</f>
        <v>1321. Policía municipal</v>
      </c>
      <c r="W1547" s="56" t="str">
        <f>MID(Tabla1[[#This Row],[Aplicación]],14,2)</f>
        <v>21</v>
      </c>
      <c r="X1547" s="56" t="str">
        <f>MID(Tabla1[[#This Row],[Aplicación]],14,6)</f>
        <v>214</v>
      </c>
    </row>
    <row r="1548" spans="1:24" x14ac:dyDescent="0.25">
      <c r="A1548" s="46">
        <v>220230007397</v>
      </c>
      <c r="B1548" s="47" t="s">
        <v>1514</v>
      </c>
      <c r="C1548" s="52">
        <v>44993</v>
      </c>
      <c r="D1548" s="46">
        <v>22023001549</v>
      </c>
      <c r="E1548" s="47" t="s">
        <v>1515</v>
      </c>
      <c r="F1548" s="53">
        <v>564.16999999999996</v>
      </c>
      <c r="G1548" s="47" t="s">
        <v>1372</v>
      </c>
      <c r="H1548" s="47" t="s">
        <v>2885</v>
      </c>
      <c r="I1548" s="46" t="s">
        <v>1517</v>
      </c>
      <c r="J1548" s="47" t="s">
        <v>519</v>
      </c>
      <c r="K1548" s="47" t="s">
        <v>519</v>
      </c>
      <c r="L1548" s="47" t="s">
        <v>552</v>
      </c>
      <c r="M1548" s="47" t="s">
        <v>514</v>
      </c>
      <c r="N1548" s="47" t="s">
        <v>515</v>
      </c>
      <c r="O1548" s="45" t="s">
        <v>382</v>
      </c>
      <c r="P1548" s="44" t="s">
        <v>309</v>
      </c>
      <c r="Q1548" s="59" t="str">
        <f>MID(Tabla1[[#This Row],[Aplicación]],14,1)</f>
        <v>2</v>
      </c>
      <c r="R1548" s="35" t="s">
        <v>298</v>
      </c>
      <c r="S1548" s="59" t="str">
        <f>MID(Tabla1[[#This Row],[Aplicación]],6,2)</f>
        <v>07</v>
      </c>
      <c r="T1548" s="35" t="str">
        <f>VLOOKUP(Tabla1[[#This Row],[AREA]],Hoja1!A:B,2,FALSE)</f>
        <v>07. Medio ambiente y desarrollo sostenible</v>
      </c>
      <c r="U1548" s="35" t="str">
        <f>MID(Tabla1[[#This Row],[Aplicación]],9,4)</f>
        <v>1711</v>
      </c>
      <c r="V1548" s="35" t="str">
        <f>VLOOKUP(Tabla1[[#This Row],[PROGRAMA]],Hoja1!A:B,2,FALSE)</f>
        <v>1711. Parques y jardines</v>
      </c>
      <c r="W1548" s="56" t="str">
        <f>MID(Tabla1[[#This Row],[Aplicación]],14,2)</f>
        <v>22</v>
      </c>
      <c r="X1548" s="56" t="str">
        <f>MID(Tabla1[[#This Row],[Aplicación]],14,6)</f>
        <v>22199</v>
      </c>
    </row>
    <row r="1549" spans="1:24" x14ac:dyDescent="0.25">
      <c r="A1549" s="46">
        <v>220230007486</v>
      </c>
      <c r="B1549" s="47" t="s">
        <v>1514</v>
      </c>
      <c r="C1549" s="52">
        <v>44993</v>
      </c>
      <c r="D1549" s="46">
        <v>22023002181</v>
      </c>
      <c r="E1549" s="47" t="s">
        <v>1305</v>
      </c>
      <c r="F1549" s="53">
        <v>12.52</v>
      </c>
      <c r="G1549" s="47" t="s">
        <v>104</v>
      </c>
      <c r="H1549" s="47" t="s">
        <v>2886</v>
      </c>
      <c r="I1549" s="46" t="s">
        <v>1517</v>
      </c>
      <c r="J1549" s="47" t="s">
        <v>519</v>
      </c>
      <c r="K1549" s="47" t="s">
        <v>519</v>
      </c>
      <c r="L1549" s="47" t="s">
        <v>552</v>
      </c>
      <c r="M1549" s="47" t="s">
        <v>514</v>
      </c>
      <c r="N1549" s="47" t="s">
        <v>515</v>
      </c>
      <c r="O1549" s="54" t="s">
        <v>382</v>
      </c>
      <c r="P1549" s="44" t="s">
        <v>309</v>
      </c>
      <c r="Q1549" s="59" t="str">
        <f>MID(Tabla1[[#This Row],[Aplicación]],14,1)</f>
        <v>2</v>
      </c>
      <c r="R1549" s="35" t="s">
        <v>298</v>
      </c>
      <c r="S1549" s="59" t="str">
        <f>MID(Tabla1[[#This Row],[Aplicación]],6,2)</f>
        <v>06</v>
      </c>
      <c r="T1549" s="35" t="str">
        <f>VLOOKUP(Tabla1[[#This Row],[AREA]],Hoja1!A:B,2,FALSE)</f>
        <v>06. Educación, infancia, juventud e igualdad</v>
      </c>
      <c r="U1549" s="35" t="str">
        <f>MID(Tabla1[[#This Row],[Aplicación]],9,4)</f>
        <v>3232</v>
      </c>
      <c r="V1549" s="35" t="str">
        <f>VLOOKUP(Tabla1[[#This Row],[PROGRAMA]],Hoja1!A:B,2,FALSE)</f>
        <v>3232. Conservación y mantenimiento centros educación infantil y primaria</v>
      </c>
      <c r="W1549" s="56" t="str">
        <f>MID(Tabla1[[#This Row],[Aplicación]],14,2)</f>
        <v>21</v>
      </c>
      <c r="X1549" s="56" t="str">
        <f>MID(Tabla1[[#This Row],[Aplicación]],14,6)</f>
        <v>212</v>
      </c>
    </row>
    <row r="1550" spans="1:24" x14ac:dyDescent="0.25">
      <c r="A1550" s="46">
        <v>220230007402</v>
      </c>
      <c r="B1550" s="47" t="s">
        <v>1514</v>
      </c>
      <c r="C1550" s="52">
        <v>44993</v>
      </c>
      <c r="D1550" s="46">
        <v>22023001563</v>
      </c>
      <c r="E1550" s="47" t="s">
        <v>741</v>
      </c>
      <c r="F1550" s="53">
        <v>7941.85</v>
      </c>
      <c r="G1550" s="47" t="s">
        <v>97</v>
      </c>
      <c r="H1550" s="47" t="s">
        <v>2887</v>
      </c>
      <c r="I1550" s="46" t="s">
        <v>1517</v>
      </c>
      <c r="J1550" s="47" t="s">
        <v>519</v>
      </c>
      <c r="K1550" s="47" t="s">
        <v>519</v>
      </c>
      <c r="L1550" s="47" t="s">
        <v>552</v>
      </c>
      <c r="M1550" s="47" t="s">
        <v>514</v>
      </c>
      <c r="N1550" s="47" t="s">
        <v>515</v>
      </c>
      <c r="O1550" s="54" t="s">
        <v>382</v>
      </c>
      <c r="P1550" s="44" t="s">
        <v>309</v>
      </c>
      <c r="Q1550" s="59" t="str">
        <f>MID(Tabla1[[#This Row],[Aplicación]],14,1)</f>
        <v>6</v>
      </c>
      <c r="R1550" s="35" t="s">
        <v>299</v>
      </c>
      <c r="S1550" s="59" t="str">
        <f>MID(Tabla1[[#This Row],[Aplicación]],6,2)</f>
        <v>07</v>
      </c>
      <c r="T1550" s="35" t="str">
        <f>VLOOKUP(Tabla1[[#This Row],[AREA]],Hoja1!A:B,2,FALSE)</f>
        <v>07. Medio ambiente y desarrollo sostenible</v>
      </c>
      <c r="U1550" s="35" t="str">
        <f>MID(Tabla1[[#This Row],[Aplicación]],9,4)</f>
        <v>1711</v>
      </c>
      <c r="V1550" s="35" t="str">
        <f>VLOOKUP(Tabla1[[#This Row],[PROGRAMA]],Hoja1!A:B,2,FALSE)</f>
        <v>1711. Parques y jardines</v>
      </c>
      <c r="W1550" s="56" t="str">
        <f>MID(Tabla1[[#This Row],[Aplicación]],14,2)</f>
        <v>61</v>
      </c>
      <c r="X1550" s="56" t="str">
        <f>MID(Tabla1[[#This Row],[Aplicación]],14,6)</f>
        <v>619</v>
      </c>
    </row>
    <row r="1551" spans="1:24" x14ac:dyDescent="0.25">
      <c r="A1551" s="46">
        <v>220230007424</v>
      </c>
      <c r="B1551" s="47" t="s">
        <v>1514</v>
      </c>
      <c r="C1551" s="52">
        <v>44993</v>
      </c>
      <c r="D1551" s="46">
        <v>22023001459</v>
      </c>
      <c r="E1551" s="47" t="s">
        <v>1290</v>
      </c>
      <c r="F1551" s="53">
        <v>1322.97</v>
      </c>
      <c r="G1551" s="47" t="s">
        <v>2343</v>
      </c>
      <c r="H1551" s="47" t="s">
        <v>2888</v>
      </c>
      <c r="I1551" s="46" t="s">
        <v>1517</v>
      </c>
      <c r="J1551" s="47" t="s">
        <v>519</v>
      </c>
      <c r="K1551" s="47" t="s">
        <v>519</v>
      </c>
      <c r="L1551" s="47" t="s">
        <v>520</v>
      </c>
      <c r="M1551" s="47" t="s">
        <v>514</v>
      </c>
      <c r="N1551" s="47" t="s">
        <v>515</v>
      </c>
      <c r="O1551" s="54" t="s">
        <v>382</v>
      </c>
      <c r="P1551" s="44" t="s">
        <v>309</v>
      </c>
      <c r="Q1551" s="59" t="str">
        <f>MID(Tabla1[[#This Row],[Aplicación]],14,1)</f>
        <v>2</v>
      </c>
      <c r="R1551" s="35" t="s">
        <v>298</v>
      </c>
      <c r="S1551" s="59" t="str">
        <f>MID(Tabla1[[#This Row],[Aplicación]],6,2)</f>
        <v>11</v>
      </c>
      <c r="T1551" s="35" t="str">
        <f>VLOOKUP(Tabla1[[#This Row],[AREA]],Hoja1!A:B,2,FALSE)</f>
        <v>11. Salud pública y seguridad ciudadana</v>
      </c>
      <c r="U1551" s="35" t="str">
        <f>MID(Tabla1[[#This Row],[Aplicación]],9,4)</f>
        <v>1621</v>
      </c>
      <c r="V1551" s="35" t="str">
        <f>VLOOKUP(Tabla1[[#This Row],[PROGRAMA]],Hoja1!A:B,2,FALSE)</f>
        <v>1621. Servicio de limpieza</v>
      </c>
      <c r="W1551" s="56" t="str">
        <f>MID(Tabla1[[#This Row],[Aplicación]],14,2)</f>
        <v>21</v>
      </c>
      <c r="X1551" s="56" t="str">
        <f>MID(Tabla1[[#This Row],[Aplicación]],14,6)</f>
        <v>214</v>
      </c>
    </row>
    <row r="1552" spans="1:24" x14ac:dyDescent="0.25">
      <c r="A1552" s="46">
        <v>220230007428</v>
      </c>
      <c r="B1552" s="47" t="s">
        <v>1514</v>
      </c>
      <c r="C1552" s="52">
        <v>44993</v>
      </c>
      <c r="D1552" s="46">
        <v>22023001469</v>
      </c>
      <c r="E1552" s="47" t="s">
        <v>1683</v>
      </c>
      <c r="F1552" s="53">
        <v>475.28</v>
      </c>
      <c r="G1552" s="47" t="s">
        <v>2343</v>
      </c>
      <c r="H1552" s="47" t="s">
        <v>2889</v>
      </c>
      <c r="I1552" s="46" t="s">
        <v>1517</v>
      </c>
      <c r="J1552" s="47" t="s">
        <v>519</v>
      </c>
      <c r="K1552" s="47" t="s">
        <v>519</v>
      </c>
      <c r="L1552" s="47" t="s">
        <v>520</v>
      </c>
      <c r="M1552" s="47" t="s">
        <v>514</v>
      </c>
      <c r="N1552" s="47" t="s">
        <v>515</v>
      </c>
      <c r="O1552" s="54" t="s">
        <v>382</v>
      </c>
      <c r="P1552" s="44" t="s">
        <v>309</v>
      </c>
      <c r="Q1552" s="59" t="str">
        <f>MID(Tabla1[[#This Row],[Aplicación]],14,1)</f>
        <v>2</v>
      </c>
      <c r="R1552" s="35" t="s">
        <v>298</v>
      </c>
      <c r="S1552" s="59" t="str">
        <f>MID(Tabla1[[#This Row],[Aplicación]],6,2)</f>
        <v>11</v>
      </c>
      <c r="T1552" s="35" t="str">
        <f>VLOOKUP(Tabla1[[#This Row],[AREA]],Hoja1!A:B,2,FALSE)</f>
        <v>11. Salud pública y seguridad ciudadana</v>
      </c>
      <c r="U1552" s="35" t="str">
        <f>MID(Tabla1[[#This Row],[Aplicación]],9,4)</f>
        <v>1631</v>
      </c>
      <c r="V1552" s="35" t="str">
        <f>VLOOKUP(Tabla1[[#This Row],[PROGRAMA]],Hoja1!A:B,2,FALSE)</f>
        <v>1631. Limpieza viaria</v>
      </c>
      <c r="W1552" s="56" t="str">
        <f>MID(Tabla1[[#This Row],[Aplicación]],14,2)</f>
        <v>21</v>
      </c>
      <c r="X1552" s="56" t="str">
        <f>MID(Tabla1[[#This Row],[Aplicación]],14,6)</f>
        <v>214</v>
      </c>
    </row>
    <row r="1553" spans="1:24" x14ac:dyDescent="0.25">
      <c r="A1553" s="46">
        <v>220230007395</v>
      </c>
      <c r="B1553" s="47" t="s">
        <v>1514</v>
      </c>
      <c r="C1553" s="52">
        <v>44993</v>
      </c>
      <c r="D1553" s="46">
        <v>22023001549</v>
      </c>
      <c r="E1553" s="47" t="s">
        <v>1515</v>
      </c>
      <c r="F1553" s="53">
        <v>2.36</v>
      </c>
      <c r="G1553" s="47" t="s">
        <v>2351</v>
      </c>
      <c r="H1553" s="47" t="s">
        <v>2890</v>
      </c>
      <c r="I1553" s="46" t="s">
        <v>1517</v>
      </c>
      <c r="J1553" s="47" t="s">
        <v>519</v>
      </c>
      <c r="K1553" s="47" t="s">
        <v>519</v>
      </c>
      <c r="L1553" s="47" t="s">
        <v>552</v>
      </c>
      <c r="M1553" s="47" t="s">
        <v>514</v>
      </c>
      <c r="N1553" s="47" t="s">
        <v>515</v>
      </c>
      <c r="O1553" s="45" t="s">
        <v>382</v>
      </c>
      <c r="P1553" s="44" t="s">
        <v>309</v>
      </c>
      <c r="Q1553" s="59" t="str">
        <f>MID(Tabla1[[#This Row],[Aplicación]],14,1)</f>
        <v>2</v>
      </c>
      <c r="R1553" s="35" t="s">
        <v>298</v>
      </c>
      <c r="S1553" s="59" t="str">
        <f>MID(Tabla1[[#This Row],[Aplicación]],6,2)</f>
        <v>07</v>
      </c>
      <c r="T1553" s="35" t="str">
        <f>VLOOKUP(Tabla1[[#This Row],[AREA]],Hoja1!A:B,2,FALSE)</f>
        <v>07. Medio ambiente y desarrollo sostenible</v>
      </c>
      <c r="U1553" s="35" t="str">
        <f>MID(Tabla1[[#This Row],[Aplicación]],9,4)</f>
        <v>1711</v>
      </c>
      <c r="V1553" s="35" t="str">
        <f>VLOOKUP(Tabla1[[#This Row],[PROGRAMA]],Hoja1!A:B,2,FALSE)</f>
        <v>1711. Parques y jardines</v>
      </c>
      <c r="W1553" s="56" t="str">
        <f>MID(Tabla1[[#This Row],[Aplicación]],14,2)</f>
        <v>22</v>
      </c>
      <c r="X1553" s="56" t="str">
        <f>MID(Tabla1[[#This Row],[Aplicación]],14,6)</f>
        <v>22199</v>
      </c>
    </row>
    <row r="1554" spans="1:24" x14ac:dyDescent="0.25">
      <c r="A1554" s="46">
        <v>220230007413</v>
      </c>
      <c r="B1554" s="47" t="s">
        <v>1514</v>
      </c>
      <c r="C1554" s="52">
        <v>44993</v>
      </c>
      <c r="D1554" s="46">
        <v>22023001462</v>
      </c>
      <c r="E1554" s="47" t="s">
        <v>1290</v>
      </c>
      <c r="F1554" s="53">
        <v>162.02000000000001</v>
      </c>
      <c r="G1554" s="47" t="s">
        <v>101</v>
      </c>
      <c r="H1554" s="47" t="s">
        <v>2891</v>
      </c>
      <c r="I1554" s="46" t="s">
        <v>1517</v>
      </c>
      <c r="J1554" s="47" t="s">
        <v>519</v>
      </c>
      <c r="K1554" s="47" t="s">
        <v>519</v>
      </c>
      <c r="L1554" s="47" t="s">
        <v>552</v>
      </c>
      <c r="M1554" s="47" t="s">
        <v>514</v>
      </c>
      <c r="N1554" s="47" t="s">
        <v>515</v>
      </c>
      <c r="O1554" s="45" t="s">
        <v>382</v>
      </c>
      <c r="P1554" s="44" t="s">
        <v>309</v>
      </c>
      <c r="Q1554" s="59" t="str">
        <f>MID(Tabla1[[#This Row],[Aplicación]],14,1)</f>
        <v>2</v>
      </c>
      <c r="R1554" s="35" t="s">
        <v>298</v>
      </c>
      <c r="S1554" s="59" t="str">
        <f>MID(Tabla1[[#This Row],[Aplicación]],6,2)</f>
        <v>11</v>
      </c>
      <c r="T1554" s="35" t="str">
        <f>VLOOKUP(Tabla1[[#This Row],[AREA]],Hoja1!A:B,2,FALSE)</f>
        <v>11. Salud pública y seguridad ciudadana</v>
      </c>
      <c r="U1554" s="35" t="str">
        <f>MID(Tabla1[[#This Row],[Aplicación]],9,4)</f>
        <v>1621</v>
      </c>
      <c r="V1554" s="35" t="str">
        <f>VLOOKUP(Tabla1[[#This Row],[PROGRAMA]],Hoja1!A:B,2,FALSE)</f>
        <v>1621. Servicio de limpieza</v>
      </c>
      <c r="W1554" s="56" t="str">
        <f>MID(Tabla1[[#This Row],[Aplicación]],14,2)</f>
        <v>21</v>
      </c>
      <c r="X1554" s="56" t="str">
        <f>MID(Tabla1[[#This Row],[Aplicación]],14,6)</f>
        <v>214</v>
      </c>
    </row>
    <row r="1555" spans="1:24" x14ac:dyDescent="0.25">
      <c r="A1555" s="46">
        <v>220230007393</v>
      </c>
      <c r="B1555" s="47" t="s">
        <v>1514</v>
      </c>
      <c r="C1555" s="52">
        <v>44993</v>
      </c>
      <c r="D1555" s="46">
        <v>22023002536</v>
      </c>
      <c r="E1555" s="47" t="s">
        <v>2892</v>
      </c>
      <c r="F1555" s="53">
        <v>203.38</v>
      </c>
      <c r="G1555" s="47" t="s">
        <v>1857</v>
      </c>
      <c r="H1555" s="47" t="s">
        <v>2893</v>
      </c>
      <c r="I1555" s="46" t="s">
        <v>1517</v>
      </c>
      <c r="J1555" s="47" t="s">
        <v>519</v>
      </c>
      <c r="K1555" s="47" t="s">
        <v>519</v>
      </c>
      <c r="L1555" s="47" t="s">
        <v>520</v>
      </c>
      <c r="M1555" s="47" t="s">
        <v>514</v>
      </c>
      <c r="N1555" s="47" t="s">
        <v>515</v>
      </c>
      <c r="O1555" s="45" t="s">
        <v>382</v>
      </c>
      <c r="P1555" s="44" t="s">
        <v>309</v>
      </c>
      <c r="Q1555" s="59" t="str">
        <f>MID(Tabla1[[#This Row],[Aplicación]],14,1)</f>
        <v>2</v>
      </c>
      <c r="R1555" s="35" t="s">
        <v>298</v>
      </c>
      <c r="S1555" s="59" t="str">
        <f>MID(Tabla1[[#This Row],[Aplicación]],6,2)</f>
        <v>01</v>
      </c>
      <c r="T1555" s="35" t="str">
        <f>VLOOKUP(Tabla1[[#This Row],[AREA]],Hoja1!A:B,2,FALSE)</f>
        <v>01. Alcaldía</v>
      </c>
      <c r="U1555" s="35" t="str">
        <f>MID(Tabla1[[#This Row],[Aplicación]],9,4)</f>
        <v>9203</v>
      </c>
      <c r="V1555" s="35" t="str">
        <f>VLOOKUP(Tabla1[[#This Row],[PROGRAMA]],Hoja1!A:B,2,FALSE)</f>
        <v>9203. Unidad de régimen interior</v>
      </c>
      <c r="W1555" s="56" t="str">
        <f>MID(Tabla1[[#This Row],[Aplicación]],14,2)</f>
        <v>21</v>
      </c>
      <c r="X1555" s="56" t="str">
        <f>MID(Tabla1[[#This Row],[Aplicación]],14,6)</f>
        <v>214</v>
      </c>
    </row>
    <row r="1556" spans="1:24" x14ac:dyDescent="0.25">
      <c r="A1556" s="46">
        <v>220230007479</v>
      </c>
      <c r="B1556" s="47" t="s">
        <v>1514</v>
      </c>
      <c r="C1556" s="52">
        <v>44993</v>
      </c>
      <c r="D1556" s="46">
        <v>22023000213</v>
      </c>
      <c r="E1556" s="47" t="s">
        <v>1694</v>
      </c>
      <c r="F1556" s="53">
        <v>2554.9</v>
      </c>
      <c r="G1556" s="47" t="s">
        <v>2705</v>
      </c>
      <c r="H1556" s="47" t="s">
        <v>2894</v>
      </c>
      <c r="I1556" s="46" t="s">
        <v>1517</v>
      </c>
      <c r="J1556" s="47" t="s">
        <v>519</v>
      </c>
      <c r="K1556" s="47" t="s">
        <v>519</v>
      </c>
      <c r="L1556" s="47" t="s">
        <v>520</v>
      </c>
      <c r="M1556" s="47" t="s">
        <v>514</v>
      </c>
      <c r="N1556" s="47" t="s">
        <v>515</v>
      </c>
      <c r="O1556" s="54" t="s">
        <v>382</v>
      </c>
      <c r="P1556" s="44" t="s">
        <v>309</v>
      </c>
      <c r="Q1556" s="59" t="str">
        <f>MID(Tabla1[[#This Row],[Aplicación]],14,1)</f>
        <v>2</v>
      </c>
      <c r="R1556" s="35" t="s">
        <v>298</v>
      </c>
      <c r="S1556" s="59" t="str">
        <f>MID(Tabla1[[#This Row],[Aplicación]],6,2)</f>
        <v>11</v>
      </c>
      <c r="T1556" s="35" t="str">
        <f>VLOOKUP(Tabla1[[#This Row],[AREA]],Hoja1!A:B,2,FALSE)</f>
        <v>11. Salud pública y seguridad ciudadana</v>
      </c>
      <c r="U1556" s="35" t="str">
        <f>MID(Tabla1[[#This Row],[Aplicación]],9,4)</f>
        <v>1321</v>
      </c>
      <c r="V1556" s="35" t="str">
        <f>VLOOKUP(Tabla1[[#This Row],[PROGRAMA]],Hoja1!A:B,2,FALSE)</f>
        <v>1321. Policía municipal</v>
      </c>
      <c r="W1556" s="56" t="str">
        <f>MID(Tabla1[[#This Row],[Aplicación]],14,2)</f>
        <v>21</v>
      </c>
      <c r="X1556" s="56" t="str">
        <f>MID(Tabla1[[#This Row],[Aplicación]],14,6)</f>
        <v>214</v>
      </c>
    </row>
    <row r="1557" spans="1:24" x14ac:dyDescent="0.25">
      <c r="A1557" s="46">
        <v>220230007966</v>
      </c>
      <c r="B1557" s="47" t="s">
        <v>507</v>
      </c>
      <c r="C1557" s="52">
        <v>44994</v>
      </c>
      <c r="D1557" s="46">
        <v>22023002871</v>
      </c>
      <c r="E1557" s="47" t="s">
        <v>1783</v>
      </c>
      <c r="F1557" s="53">
        <v>1503.37</v>
      </c>
      <c r="G1557" s="47" t="s">
        <v>2895</v>
      </c>
      <c r="H1557" s="47" t="s">
        <v>2896</v>
      </c>
      <c r="I1557" s="46" t="s">
        <v>511</v>
      </c>
      <c r="J1557" s="47" t="s">
        <v>512</v>
      </c>
      <c r="K1557" s="47" t="s">
        <v>512</v>
      </c>
      <c r="L1557" s="47" t="s">
        <v>520</v>
      </c>
      <c r="M1557" s="47" t="s">
        <v>976</v>
      </c>
      <c r="N1557" s="47" t="s">
        <v>839</v>
      </c>
      <c r="O1557" s="54" t="s">
        <v>383</v>
      </c>
      <c r="P1557" s="44" t="s">
        <v>309</v>
      </c>
      <c r="Q1557" s="59" t="str">
        <f>MID(Tabla1[[#This Row],[Aplicación]],14,1)</f>
        <v>2</v>
      </c>
      <c r="R1557" s="35" t="s">
        <v>298</v>
      </c>
      <c r="S1557" s="59" t="str">
        <f>MID(Tabla1[[#This Row],[Aplicación]],6,2)</f>
        <v>07</v>
      </c>
      <c r="T1557" s="35" t="str">
        <f>VLOOKUP(Tabla1[[#This Row],[AREA]],Hoja1!A:B,2,FALSE)</f>
        <v>07. Medio ambiente y desarrollo sostenible</v>
      </c>
      <c r="U1557" s="35" t="str">
        <f>MID(Tabla1[[#This Row],[Aplicación]],9,4)</f>
        <v>1701</v>
      </c>
      <c r="V1557" s="35" t="str">
        <f>VLOOKUP(Tabla1[[#This Row],[PROGRAMA]],Hoja1!A:B,2,FALSE)</f>
        <v>1701. Dirección del área de medio ambiente</v>
      </c>
      <c r="W1557" s="56" t="str">
        <f>MID(Tabla1[[#This Row],[Aplicación]],14,2)</f>
        <v>22</v>
      </c>
      <c r="X1557" s="56" t="str">
        <f>MID(Tabla1[[#This Row],[Aplicación]],14,6)</f>
        <v>22699</v>
      </c>
    </row>
    <row r="1558" spans="1:24" x14ac:dyDescent="0.25">
      <c r="A1558" s="55">
        <v>220220045290</v>
      </c>
      <c r="B1558" s="47" t="s">
        <v>507</v>
      </c>
      <c r="C1558" s="52">
        <v>45014</v>
      </c>
      <c r="D1558" s="46">
        <v>22022005694</v>
      </c>
      <c r="E1558" s="47" t="s">
        <v>1272</v>
      </c>
      <c r="F1558" s="53">
        <v>296.45</v>
      </c>
      <c r="G1558" s="47" t="s">
        <v>67</v>
      </c>
      <c r="H1558" s="47" t="s">
        <v>2897</v>
      </c>
      <c r="I1558" s="46" t="s">
        <v>511</v>
      </c>
      <c r="J1558" s="47" t="s">
        <v>953</v>
      </c>
      <c r="K1558" s="47" t="s">
        <v>519</v>
      </c>
      <c r="L1558" s="47" t="s">
        <v>520</v>
      </c>
      <c r="M1558" s="47" t="s">
        <v>514</v>
      </c>
      <c r="N1558" s="47" t="s">
        <v>515</v>
      </c>
      <c r="O1558" s="54" t="s">
        <v>382</v>
      </c>
      <c r="P1558" s="44" t="s">
        <v>309</v>
      </c>
      <c r="Q1558" s="59" t="str">
        <f>MID(Tabla1[[#This Row],[Aplicación]],14,1)</f>
        <v>6</v>
      </c>
      <c r="R1558" s="35" t="s">
        <v>299</v>
      </c>
      <c r="S1558" s="59" t="str">
        <f>MID(Tabla1[[#This Row],[Aplicación]],6,2)</f>
        <v>02</v>
      </c>
      <c r="T1558" s="35" t="str">
        <f>VLOOKUP(Tabla1[[#This Row],[AREA]],Hoja1!A:B,2,FALSE)</f>
        <v>02. Planeamiento urbanístico y vivienda</v>
      </c>
      <c r="U1558" s="35" t="str">
        <f>MID(Tabla1[[#This Row],[Aplicación]],9,4)</f>
        <v>9332</v>
      </c>
      <c r="V1558" s="35" t="str">
        <f>VLOOKUP(Tabla1[[#This Row],[PROGRAMA]],Hoja1!A:B,2,FALSE)</f>
        <v>9332. Mantenimiento de edificios e instalaciones municipales</v>
      </c>
      <c r="W1558" s="56" t="str">
        <f>MID(Tabla1[[#This Row],[Aplicación]],14,2)</f>
        <v>63</v>
      </c>
      <c r="X1558" s="56" t="str">
        <f>MID(Tabla1[[#This Row],[Aplicación]],14,6)</f>
        <v>632</v>
      </c>
    </row>
    <row r="1559" spans="1:24" x14ac:dyDescent="0.25">
      <c r="A1559" s="55">
        <v>220230010343</v>
      </c>
      <c r="B1559" s="47" t="s">
        <v>507</v>
      </c>
      <c r="C1559" s="52">
        <v>45008</v>
      </c>
      <c r="D1559" s="46">
        <v>22023003394</v>
      </c>
      <c r="E1559" s="47" t="s">
        <v>2865</v>
      </c>
      <c r="F1559" s="53">
        <v>500</v>
      </c>
      <c r="G1559" s="47" t="s">
        <v>100</v>
      </c>
      <c r="H1559" s="47" t="s">
        <v>2866</v>
      </c>
      <c r="I1559" s="46" t="s">
        <v>511</v>
      </c>
      <c r="J1559" s="47" t="s">
        <v>519</v>
      </c>
      <c r="K1559" s="47" t="s">
        <v>519</v>
      </c>
      <c r="L1559" s="47" t="s">
        <v>552</v>
      </c>
      <c r="M1559" s="47" t="s">
        <v>976</v>
      </c>
      <c r="N1559" s="47" t="s">
        <v>839</v>
      </c>
      <c r="O1559" s="54" t="s">
        <v>383</v>
      </c>
      <c r="P1559" s="44" t="s">
        <v>309</v>
      </c>
      <c r="Q1559" s="59" t="str">
        <f>MID(Tabla1[[#This Row],[Aplicación]],14,1)</f>
        <v>2</v>
      </c>
      <c r="R1559" s="35" t="s">
        <v>298</v>
      </c>
      <c r="S1559" s="59" t="str">
        <f>MID(Tabla1[[#This Row],[Aplicación]],6,2)</f>
        <v>10</v>
      </c>
      <c r="T1559" s="35" t="str">
        <f>VLOOKUP(Tabla1[[#This Row],[AREA]],Hoja1!A:B,2,FALSE)</f>
        <v>10. Servicios sociales y mediación comunitaria</v>
      </c>
      <c r="U1559" s="35" t="str">
        <f>MID(Tabla1[[#This Row],[Aplicación]],9,4)</f>
        <v>2412</v>
      </c>
      <c r="V1559" s="35" t="str">
        <f>VLOOKUP(Tabla1[[#This Row],[PROGRAMA]],Hoja1!A:B,2,FALSE)</f>
        <v>2412. Formación para el empleo</v>
      </c>
      <c r="W1559" s="56" t="str">
        <f>MID(Tabla1[[#This Row],[Aplicación]],14,2)</f>
        <v>22</v>
      </c>
      <c r="X1559" s="56" t="str">
        <f>MID(Tabla1[[#This Row],[Aplicación]],14,6)</f>
        <v>22110</v>
      </c>
    </row>
    <row r="1560" spans="1:24" x14ac:dyDescent="0.25">
      <c r="A1560" s="46">
        <v>220230008088</v>
      </c>
      <c r="B1560" s="47" t="s">
        <v>1249</v>
      </c>
      <c r="C1560" s="52">
        <v>44994</v>
      </c>
      <c r="D1560" s="46">
        <v>22023002781</v>
      </c>
      <c r="E1560" s="47" t="s">
        <v>2795</v>
      </c>
      <c r="F1560" s="53">
        <v>7139</v>
      </c>
      <c r="G1560" s="47" t="s">
        <v>29</v>
      </c>
      <c r="H1560" s="47" t="s">
        <v>2898</v>
      </c>
      <c r="I1560" s="46" t="s">
        <v>1251</v>
      </c>
      <c r="J1560" s="47" t="s">
        <v>519</v>
      </c>
      <c r="K1560" s="47" t="s">
        <v>519</v>
      </c>
      <c r="L1560" s="47" t="s">
        <v>520</v>
      </c>
      <c r="M1560" s="47" t="s">
        <v>976</v>
      </c>
      <c r="N1560" s="47" t="s">
        <v>839</v>
      </c>
      <c r="O1560" s="54" t="s">
        <v>383</v>
      </c>
      <c r="P1560" s="44" t="s">
        <v>309</v>
      </c>
      <c r="Q1560" s="59" t="str">
        <f>MID(Tabla1[[#This Row],[Aplicación]],14,1)</f>
        <v>2</v>
      </c>
      <c r="R1560" s="35" t="s">
        <v>298</v>
      </c>
      <c r="S1560" s="59" t="str">
        <f>MID(Tabla1[[#This Row],[Aplicación]],6,2)</f>
        <v>08</v>
      </c>
      <c r="T1560" s="35" t="str">
        <f>VLOOKUP(Tabla1[[#This Row],[AREA]],Hoja1!A:B,2,FALSE)</f>
        <v>08. Movilidad y espacio urbano</v>
      </c>
      <c r="U1560" s="56" t="str">
        <f>MID(Tabla1[[#This Row],[Aplicación]],9,4)</f>
        <v>1341</v>
      </c>
      <c r="V1560" s="35" t="str">
        <f>VLOOKUP(Tabla1[[#This Row],[PROGRAMA]],Hoja1!A:B,2,FALSE)</f>
        <v>1341. Movilidad</v>
      </c>
      <c r="W1560" s="56" t="str">
        <f>MID(Tabla1[[#This Row],[Aplicación]],14,2)</f>
        <v>22</v>
      </c>
      <c r="X1560" s="56" t="str">
        <f>MID(Tabla1[[#This Row],[Aplicación]],14,6)</f>
        <v>22699</v>
      </c>
    </row>
    <row r="1561" spans="1:24" x14ac:dyDescent="0.25">
      <c r="A1561" s="55">
        <v>220230010343</v>
      </c>
      <c r="B1561" s="47" t="s">
        <v>507</v>
      </c>
      <c r="C1561" s="52">
        <v>45008</v>
      </c>
      <c r="D1561" s="46">
        <v>22023003395</v>
      </c>
      <c r="E1561" s="47" t="s">
        <v>2865</v>
      </c>
      <c r="F1561" s="53">
        <v>700</v>
      </c>
      <c r="G1561" s="47" t="s">
        <v>100</v>
      </c>
      <c r="H1561" s="47" t="s">
        <v>2866</v>
      </c>
      <c r="I1561" s="46" t="s">
        <v>511</v>
      </c>
      <c r="J1561" s="47" t="s">
        <v>519</v>
      </c>
      <c r="K1561" s="47" t="s">
        <v>519</v>
      </c>
      <c r="L1561" s="47" t="s">
        <v>552</v>
      </c>
      <c r="M1561" s="47" t="s">
        <v>976</v>
      </c>
      <c r="N1561" s="47" t="s">
        <v>839</v>
      </c>
      <c r="O1561" s="54" t="s">
        <v>383</v>
      </c>
      <c r="P1561" s="44" t="s">
        <v>309</v>
      </c>
      <c r="Q1561" s="59" t="str">
        <f>MID(Tabla1[[#This Row],[Aplicación]],14,1)</f>
        <v>2</v>
      </c>
      <c r="R1561" s="35" t="s">
        <v>298</v>
      </c>
      <c r="S1561" s="59" t="str">
        <f>MID(Tabla1[[#This Row],[Aplicación]],6,2)</f>
        <v>10</v>
      </c>
      <c r="T1561" s="35" t="str">
        <f>VLOOKUP(Tabla1[[#This Row],[AREA]],Hoja1!A:B,2,FALSE)</f>
        <v>10. Servicios sociales y mediación comunitaria</v>
      </c>
      <c r="U1561" s="35" t="str">
        <f>MID(Tabla1[[#This Row],[Aplicación]],9,4)</f>
        <v>2412</v>
      </c>
      <c r="V1561" s="35" t="str">
        <f>VLOOKUP(Tabla1[[#This Row],[PROGRAMA]],Hoja1!A:B,2,FALSE)</f>
        <v>2412. Formación para el empleo</v>
      </c>
      <c r="W1561" s="56" t="str">
        <f>MID(Tabla1[[#This Row],[Aplicación]],14,2)</f>
        <v>22</v>
      </c>
      <c r="X1561" s="56" t="str">
        <f>MID(Tabla1[[#This Row],[Aplicación]],14,6)</f>
        <v>22110</v>
      </c>
    </row>
    <row r="1562" spans="1:24" x14ac:dyDescent="0.25">
      <c r="A1562" s="46">
        <v>220230001989</v>
      </c>
      <c r="B1562" s="47" t="s">
        <v>507</v>
      </c>
      <c r="C1562" s="52">
        <v>44960</v>
      </c>
      <c r="D1562" s="46">
        <v>22023001573</v>
      </c>
      <c r="E1562" s="47" t="s">
        <v>2899</v>
      </c>
      <c r="F1562" s="53">
        <v>800.05</v>
      </c>
      <c r="G1562" s="47" t="s">
        <v>2900</v>
      </c>
      <c r="H1562" s="47" t="s">
        <v>2901</v>
      </c>
      <c r="I1562" s="46" t="s">
        <v>511</v>
      </c>
      <c r="J1562" s="47" t="s">
        <v>2902</v>
      </c>
      <c r="K1562" s="51" t="s">
        <v>512</v>
      </c>
      <c r="L1562" s="47" t="s">
        <v>552</v>
      </c>
      <c r="M1562" s="47" t="s">
        <v>976</v>
      </c>
      <c r="N1562" s="47" t="s">
        <v>839</v>
      </c>
      <c r="O1562" s="45" t="s">
        <v>383</v>
      </c>
      <c r="P1562" s="44" t="s">
        <v>309</v>
      </c>
      <c r="Q1562" s="59" t="str">
        <f>MID(Tabla1[[#This Row],[Aplicación]],14,1)</f>
        <v>2</v>
      </c>
      <c r="R1562" s="35" t="s">
        <v>298</v>
      </c>
      <c r="S1562" s="59" t="str">
        <f>MID(Tabla1[[#This Row],[Aplicación]],6,2)</f>
        <v>09</v>
      </c>
      <c r="T1562" s="35" t="str">
        <f>VLOOKUP(Tabla1[[#This Row],[AREA]],Hoja1!A:B,2,FALSE)</f>
        <v>09. Cultura y turismo</v>
      </c>
      <c r="U1562" s="35" t="str">
        <f>MID(Tabla1[[#This Row],[Aplicación]],9,4)</f>
        <v>3341</v>
      </c>
      <c r="V1562" s="35" t="str">
        <f>VLOOKUP(Tabla1[[#This Row],[PROGRAMA]],Hoja1!A:B,2,FALSE)</f>
        <v>3341. Coordinación de políticas culturales</v>
      </c>
      <c r="W1562" s="56" t="str">
        <f>MID(Tabla1[[#This Row],[Aplicación]],14,2)</f>
        <v>22</v>
      </c>
      <c r="X1562" s="56" t="str">
        <f>MID(Tabla1[[#This Row],[Aplicación]],14,6)</f>
        <v>22199</v>
      </c>
    </row>
    <row r="1563" spans="1:24" x14ac:dyDescent="0.25">
      <c r="A1563" s="46">
        <v>220230002654</v>
      </c>
      <c r="B1563" s="47" t="s">
        <v>507</v>
      </c>
      <c r="C1563" s="52">
        <v>44966</v>
      </c>
      <c r="D1563" s="46">
        <v>22023001573</v>
      </c>
      <c r="E1563" s="47" t="s">
        <v>2899</v>
      </c>
      <c r="F1563" s="53">
        <v>168.01</v>
      </c>
      <c r="G1563" s="47" t="s">
        <v>2900</v>
      </c>
      <c r="H1563" s="47" t="s">
        <v>2903</v>
      </c>
      <c r="I1563" s="46" t="s">
        <v>511</v>
      </c>
      <c r="J1563" s="47" t="s">
        <v>2902</v>
      </c>
      <c r="K1563" s="51" t="s">
        <v>512</v>
      </c>
      <c r="L1563" s="47" t="s">
        <v>552</v>
      </c>
      <c r="M1563" s="47" t="s">
        <v>976</v>
      </c>
      <c r="N1563" s="47" t="s">
        <v>839</v>
      </c>
      <c r="O1563" s="45" t="s">
        <v>383</v>
      </c>
      <c r="P1563" s="44" t="s">
        <v>309</v>
      </c>
      <c r="Q1563" s="59" t="str">
        <f>MID(Tabla1[[#This Row],[Aplicación]],14,1)</f>
        <v>2</v>
      </c>
      <c r="R1563" s="35" t="s">
        <v>298</v>
      </c>
      <c r="S1563" s="59" t="str">
        <f>MID(Tabla1[[#This Row],[Aplicación]],6,2)</f>
        <v>09</v>
      </c>
      <c r="T1563" s="35" t="str">
        <f>VLOOKUP(Tabla1[[#This Row],[AREA]],Hoja1!A:B,2,FALSE)</f>
        <v>09. Cultura y turismo</v>
      </c>
      <c r="U1563" s="35" t="str">
        <f>MID(Tabla1[[#This Row],[Aplicación]],9,4)</f>
        <v>3341</v>
      </c>
      <c r="V1563" s="35" t="str">
        <f>VLOOKUP(Tabla1[[#This Row],[PROGRAMA]],Hoja1!A:B,2,FALSE)</f>
        <v>3341. Coordinación de políticas culturales</v>
      </c>
      <c r="W1563" s="56" t="str">
        <f>MID(Tabla1[[#This Row],[Aplicación]],14,2)</f>
        <v>22</v>
      </c>
      <c r="X1563" s="56" t="str">
        <f>MID(Tabla1[[#This Row],[Aplicación]],14,6)</f>
        <v>22199</v>
      </c>
    </row>
    <row r="1564" spans="1:24" x14ac:dyDescent="0.25">
      <c r="A1564" s="55">
        <v>220230008926</v>
      </c>
      <c r="B1564" s="47" t="s">
        <v>507</v>
      </c>
      <c r="C1564" s="52">
        <v>45002</v>
      </c>
      <c r="D1564" s="46">
        <v>22023003087</v>
      </c>
      <c r="E1564" s="47" t="s">
        <v>1285</v>
      </c>
      <c r="F1564" s="53">
        <v>3668.12</v>
      </c>
      <c r="G1564" s="47" t="s">
        <v>2904</v>
      </c>
      <c r="H1564" s="47" t="s">
        <v>2905</v>
      </c>
      <c r="I1564" s="46" t="s">
        <v>511</v>
      </c>
      <c r="J1564" s="47" t="s">
        <v>2906</v>
      </c>
      <c r="K1564" s="47" t="s">
        <v>853</v>
      </c>
      <c r="L1564" s="47" t="s">
        <v>552</v>
      </c>
      <c r="M1564" s="47" t="s">
        <v>976</v>
      </c>
      <c r="N1564" s="47" t="s">
        <v>839</v>
      </c>
      <c r="O1564" s="54" t="s">
        <v>383</v>
      </c>
      <c r="P1564" s="44" t="s">
        <v>309</v>
      </c>
      <c r="Q1564" s="59" t="str">
        <f>MID(Tabla1[[#This Row],[Aplicación]],14,1)</f>
        <v>2</v>
      </c>
      <c r="R1564" s="35" t="s">
        <v>298</v>
      </c>
      <c r="S1564" s="59" t="str">
        <f>MID(Tabla1[[#This Row],[Aplicación]],6,2)</f>
        <v>11</v>
      </c>
      <c r="T1564" s="35" t="str">
        <f>VLOOKUP(Tabla1[[#This Row],[AREA]],Hoja1!A:B,2,FALSE)</f>
        <v>11. Salud pública y seguridad ciudadana</v>
      </c>
      <c r="U1564" s="35" t="str">
        <f>MID(Tabla1[[#This Row],[Aplicación]],9,4)</f>
        <v>1361</v>
      </c>
      <c r="V1564" s="35" t="str">
        <f>VLOOKUP(Tabla1[[#This Row],[PROGRAMA]],Hoja1!A:B,2,FALSE)</f>
        <v>1361. Prevención y extinción de incencios</v>
      </c>
      <c r="W1564" s="56" t="str">
        <f>MID(Tabla1[[#This Row],[Aplicación]],14,2)</f>
        <v>22</v>
      </c>
      <c r="X1564" s="56" t="str">
        <f>MID(Tabla1[[#This Row],[Aplicación]],14,6)</f>
        <v>22199</v>
      </c>
    </row>
    <row r="1565" spans="1:24" x14ac:dyDescent="0.25">
      <c r="A1565" s="46">
        <v>220229000904</v>
      </c>
      <c r="B1565" s="47" t="s">
        <v>507</v>
      </c>
      <c r="C1565" s="52">
        <v>44927</v>
      </c>
      <c r="D1565" s="46">
        <v>22023002051</v>
      </c>
      <c r="E1565" s="47" t="s">
        <v>1022</v>
      </c>
      <c r="F1565" s="53">
        <v>17378.63</v>
      </c>
      <c r="G1565" s="47" t="s">
        <v>2907</v>
      </c>
      <c r="H1565" s="47" t="s">
        <v>2908</v>
      </c>
      <c r="I1565" s="46" t="s">
        <v>511</v>
      </c>
      <c r="J1565" s="47" t="s">
        <v>2909</v>
      </c>
      <c r="K1565" s="51" t="s">
        <v>2909</v>
      </c>
      <c r="L1565" s="47" t="s">
        <v>552</v>
      </c>
      <c r="M1565" s="47" t="s">
        <v>514</v>
      </c>
      <c r="N1565" s="47" t="s">
        <v>515</v>
      </c>
      <c r="O1565" s="45" t="s">
        <v>371</v>
      </c>
      <c r="P1565" s="44" t="s">
        <v>309</v>
      </c>
      <c r="Q1565" s="59" t="str">
        <f>MID(Tabla1[[#This Row],[Aplicación]],14,1)</f>
        <v>2</v>
      </c>
      <c r="R1565" s="35" t="s">
        <v>298</v>
      </c>
      <c r="S1565" s="59" t="str">
        <f>MID(Tabla1[[#This Row],[Aplicación]],6,2)</f>
        <v>11</v>
      </c>
      <c r="T1565" s="35" t="str">
        <f>VLOOKUP(Tabla1[[#This Row],[AREA]],Hoja1!A:B,2,FALSE)</f>
        <v>11. Salud pública y seguridad ciudadana</v>
      </c>
      <c r="U1565" s="35" t="str">
        <f>MID(Tabla1[[#This Row],[Aplicación]],9,4)</f>
        <v>1631</v>
      </c>
      <c r="V1565" s="35" t="str">
        <f>VLOOKUP(Tabla1[[#This Row],[PROGRAMA]],Hoja1!A:B,2,FALSE)</f>
        <v>1631. Limpieza viaria</v>
      </c>
      <c r="W1565" s="56" t="str">
        <f>MID(Tabla1[[#This Row],[Aplicación]],14,2)</f>
        <v>22</v>
      </c>
      <c r="X1565" s="56" t="str">
        <f>MID(Tabla1[[#This Row],[Aplicación]],14,6)</f>
        <v>22104</v>
      </c>
    </row>
    <row r="1566" spans="1:24" x14ac:dyDescent="0.25">
      <c r="A1566" s="46">
        <v>220229000688</v>
      </c>
      <c r="B1566" s="47" t="s">
        <v>507</v>
      </c>
      <c r="C1566" s="52">
        <v>44927</v>
      </c>
      <c r="D1566" s="46">
        <v>22023000472</v>
      </c>
      <c r="E1566" s="47" t="s">
        <v>1084</v>
      </c>
      <c r="F1566" s="53">
        <v>11585.75</v>
      </c>
      <c r="G1566" s="47" t="s">
        <v>2907</v>
      </c>
      <c r="H1566" s="47" t="s">
        <v>2910</v>
      </c>
      <c r="I1566" s="46" t="s">
        <v>511</v>
      </c>
      <c r="J1566" s="47" t="s">
        <v>2909</v>
      </c>
      <c r="K1566" s="51" t="s">
        <v>2909</v>
      </c>
      <c r="L1566" s="47" t="s">
        <v>552</v>
      </c>
      <c r="M1566" s="47" t="s">
        <v>514</v>
      </c>
      <c r="N1566" s="47" t="s">
        <v>515</v>
      </c>
      <c r="O1566" s="45" t="s">
        <v>371</v>
      </c>
      <c r="P1566" s="44" t="s">
        <v>309</v>
      </c>
      <c r="Q1566" s="59" t="str">
        <f>MID(Tabla1[[#This Row],[Aplicación]],14,1)</f>
        <v>2</v>
      </c>
      <c r="R1566" s="35" t="s">
        <v>298</v>
      </c>
      <c r="S1566" s="59" t="str">
        <f>MID(Tabla1[[#This Row],[Aplicación]],6,2)</f>
        <v>11</v>
      </c>
      <c r="T1566" s="35" t="str">
        <f>VLOOKUP(Tabla1[[#This Row],[AREA]],Hoja1!A:B,2,FALSE)</f>
        <v>11. Salud pública y seguridad ciudadana</v>
      </c>
      <c r="U1566" s="35" t="str">
        <f>MID(Tabla1[[#This Row],[Aplicación]],9,4)</f>
        <v>1621</v>
      </c>
      <c r="V1566" s="35" t="str">
        <f>VLOOKUP(Tabla1[[#This Row],[PROGRAMA]],Hoja1!A:B,2,FALSE)</f>
        <v>1621. Servicio de limpieza</v>
      </c>
      <c r="W1566" s="56" t="str">
        <f>MID(Tabla1[[#This Row],[Aplicación]],14,2)</f>
        <v>22</v>
      </c>
      <c r="X1566" s="56" t="str">
        <f>MID(Tabla1[[#This Row],[Aplicación]],14,6)</f>
        <v>22104</v>
      </c>
    </row>
    <row r="1567" spans="1:24" x14ac:dyDescent="0.25">
      <c r="A1567" s="46">
        <v>220219000950</v>
      </c>
      <c r="B1567" s="47" t="s">
        <v>507</v>
      </c>
      <c r="C1567" s="52">
        <v>44927</v>
      </c>
      <c r="D1567" s="46">
        <v>22023003373</v>
      </c>
      <c r="E1567" s="47" t="s">
        <v>1378</v>
      </c>
      <c r="F1567" s="53">
        <v>0.01</v>
      </c>
      <c r="G1567" s="47" t="s">
        <v>429</v>
      </c>
      <c r="H1567" s="47" t="s">
        <v>2911</v>
      </c>
      <c r="I1567" s="46" t="s">
        <v>511</v>
      </c>
      <c r="J1567" s="47" t="s">
        <v>2859</v>
      </c>
      <c r="K1567" s="47" t="s">
        <v>853</v>
      </c>
      <c r="L1567" s="47" t="s">
        <v>552</v>
      </c>
      <c r="M1567" s="47" t="s">
        <v>514</v>
      </c>
      <c r="N1567" s="47" t="s">
        <v>515</v>
      </c>
      <c r="O1567" s="54" t="s">
        <v>371</v>
      </c>
      <c r="P1567" s="44" t="s">
        <v>309</v>
      </c>
      <c r="Q1567" s="59" t="str">
        <f>MID(Tabla1[[#This Row],[Aplicación]],14,1)</f>
        <v>6</v>
      </c>
      <c r="R1567" s="35" t="s">
        <v>299</v>
      </c>
      <c r="S1567" s="59" t="str">
        <f>MID(Tabla1[[#This Row],[Aplicación]],6,2)</f>
        <v>11</v>
      </c>
      <c r="T1567" s="35" t="str">
        <f>VLOOKUP(Tabla1[[#This Row],[AREA]],Hoja1!A:B,2,FALSE)</f>
        <v>11. Salud pública y seguridad ciudadana</v>
      </c>
      <c r="U1567" s="35" t="str">
        <f>MID(Tabla1[[#This Row],[Aplicación]],9,4)</f>
        <v>1361</v>
      </c>
      <c r="V1567" s="35" t="str">
        <f>VLOOKUP(Tabla1[[#This Row],[PROGRAMA]],Hoja1!A:B,2,FALSE)</f>
        <v>1361. Prevención y extinción de incencios</v>
      </c>
      <c r="W1567" s="56" t="str">
        <f>MID(Tabla1[[#This Row],[Aplicación]],14,2)</f>
        <v>62</v>
      </c>
      <c r="X1567" s="56" t="str">
        <f>MID(Tabla1[[#This Row],[Aplicación]],14,6)</f>
        <v>623</v>
      </c>
    </row>
    <row r="1568" spans="1:24" x14ac:dyDescent="0.25">
      <c r="A1568" s="46">
        <v>220230003795</v>
      </c>
      <c r="B1568" s="47" t="s">
        <v>507</v>
      </c>
      <c r="C1568" s="52">
        <v>44974</v>
      </c>
      <c r="D1568" s="46">
        <v>22023002479</v>
      </c>
      <c r="E1568" s="47" t="s">
        <v>2857</v>
      </c>
      <c r="F1568" s="53">
        <v>5617.79</v>
      </c>
      <c r="G1568" s="47" t="s">
        <v>429</v>
      </c>
      <c r="H1568" s="47" t="s">
        <v>2912</v>
      </c>
      <c r="I1568" s="46" t="s">
        <v>511</v>
      </c>
      <c r="J1568" s="47" t="s">
        <v>2859</v>
      </c>
      <c r="K1568" s="47" t="s">
        <v>853</v>
      </c>
      <c r="L1568" s="47" t="s">
        <v>552</v>
      </c>
      <c r="M1568" s="47" t="s">
        <v>976</v>
      </c>
      <c r="N1568" s="47" t="s">
        <v>839</v>
      </c>
      <c r="O1568" s="45" t="s">
        <v>383</v>
      </c>
      <c r="P1568" s="44" t="s">
        <v>309</v>
      </c>
      <c r="Q1568" s="59" t="str">
        <f>MID(Tabla1[[#This Row],[Aplicación]],14,1)</f>
        <v>2</v>
      </c>
      <c r="R1568" s="35" t="s">
        <v>298</v>
      </c>
      <c r="S1568" s="59" t="str">
        <f>MID(Tabla1[[#This Row],[Aplicación]],6,2)</f>
        <v>11</v>
      </c>
      <c r="T1568" s="35" t="str">
        <f>VLOOKUP(Tabla1[[#This Row],[AREA]],Hoja1!A:B,2,FALSE)</f>
        <v>11. Salud pública y seguridad ciudadana</v>
      </c>
      <c r="U1568" s="35" t="str">
        <f>MID(Tabla1[[#This Row],[Aplicación]],9,4)</f>
        <v>1361</v>
      </c>
      <c r="V1568" s="35" t="str">
        <f>VLOOKUP(Tabla1[[#This Row],[PROGRAMA]],Hoja1!A:B,2,FALSE)</f>
        <v>1361. Prevención y extinción de incencios</v>
      </c>
      <c r="W1568" s="56" t="str">
        <f>MID(Tabla1[[#This Row],[Aplicación]],14,2)</f>
        <v>22</v>
      </c>
      <c r="X1568" s="56" t="str">
        <f>MID(Tabla1[[#This Row],[Aplicación]],14,6)</f>
        <v>22104</v>
      </c>
    </row>
    <row r="1569" spans="1:24" x14ac:dyDescent="0.25">
      <c r="A1569" s="46">
        <v>220230008193</v>
      </c>
      <c r="B1569" s="47" t="s">
        <v>507</v>
      </c>
      <c r="C1569" s="52">
        <v>44998</v>
      </c>
      <c r="D1569" s="46">
        <v>22023003059</v>
      </c>
      <c r="E1569" s="47" t="s">
        <v>693</v>
      </c>
      <c r="F1569" s="53">
        <v>640.09</v>
      </c>
      <c r="G1569" s="47" t="s">
        <v>390</v>
      </c>
      <c r="H1569" s="47" t="s">
        <v>2913</v>
      </c>
      <c r="I1569" s="46" t="s">
        <v>511</v>
      </c>
      <c r="J1569" s="47" t="s">
        <v>519</v>
      </c>
      <c r="K1569" s="47" t="s">
        <v>519</v>
      </c>
      <c r="L1569" s="47" t="s">
        <v>520</v>
      </c>
      <c r="M1569" s="47" t="s">
        <v>976</v>
      </c>
      <c r="N1569" s="47" t="s">
        <v>839</v>
      </c>
      <c r="O1569" s="54" t="s">
        <v>383</v>
      </c>
      <c r="P1569" s="44" t="s">
        <v>309</v>
      </c>
      <c r="Q1569" s="59" t="str">
        <f>MID(Tabla1[[#This Row],[Aplicación]],14,1)</f>
        <v>2</v>
      </c>
      <c r="R1569" s="35" t="s">
        <v>298</v>
      </c>
      <c r="S1569" s="59" t="str">
        <f>MID(Tabla1[[#This Row],[Aplicación]],6,2)</f>
        <v>11</v>
      </c>
      <c r="T1569" s="35" t="str">
        <f>VLOOKUP(Tabla1[[#This Row],[AREA]],Hoja1!A:B,2,FALSE)</f>
        <v>11. Salud pública y seguridad ciudadana</v>
      </c>
      <c r="U1569" s="35" t="str">
        <f>MID(Tabla1[[#This Row],[Aplicación]],9,4)</f>
        <v>1361</v>
      </c>
      <c r="V1569" s="35" t="str">
        <f>VLOOKUP(Tabla1[[#This Row],[PROGRAMA]],Hoja1!A:B,2,FALSE)</f>
        <v>1361. Prevención y extinción de incencios</v>
      </c>
      <c r="W1569" s="56" t="str">
        <f>MID(Tabla1[[#This Row],[Aplicación]],14,2)</f>
        <v>21</v>
      </c>
      <c r="X1569" s="56" t="str">
        <f>MID(Tabla1[[#This Row],[Aplicación]],14,6)</f>
        <v>213</v>
      </c>
    </row>
    <row r="1570" spans="1:24" x14ac:dyDescent="0.25">
      <c r="A1570" s="55">
        <v>220230008951</v>
      </c>
      <c r="B1570" s="47" t="s">
        <v>507</v>
      </c>
      <c r="C1570" s="52">
        <v>45002</v>
      </c>
      <c r="D1570" s="46">
        <v>22023003124</v>
      </c>
      <c r="E1570" s="47" t="s">
        <v>1315</v>
      </c>
      <c r="F1570" s="53">
        <v>3545.3</v>
      </c>
      <c r="G1570" s="47" t="s">
        <v>2914</v>
      </c>
      <c r="H1570" s="47" t="s">
        <v>2915</v>
      </c>
      <c r="I1570" s="46" t="s">
        <v>511</v>
      </c>
      <c r="J1570" s="47" t="s">
        <v>519</v>
      </c>
      <c r="K1570" s="47" t="s">
        <v>519</v>
      </c>
      <c r="L1570" s="47" t="s">
        <v>520</v>
      </c>
      <c r="M1570" s="47" t="s">
        <v>976</v>
      </c>
      <c r="N1570" s="47" t="s">
        <v>839</v>
      </c>
      <c r="O1570" s="54" t="s">
        <v>383</v>
      </c>
      <c r="P1570" s="44" t="s">
        <v>309</v>
      </c>
      <c r="Q1570" s="59" t="str">
        <f>MID(Tabla1[[#This Row],[Aplicación]],14,1)</f>
        <v>2</v>
      </c>
      <c r="R1570" s="35" t="s">
        <v>298</v>
      </c>
      <c r="S1570" s="59" t="str">
        <f>MID(Tabla1[[#This Row],[Aplicación]],6,2)</f>
        <v>01</v>
      </c>
      <c r="T1570" s="35" t="str">
        <f>VLOOKUP(Tabla1[[#This Row],[AREA]],Hoja1!A:B,2,FALSE)</f>
        <v>01. Alcaldía</v>
      </c>
      <c r="U1570" s="35" t="str">
        <f>MID(Tabla1[[#This Row],[Aplicación]],9,4)</f>
        <v>9207</v>
      </c>
      <c r="V1570" s="35" t="str">
        <f>VLOOKUP(Tabla1[[#This Row],[PROGRAMA]],Hoja1!A:B,2,FALSE)</f>
        <v>9207. Gobierno y relaciones</v>
      </c>
      <c r="W1570" s="56" t="str">
        <f>MID(Tabla1[[#This Row],[Aplicación]],14,2)</f>
        <v>22</v>
      </c>
      <c r="X1570" s="56" t="str">
        <f>MID(Tabla1[[#This Row],[Aplicación]],14,6)</f>
        <v>22602</v>
      </c>
    </row>
    <row r="1571" spans="1:24" x14ac:dyDescent="0.25">
      <c r="A1571" s="46">
        <v>220230005914</v>
      </c>
      <c r="B1571" s="47" t="s">
        <v>507</v>
      </c>
      <c r="C1571" s="52">
        <v>44980</v>
      </c>
      <c r="D1571" s="46">
        <v>22023002592</v>
      </c>
      <c r="E1571" s="47" t="s">
        <v>1191</v>
      </c>
      <c r="F1571" s="53">
        <v>300</v>
      </c>
      <c r="G1571" s="47" t="s">
        <v>2916</v>
      </c>
      <c r="H1571" s="47" t="s">
        <v>2917</v>
      </c>
      <c r="I1571" s="46" t="s">
        <v>511</v>
      </c>
      <c r="J1571" s="47" t="s">
        <v>519</v>
      </c>
      <c r="K1571" s="47" t="s">
        <v>519</v>
      </c>
      <c r="L1571" s="47" t="s">
        <v>520</v>
      </c>
      <c r="M1571" s="47" t="s">
        <v>976</v>
      </c>
      <c r="N1571" s="47" t="s">
        <v>839</v>
      </c>
      <c r="O1571" s="45" t="s">
        <v>383</v>
      </c>
      <c r="P1571" s="44" t="s">
        <v>309</v>
      </c>
      <c r="Q1571" s="59" t="str">
        <f>MID(Tabla1[[#This Row],[Aplicación]],14,1)</f>
        <v>2</v>
      </c>
      <c r="R1571" s="35" t="s">
        <v>298</v>
      </c>
      <c r="S1571" s="59" t="str">
        <f>MID(Tabla1[[#This Row],[Aplicación]],6,2)</f>
        <v>06</v>
      </c>
      <c r="T1571" s="35" t="str">
        <f>VLOOKUP(Tabla1[[#This Row],[AREA]],Hoja1!A:B,2,FALSE)</f>
        <v>06. Educación, infancia, juventud e igualdad</v>
      </c>
      <c r="U1571" s="35" t="str">
        <f>MID(Tabla1[[#This Row],[Aplicación]],9,4)</f>
        <v>2315</v>
      </c>
      <c r="V1571" s="35" t="str">
        <f>VLOOKUP(Tabla1[[#This Row],[PROGRAMA]],Hoja1!A:B,2,FALSE)</f>
        <v>2315. Políticas de Igualdad e infancia</v>
      </c>
      <c r="W1571" s="56" t="str">
        <f>MID(Tabla1[[#This Row],[Aplicación]],14,2)</f>
        <v>22</v>
      </c>
      <c r="X1571" s="56" t="str">
        <f>MID(Tabla1[[#This Row],[Aplicación]],14,6)</f>
        <v>22611</v>
      </c>
    </row>
    <row r="1572" spans="1:24" x14ac:dyDescent="0.25">
      <c r="A1572" s="46">
        <v>220229000277</v>
      </c>
      <c r="B1572" s="47" t="s">
        <v>507</v>
      </c>
      <c r="C1572" s="52">
        <v>44927</v>
      </c>
      <c r="D1572" s="46">
        <v>22023000321</v>
      </c>
      <c r="E1572" s="47" t="s">
        <v>1084</v>
      </c>
      <c r="F1572" s="53">
        <v>13764.96</v>
      </c>
      <c r="G1572" s="47" t="s">
        <v>1023</v>
      </c>
      <c r="H1572" s="47" t="s">
        <v>2918</v>
      </c>
      <c r="I1572" s="46" t="s">
        <v>511</v>
      </c>
      <c r="J1572" s="47" t="s">
        <v>1025</v>
      </c>
      <c r="K1572" s="47" t="s">
        <v>717</v>
      </c>
      <c r="L1572" s="47" t="s">
        <v>552</v>
      </c>
      <c r="M1572" s="47" t="s">
        <v>514</v>
      </c>
      <c r="N1572" s="47" t="s">
        <v>515</v>
      </c>
      <c r="O1572" s="45" t="s">
        <v>371</v>
      </c>
      <c r="P1572" s="44" t="s">
        <v>309</v>
      </c>
      <c r="Q1572" s="59" t="str">
        <f>MID(Tabla1[[#This Row],[Aplicación]],14,1)</f>
        <v>2</v>
      </c>
      <c r="R1572" s="35" t="s">
        <v>298</v>
      </c>
      <c r="S1572" s="59" t="str">
        <f>MID(Tabla1[[#This Row],[Aplicación]],6,2)</f>
        <v>11</v>
      </c>
      <c r="T1572" s="35" t="str">
        <f>VLOOKUP(Tabla1[[#This Row],[AREA]],Hoja1!A:B,2,FALSE)</f>
        <v>11. Salud pública y seguridad ciudadana</v>
      </c>
      <c r="U1572" s="35" t="str">
        <f>MID(Tabla1[[#This Row],[Aplicación]],9,4)</f>
        <v>1621</v>
      </c>
      <c r="V1572" s="35" t="str">
        <f>VLOOKUP(Tabla1[[#This Row],[PROGRAMA]],Hoja1!A:B,2,FALSE)</f>
        <v>1621. Servicio de limpieza</v>
      </c>
      <c r="W1572" s="56" t="str">
        <f>MID(Tabla1[[#This Row],[Aplicación]],14,2)</f>
        <v>22</v>
      </c>
      <c r="X1572" s="56" t="str">
        <f>MID(Tabla1[[#This Row],[Aplicación]],14,6)</f>
        <v>22104</v>
      </c>
    </row>
    <row r="1573" spans="1:24" x14ac:dyDescent="0.25">
      <c r="A1573" s="55">
        <v>220230011726</v>
      </c>
      <c r="B1573" s="47" t="s">
        <v>507</v>
      </c>
      <c r="C1573" s="52">
        <v>45014</v>
      </c>
      <c r="D1573" s="46">
        <v>22023003565</v>
      </c>
      <c r="E1573" s="47" t="s">
        <v>1490</v>
      </c>
      <c r="F1573" s="53">
        <v>1733.33</v>
      </c>
      <c r="G1573" s="47" t="s">
        <v>2919</v>
      </c>
      <c r="H1573" s="47" t="s">
        <v>2920</v>
      </c>
      <c r="I1573" s="46" t="s">
        <v>511</v>
      </c>
      <c r="J1573" s="47" t="s">
        <v>519</v>
      </c>
      <c r="K1573" s="47" t="s">
        <v>519</v>
      </c>
      <c r="L1573" s="47" t="s">
        <v>552</v>
      </c>
      <c r="M1573" s="47" t="s">
        <v>976</v>
      </c>
      <c r="N1573" s="47" t="s">
        <v>839</v>
      </c>
      <c r="O1573" s="54" t="s">
        <v>383</v>
      </c>
      <c r="P1573" s="44" t="s">
        <v>309</v>
      </c>
      <c r="Q1573" s="59" t="str">
        <f>MID(Tabla1[[#This Row],[Aplicación]],14,1)</f>
        <v>2</v>
      </c>
      <c r="R1573" s="35" t="s">
        <v>298</v>
      </c>
      <c r="S1573" s="59" t="str">
        <f>MID(Tabla1[[#This Row],[Aplicación]],6,2)</f>
        <v>06</v>
      </c>
      <c r="T1573" s="35" t="str">
        <f>VLOOKUP(Tabla1[[#This Row],[AREA]],Hoja1!A:B,2,FALSE)</f>
        <v>06. Educación, infancia, juventud e igualdad</v>
      </c>
      <c r="U1573" s="35" t="str">
        <f>MID(Tabla1[[#This Row],[Aplicación]],9,4)</f>
        <v>2314</v>
      </c>
      <c r="V1573" s="35" t="str">
        <f>VLOOKUP(Tabla1[[#This Row],[PROGRAMA]],Hoja1!A:B,2,FALSE)</f>
        <v>2314. Centro de programas juveniles</v>
      </c>
      <c r="W1573" s="56" t="str">
        <f>MID(Tabla1[[#This Row],[Aplicación]],14,2)</f>
        <v>22</v>
      </c>
      <c r="X1573" s="56" t="str">
        <f>MID(Tabla1[[#This Row],[Aplicación]],14,6)</f>
        <v>22613</v>
      </c>
    </row>
    <row r="1574" spans="1:24" x14ac:dyDescent="0.25">
      <c r="A1574" s="46">
        <v>220230002950</v>
      </c>
      <c r="B1574" s="47" t="s">
        <v>507</v>
      </c>
      <c r="C1574" s="52">
        <v>44967</v>
      </c>
      <c r="D1574" s="46">
        <v>22023002350</v>
      </c>
      <c r="E1574" s="47" t="s">
        <v>2921</v>
      </c>
      <c r="F1574" s="53">
        <v>332.75</v>
      </c>
      <c r="G1574" s="47" t="s">
        <v>2922</v>
      </c>
      <c r="H1574" s="47" t="s">
        <v>2923</v>
      </c>
      <c r="I1574" s="46" t="s">
        <v>511</v>
      </c>
      <c r="J1574" s="47" t="s">
        <v>519</v>
      </c>
      <c r="K1574" s="47" t="s">
        <v>519</v>
      </c>
      <c r="L1574" s="47" t="s">
        <v>520</v>
      </c>
      <c r="M1574" s="47" t="s">
        <v>976</v>
      </c>
      <c r="N1574" s="47" t="s">
        <v>839</v>
      </c>
      <c r="O1574" s="45" t="s">
        <v>383</v>
      </c>
      <c r="P1574" s="44" t="s">
        <v>309</v>
      </c>
      <c r="Q1574" s="59" t="str">
        <f>MID(Tabla1[[#This Row],[Aplicación]],14,1)</f>
        <v>2</v>
      </c>
      <c r="R1574" s="35" t="s">
        <v>298</v>
      </c>
      <c r="S1574" s="59" t="str">
        <f>MID(Tabla1[[#This Row],[Aplicación]],6,2)</f>
        <v>05</v>
      </c>
      <c r="T1574" s="35" t="str">
        <f>VLOOKUP(Tabla1[[#This Row],[AREA]],Hoja1!A:B,2,FALSE)</f>
        <v>05. Innovación, desarrollo económico, empleo y comercio</v>
      </c>
      <c r="U1574" s="35" t="str">
        <f>MID(Tabla1[[#This Row],[Aplicación]],9,4)</f>
        <v>4312</v>
      </c>
      <c r="V1574" s="35" t="str">
        <f>VLOOKUP(Tabla1[[#This Row],[PROGRAMA]],Hoja1!A:B,2,FALSE)</f>
        <v>4312. Mercados, abastos y lonjas</v>
      </c>
      <c r="W1574" s="56" t="str">
        <f>MID(Tabla1[[#This Row],[Aplicación]],14,2)</f>
        <v>21</v>
      </c>
      <c r="X1574" s="56" t="str">
        <f>MID(Tabla1[[#This Row],[Aplicación]],14,6)</f>
        <v>212</v>
      </c>
    </row>
    <row r="1575" spans="1:24" x14ac:dyDescent="0.25">
      <c r="A1575" s="46">
        <v>220230008599</v>
      </c>
      <c r="B1575" s="47" t="s">
        <v>507</v>
      </c>
      <c r="C1575" s="52">
        <v>45000</v>
      </c>
      <c r="D1575" s="46">
        <v>22023003037</v>
      </c>
      <c r="E1575" s="47" t="s">
        <v>1667</v>
      </c>
      <c r="F1575" s="53">
        <v>611.04999999999995</v>
      </c>
      <c r="G1575" s="47" t="s">
        <v>2924</v>
      </c>
      <c r="H1575" s="47" t="s">
        <v>2925</v>
      </c>
      <c r="I1575" s="46" t="s">
        <v>511</v>
      </c>
      <c r="J1575" s="47" t="s">
        <v>947</v>
      </c>
      <c r="K1575" s="47" t="s">
        <v>947</v>
      </c>
      <c r="L1575" s="47" t="s">
        <v>552</v>
      </c>
      <c r="M1575" s="47" t="s">
        <v>976</v>
      </c>
      <c r="N1575" s="47" t="s">
        <v>839</v>
      </c>
      <c r="O1575" s="54" t="s">
        <v>383</v>
      </c>
      <c r="P1575" s="44" t="s">
        <v>309</v>
      </c>
      <c r="Q1575" s="59" t="str">
        <f>MID(Tabla1[[#This Row],[Aplicación]],14,1)</f>
        <v>2</v>
      </c>
      <c r="R1575" s="35" t="s">
        <v>298</v>
      </c>
      <c r="S1575" s="59" t="str">
        <f>MID(Tabla1[[#This Row],[Aplicación]],6,2)</f>
        <v>01</v>
      </c>
      <c r="T1575" s="35" t="str">
        <f>VLOOKUP(Tabla1[[#This Row],[AREA]],Hoja1!A:B,2,FALSE)</f>
        <v>01. Alcaldía</v>
      </c>
      <c r="U1575" s="35" t="str">
        <f>MID(Tabla1[[#This Row],[Aplicación]],9,4)</f>
        <v>9205</v>
      </c>
      <c r="V1575" s="35" t="str">
        <f>VLOOKUP(Tabla1[[#This Row],[PROGRAMA]],Hoja1!A:B,2,FALSE)</f>
        <v>9205. Imprenta municipal</v>
      </c>
      <c r="W1575" s="56" t="str">
        <f>MID(Tabla1[[#This Row],[Aplicación]],14,2)</f>
        <v>22</v>
      </c>
      <c r="X1575" s="56" t="str">
        <f>MID(Tabla1[[#This Row],[Aplicación]],14,6)</f>
        <v>22199</v>
      </c>
    </row>
    <row r="1576" spans="1:24" x14ac:dyDescent="0.25">
      <c r="A1576" s="46">
        <v>220230008576</v>
      </c>
      <c r="B1576" s="47" t="s">
        <v>507</v>
      </c>
      <c r="C1576" s="52">
        <v>45000</v>
      </c>
      <c r="D1576" s="46">
        <v>22023002943</v>
      </c>
      <c r="E1576" s="47" t="s">
        <v>1479</v>
      </c>
      <c r="F1576" s="53">
        <v>550</v>
      </c>
      <c r="G1576" s="47" t="s">
        <v>484</v>
      </c>
      <c r="H1576" s="47" t="s">
        <v>2926</v>
      </c>
      <c r="I1576" s="46" t="s">
        <v>511</v>
      </c>
      <c r="J1576" s="47" t="s">
        <v>519</v>
      </c>
      <c r="K1576" s="47" t="s">
        <v>519</v>
      </c>
      <c r="L1576" s="47" t="s">
        <v>520</v>
      </c>
      <c r="M1576" s="47" t="s">
        <v>976</v>
      </c>
      <c r="N1576" s="47" t="s">
        <v>839</v>
      </c>
      <c r="O1576" s="54" t="s">
        <v>383</v>
      </c>
      <c r="P1576" s="44" t="s">
        <v>309</v>
      </c>
      <c r="Q1576" s="59" t="str">
        <f>MID(Tabla1[[#This Row],[Aplicación]],14,1)</f>
        <v>2</v>
      </c>
      <c r="R1576" s="35" t="s">
        <v>298</v>
      </c>
      <c r="S1576" s="59" t="str">
        <f>MID(Tabla1[[#This Row],[Aplicación]],6,2)</f>
        <v>03</v>
      </c>
      <c r="T1576" s="35" t="str">
        <f>VLOOKUP(Tabla1[[#This Row],[AREA]],Hoja1!A:B,2,FALSE)</f>
        <v>03. Participación ciudadana y deportes</v>
      </c>
      <c r="U1576" s="35" t="str">
        <f>MID(Tabla1[[#This Row],[Aplicación]],9,4)</f>
        <v>9241</v>
      </c>
      <c r="V1576" s="35" t="str">
        <f>VLOOKUP(Tabla1[[#This Row],[PROGRAMA]],Hoja1!A:B,2,FALSE)</f>
        <v>9241. Participación ciudadana</v>
      </c>
      <c r="W1576" s="56" t="str">
        <f>MID(Tabla1[[#This Row],[Aplicación]],14,2)</f>
        <v>22</v>
      </c>
      <c r="X1576" s="56" t="str">
        <f>MID(Tabla1[[#This Row],[Aplicación]],14,6)</f>
        <v>22609</v>
      </c>
    </row>
    <row r="1577" spans="1:24" x14ac:dyDescent="0.25">
      <c r="A1577" s="46">
        <v>220230002628</v>
      </c>
      <c r="B1577" s="47" t="s">
        <v>507</v>
      </c>
      <c r="C1577" s="52">
        <v>44966</v>
      </c>
      <c r="D1577" s="46">
        <v>22023002218</v>
      </c>
      <c r="E1577" s="47" t="s">
        <v>931</v>
      </c>
      <c r="F1577" s="53">
        <v>3025</v>
      </c>
      <c r="G1577" s="47" t="s">
        <v>2927</v>
      </c>
      <c r="H1577" s="47" t="s">
        <v>2928</v>
      </c>
      <c r="I1577" s="46" t="s">
        <v>511</v>
      </c>
      <c r="J1577" s="47" t="s">
        <v>519</v>
      </c>
      <c r="K1577" s="51" t="s">
        <v>519</v>
      </c>
      <c r="L1577" s="47" t="s">
        <v>652</v>
      </c>
      <c r="M1577" s="47" t="s">
        <v>976</v>
      </c>
      <c r="N1577" s="47" t="s">
        <v>839</v>
      </c>
      <c r="O1577" s="45" t="s">
        <v>383</v>
      </c>
      <c r="P1577" s="44" t="s">
        <v>309</v>
      </c>
      <c r="Q1577" s="59" t="str">
        <f>MID(Tabla1[[#This Row],[Aplicación]],14,1)</f>
        <v>2</v>
      </c>
      <c r="R1577" s="35" t="s">
        <v>298</v>
      </c>
      <c r="S1577" s="59" t="str">
        <f>MID(Tabla1[[#This Row],[Aplicación]],6,2)</f>
        <v>09</v>
      </c>
      <c r="T1577" s="35" t="str">
        <f>VLOOKUP(Tabla1[[#This Row],[AREA]],Hoja1!A:B,2,FALSE)</f>
        <v>09. Cultura y turismo</v>
      </c>
      <c r="U1577" s="35" t="str">
        <f>MID(Tabla1[[#This Row],[Aplicación]],9,4)</f>
        <v>3341</v>
      </c>
      <c r="V1577" s="35" t="str">
        <f>VLOOKUP(Tabla1[[#This Row],[PROGRAMA]],Hoja1!A:B,2,FALSE)</f>
        <v>3341. Coordinación de políticas culturales</v>
      </c>
      <c r="W1577" s="56" t="str">
        <f>MID(Tabla1[[#This Row],[Aplicación]],14,2)</f>
        <v>22</v>
      </c>
      <c r="X1577" s="56" t="str">
        <f>MID(Tabla1[[#This Row],[Aplicación]],14,6)</f>
        <v>22799</v>
      </c>
    </row>
    <row r="1578" spans="1:24" x14ac:dyDescent="0.25">
      <c r="A1578" s="55">
        <v>220230010330</v>
      </c>
      <c r="B1578" s="47" t="s">
        <v>507</v>
      </c>
      <c r="C1578" s="52">
        <v>45008</v>
      </c>
      <c r="D1578" s="46">
        <v>22023003080</v>
      </c>
      <c r="E1578" s="47" t="s">
        <v>2233</v>
      </c>
      <c r="F1578" s="53">
        <v>1694</v>
      </c>
      <c r="G1578" s="47" t="s">
        <v>430</v>
      </c>
      <c r="H1578" s="47" t="s">
        <v>2929</v>
      </c>
      <c r="I1578" s="46" t="s">
        <v>2168</v>
      </c>
      <c r="J1578" s="47" t="s">
        <v>2930</v>
      </c>
      <c r="K1578" s="47" t="s">
        <v>519</v>
      </c>
      <c r="L1578" s="47" t="s">
        <v>520</v>
      </c>
      <c r="M1578" s="47" t="s">
        <v>976</v>
      </c>
      <c r="N1578" s="47" t="s">
        <v>839</v>
      </c>
      <c r="O1578" s="54" t="s">
        <v>383</v>
      </c>
      <c r="P1578" s="44" t="s">
        <v>309</v>
      </c>
      <c r="Q1578" s="59" t="str">
        <f>MID(Tabla1[[#This Row],[Aplicación]],14,1)</f>
        <v>2</v>
      </c>
      <c r="R1578" s="35" t="s">
        <v>298</v>
      </c>
      <c r="S1578" s="59" t="str">
        <f>MID(Tabla1[[#This Row],[Aplicación]],6,2)</f>
        <v>05</v>
      </c>
      <c r="T1578" s="35" t="str">
        <f>VLOOKUP(Tabla1[[#This Row],[AREA]],Hoja1!A:B,2,FALSE)</f>
        <v>05. Innovación, desarrollo económico, empleo y comercio</v>
      </c>
      <c r="U1578" s="35" t="str">
        <f>MID(Tabla1[[#This Row],[Aplicación]],9,4)</f>
        <v>4331</v>
      </c>
      <c r="V1578" s="35" t="str">
        <f>VLOOKUP(Tabla1[[#This Row],[PROGRAMA]],Hoja1!A:B,2,FALSE)</f>
        <v>4331. Desarrollo empresarial</v>
      </c>
      <c r="W1578" s="56" t="str">
        <f>MID(Tabla1[[#This Row],[Aplicación]],14,2)</f>
        <v>22</v>
      </c>
      <c r="X1578" s="56" t="str">
        <f>MID(Tabla1[[#This Row],[Aplicación]],14,6)</f>
        <v>22609</v>
      </c>
    </row>
    <row r="1579" spans="1:24" x14ac:dyDescent="0.25">
      <c r="A1579" s="46">
        <v>220230002642</v>
      </c>
      <c r="B1579" s="47" t="s">
        <v>507</v>
      </c>
      <c r="C1579" s="52">
        <v>44966</v>
      </c>
      <c r="D1579" s="46">
        <v>22023002186</v>
      </c>
      <c r="E1579" s="47" t="s">
        <v>1299</v>
      </c>
      <c r="F1579" s="53">
        <v>6217.13</v>
      </c>
      <c r="G1579" s="47" t="s">
        <v>431</v>
      </c>
      <c r="H1579" s="47" t="s">
        <v>2931</v>
      </c>
      <c r="I1579" s="46" t="s">
        <v>511</v>
      </c>
      <c r="J1579" s="47" t="s">
        <v>837</v>
      </c>
      <c r="K1579" s="47" t="s">
        <v>837</v>
      </c>
      <c r="L1579" s="47" t="s">
        <v>552</v>
      </c>
      <c r="M1579" s="47" t="s">
        <v>976</v>
      </c>
      <c r="N1579" s="47" t="s">
        <v>839</v>
      </c>
      <c r="O1579" s="45" t="s">
        <v>383</v>
      </c>
      <c r="P1579" s="44" t="s">
        <v>309</v>
      </c>
      <c r="Q1579" s="59" t="str">
        <f>MID(Tabla1[[#This Row],[Aplicación]],14,1)</f>
        <v>2</v>
      </c>
      <c r="R1579" s="35" t="s">
        <v>298</v>
      </c>
      <c r="S1579" s="59" t="str">
        <f>MID(Tabla1[[#This Row],[Aplicación]],6,2)</f>
        <v>06</v>
      </c>
      <c r="T1579" s="35" t="str">
        <f>VLOOKUP(Tabla1[[#This Row],[AREA]],Hoja1!A:B,2,FALSE)</f>
        <v>06. Educación, infancia, juventud e igualdad</v>
      </c>
      <c r="U1579" s="35" t="str">
        <f>MID(Tabla1[[#This Row],[Aplicación]],9,4)</f>
        <v>3321</v>
      </c>
      <c r="V1579" s="35" t="str">
        <f>VLOOKUP(Tabla1[[#This Row],[PROGRAMA]],Hoja1!A:B,2,FALSE)</f>
        <v>3321. Bibliotecas públicas</v>
      </c>
      <c r="W1579" s="56" t="str">
        <f>MID(Tabla1[[#This Row],[Aplicación]],14,2)</f>
        <v>22</v>
      </c>
      <c r="X1579" s="56" t="str">
        <f>MID(Tabla1[[#This Row],[Aplicación]],14,6)</f>
        <v>22001</v>
      </c>
    </row>
    <row r="1580" spans="1:24" x14ac:dyDescent="0.25">
      <c r="A1580" s="46">
        <v>220230008593</v>
      </c>
      <c r="B1580" s="47" t="s">
        <v>507</v>
      </c>
      <c r="C1580" s="52">
        <v>45000</v>
      </c>
      <c r="D1580" s="46">
        <v>22023002997</v>
      </c>
      <c r="E1580" s="47" t="s">
        <v>1603</v>
      </c>
      <c r="F1580" s="53">
        <v>4950</v>
      </c>
      <c r="G1580" s="47" t="s">
        <v>333</v>
      </c>
      <c r="H1580" s="47" t="s">
        <v>2932</v>
      </c>
      <c r="I1580" s="46" t="s">
        <v>511</v>
      </c>
      <c r="J1580" s="47" t="s">
        <v>519</v>
      </c>
      <c r="K1580" s="47" t="s">
        <v>519</v>
      </c>
      <c r="L1580" s="47" t="s">
        <v>552</v>
      </c>
      <c r="M1580" s="47" t="s">
        <v>976</v>
      </c>
      <c r="N1580" s="47" t="s">
        <v>839</v>
      </c>
      <c r="O1580" s="54" t="s">
        <v>383</v>
      </c>
      <c r="P1580" s="44" t="s">
        <v>309</v>
      </c>
      <c r="Q1580" s="59" t="str">
        <f>MID(Tabla1[[#This Row],[Aplicación]],14,1)</f>
        <v>2</v>
      </c>
      <c r="R1580" s="35" t="s">
        <v>298</v>
      </c>
      <c r="S1580" s="59" t="str">
        <f>MID(Tabla1[[#This Row],[Aplicación]],6,2)</f>
        <v>08</v>
      </c>
      <c r="T1580" s="35" t="str">
        <f>VLOOKUP(Tabla1[[#This Row],[AREA]],Hoja1!A:B,2,FALSE)</f>
        <v>08. Movilidad y espacio urbano</v>
      </c>
      <c r="U1580" s="35" t="str">
        <f>MID(Tabla1[[#This Row],[Aplicación]],9,4)</f>
        <v>1532</v>
      </c>
      <c r="V1580" s="35" t="str">
        <f>VLOOKUP(Tabla1[[#This Row],[PROGRAMA]],Hoja1!A:B,2,FALSE)</f>
        <v>1532. Pavimentación vias públicas y otros servicios urbanísticos</v>
      </c>
      <c r="W1580" s="56" t="str">
        <f>MID(Tabla1[[#This Row],[Aplicación]],14,2)</f>
        <v>21</v>
      </c>
      <c r="X1580" s="56" t="str">
        <f>MID(Tabla1[[#This Row],[Aplicación]],14,6)</f>
        <v>210</v>
      </c>
    </row>
    <row r="1581" spans="1:24" x14ac:dyDescent="0.25">
      <c r="A1581" s="46">
        <v>220229000568</v>
      </c>
      <c r="B1581" s="47" t="s">
        <v>507</v>
      </c>
      <c r="C1581" s="52">
        <v>44927</v>
      </c>
      <c r="D1581" s="46">
        <v>22023000693</v>
      </c>
      <c r="E1581" s="47" t="s">
        <v>775</v>
      </c>
      <c r="F1581" s="53">
        <v>10000</v>
      </c>
      <c r="G1581" s="47" t="s">
        <v>964</v>
      </c>
      <c r="H1581" s="47" t="s">
        <v>2933</v>
      </c>
      <c r="I1581" s="46" t="s">
        <v>511</v>
      </c>
      <c r="J1581" s="47" t="s">
        <v>512</v>
      </c>
      <c r="K1581" s="47" t="s">
        <v>512</v>
      </c>
      <c r="L1581" s="47" t="s">
        <v>552</v>
      </c>
      <c r="M1581" s="47" t="s">
        <v>514</v>
      </c>
      <c r="N1581" s="47" t="s">
        <v>515</v>
      </c>
      <c r="O1581" s="45" t="s">
        <v>371</v>
      </c>
      <c r="P1581" s="44" t="s">
        <v>309</v>
      </c>
      <c r="Q1581" s="59" t="str">
        <f>MID(Tabla1[[#This Row],[Aplicación]],14,1)</f>
        <v>2</v>
      </c>
      <c r="R1581" s="35" t="s">
        <v>298</v>
      </c>
      <c r="S1581" s="59" t="str">
        <f>MID(Tabla1[[#This Row],[Aplicación]],6,2)</f>
        <v>11</v>
      </c>
      <c r="T1581" s="35" t="str">
        <f>VLOOKUP(Tabla1[[#This Row],[AREA]],Hoja1!A:B,2,FALSE)</f>
        <v>11. Salud pública y seguridad ciudadana</v>
      </c>
      <c r="U1581" s="35" t="str">
        <f>MID(Tabla1[[#This Row],[Aplicación]],9,4)</f>
        <v>1631</v>
      </c>
      <c r="V1581" s="35" t="str">
        <f>VLOOKUP(Tabla1[[#This Row],[PROGRAMA]],Hoja1!A:B,2,FALSE)</f>
        <v>1631. Limpieza viaria</v>
      </c>
      <c r="W1581" s="56" t="str">
        <f>MID(Tabla1[[#This Row],[Aplicación]],14,2)</f>
        <v>22</v>
      </c>
      <c r="X1581" s="56" t="str">
        <f>MID(Tabla1[[#This Row],[Aplicación]],14,6)</f>
        <v>22103</v>
      </c>
    </row>
    <row r="1582" spans="1:24" x14ac:dyDescent="0.25">
      <c r="A1582" s="46">
        <v>220229000571</v>
      </c>
      <c r="B1582" s="47" t="s">
        <v>507</v>
      </c>
      <c r="C1582" s="52">
        <v>44927</v>
      </c>
      <c r="D1582" s="46">
        <v>22023000696</v>
      </c>
      <c r="E1582" s="47" t="s">
        <v>2934</v>
      </c>
      <c r="F1582" s="53">
        <v>7000</v>
      </c>
      <c r="G1582" s="47" t="s">
        <v>964</v>
      </c>
      <c r="H1582" s="47" t="s">
        <v>2935</v>
      </c>
      <c r="I1582" s="46" t="s">
        <v>511</v>
      </c>
      <c r="J1582" s="47" t="s">
        <v>512</v>
      </c>
      <c r="K1582" s="47" t="s">
        <v>512</v>
      </c>
      <c r="L1582" s="47" t="s">
        <v>552</v>
      </c>
      <c r="M1582" s="47" t="s">
        <v>514</v>
      </c>
      <c r="N1582" s="47" t="s">
        <v>515</v>
      </c>
      <c r="O1582" s="45" t="s">
        <v>371</v>
      </c>
      <c r="P1582" s="44" t="s">
        <v>309</v>
      </c>
      <c r="Q1582" s="59" t="str">
        <f>MID(Tabla1[[#This Row],[Aplicación]],14,1)</f>
        <v>2</v>
      </c>
      <c r="R1582" s="35" t="s">
        <v>298</v>
      </c>
      <c r="S1582" s="59" t="str">
        <f>MID(Tabla1[[#This Row],[Aplicación]],6,2)</f>
        <v>02</v>
      </c>
      <c r="T1582" s="35" t="str">
        <f>VLOOKUP(Tabla1[[#This Row],[AREA]],Hoja1!A:B,2,FALSE)</f>
        <v>02. Planeamiento urbanístico y vivienda</v>
      </c>
      <c r="U1582" s="35" t="str">
        <f>MID(Tabla1[[#This Row],[Aplicación]],9,4)</f>
        <v>9332</v>
      </c>
      <c r="V1582" s="35" t="str">
        <f>VLOOKUP(Tabla1[[#This Row],[PROGRAMA]],Hoja1!A:B,2,FALSE)</f>
        <v>9332. Mantenimiento de edificios e instalaciones municipales</v>
      </c>
      <c r="W1582" s="56" t="str">
        <f>MID(Tabla1[[#This Row],[Aplicación]],14,2)</f>
        <v>22</v>
      </c>
      <c r="X1582" s="56" t="str">
        <f>MID(Tabla1[[#This Row],[Aplicación]],14,6)</f>
        <v>22103</v>
      </c>
    </row>
    <row r="1583" spans="1:24" x14ac:dyDescent="0.25">
      <c r="A1583" s="46">
        <v>220230008407</v>
      </c>
      <c r="B1583" s="47" t="s">
        <v>1514</v>
      </c>
      <c r="C1583" s="52">
        <v>45000</v>
      </c>
      <c r="D1583" s="46">
        <v>22023001549</v>
      </c>
      <c r="E1583" s="47" t="s">
        <v>1515</v>
      </c>
      <c r="F1583" s="53">
        <v>604.03</v>
      </c>
      <c r="G1583" s="47" t="s">
        <v>2936</v>
      </c>
      <c r="H1583" s="47" t="s">
        <v>2937</v>
      </c>
      <c r="I1583" s="46" t="s">
        <v>1517</v>
      </c>
      <c r="J1583" s="47" t="s">
        <v>2938</v>
      </c>
      <c r="K1583" s="47" t="s">
        <v>519</v>
      </c>
      <c r="L1583" s="47" t="s">
        <v>552</v>
      </c>
      <c r="M1583" s="47" t="s">
        <v>514</v>
      </c>
      <c r="N1583" s="47" t="s">
        <v>515</v>
      </c>
      <c r="O1583" s="54" t="s">
        <v>382</v>
      </c>
      <c r="P1583" s="44" t="s">
        <v>309</v>
      </c>
      <c r="Q1583" s="59" t="str">
        <f>MID(Tabla1[[#This Row],[Aplicación]],14,1)</f>
        <v>2</v>
      </c>
      <c r="R1583" s="35" t="s">
        <v>298</v>
      </c>
      <c r="S1583" s="59" t="str">
        <f>MID(Tabla1[[#This Row],[Aplicación]],6,2)</f>
        <v>07</v>
      </c>
      <c r="T1583" s="35" t="str">
        <f>VLOOKUP(Tabla1[[#This Row],[AREA]],Hoja1!A:B,2,FALSE)</f>
        <v>07. Medio ambiente y desarrollo sostenible</v>
      </c>
      <c r="U1583" s="35" t="str">
        <f>MID(Tabla1[[#This Row],[Aplicación]],9,4)</f>
        <v>1711</v>
      </c>
      <c r="V1583" s="35" t="str">
        <f>VLOOKUP(Tabla1[[#This Row],[PROGRAMA]],Hoja1!A:B,2,FALSE)</f>
        <v>1711. Parques y jardines</v>
      </c>
      <c r="W1583" s="56" t="str">
        <f>MID(Tabla1[[#This Row],[Aplicación]],14,2)</f>
        <v>22</v>
      </c>
      <c r="X1583" s="56" t="str">
        <f>MID(Tabla1[[#This Row],[Aplicación]],14,6)</f>
        <v>22199</v>
      </c>
    </row>
    <row r="1584" spans="1:24" x14ac:dyDescent="0.25">
      <c r="A1584" s="46">
        <v>220230008570</v>
      </c>
      <c r="B1584" s="47" t="s">
        <v>507</v>
      </c>
      <c r="C1584" s="52">
        <v>45000</v>
      </c>
      <c r="D1584" s="46">
        <v>22023002933</v>
      </c>
      <c r="E1584" s="47" t="s">
        <v>1479</v>
      </c>
      <c r="F1584" s="53">
        <v>605</v>
      </c>
      <c r="G1584" s="47" t="s">
        <v>31</v>
      </c>
      <c r="H1584" s="47" t="s">
        <v>2939</v>
      </c>
      <c r="I1584" s="46" t="s">
        <v>511</v>
      </c>
      <c r="J1584" s="47" t="s">
        <v>519</v>
      </c>
      <c r="K1584" s="47" t="s">
        <v>519</v>
      </c>
      <c r="L1584" s="47" t="s">
        <v>520</v>
      </c>
      <c r="M1584" s="47" t="s">
        <v>976</v>
      </c>
      <c r="N1584" s="47" t="s">
        <v>839</v>
      </c>
      <c r="O1584" s="54" t="s">
        <v>383</v>
      </c>
      <c r="P1584" s="44" t="s">
        <v>309</v>
      </c>
      <c r="Q1584" s="59" t="str">
        <f>MID(Tabla1[[#This Row],[Aplicación]],14,1)</f>
        <v>2</v>
      </c>
      <c r="R1584" s="35" t="s">
        <v>298</v>
      </c>
      <c r="S1584" s="59" t="str">
        <f>MID(Tabla1[[#This Row],[Aplicación]],6,2)</f>
        <v>03</v>
      </c>
      <c r="T1584" s="35" t="str">
        <f>VLOOKUP(Tabla1[[#This Row],[AREA]],Hoja1!A:B,2,FALSE)</f>
        <v>03. Participación ciudadana y deportes</v>
      </c>
      <c r="U1584" s="35" t="str">
        <f>MID(Tabla1[[#This Row],[Aplicación]],9,4)</f>
        <v>9241</v>
      </c>
      <c r="V1584" s="35" t="str">
        <f>VLOOKUP(Tabla1[[#This Row],[PROGRAMA]],Hoja1!A:B,2,FALSE)</f>
        <v>9241. Participación ciudadana</v>
      </c>
      <c r="W1584" s="56" t="str">
        <f>MID(Tabla1[[#This Row],[Aplicación]],14,2)</f>
        <v>22</v>
      </c>
      <c r="X1584" s="56" t="str">
        <f>MID(Tabla1[[#This Row],[Aplicación]],14,6)</f>
        <v>22609</v>
      </c>
    </row>
    <row r="1585" spans="1:24" x14ac:dyDescent="0.25">
      <c r="A1585" s="46">
        <v>220230008494</v>
      </c>
      <c r="B1585" s="47" t="s">
        <v>1249</v>
      </c>
      <c r="C1585" s="52">
        <v>45000</v>
      </c>
      <c r="D1585" s="46">
        <v>22023002626</v>
      </c>
      <c r="E1585" s="47" t="s">
        <v>1356</v>
      </c>
      <c r="F1585" s="53">
        <v>319376.84000000003</v>
      </c>
      <c r="G1585" s="47" t="s">
        <v>2940</v>
      </c>
      <c r="H1585" s="47" t="s">
        <v>2941</v>
      </c>
      <c r="I1585" s="46" t="s">
        <v>2942</v>
      </c>
      <c r="J1585" s="47" t="s">
        <v>519</v>
      </c>
      <c r="K1585" s="47" t="s">
        <v>519</v>
      </c>
      <c r="L1585" s="47" t="s">
        <v>2943</v>
      </c>
      <c r="M1585" s="47" t="s">
        <v>514</v>
      </c>
      <c r="N1585" s="47" t="s">
        <v>515</v>
      </c>
      <c r="O1585" s="54" t="s">
        <v>371</v>
      </c>
      <c r="P1585" s="44" t="s">
        <v>309</v>
      </c>
      <c r="Q1585" s="59" t="str">
        <f>MID(Tabla1[[#This Row],[Aplicación]],14,1)</f>
        <v>2</v>
      </c>
      <c r="R1585" s="35" t="s">
        <v>298</v>
      </c>
      <c r="S1585" s="59" t="str">
        <f>MID(Tabla1[[#This Row],[Aplicación]],6,2)</f>
        <v>07</v>
      </c>
      <c r="T1585" s="35" t="str">
        <f>VLOOKUP(Tabla1[[#This Row],[AREA]],Hoja1!A:B,2,FALSE)</f>
        <v>07. Medio ambiente y desarrollo sostenible</v>
      </c>
      <c r="U1585" s="35" t="str">
        <f>MID(Tabla1[[#This Row],[Aplicación]],9,4)</f>
        <v>1623</v>
      </c>
      <c r="V1585" s="35" t="str">
        <f>VLOOKUP(Tabla1[[#This Row],[PROGRAMA]],Hoja1!A:B,2,FALSE)</f>
        <v>1623. Tratamiento de residuos</v>
      </c>
      <c r="W1585" s="56" t="str">
        <f>MID(Tabla1[[#This Row],[Aplicación]],14,2)</f>
        <v>22</v>
      </c>
      <c r="X1585" s="56" t="str">
        <f>MID(Tabla1[[#This Row],[Aplicación]],14,6)</f>
        <v>22700</v>
      </c>
    </row>
    <row r="1586" spans="1:24" x14ac:dyDescent="0.25">
      <c r="A1586" s="46">
        <v>220230008589</v>
      </c>
      <c r="B1586" s="47" t="s">
        <v>507</v>
      </c>
      <c r="C1586" s="52">
        <v>45000</v>
      </c>
      <c r="D1586" s="46">
        <v>22023002992</v>
      </c>
      <c r="E1586" s="47" t="s">
        <v>1479</v>
      </c>
      <c r="F1586" s="53">
        <v>665.5</v>
      </c>
      <c r="G1586" s="47" t="s">
        <v>457</v>
      </c>
      <c r="H1586" s="47" t="s">
        <v>2944</v>
      </c>
      <c r="I1586" s="46" t="s">
        <v>511</v>
      </c>
      <c r="J1586" s="47" t="s">
        <v>519</v>
      </c>
      <c r="K1586" s="47" t="s">
        <v>519</v>
      </c>
      <c r="L1586" s="47" t="s">
        <v>520</v>
      </c>
      <c r="M1586" s="47" t="s">
        <v>976</v>
      </c>
      <c r="N1586" s="47" t="s">
        <v>839</v>
      </c>
      <c r="O1586" s="54" t="s">
        <v>383</v>
      </c>
      <c r="P1586" s="44" t="s">
        <v>309</v>
      </c>
      <c r="Q1586" s="59" t="str">
        <f>MID(Tabla1[[#This Row],[Aplicación]],14,1)</f>
        <v>2</v>
      </c>
      <c r="R1586" s="35" t="s">
        <v>298</v>
      </c>
      <c r="S1586" s="59" t="str">
        <f>MID(Tabla1[[#This Row],[Aplicación]],6,2)</f>
        <v>03</v>
      </c>
      <c r="T1586" s="35" t="str">
        <f>VLOOKUP(Tabla1[[#This Row],[AREA]],Hoja1!A:B,2,FALSE)</f>
        <v>03. Participación ciudadana y deportes</v>
      </c>
      <c r="U1586" s="35" t="str">
        <f>MID(Tabla1[[#This Row],[Aplicación]],9,4)</f>
        <v>9241</v>
      </c>
      <c r="V1586" s="35" t="str">
        <f>VLOOKUP(Tabla1[[#This Row],[PROGRAMA]],Hoja1!A:B,2,FALSE)</f>
        <v>9241. Participación ciudadana</v>
      </c>
      <c r="W1586" s="56" t="str">
        <f>MID(Tabla1[[#This Row],[Aplicación]],14,2)</f>
        <v>22</v>
      </c>
      <c r="X1586" s="56" t="str">
        <f>MID(Tabla1[[#This Row],[Aplicación]],14,6)</f>
        <v>22609</v>
      </c>
    </row>
    <row r="1587" spans="1:24" x14ac:dyDescent="0.25">
      <c r="A1587" s="46">
        <v>220230008571</v>
      </c>
      <c r="B1587" s="47" t="s">
        <v>507</v>
      </c>
      <c r="C1587" s="52">
        <v>45000</v>
      </c>
      <c r="D1587" s="46">
        <v>22023002935</v>
      </c>
      <c r="E1587" s="47" t="s">
        <v>1479</v>
      </c>
      <c r="F1587" s="53">
        <v>550</v>
      </c>
      <c r="G1587" s="47" t="s">
        <v>32</v>
      </c>
      <c r="H1587" s="47" t="s">
        <v>2945</v>
      </c>
      <c r="I1587" s="46" t="s">
        <v>511</v>
      </c>
      <c r="J1587" s="47" t="s">
        <v>755</v>
      </c>
      <c r="K1587" s="47" t="s">
        <v>755</v>
      </c>
      <c r="L1587" s="47" t="s">
        <v>520</v>
      </c>
      <c r="M1587" s="47" t="s">
        <v>976</v>
      </c>
      <c r="N1587" s="47" t="s">
        <v>839</v>
      </c>
      <c r="O1587" s="54" t="s">
        <v>383</v>
      </c>
      <c r="P1587" s="44" t="s">
        <v>309</v>
      </c>
      <c r="Q1587" s="59" t="str">
        <f>MID(Tabla1[[#This Row],[Aplicación]],14,1)</f>
        <v>2</v>
      </c>
      <c r="R1587" s="35" t="s">
        <v>298</v>
      </c>
      <c r="S1587" s="59" t="str">
        <f>MID(Tabla1[[#This Row],[Aplicación]],6,2)</f>
        <v>03</v>
      </c>
      <c r="T1587" s="35" t="str">
        <f>VLOOKUP(Tabla1[[#This Row],[AREA]],Hoja1!A:B,2,FALSE)</f>
        <v>03. Participación ciudadana y deportes</v>
      </c>
      <c r="U1587" s="35" t="str">
        <f>MID(Tabla1[[#This Row],[Aplicación]],9,4)</f>
        <v>9241</v>
      </c>
      <c r="V1587" s="35" t="str">
        <f>VLOOKUP(Tabla1[[#This Row],[PROGRAMA]],Hoja1!A:B,2,FALSE)</f>
        <v>9241. Participación ciudadana</v>
      </c>
      <c r="W1587" s="56" t="str">
        <f>MID(Tabla1[[#This Row],[Aplicación]],14,2)</f>
        <v>22</v>
      </c>
      <c r="X1587" s="56" t="str">
        <f>MID(Tabla1[[#This Row],[Aplicación]],14,6)</f>
        <v>22609</v>
      </c>
    </row>
    <row r="1588" spans="1:24" x14ac:dyDescent="0.25">
      <c r="A1588" s="46">
        <v>220230008569</v>
      </c>
      <c r="B1588" s="47" t="s">
        <v>507</v>
      </c>
      <c r="C1588" s="52">
        <v>45000</v>
      </c>
      <c r="D1588" s="46">
        <v>22023002843</v>
      </c>
      <c r="E1588" s="47" t="s">
        <v>663</v>
      </c>
      <c r="F1588" s="53">
        <v>740.52</v>
      </c>
      <c r="G1588" s="47" t="s">
        <v>102</v>
      </c>
      <c r="H1588" s="47" t="s">
        <v>2946</v>
      </c>
      <c r="I1588" s="46" t="s">
        <v>511</v>
      </c>
      <c r="J1588" s="47" t="s">
        <v>519</v>
      </c>
      <c r="K1588" s="47" t="s">
        <v>519</v>
      </c>
      <c r="L1588" s="47" t="s">
        <v>552</v>
      </c>
      <c r="M1588" s="47" t="s">
        <v>976</v>
      </c>
      <c r="N1588" s="47" t="s">
        <v>839</v>
      </c>
      <c r="O1588" s="54" t="s">
        <v>383</v>
      </c>
      <c r="P1588" s="44" t="s">
        <v>309</v>
      </c>
      <c r="Q1588" s="59" t="str">
        <f>MID(Tabla1[[#This Row],[Aplicación]],14,1)</f>
        <v>2</v>
      </c>
      <c r="R1588" s="35" t="s">
        <v>298</v>
      </c>
      <c r="S1588" s="59" t="str">
        <f>MID(Tabla1[[#This Row],[Aplicación]],6,2)</f>
        <v>08</v>
      </c>
      <c r="T1588" s="35" t="str">
        <f>VLOOKUP(Tabla1[[#This Row],[AREA]],Hoja1!A:B,2,FALSE)</f>
        <v>08. Movilidad y espacio urbano</v>
      </c>
      <c r="U1588" s="35" t="str">
        <f>MID(Tabla1[[#This Row],[Aplicación]],9,4)</f>
        <v>1532</v>
      </c>
      <c r="V1588" s="35" t="str">
        <f>VLOOKUP(Tabla1[[#This Row],[PROGRAMA]],Hoja1!A:B,2,FALSE)</f>
        <v>1532. Pavimentación vias públicas y otros servicios urbanísticos</v>
      </c>
      <c r="W1588" s="56" t="str">
        <f>MID(Tabla1[[#This Row],[Aplicación]],14,2)</f>
        <v>20</v>
      </c>
      <c r="X1588" s="56" t="str">
        <f>MID(Tabla1[[#This Row],[Aplicación]],14,6)</f>
        <v>203</v>
      </c>
    </row>
    <row r="1589" spans="1:24" x14ac:dyDescent="0.25">
      <c r="A1589" s="46">
        <v>220230008572</v>
      </c>
      <c r="B1589" s="47" t="s">
        <v>507</v>
      </c>
      <c r="C1589" s="52">
        <v>45000</v>
      </c>
      <c r="D1589" s="46">
        <v>22023002936</v>
      </c>
      <c r="E1589" s="47" t="s">
        <v>1479</v>
      </c>
      <c r="F1589" s="53">
        <v>550</v>
      </c>
      <c r="G1589" s="47" t="s">
        <v>2224</v>
      </c>
      <c r="H1589" s="47" t="s">
        <v>2947</v>
      </c>
      <c r="I1589" s="46" t="s">
        <v>511</v>
      </c>
      <c r="J1589" s="47" t="s">
        <v>519</v>
      </c>
      <c r="K1589" s="47" t="s">
        <v>519</v>
      </c>
      <c r="L1589" s="47" t="s">
        <v>520</v>
      </c>
      <c r="M1589" s="47" t="s">
        <v>976</v>
      </c>
      <c r="N1589" s="47" t="s">
        <v>839</v>
      </c>
      <c r="O1589" s="54" t="s">
        <v>383</v>
      </c>
      <c r="P1589" s="44" t="s">
        <v>309</v>
      </c>
      <c r="Q1589" s="59" t="str">
        <f>MID(Tabla1[[#This Row],[Aplicación]],14,1)</f>
        <v>2</v>
      </c>
      <c r="R1589" s="35" t="s">
        <v>298</v>
      </c>
      <c r="S1589" s="59" t="str">
        <f>MID(Tabla1[[#This Row],[Aplicación]],6,2)</f>
        <v>03</v>
      </c>
      <c r="T1589" s="35" t="str">
        <f>VLOOKUP(Tabla1[[#This Row],[AREA]],Hoja1!A:B,2,FALSE)</f>
        <v>03. Participación ciudadana y deportes</v>
      </c>
      <c r="U1589" s="35" t="str">
        <f>MID(Tabla1[[#This Row],[Aplicación]],9,4)</f>
        <v>9241</v>
      </c>
      <c r="V1589" s="35" t="str">
        <f>VLOOKUP(Tabla1[[#This Row],[PROGRAMA]],Hoja1!A:B,2,FALSE)</f>
        <v>9241. Participación ciudadana</v>
      </c>
      <c r="W1589" s="56" t="str">
        <f>MID(Tabla1[[#This Row],[Aplicación]],14,2)</f>
        <v>22</v>
      </c>
      <c r="X1589" s="56" t="str">
        <f>MID(Tabla1[[#This Row],[Aplicación]],14,6)</f>
        <v>22609</v>
      </c>
    </row>
    <row r="1590" spans="1:24" x14ac:dyDescent="0.25">
      <c r="A1590" s="46">
        <v>220230008579</v>
      </c>
      <c r="B1590" s="47" t="s">
        <v>507</v>
      </c>
      <c r="C1590" s="52">
        <v>45000</v>
      </c>
      <c r="D1590" s="46">
        <v>22023002982</v>
      </c>
      <c r="E1590" s="47" t="s">
        <v>1479</v>
      </c>
      <c r="F1590" s="53">
        <v>500</v>
      </c>
      <c r="G1590" s="47" t="s">
        <v>2948</v>
      </c>
      <c r="H1590" s="47" t="s">
        <v>2949</v>
      </c>
      <c r="I1590" s="46" t="s">
        <v>511</v>
      </c>
      <c r="J1590" s="47" t="s">
        <v>1771</v>
      </c>
      <c r="K1590" s="47" t="s">
        <v>519</v>
      </c>
      <c r="L1590" s="47" t="s">
        <v>520</v>
      </c>
      <c r="M1590" s="47" t="s">
        <v>976</v>
      </c>
      <c r="N1590" s="47" t="s">
        <v>839</v>
      </c>
      <c r="O1590" s="54" t="s">
        <v>383</v>
      </c>
      <c r="P1590" s="44" t="s">
        <v>309</v>
      </c>
      <c r="Q1590" s="59" t="str">
        <f>MID(Tabla1[[#This Row],[Aplicación]],14,1)</f>
        <v>2</v>
      </c>
      <c r="R1590" s="35" t="s">
        <v>298</v>
      </c>
      <c r="S1590" s="59" t="str">
        <f>MID(Tabla1[[#This Row],[Aplicación]],6,2)</f>
        <v>03</v>
      </c>
      <c r="T1590" s="35" t="str">
        <f>VLOOKUP(Tabla1[[#This Row],[AREA]],Hoja1!A:B,2,FALSE)</f>
        <v>03. Participación ciudadana y deportes</v>
      </c>
      <c r="U1590" s="35" t="str">
        <f>MID(Tabla1[[#This Row],[Aplicación]],9,4)</f>
        <v>9241</v>
      </c>
      <c r="V1590" s="35" t="str">
        <f>VLOOKUP(Tabla1[[#This Row],[PROGRAMA]],Hoja1!A:B,2,FALSE)</f>
        <v>9241. Participación ciudadana</v>
      </c>
      <c r="W1590" s="56" t="str">
        <f>MID(Tabla1[[#This Row],[Aplicación]],14,2)</f>
        <v>22</v>
      </c>
      <c r="X1590" s="56" t="str">
        <f>MID(Tabla1[[#This Row],[Aplicación]],14,6)</f>
        <v>22609</v>
      </c>
    </row>
    <row r="1591" spans="1:24" x14ac:dyDescent="0.25">
      <c r="A1591" s="46">
        <v>220230008597</v>
      </c>
      <c r="B1591" s="47" t="s">
        <v>507</v>
      </c>
      <c r="C1591" s="52">
        <v>45000</v>
      </c>
      <c r="D1591" s="46">
        <v>22023003029</v>
      </c>
      <c r="E1591" s="47" t="s">
        <v>1490</v>
      </c>
      <c r="F1591" s="53">
        <v>1400</v>
      </c>
      <c r="G1591" s="47" t="s">
        <v>458</v>
      </c>
      <c r="H1591" s="47" t="s">
        <v>2950</v>
      </c>
      <c r="I1591" s="46" t="s">
        <v>511</v>
      </c>
      <c r="J1591" s="47" t="s">
        <v>519</v>
      </c>
      <c r="K1591" s="47" t="s">
        <v>519</v>
      </c>
      <c r="L1591" s="47" t="s">
        <v>520</v>
      </c>
      <c r="M1591" s="47" t="s">
        <v>976</v>
      </c>
      <c r="N1591" s="47" t="s">
        <v>839</v>
      </c>
      <c r="O1591" s="54" t="s">
        <v>383</v>
      </c>
      <c r="P1591" s="44" t="s">
        <v>309</v>
      </c>
      <c r="Q1591" s="59" t="str">
        <f>MID(Tabla1[[#This Row],[Aplicación]],14,1)</f>
        <v>2</v>
      </c>
      <c r="R1591" s="35" t="s">
        <v>298</v>
      </c>
      <c r="S1591" s="59" t="str">
        <f>MID(Tabla1[[#This Row],[Aplicación]],6,2)</f>
        <v>06</v>
      </c>
      <c r="T1591" s="35" t="str">
        <f>VLOOKUP(Tabla1[[#This Row],[AREA]],Hoja1!A:B,2,FALSE)</f>
        <v>06. Educación, infancia, juventud e igualdad</v>
      </c>
      <c r="U1591" s="35" t="str">
        <f>MID(Tabla1[[#This Row],[Aplicación]],9,4)</f>
        <v>2314</v>
      </c>
      <c r="V1591" s="35" t="str">
        <f>VLOOKUP(Tabla1[[#This Row],[PROGRAMA]],Hoja1!A:B,2,FALSE)</f>
        <v>2314. Centro de programas juveniles</v>
      </c>
      <c r="W1591" s="56" t="str">
        <f>MID(Tabla1[[#This Row],[Aplicación]],14,2)</f>
        <v>22</v>
      </c>
      <c r="X1591" s="56" t="str">
        <f>MID(Tabla1[[#This Row],[Aplicación]],14,6)</f>
        <v>22613</v>
      </c>
    </row>
    <row r="1592" spans="1:24" x14ac:dyDescent="0.25">
      <c r="A1592" s="46">
        <v>220230008474</v>
      </c>
      <c r="B1592" s="47" t="s">
        <v>1514</v>
      </c>
      <c r="C1592" s="52">
        <v>45000</v>
      </c>
      <c r="D1592" s="46">
        <v>22023001344</v>
      </c>
      <c r="E1592" s="47" t="s">
        <v>1150</v>
      </c>
      <c r="F1592" s="53">
        <v>554.92999999999995</v>
      </c>
      <c r="G1592" s="47" t="s">
        <v>1979</v>
      </c>
      <c r="H1592" s="47" t="s">
        <v>2951</v>
      </c>
      <c r="I1592" s="46" t="s">
        <v>1517</v>
      </c>
      <c r="J1592" s="47" t="s">
        <v>519</v>
      </c>
      <c r="K1592" s="47" t="s">
        <v>519</v>
      </c>
      <c r="L1592" s="47" t="s">
        <v>552</v>
      </c>
      <c r="M1592" s="47" t="s">
        <v>514</v>
      </c>
      <c r="N1592" s="47" t="s">
        <v>604</v>
      </c>
      <c r="O1592" s="54" t="s">
        <v>382</v>
      </c>
      <c r="P1592" s="44" t="s">
        <v>309</v>
      </c>
      <c r="Q1592" s="59" t="str">
        <f>MID(Tabla1[[#This Row],[Aplicación]],14,1)</f>
        <v>2</v>
      </c>
      <c r="R1592" s="35" t="s">
        <v>298</v>
      </c>
      <c r="S1592" s="59" t="str">
        <f>MID(Tabla1[[#This Row],[Aplicación]],6,2)</f>
        <v>03</v>
      </c>
      <c r="T1592" s="35" t="str">
        <f>VLOOKUP(Tabla1[[#This Row],[AREA]],Hoja1!A:B,2,FALSE)</f>
        <v>03. Participación ciudadana y deportes</v>
      </c>
      <c r="U1592" s="35" t="str">
        <f>MID(Tabla1[[#This Row],[Aplicación]],9,4)</f>
        <v>9241</v>
      </c>
      <c r="V1592" s="35" t="str">
        <f>VLOOKUP(Tabla1[[#This Row],[PROGRAMA]],Hoja1!A:B,2,FALSE)</f>
        <v>9241. Participación ciudadana</v>
      </c>
      <c r="W1592" s="56" t="str">
        <f>MID(Tabla1[[#This Row],[Aplicación]],14,2)</f>
        <v>21</v>
      </c>
      <c r="X1592" s="56" t="str">
        <f>MID(Tabla1[[#This Row],[Aplicación]],14,6)</f>
        <v>213</v>
      </c>
    </row>
    <row r="1593" spans="1:24" x14ac:dyDescent="0.25">
      <c r="A1593" s="46">
        <v>220230008444</v>
      </c>
      <c r="B1593" s="47" t="s">
        <v>1514</v>
      </c>
      <c r="C1593" s="52">
        <v>45000</v>
      </c>
      <c r="D1593" s="46">
        <v>22023001344</v>
      </c>
      <c r="E1593" s="47" t="s">
        <v>1150</v>
      </c>
      <c r="F1593" s="53">
        <v>377.37</v>
      </c>
      <c r="G1593" s="47" t="s">
        <v>1979</v>
      </c>
      <c r="H1593" s="47" t="s">
        <v>2952</v>
      </c>
      <c r="I1593" s="46" t="s">
        <v>1517</v>
      </c>
      <c r="J1593" s="47" t="s">
        <v>519</v>
      </c>
      <c r="K1593" s="47" t="s">
        <v>519</v>
      </c>
      <c r="L1593" s="47" t="s">
        <v>552</v>
      </c>
      <c r="M1593" s="47" t="s">
        <v>514</v>
      </c>
      <c r="N1593" s="47" t="s">
        <v>604</v>
      </c>
      <c r="O1593" s="54" t="s">
        <v>382</v>
      </c>
      <c r="P1593" s="44" t="s">
        <v>309</v>
      </c>
      <c r="Q1593" s="59" t="str">
        <f>MID(Tabla1[[#This Row],[Aplicación]],14,1)</f>
        <v>2</v>
      </c>
      <c r="R1593" s="35" t="s">
        <v>298</v>
      </c>
      <c r="S1593" s="59" t="str">
        <f>MID(Tabla1[[#This Row],[Aplicación]],6,2)</f>
        <v>03</v>
      </c>
      <c r="T1593" s="35" t="str">
        <f>VLOOKUP(Tabla1[[#This Row],[AREA]],Hoja1!A:B,2,FALSE)</f>
        <v>03. Participación ciudadana y deportes</v>
      </c>
      <c r="U1593" s="35" t="str">
        <f>MID(Tabla1[[#This Row],[Aplicación]],9,4)</f>
        <v>9241</v>
      </c>
      <c r="V1593" s="35" t="str">
        <f>VLOOKUP(Tabla1[[#This Row],[PROGRAMA]],Hoja1!A:B,2,FALSE)</f>
        <v>9241. Participación ciudadana</v>
      </c>
      <c r="W1593" s="56" t="str">
        <f>MID(Tabla1[[#This Row],[Aplicación]],14,2)</f>
        <v>21</v>
      </c>
      <c r="X1593" s="56" t="str">
        <f>MID(Tabla1[[#This Row],[Aplicación]],14,6)</f>
        <v>213</v>
      </c>
    </row>
    <row r="1594" spans="1:24" x14ac:dyDescent="0.25">
      <c r="A1594" s="46">
        <v>220230008442</v>
      </c>
      <c r="B1594" s="47" t="s">
        <v>1514</v>
      </c>
      <c r="C1594" s="52">
        <v>45000</v>
      </c>
      <c r="D1594" s="46">
        <v>22023001344</v>
      </c>
      <c r="E1594" s="47" t="s">
        <v>1150</v>
      </c>
      <c r="F1594" s="53">
        <v>350.43</v>
      </c>
      <c r="G1594" s="47" t="s">
        <v>1979</v>
      </c>
      <c r="H1594" s="47" t="s">
        <v>2953</v>
      </c>
      <c r="I1594" s="46" t="s">
        <v>1517</v>
      </c>
      <c r="J1594" s="47" t="s">
        <v>519</v>
      </c>
      <c r="K1594" s="47" t="s">
        <v>519</v>
      </c>
      <c r="L1594" s="47" t="s">
        <v>552</v>
      </c>
      <c r="M1594" s="47" t="s">
        <v>514</v>
      </c>
      <c r="N1594" s="47" t="s">
        <v>604</v>
      </c>
      <c r="O1594" s="54" t="s">
        <v>382</v>
      </c>
      <c r="P1594" s="44" t="s">
        <v>309</v>
      </c>
      <c r="Q1594" s="59" t="str">
        <f>MID(Tabla1[[#This Row],[Aplicación]],14,1)</f>
        <v>2</v>
      </c>
      <c r="R1594" s="35" t="s">
        <v>298</v>
      </c>
      <c r="S1594" s="59" t="str">
        <f>MID(Tabla1[[#This Row],[Aplicación]],6,2)</f>
        <v>03</v>
      </c>
      <c r="T1594" s="35" t="str">
        <f>VLOOKUP(Tabla1[[#This Row],[AREA]],Hoja1!A:B,2,FALSE)</f>
        <v>03. Participación ciudadana y deportes</v>
      </c>
      <c r="U1594" s="35" t="str">
        <f>MID(Tabla1[[#This Row],[Aplicación]],9,4)</f>
        <v>9241</v>
      </c>
      <c r="V1594" s="35" t="str">
        <f>VLOOKUP(Tabla1[[#This Row],[PROGRAMA]],Hoja1!A:B,2,FALSE)</f>
        <v>9241. Participación ciudadana</v>
      </c>
      <c r="W1594" s="56" t="str">
        <f>MID(Tabla1[[#This Row],[Aplicación]],14,2)</f>
        <v>21</v>
      </c>
      <c r="X1594" s="56" t="str">
        <f>MID(Tabla1[[#This Row],[Aplicación]],14,6)</f>
        <v>213</v>
      </c>
    </row>
    <row r="1595" spans="1:24" x14ac:dyDescent="0.25">
      <c r="A1595" s="46">
        <v>220230008456</v>
      </c>
      <c r="B1595" s="47" t="s">
        <v>1514</v>
      </c>
      <c r="C1595" s="52">
        <v>45000</v>
      </c>
      <c r="D1595" s="46">
        <v>22023001344</v>
      </c>
      <c r="E1595" s="47" t="s">
        <v>1150</v>
      </c>
      <c r="F1595" s="53">
        <v>202.69</v>
      </c>
      <c r="G1595" s="47" t="s">
        <v>1979</v>
      </c>
      <c r="H1595" s="47" t="s">
        <v>2954</v>
      </c>
      <c r="I1595" s="46" t="s">
        <v>1517</v>
      </c>
      <c r="J1595" s="47" t="s">
        <v>519</v>
      </c>
      <c r="K1595" s="47" t="s">
        <v>519</v>
      </c>
      <c r="L1595" s="47" t="s">
        <v>552</v>
      </c>
      <c r="M1595" s="47" t="s">
        <v>514</v>
      </c>
      <c r="N1595" s="47" t="s">
        <v>604</v>
      </c>
      <c r="O1595" s="54" t="s">
        <v>382</v>
      </c>
      <c r="P1595" s="44" t="s">
        <v>309</v>
      </c>
      <c r="Q1595" s="59" t="str">
        <f>MID(Tabla1[[#This Row],[Aplicación]],14,1)</f>
        <v>2</v>
      </c>
      <c r="R1595" s="35" t="s">
        <v>298</v>
      </c>
      <c r="S1595" s="59" t="str">
        <f>MID(Tabla1[[#This Row],[Aplicación]],6,2)</f>
        <v>03</v>
      </c>
      <c r="T1595" s="35" t="str">
        <f>VLOOKUP(Tabla1[[#This Row],[AREA]],Hoja1!A:B,2,FALSE)</f>
        <v>03. Participación ciudadana y deportes</v>
      </c>
      <c r="U1595" s="35" t="str">
        <f>MID(Tabla1[[#This Row],[Aplicación]],9,4)</f>
        <v>9241</v>
      </c>
      <c r="V1595" s="35" t="str">
        <f>VLOOKUP(Tabla1[[#This Row],[PROGRAMA]],Hoja1!A:B,2,FALSE)</f>
        <v>9241. Participación ciudadana</v>
      </c>
      <c r="W1595" s="56" t="str">
        <f>MID(Tabla1[[#This Row],[Aplicación]],14,2)</f>
        <v>21</v>
      </c>
      <c r="X1595" s="56" t="str">
        <f>MID(Tabla1[[#This Row],[Aplicación]],14,6)</f>
        <v>213</v>
      </c>
    </row>
    <row r="1596" spans="1:24" x14ac:dyDescent="0.25">
      <c r="A1596" s="46">
        <v>220230008431</v>
      </c>
      <c r="B1596" s="47" t="s">
        <v>1249</v>
      </c>
      <c r="C1596" s="52">
        <v>45000</v>
      </c>
      <c r="D1596" s="46">
        <v>22023002780</v>
      </c>
      <c r="E1596" s="47" t="s">
        <v>1132</v>
      </c>
      <c r="F1596" s="53">
        <v>10.38</v>
      </c>
      <c r="G1596" s="47" t="s">
        <v>2103</v>
      </c>
      <c r="H1596" s="47" t="s">
        <v>2955</v>
      </c>
      <c r="I1596" s="46" t="s">
        <v>1251</v>
      </c>
      <c r="J1596" s="47" t="s">
        <v>589</v>
      </c>
      <c r="K1596" s="47" t="s">
        <v>590</v>
      </c>
      <c r="L1596" s="47" t="s">
        <v>652</v>
      </c>
      <c r="M1596" s="47" t="s">
        <v>976</v>
      </c>
      <c r="N1596" s="47" t="s">
        <v>839</v>
      </c>
      <c r="O1596" s="54" t="s">
        <v>383</v>
      </c>
      <c r="P1596" s="44" t="s">
        <v>309</v>
      </c>
      <c r="Q1596" s="59" t="str">
        <f>MID(Tabla1[[#This Row],[Aplicación]],14,1)</f>
        <v>2</v>
      </c>
      <c r="R1596" s="35" t="s">
        <v>298</v>
      </c>
      <c r="S1596" s="59" t="str">
        <f>MID(Tabla1[[#This Row],[Aplicación]],6,2)</f>
        <v>07</v>
      </c>
      <c r="T1596" s="35" t="str">
        <f>VLOOKUP(Tabla1[[#This Row],[AREA]],Hoja1!A:B,2,FALSE)</f>
        <v>07. Medio ambiente y desarrollo sostenible</v>
      </c>
      <c r="U1596" s="35" t="str">
        <f>MID(Tabla1[[#This Row],[Aplicación]],9,4)</f>
        <v>1721</v>
      </c>
      <c r="V1596" s="35" t="str">
        <f>VLOOKUP(Tabla1[[#This Row],[PROGRAMA]],Hoja1!A:B,2,FALSE)</f>
        <v>1721. Protección del medio ambiente</v>
      </c>
      <c r="W1596" s="56" t="str">
        <f>MID(Tabla1[[#This Row],[Aplicación]],14,2)</f>
        <v>22</v>
      </c>
      <c r="X1596" s="56" t="str">
        <f>MID(Tabla1[[#This Row],[Aplicación]],14,6)</f>
        <v>22100</v>
      </c>
    </row>
    <row r="1597" spans="1:24" x14ac:dyDescent="0.25">
      <c r="A1597" s="46">
        <v>220230008398</v>
      </c>
      <c r="B1597" s="47" t="s">
        <v>1514</v>
      </c>
      <c r="C1597" s="52">
        <v>45000</v>
      </c>
      <c r="D1597" s="46">
        <v>22023001549</v>
      </c>
      <c r="E1597" s="47" t="s">
        <v>1515</v>
      </c>
      <c r="F1597" s="53">
        <v>154.47999999999999</v>
      </c>
      <c r="G1597" s="47" t="s">
        <v>1979</v>
      </c>
      <c r="H1597" s="47" t="s">
        <v>2956</v>
      </c>
      <c r="I1597" s="46" t="s">
        <v>1517</v>
      </c>
      <c r="J1597" s="47" t="s">
        <v>519</v>
      </c>
      <c r="K1597" s="47" t="s">
        <v>519</v>
      </c>
      <c r="L1597" s="47" t="s">
        <v>552</v>
      </c>
      <c r="M1597" s="47" t="s">
        <v>514</v>
      </c>
      <c r="N1597" s="47" t="s">
        <v>515</v>
      </c>
      <c r="O1597" s="54" t="s">
        <v>382</v>
      </c>
      <c r="P1597" s="44" t="s">
        <v>309</v>
      </c>
      <c r="Q1597" s="59" t="str">
        <f>MID(Tabla1[[#This Row],[Aplicación]],14,1)</f>
        <v>2</v>
      </c>
      <c r="R1597" s="35" t="s">
        <v>298</v>
      </c>
      <c r="S1597" s="59" t="str">
        <f>MID(Tabla1[[#This Row],[Aplicación]],6,2)</f>
        <v>07</v>
      </c>
      <c r="T1597" s="35" t="str">
        <f>VLOOKUP(Tabla1[[#This Row],[AREA]],Hoja1!A:B,2,FALSE)</f>
        <v>07. Medio ambiente y desarrollo sostenible</v>
      </c>
      <c r="U1597" s="35" t="str">
        <f>MID(Tabla1[[#This Row],[Aplicación]],9,4)</f>
        <v>1711</v>
      </c>
      <c r="V1597" s="35" t="str">
        <f>VLOOKUP(Tabla1[[#This Row],[PROGRAMA]],Hoja1!A:B,2,FALSE)</f>
        <v>1711. Parques y jardines</v>
      </c>
      <c r="W1597" s="56" t="str">
        <f>MID(Tabla1[[#This Row],[Aplicación]],14,2)</f>
        <v>22</v>
      </c>
      <c r="X1597" s="56" t="str">
        <f>MID(Tabla1[[#This Row],[Aplicación]],14,6)</f>
        <v>22199</v>
      </c>
    </row>
    <row r="1598" spans="1:24" x14ac:dyDescent="0.25">
      <c r="A1598" s="46">
        <v>220230008452</v>
      </c>
      <c r="B1598" s="47" t="s">
        <v>1514</v>
      </c>
      <c r="C1598" s="52">
        <v>45000</v>
      </c>
      <c r="D1598" s="46">
        <v>22023001344</v>
      </c>
      <c r="E1598" s="47" t="s">
        <v>1150</v>
      </c>
      <c r="F1598" s="53">
        <v>126.92</v>
      </c>
      <c r="G1598" s="47" t="s">
        <v>1979</v>
      </c>
      <c r="H1598" s="47" t="s">
        <v>2957</v>
      </c>
      <c r="I1598" s="46" t="s">
        <v>1517</v>
      </c>
      <c r="J1598" s="47" t="s">
        <v>519</v>
      </c>
      <c r="K1598" s="47" t="s">
        <v>519</v>
      </c>
      <c r="L1598" s="47" t="s">
        <v>552</v>
      </c>
      <c r="M1598" s="47" t="s">
        <v>514</v>
      </c>
      <c r="N1598" s="47" t="s">
        <v>604</v>
      </c>
      <c r="O1598" s="54" t="s">
        <v>382</v>
      </c>
      <c r="P1598" s="44" t="s">
        <v>309</v>
      </c>
      <c r="Q1598" s="59" t="str">
        <f>MID(Tabla1[[#This Row],[Aplicación]],14,1)</f>
        <v>2</v>
      </c>
      <c r="R1598" s="35" t="s">
        <v>298</v>
      </c>
      <c r="S1598" s="59" t="str">
        <f>MID(Tabla1[[#This Row],[Aplicación]],6,2)</f>
        <v>03</v>
      </c>
      <c r="T1598" s="35" t="str">
        <f>VLOOKUP(Tabla1[[#This Row],[AREA]],Hoja1!A:B,2,FALSE)</f>
        <v>03. Participación ciudadana y deportes</v>
      </c>
      <c r="U1598" s="35" t="str">
        <f>MID(Tabla1[[#This Row],[Aplicación]],9,4)</f>
        <v>9241</v>
      </c>
      <c r="V1598" s="35" t="str">
        <f>VLOOKUP(Tabla1[[#This Row],[PROGRAMA]],Hoja1!A:B,2,FALSE)</f>
        <v>9241. Participación ciudadana</v>
      </c>
      <c r="W1598" s="56" t="str">
        <f>MID(Tabla1[[#This Row],[Aplicación]],14,2)</f>
        <v>21</v>
      </c>
      <c r="X1598" s="56" t="str">
        <f>MID(Tabla1[[#This Row],[Aplicación]],14,6)</f>
        <v>213</v>
      </c>
    </row>
    <row r="1599" spans="1:24" x14ac:dyDescent="0.25">
      <c r="A1599" s="46">
        <v>220230008592</v>
      </c>
      <c r="B1599" s="47" t="s">
        <v>507</v>
      </c>
      <c r="C1599" s="52">
        <v>45000</v>
      </c>
      <c r="D1599" s="46">
        <v>22023002995</v>
      </c>
      <c r="E1599" s="47" t="s">
        <v>1479</v>
      </c>
      <c r="F1599" s="53">
        <v>550</v>
      </c>
      <c r="G1599" s="47" t="s">
        <v>490</v>
      </c>
      <c r="H1599" s="47" t="s">
        <v>2958</v>
      </c>
      <c r="I1599" s="46" t="s">
        <v>511</v>
      </c>
      <c r="J1599" s="47" t="s">
        <v>519</v>
      </c>
      <c r="K1599" s="47" t="s">
        <v>519</v>
      </c>
      <c r="L1599" s="47" t="s">
        <v>520</v>
      </c>
      <c r="M1599" s="47" t="s">
        <v>976</v>
      </c>
      <c r="N1599" s="47" t="s">
        <v>839</v>
      </c>
      <c r="O1599" s="54" t="s">
        <v>383</v>
      </c>
      <c r="P1599" s="44" t="s">
        <v>309</v>
      </c>
      <c r="Q1599" s="59" t="str">
        <f>MID(Tabla1[[#This Row],[Aplicación]],14,1)</f>
        <v>2</v>
      </c>
      <c r="R1599" s="35" t="s">
        <v>298</v>
      </c>
      <c r="S1599" s="59" t="str">
        <f>MID(Tabla1[[#This Row],[Aplicación]],6,2)</f>
        <v>03</v>
      </c>
      <c r="T1599" s="35" t="str">
        <f>VLOOKUP(Tabla1[[#This Row],[AREA]],Hoja1!A:B,2,FALSE)</f>
        <v>03. Participación ciudadana y deportes</v>
      </c>
      <c r="U1599" s="35" t="str">
        <f>MID(Tabla1[[#This Row],[Aplicación]],9,4)</f>
        <v>9241</v>
      </c>
      <c r="V1599" s="35" t="str">
        <f>VLOOKUP(Tabla1[[#This Row],[PROGRAMA]],Hoja1!A:B,2,FALSE)</f>
        <v>9241. Participación ciudadana</v>
      </c>
      <c r="W1599" s="56" t="str">
        <f>MID(Tabla1[[#This Row],[Aplicación]],14,2)</f>
        <v>22</v>
      </c>
      <c r="X1599" s="56" t="str">
        <f>MID(Tabla1[[#This Row],[Aplicación]],14,6)</f>
        <v>22609</v>
      </c>
    </row>
    <row r="1600" spans="1:24" x14ac:dyDescent="0.25">
      <c r="A1600" s="46">
        <v>220230008454</v>
      </c>
      <c r="B1600" s="47" t="s">
        <v>1514</v>
      </c>
      <c r="C1600" s="52">
        <v>45000</v>
      </c>
      <c r="D1600" s="46">
        <v>22023001344</v>
      </c>
      <c r="E1600" s="47" t="s">
        <v>1150</v>
      </c>
      <c r="F1600" s="53">
        <v>32.659999999999997</v>
      </c>
      <c r="G1600" s="47" t="s">
        <v>1979</v>
      </c>
      <c r="H1600" s="47" t="s">
        <v>2959</v>
      </c>
      <c r="I1600" s="46" t="s">
        <v>1517</v>
      </c>
      <c r="J1600" s="47" t="s">
        <v>519</v>
      </c>
      <c r="K1600" s="47" t="s">
        <v>519</v>
      </c>
      <c r="L1600" s="47" t="s">
        <v>552</v>
      </c>
      <c r="M1600" s="47" t="s">
        <v>514</v>
      </c>
      <c r="N1600" s="47" t="s">
        <v>604</v>
      </c>
      <c r="O1600" s="54" t="s">
        <v>382</v>
      </c>
      <c r="P1600" s="44" t="s">
        <v>309</v>
      </c>
      <c r="Q1600" s="59" t="str">
        <f>MID(Tabla1[[#This Row],[Aplicación]],14,1)</f>
        <v>2</v>
      </c>
      <c r="R1600" s="35" t="s">
        <v>298</v>
      </c>
      <c r="S1600" s="59" t="str">
        <f>MID(Tabla1[[#This Row],[Aplicación]],6,2)</f>
        <v>03</v>
      </c>
      <c r="T1600" s="35" t="str">
        <f>VLOOKUP(Tabla1[[#This Row],[AREA]],Hoja1!A:B,2,FALSE)</f>
        <v>03. Participación ciudadana y deportes</v>
      </c>
      <c r="U1600" s="35" t="str">
        <f>MID(Tabla1[[#This Row],[Aplicación]],9,4)</f>
        <v>9241</v>
      </c>
      <c r="V1600" s="35" t="str">
        <f>VLOOKUP(Tabla1[[#This Row],[PROGRAMA]],Hoja1!A:B,2,FALSE)</f>
        <v>9241. Participación ciudadana</v>
      </c>
      <c r="W1600" s="56" t="str">
        <f>MID(Tabla1[[#This Row],[Aplicación]],14,2)</f>
        <v>21</v>
      </c>
      <c r="X1600" s="56" t="str">
        <f>MID(Tabla1[[#This Row],[Aplicación]],14,6)</f>
        <v>213</v>
      </c>
    </row>
    <row r="1601" spans="1:24" x14ac:dyDescent="0.25">
      <c r="A1601" s="46">
        <v>220230008403</v>
      </c>
      <c r="B1601" s="47" t="s">
        <v>1514</v>
      </c>
      <c r="C1601" s="52">
        <v>45000</v>
      </c>
      <c r="D1601" s="46">
        <v>22023001549</v>
      </c>
      <c r="E1601" s="47" t="s">
        <v>1515</v>
      </c>
      <c r="F1601" s="53">
        <v>14.59</v>
      </c>
      <c r="G1601" s="47" t="s">
        <v>1979</v>
      </c>
      <c r="H1601" s="47" t="s">
        <v>2960</v>
      </c>
      <c r="I1601" s="46" t="s">
        <v>1517</v>
      </c>
      <c r="J1601" s="47" t="s">
        <v>519</v>
      </c>
      <c r="K1601" s="47" t="s">
        <v>519</v>
      </c>
      <c r="L1601" s="47" t="s">
        <v>552</v>
      </c>
      <c r="M1601" s="47" t="s">
        <v>514</v>
      </c>
      <c r="N1601" s="47" t="s">
        <v>515</v>
      </c>
      <c r="O1601" s="54" t="s">
        <v>382</v>
      </c>
      <c r="P1601" s="44" t="s">
        <v>309</v>
      </c>
      <c r="Q1601" s="59" t="str">
        <f>MID(Tabla1[[#This Row],[Aplicación]],14,1)</f>
        <v>2</v>
      </c>
      <c r="R1601" s="35" t="s">
        <v>298</v>
      </c>
      <c r="S1601" s="59" t="str">
        <f>MID(Tabla1[[#This Row],[Aplicación]],6,2)</f>
        <v>07</v>
      </c>
      <c r="T1601" s="35" t="str">
        <f>VLOOKUP(Tabla1[[#This Row],[AREA]],Hoja1!A:B,2,FALSE)</f>
        <v>07. Medio ambiente y desarrollo sostenible</v>
      </c>
      <c r="U1601" s="35" t="str">
        <f>MID(Tabla1[[#This Row],[Aplicación]],9,4)</f>
        <v>1711</v>
      </c>
      <c r="V1601" s="35" t="str">
        <f>VLOOKUP(Tabla1[[#This Row],[PROGRAMA]],Hoja1!A:B,2,FALSE)</f>
        <v>1711. Parques y jardines</v>
      </c>
      <c r="W1601" s="56" t="str">
        <f>MID(Tabla1[[#This Row],[Aplicación]],14,2)</f>
        <v>22</v>
      </c>
      <c r="X1601" s="56" t="str">
        <f>MID(Tabla1[[#This Row],[Aplicación]],14,6)</f>
        <v>22199</v>
      </c>
    </row>
    <row r="1602" spans="1:24" x14ac:dyDescent="0.25">
      <c r="A1602" s="46">
        <v>220229000569</v>
      </c>
      <c r="B1602" s="47" t="s">
        <v>507</v>
      </c>
      <c r="C1602" s="52">
        <v>44927</v>
      </c>
      <c r="D1602" s="46">
        <v>22023000694</v>
      </c>
      <c r="E1602" s="47" t="s">
        <v>958</v>
      </c>
      <c r="F1602" s="53">
        <v>5000</v>
      </c>
      <c r="G1602" s="47" t="s">
        <v>964</v>
      </c>
      <c r="H1602" s="47" t="s">
        <v>2961</v>
      </c>
      <c r="I1602" s="46" t="s">
        <v>511</v>
      </c>
      <c r="J1602" s="47" t="s">
        <v>512</v>
      </c>
      <c r="K1602" s="47" t="s">
        <v>512</v>
      </c>
      <c r="L1602" s="47" t="s">
        <v>552</v>
      </c>
      <c r="M1602" s="47" t="s">
        <v>514</v>
      </c>
      <c r="N1602" s="47" t="s">
        <v>515</v>
      </c>
      <c r="O1602" s="45" t="s">
        <v>371</v>
      </c>
      <c r="P1602" s="44" t="s">
        <v>309</v>
      </c>
      <c r="Q1602" s="59" t="str">
        <f>MID(Tabla1[[#This Row],[Aplicación]],14,1)</f>
        <v>2</v>
      </c>
      <c r="R1602" s="35" t="s">
        <v>298</v>
      </c>
      <c r="S1602" s="59" t="str">
        <f>MID(Tabla1[[#This Row],[Aplicación]],6,2)</f>
        <v>08</v>
      </c>
      <c r="T1602" s="35" t="str">
        <f>VLOOKUP(Tabla1[[#This Row],[AREA]],Hoja1!A:B,2,FALSE)</f>
        <v>08. Movilidad y espacio urbano</v>
      </c>
      <c r="U1602" s="35" t="str">
        <f>MID(Tabla1[[#This Row],[Aplicación]],9,4)</f>
        <v>1532</v>
      </c>
      <c r="V1602" s="35" t="str">
        <f>VLOOKUP(Tabla1[[#This Row],[PROGRAMA]],Hoja1!A:B,2,FALSE)</f>
        <v>1532. Pavimentación vias públicas y otros servicios urbanísticos</v>
      </c>
      <c r="W1602" s="56" t="str">
        <f>MID(Tabla1[[#This Row],[Aplicación]],14,2)</f>
        <v>22</v>
      </c>
      <c r="X1602" s="56" t="str">
        <f>MID(Tabla1[[#This Row],[Aplicación]],14,6)</f>
        <v>22103</v>
      </c>
    </row>
    <row r="1603" spans="1:24" x14ac:dyDescent="0.25">
      <c r="A1603" s="46">
        <v>220229000566</v>
      </c>
      <c r="B1603" s="47" t="s">
        <v>507</v>
      </c>
      <c r="C1603" s="52">
        <v>44927</v>
      </c>
      <c r="D1603" s="46">
        <v>22023001220</v>
      </c>
      <c r="E1603" s="47" t="s">
        <v>2962</v>
      </c>
      <c r="F1603" s="53">
        <v>2000</v>
      </c>
      <c r="G1603" s="47" t="s">
        <v>964</v>
      </c>
      <c r="H1603" s="47" t="s">
        <v>2963</v>
      </c>
      <c r="I1603" s="46" t="s">
        <v>511</v>
      </c>
      <c r="J1603" s="47" t="s">
        <v>512</v>
      </c>
      <c r="K1603" s="47" t="s">
        <v>512</v>
      </c>
      <c r="L1603" s="47" t="s">
        <v>552</v>
      </c>
      <c r="M1603" s="47" t="s">
        <v>514</v>
      </c>
      <c r="N1603" s="47" t="s">
        <v>515</v>
      </c>
      <c r="O1603" s="45" t="s">
        <v>371</v>
      </c>
      <c r="P1603" s="44" t="s">
        <v>309</v>
      </c>
      <c r="Q1603" s="59" t="str">
        <f>MID(Tabla1[[#This Row],[Aplicación]],14,1)</f>
        <v>2</v>
      </c>
      <c r="R1603" s="35" t="s">
        <v>298</v>
      </c>
      <c r="S1603" s="59" t="str">
        <f>MID(Tabla1[[#This Row],[Aplicación]],6,2)</f>
        <v>08</v>
      </c>
      <c r="T1603" s="35" t="str">
        <f>VLOOKUP(Tabla1[[#This Row],[AREA]],Hoja1!A:B,2,FALSE)</f>
        <v>08. Movilidad y espacio urbano</v>
      </c>
      <c r="U1603" s="56" t="str">
        <f>MID(Tabla1[[#This Row],[Aplicación]],9,4)</f>
        <v>1341</v>
      </c>
      <c r="V1603" s="35" t="str">
        <f>VLOOKUP(Tabla1[[#This Row],[PROGRAMA]],Hoja1!A:B,2,FALSE)</f>
        <v>1341. Movilidad</v>
      </c>
      <c r="W1603" s="56" t="str">
        <f>MID(Tabla1[[#This Row],[Aplicación]],14,2)</f>
        <v>22</v>
      </c>
      <c r="X1603" s="56" t="str">
        <f>MID(Tabla1[[#This Row],[Aplicación]],14,6)</f>
        <v>22103</v>
      </c>
    </row>
    <row r="1604" spans="1:24" x14ac:dyDescent="0.25">
      <c r="A1604" s="46">
        <v>220230008383</v>
      </c>
      <c r="B1604" s="47" t="s">
        <v>1249</v>
      </c>
      <c r="C1604" s="52">
        <v>45000</v>
      </c>
      <c r="D1604" s="46">
        <v>22023002763</v>
      </c>
      <c r="E1604" s="47" t="s">
        <v>1062</v>
      </c>
      <c r="F1604" s="53">
        <v>701.8</v>
      </c>
      <c r="G1604" s="47" t="s">
        <v>18</v>
      </c>
      <c r="H1604" s="47" t="s">
        <v>2964</v>
      </c>
      <c r="I1604" s="46" t="s">
        <v>1251</v>
      </c>
      <c r="J1604" s="47" t="s">
        <v>519</v>
      </c>
      <c r="K1604" s="47" t="s">
        <v>519</v>
      </c>
      <c r="L1604" s="47" t="s">
        <v>520</v>
      </c>
      <c r="M1604" s="47" t="s">
        <v>976</v>
      </c>
      <c r="N1604" s="47" t="s">
        <v>839</v>
      </c>
      <c r="O1604" s="54" t="s">
        <v>383</v>
      </c>
      <c r="P1604" s="44" t="s">
        <v>309</v>
      </c>
      <c r="Q1604" s="59" t="str">
        <f>MID(Tabla1[[#This Row],[Aplicación]],14,1)</f>
        <v>2</v>
      </c>
      <c r="R1604" s="35" t="s">
        <v>298</v>
      </c>
      <c r="S1604" s="59" t="str">
        <f>MID(Tabla1[[#This Row],[Aplicación]],6,2)</f>
        <v>04</v>
      </c>
      <c r="T1604" s="35" t="str">
        <f>VLOOKUP(Tabla1[[#This Row],[AREA]],Hoja1!A:B,2,FALSE)</f>
        <v>04. Planificación y recursos</v>
      </c>
      <c r="U1604" s="35" t="str">
        <f>MID(Tabla1[[#This Row],[Aplicación]],9,4)</f>
        <v>9202</v>
      </c>
      <c r="V1604" s="35" t="str">
        <f>VLOOKUP(Tabla1[[#This Row],[PROGRAMA]],Hoja1!A:B,2,FALSE)</f>
        <v>9202. Gestión de recursos humanos</v>
      </c>
      <c r="W1604" s="56" t="str">
        <f>MID(Tabla1[[#This Row],[Aplicación]],14,2)</f>
        <v>22</v>
      </c>
      <c r="X1604" s="56" t="str">
        <f>MID(Tabla1[[#This Row],[Aplicación]],14,6)</f>
        <v>22799</v>
      </c>
    </row>
    <row r="1605" spans="1:24" x14ac:dyDescent="0.25">
      <c r="A1605" s="46">
        <v>220230008420</v>
      </c>
      <c r="B1605" s="47" t="s">
        <v>1249</v>
      </c>
      <c r="C1605" s="52">
        <v>45000</v>
      </c>
      <c r="D1605" s="46">
        <v>22023002866</v>
      </c>
      <c r="E1605" s="47" t="s">
        <v>1657</v>
      </c>
      <c r="F1605" s="53">
        <v>691.76</v>
      </c>
      <c r="G1605" s="47" t="s">
        <v>2965</v>
      </c>
      <c r="H1605" s="47" t="s">
        <v>2966</v>
      </c>
      <c r="I1605" s="46" t="s">
        <v>1251</v>
      </c>
      <c r="J1605" s="47" t="s">
        <v>1759</v>
      </c>
      <c r="K1605" s="47" t="s">
        <v>519</v>
      </c>
      <c r="L1605" s="47" t="s">
        <v>552</v>
      </c>
      <c r="M1605" s="47" t="s">
        <v>976</v>
      </c>
      <c r="N1605" s="47" t="s">
        <v>839</v>
      </c>
      <c r="O1605" s="54" t="s">
        <v>383</v>
      </c>
      <c r="P1605" s="44" t="s">
        <v>309</v>
      </c>
      <c r="Q1605" s="59" t="str">
        <f>MID(Tabla1[[#This Row],[Aplicación]],14,1)</f>
        <v>2</v>
      </c>
      <c r="R1605" s="35" t="s">
        <v>298</v>
      </c>
      <c r="S1605" s="59" t="str">
        <f>MID(Tabla1[[#This Row],[Aplicación]],6,2)</f>
        <v>10</v>
      </c>
      <c r="T1605" s="35" t="str">
        <f>VLOOKUP(Tabla1[[#This Row],[AREA]],Hoja1!A:B,2,FALSE)</f>
        <v>10. Servicios sociales y mediación comunitaria</v>
      </c>
      <c r="U1605" s="35" t="str">
        <f>MID(Tabla1[[#This Row],[Aplicación]],9,4)</f>
        <v>2412</v>
      </c>
      <c r="V1605" s="35" t="str">
        <f>VLOOKUP(Tabla1[[#This Row],[PROGRAMA]],Hoja1!A:B,2,FALSE)</f>
        <v>2412. Formación para el empleo</v>
      </c>
      <c r="W1605" s="56" t="str">
        <f>MID(Tabla1[[#This Row],[Aplicación]],14,2)</f>
        <v>21</v>
      </c>
      <c r="X1605" s="56" t="str">
        <f>MID(Tabla1[[#This Row],[Aplicación]],14,6)</f>
        <v>212</v>
      </c>
    </row>
    <row r="1606" spans="1:24" x14ac:dyDescent="0.25">
      <c r="A1606" s="46">
        <v>220229000565</v>
      </c>
      <c r="B1606" s="47" t="s">
        <v>507</v>
      </c>
      <c r="C1606" s="52">
        <v>44927</v>
      </c>
      <c r="D1606" s="46">
        <v>22023000691</v>
      </c>
      <c r="E1606" s="47" t="s">
        <v>1264</v>
      </c>
      <c r="F1606" s="53">
        <v>1500</v>
      </c>
      <c r="G1606" s="47" t="s">
        <v>964</v>
      </c>
      <c r="H1606" s="47" t="s">
        <v>2967</v>
      </c>
      <c r="I1606" s="46" t="s">
        <v>511</v>
      </c>
      <c r="J1606" s="47" t="s">
        <v>512</v>
      </c>
      <c r="K1606" s="47" t="s">
        <v>512</v>
      </c>
      <c r="L1606" s="47" t="s">
        <v>552</v>
      </c>
      <c r="M1606" s="47" t="s">
        <v>514</v>
      </c>
      <c r="N1606" s="47" t="s">
        <v>515</v>
      </c>
      <c r="O1606" s="45" t="s">
        <v>371</v>
      </c>
      <c r="P1606" s="44" t="s">
        <v>309</v>
      </c>
      <c r="Q1606" s="59" t="str">
        <f>MID(Tabla1[[#This Row],[Aplicación]],14,1)</f>
        <v>2</v>
      </c>
      <c r="R1606" s="35" t="s">
        <v>298</v>
      </c>
      <c r="S1606" s="59" t="str">
        <f>MID(Tabla1[[#This Row],[Aplicación]],6,2)</f>
        <v>11</v>
      </c>
      <c r="T1606" s="35" t="str">
        <f>VLOOKUP(Tabla1[[#This Row],[AREA]],Hoja1!A:B,2,FALSE)</f>
        <v>11. Salud pública y seguridad ciudadana</v>
      </c>
      <c r="U1606" s="35" t="str">
        <f>MID(Tabla1[[#This Row],[Aplicación]],9,4)</f>
        <v>1361</v>
      </c>
      <c r="V1606" s="35" t="str">
        <f>VLOOKUP(Tabla1[[#This Row],[PROGRAMA]],Hoja1!A:B,2,FALSE)</f>
        <v>1361. Prevención y extinción de incencios</v>
      </c>
      <c r="W1606" s="56" t="str">
        <f>MID(Tabla1[[#This Row],[Aplicación]],14,2)</f>
        <v>22</v>
      </c>
      <c r="X1606" s="56" t="str">
        <f>MID(Tabla1[[#This Row],[Aplicación]],14,6)</f>
        <v>22103</v>
      </c>
    </row>
    <row r="1607" spans="1:24" x14ac:dyDescent="0.25">
      <c r="A1607" s="46">
        <v>220229000564</v>
      </c>
      <c r="B1607" s="47" t="s">
        <v>507</v>
      </c>
      <c r="C1607" s="52">
        <v>44927</v>
      </c>
      <c r="D1607" s="46">
        <v>22023000690</v>
      </c>
      <c r="E1607" s="47" t="s">
        <v>1899</v>
      </c>
      <c r="F1607" s="53">
        <v>1000</v>
      </c>
      <c r="G1607" s="47" t="s">
        <v>964</v>
      </c>
      <c r="H1607" s="47" t="s">
        <v>2968</v>
      </c>
      <c r="I1607" s="46" t="s">
        <v>511</v>
      </c>
      <c r="J1607" s="47" t="s">
        <v>512</v>
      </c>
      <c r="K1607" s="47" t="s">
        <v>512</v>
      </c>
      <c r="L1607" s="47" t="s">
        <v>552</v>
      </c>
      <c r="M1607" s="47" t="s">
        <v>514</v>
      </c>
      <c r="N1607" s="47" t="s">
        <v>604</v>
      </c>
      <c r="O1607" s="45" t="s">
        <v>371</v>
      </c>
      <c r="P1607" s="44" t="s">
        <v>309</v>
      </c>
      <c r="Q1607" s="59" t="str">
        <f>MID(Tabla1[[#This Row],[Aplicación]],14,1)</f>
        <v>2</v>
      </c>
      <c r="R1607" s="35" t="s">
        <v>298</v>
      </c>
      <c r="S1607" s="59" t="str">
        <f>MID(Tabla1[[#This Row],[Aplicación]],6,2)</f>
        <v>11</v>
      </c>
      <c r="T1607" s="35" t="str">
        <f>VLOOKUP(Tabla1[[#This Row],[AREA]],Hoja1!A:B,2,FALSE)</f>
        <v>11. Salud pública y seguridad ciudadana</v>
      </c>
      <c r="U1607" s="35" t="str">
        <f>MID(Tabla1[[#This Row],[Aplicación]],9,4)</f>
        <v>3111</v>
      </c>
      <c r="V1607" s="35" t="str">
        <f>VLOOKUP(Tabla1[[#This Row],[PROGRAMA]],Hoja1!A:B,2,FALSE)</f>
        <v>3111. Protección de la salubridad pública</v>
      </c>
      <c r="W1607" s="56" t="str">
        <f>MID(Tabla1[[#This Row],[Aplicación]],14,2)</f>
        <v>22</v>
      </c>
      <c r="X1607" s="56" t="str">
        <f>MID(Tabla1[[#This Row],[Aplicación]],14,6)</f>
        <v>22103</v>
      </c>
    </row>
    <row r="1608" spans="1:24" x14ac:dyDescent="0.25">
      <c r="A1608" s="46">
        <v>220230008410</v>
      </c>
      <c r="B1608" s="47" t="s">
        <v>1514</v>
      </c>
      <c r="C1608" s="52">
        <v>45000</v>
      </c>
      <c r="D1608" s="46">
        <v>22023001549</v>
      </c>
      <c r="E1608" s="47" t="s">
        <v>1515</v>
      </c>
      <c r="F1608" s="53">
        <v>115.51</v>
      </c>
      <c r="G1608" s="47" t="s">
        <v>2969</v>
      </c>
      <c r="H1608" s="47" t="s">
        <v>2970</v>
      </c>
      <c r="I1608" s="46" t="s">
        <v>1517</v>
      </c>
      <c r="J1608" s="47" t="s">
        <v>519</v>
      </c>
      <c r="K1608" s="47" t="s">
        <v>519</v>
      </c>
      <c r="L1608" s="47" t="s">
        <v>552</v>
      </c>
      <c r="M1608" s="47" t="s">
        <v>514</v>
      </c>
      <c r="N1608" s="47" t="s">
        <v>515</v>
      </c>
      <c r="O1608" s="54" t="s">
        <v>382</v>
      </c>
      <c r="P1608" s="44" t="s">
        <v>309</v>
      </c>
      <c r="Q1608" s="59" t="str">
        <f>MID(Tabla1[[#This Row],[Aplicación]],14,1)</f>
        <v>2</v>
      </c>
      <c r="R1608" s="35" t="s">
        <v>298</v>
      </c>
      <c r="S1608" s="59" t="str">
        <f>MID(Tabla1[[#This Row],[Aplicación]],6,2)</f>
        <v>07</v>
      </c>
      <c r="T1608" s="35" t="str">
        <f>VLOOKUP(Tabla1[[#This Row],[AREA]],Hoja1!A:B,2,FALSE)</f>
        <v>07. Medio ambiente y desarrollo sostenible</v>
      </c>
      <c r="U1608" s="35" t="str">
        <f>MID(Tabla1[[#This Row],[Aplicación]],9,4)</f>
        <v>1711</v>
      </c>
      <c r="V1608" s="35" t="str">
        <f>VLOOKUP(Tabla1[[#This Row],[PROGRAMA]],Hoja1!A:B,2,FALSE)</f>
        <v>1711. Parques y jardines</v>
      </c>
      <c r="W1608" s="56" t="str">
        <f>MID(Tabla1[[#This Row],[Aplicación]],14,2)</f>
        <v>22</v>
      </c>
      <c r="X1608" s="56" t="str">
        <f>MID(Tabla1[[#This Row],[Aplicación]],14,6)</f>
        <v>22199</v>
      </c>
    </row>
    <row r="1609" spans="1:24" x14ac:dyDescent="0.25">
      <c r="A1609" s="46">
        <v>220230008505</v>
      </c>
      <c r="B1609" s="47" t="s">
        <v>1514</v>
      </c>
      <c r="C1609" s="52">
        <v>45000</v>
      </c>
      <c r="D1609" s="46">
        <v>22023001549</v>
      </c>
      <c r="E1609" s="47" t="s">
        <v>1515</v>
      </c>
      <c r="F1609" s="53">
        <v>7.2</v>
      </c>
      <c r="G1609" s="47" t="s">
        <v>2969</v>
      </c>
      <c r="H1609" s="47" t="s">
        <v>2971</v>
      </c>
      <c r="I1609" s="46" t="s">
        <v>1517</v>
      </c>
      <c r="J1609" s="47" t="s">
        <v>519</v>
      </c>
      <c r="K1609" s="47" t="s">
        <v>519</v>
      </c>
      <c r="L1609" s="47" t="s">
        <v>552</v>
      </c>
      <c r="M1609" s="47" t="s">
        <v>514</v>
      </c>
      <c r="N1609" s="47" t="s">
        <v>515</v>
      </c>
      <c r="O1609" s="54" t="s">
        <v>382</v>
      </c>
      <c r="P1609" s="44" t="s">
        <v>309</v>
      </c>
      <c r="Q1609" s="59" t="str">
        <f>MID(Tabla1[[#This Row],[Aplicación]],14,1)</f>
        <v>2</v>
      </c>
      <c r="R1609" s="35" t="s">
        <v>298</v>
      </c>
      <c r="S1609" s="59" t="str">
        <f>MID(Tabla1[[#This Row],[Aplicación]],6,2)</f>
        <v>07</v>
      </c>
      <c r="T1609" s="35" t="str">
        <f>VLOOKUP(Tabla1[[#This Row],[AREA]],Hoja1!A:B,2,FALSE)</f>
        <v>07. Medio ambiente y desarrollo sostenible</v>
      </c>
      <c r="U1609" s="35" t="str">
        <f>MID(Tabla1[[#This Row],[Aplicación]],9,4)</f>
        <v>1711</v>
      </c>
      <c r="V1609" s="35" t="str">
        <f>VLOOKUP(Tabla1[[#This Row],[PROGRAMA]],Hoja1!A:B,2,FALSE)</f>
        <v>1711. Parques y jardines</v>
      </c>
      <c r="W1609" s="56" t="str">
        <f>MID(Tabla1[[#This Row],[Aplicación]],14,2)</f>
        <v>22</v>
      </c>
      <c r="X1609" s="56" t="str">
        <f>MID(Tabla1[[#This Row],[Aplicación]],14,6)</f>
        <v>22199</v>
      </c>
    </row>
    <row r="1610" spans="1:24" x14ac:dyDescent="0.25">
      <c r="A1610" s="46">
        <v>220230008464</v>
      </c>
      <c r="B1610" s="47" t="s">
        <v>1514</v>
      </c>
      <c r="C1610" s="52">
        <v>45000</v>
      </c>
      <c r="D1610" s="46">
        <v>22023001343</v>
      </c>
      <c r="E1610" s="47" t="s">
        <v>1506</v>
      </c>
      <c r="F1610" s="53">
        <v>66.260000000000005</v>
      </c>
      <c r="G1610" s="47" t="s">
        <v>2477</v>
      </c>
      <c r="H1610" s="47" t="s">
        <v>2972</v>
      </c>
      <c r="I1610" s="46" t="s">
        <v>1517</v>
      </c>
      <c r="J1610" s="47" t="s">
        <v>519</v>
      </c>
      <c r="K1610" s="47" t="s">
        <v>519</v>
      </c>
      <c r="L1610" s="47" t="s">
        <v>552</v>
      </c>
      <c r="M1610" s="47" t="s">
        <v>514</v>
      </c>
      <c r="N1610" s="47" t="s">
        <v>604</v>
      </c>
      <c r="O1610" s="54" t="s">
        <v>382</v>
      </c>
      <c r="P1610" s="44" t="s">
        <v>309</v>
      </c>
      <c r="Q1610" s="59" t="str">
        <f>MID(Tabla1[[#This Row],[Aplicación]],14,1)</f>
        <v>2</v>
      </c>
      <c r="R1610" s="35" t="s">
        <v>298</v>
      </c>
      <c r="S1610" s="59" t="str">
        <f>MID(Tabla1[[#This Row],[Aplicación]],6,2)</f>
        <v>03</v>
      </c>
      <c r="T1610" s="35" t="str">
        <f>VLOOKUP(Tabla1[[#This Row],[AREA]],Hoja1!A:B,2,FALSE)</f>
        <v>03. Participación ciudadana y deportes</v>
      </c>
      <c r="U1610" s="35" t="str">
        <f>MID(Tabla1[[#This Row],[Aplicación]],9,4)</f>
        <v>9241</v>
      </c>
      <c r="V1610" s="35" t="str">
        <f>VLOOKUP(Tabla1[[#This Row],[PROGRAMA]],Hoja1!A:B,2,FALSE)</f>
        <v>9241. Participación ciudadana</v>
      </c>
      <c r="W1610" s="56" t="str">
        <f>MID(Tabla1[[#This Row],[Aplicación]],14,2)</f>
        <v>21</v>
      </c>
      <c r="X1610" s="56" t="str">
        <f>MID(Tabla1[[#This Row],[Aplicación]],14,6)</f>
        <v>212</v>
      </c>
    </row>
    <row r="1611" spans="1:24" x14ac:dyDescent="0.25">
      <c r="A1611" s="46">
        <v>220229000572</v>
      </c>
      <c r="B1611" s="47" t="s">
        <v>507</v>
      </c>
      <c r="C1611" s="52">
        <v>44927</v>
      </c>
      <c r="D1611" s="46">
        <v>22023000697</v>
      </c>
      <c r="E1611" s="47" t="s">
        <v>2973</v>
      </c>
      <c r="F1611" s="53">
        <v>1000</v>
      </c>
      <c r="G1611" s="47" t="s">
        <v>964</v>
      </c>
      <c r="H1611" s="47" t="s">
        <v>2974</v>
      </c>
      <c r="I1611" s="46" t="s">
        <v>511</v>
      </c>
      <c r="J1611" s="47" t="s">
        <v>512</v>
      </c>
      <c r="K1611" s="47" t="s">
        <v>512</v>
      </c>
      <c r="L1611" s="47" t="s">
        <v>520</v>
      </c>
      <c r="M1611" s="47" t="s">
        <v>514</v>
      </c>
      <c r="N1611" s="47" t="s">
        <v>515</v>
      </c>
      <c r="O1611" s="45" t="s">
        <v>371</v>
      </c>
      <c r="P1611" s="44" t="s">
        <v>309</v>
      </c>
      <c r="Q1611" s="59" t="str">
        <f>MID(Tabla1[[#This Row],[Aplicación]],14,1)</f>
        <v>2</v>
      </c>
      <c r="R1611" s="35" t="s">
        <v>298</v>
      </c>
      <c r="S1611" s="59" t="str">
        <f>MID(Tabla1[[#This Row],[Aplicación]],6,2)</f>
        <v>07</v>
      </c>
      <c r="T1611" s="35" t="str">
        <f>VLOOKUP(Tabla1[[#This Row],[AREA]],Hoja1!A:B,2,FALSE)</f>
        <v>07. Medio ambiente y desarrollo sostenible</v>
      </c>
      <c r="U1611" s="35" t="str">
        <f>MID(Tabla1[[#This Row],[Aplicación]],9,4)</f>
        <v>1721</v>
      </c>
      <c r="V1611" s="35" t="str">
        <f>VLOOKUP(Tabla1[[#This Row],[PROGRAMA]],Hoja1!A:B,2,FALSE)</f>
        <v>1721. Protección del medio ambiente</v>
      </c>
      <c r="W1611" s="56" t="str">
        <f>MID(Tabla1[[#This Row],[Aplicación]],14,2)</f>
        <v>22</v>
      </c>
      <c r="X1611" s="56" t="str">
        <f>MID(Tabla1[[#This Row],[Aplicación]],14,6)</f>
        <v>22103</v>
      </c>
    </row>
    <row r="1612" spans="1:24" x14ac:dyDescent="0.25">
      <c r="A1612" s="46">
        <v>220229000573</v>
      </c>
      <c r="B1612" s="47" t="s">
        <v>507</v>
      </c>
      <c r="C1612" s="52">
        <v>44927</v>
      </c>
      <c r="D1612" s="46">
        <v>22023000464</v>
      </c>
      <c r="E1612" s="47" t="s">
        <v>2975</v>
      </c>
      <c r="F1612" s="53">
        <v>550</v>
      </c>
      <c r="G1612" s="47" t="s">
        <v>964</v>
      </c>
      <c r="H1612" s="47" t="s">
        <v>2976</v>
      </c>
      <c r="I1612" s="46" t="s">
        <v>511</v>
      </c>
      <c r="J1612" s="47" t="s">
        <v>512</v>
      </c>
      <c r="K1612" s="47" t="s">
        <v>512</v>
      </c>
      <c r="L1612" s="47" t="s">
        <v>552</v>
      </c>
      <c r="M1612" s="47" t="s">
        <v>514</v>
      </c>
      <c r="N1612" s="47" t="s">
        <v>515</v>
      </c>
      <c r="O1612" s="45" t="s">
        <v>371</v>
      </c>
      <c r="P1612" s="44" t="s">
        <v>309</v>
      </c>
      <c r="Q1612" s="59" t="str">
        <f>MID(Tabla1[[#This Row],[Aplicación]],14,1)</f>
        <v>2</v>
      </c>
      <c r="R1612" s="35" t="s">
        <v>298</v>
      </c>
      <c r="S1612" s="59" t="str">
        <f>MID(Tabla1[[#This Row],[Aplicación]],6,2)</f>
        <v>10</v>
      </c>
      <c r="T1612" s="35" t="str">
        <f>VLOOKUP(Tabla1[[#This Row],[AREA]],Hoja1!A:B,2,FALSE)</f>
        <v>10. Servicios sociales y mediación comunitaria</v>
      </c>
      <c r="U1612" s="35" t="str">
        <f>MID(Tabla1[[#This Row],[Aplicación]],9,4)</f>
        <v>2412</v>
      </c>
      <c r="V1612" s="35" t="str">
        <f>VLOOKUP(Tabla1[[#This Row],[PROGRAMA]],Hoja1!A:B,2,FALSE)</f>
        <v>2412. Formación para el empleo</v>
      </c>
      <c r="W1612" s="56" t="str">
        <f>MID(Tabla1[[#This Row],[Aplicación]],14,2)</f>
        <v>22</v>
      </c>
      <c r="X1612" s="56" t="str">
        <f>MID(Tabla1[[#This Row],[Aplicación]],14,6)</f>
        <v>22103</v>
      </c>
    </row>
    <row r="1613" spans="1:24" x14ac:dyDescent="0.25">
      <c r="A1613" s="46">
        <v>220229000563</v>
      </c>
      <c r="B1613" s="47" t="s">
        <v>507</v>
      </c>
      <c r="C1613" s="52">
        <v>44927</v>
      </c>
      <c r="D1613" s="46">
        <v>22023000689</v>
      </c>
      <c r="E1613" s="47" t="s">
        <v>2977</v>
      </c>
      <c r="F1613" s="53">
        <v>4000</v>
      </c>
      <c r="G1613" s="47" t="s">
        <v>964</v>
      </c>
      <c r="H1613" s="47" t="s">
        <v>2978</v>
      </c>
      <c r="I1613" s="46" t="s">
        <v>511</v>
      </c>
      <c r="J1613" s="47" t="s">
        <v>512</v>
      </c>
      <c r="K1613" s="47" t="s">
        <v>512</v>
      </c>
      <c r="L1613" s="47" t="s">
        <v>552</v>
      </c>
      <c r="M1613" s="47" t="s">
        <v>514</v>
      </c>
      <c r="N1613" s="47" t="s">
        <v>515</v>
      </c>
      <c r="O1613" s="45" t="s">
        <v>371</v>
      </c>
      <c r="P1613" s="44" t="s">
        <v>309</v>
      </c>
      <c r="Q1613" s="59" t="str">
        <f>MID(Tabla1[[#This Row],[Aplicación]],14,1)</f>
        <v>2</v>
      </c>
      <c r="R1613" s="35" t="s">
        <v>298</v>
      </c>
      <c r="S1613" s="59" t="str">
        <f>MID(Tabla1[[#This Row],[Aplicación]],6,2)</f>
        <v>01</v>
      </c>
      <c r="T1613" s="35" t="str">
        <f>VLOOKUP(Tabla1[[#This Row],[AREA]],Hoja1!A:B,2,FALSE)</f>
        <v>01. Alcaldía</v>
      </c>
      <c r="U1613" s="35" t="str">
        <f>MID(Tabla1[[#This Row],[Aplicación]],9,4)</f>
        <v>9203</v>
      </c>
      <c r="V1613" s="35" t="str">
        <f>VLOOKUP(Tabla1[[#This Row],[PROGRAMA]],Hoja1!A:B,2,FALSE)</f>
        <v>9203. Unidad de régimen interior</v>
      </c>
      <c r="W1613" s="56" t="str">
        <f>MID(Tabla1[[#This Row],[Aplicación]],14,2)</f>
        <v>22</v>
      </c>
      <c r="X1613" s="56" t="str">
        <f>MID(Tabla1[[#This Row],[Aplicación]],14,6)</f>
        <v>22103</v>
      </c>
    </row>
    <row r="1614" spans="1:24" x14ac:dyDescent="0.25">
      <c r="A1614" s="46">
        <v>220230008401</v>
      </c>
      <c r="B1614" s="47" t="s">
        <v>1514</v>
      </c>
      <c r="C1614" s="52">
        <v>45000</v>
      </c>
      <c r="D1614" s="46">
        <v>22023001549</v>
      </c>
      <c r="E1614" s="47" t="s">
        <v>1515</v>
      </c>
      <c r="F1614" s="53">
        <v>1609.05</v>
      </c>
      <c r="G1614" s="47" t="s">
        <v>1372</v>
      </c>
      <c r="H1614" s="47" t="s">
        <v>2979</v>
      </c>
      <c r="I1614" s="46" t="s">
        <v>1517</v>
      </c>
      <c r="J1614" s="47" t="s">
        <v>519</v>
      </c>
      <c r="K1614" s="47" t="s">
        <v>519</v>
      </c>
      <c r="L1614" s="47" t="s">
        <v>552</v>
      </c>
      <c r="M1614" s="47" t="s">
        <v>514</v>
      </c>
      <c r="N1614" s="47" t="s">
        <v>515</v>
      </c>
      <c r="O1614" s="54" t="s">
        <v>382</v>
      </c>
      <c r="P1614" s="44" t="s">
        <v>309</v>
      </c>
      <c r="Q1614" s="59" t="str">
        <f>MID(Tabla1[[#This Row],[Aplicación]],14,1)</f>
        <v>2</v>
      </c>
      <c r="R1614" s="35" t="s">
        <v>298</v>
      </c>
      <c r="S1614" s="59" t="str">
        <f>MID(Tabla1[[#This Row],[Aplicación]],6,2)</f>
        <v>07</v>
      </c>
      <c r="T1614" s="35" t="str">
        <f>VLOOKUP(Tabla1[[#This Row],[AREA]],Hoja1!A:B,2,FALSE)</f>
        <v>07. Medio ambiente y desarrollo sostenible</v>
      </c>
      <c r="U1614" s="35" t="str">
        <f>MID(Tabla1[[#This Row],[Aplicación]],9,4)</f>
        <v>1711</v>
      </c>
      <c r="V1614" s="35" t="str">
        <f>VLOOKUP(Tabla1[[#This Row],[PROGRAMA]],Hoja1!A:B,2,FALSE)</f>
        <v>1711. Parques y jardines</v>
      </c>
      <c r="W1614" s="56" t="str">
        <f>MID(Tabla1[[#This Row],[Aplicación]],14,2)</f>
        <v>22</v>
      </c>
      <c r="X1614" s="56" t="str">
        <f>MID(Tabla1[[#This Row],[Aplicación]],14,6)</f>
        <v>22199</v>
      </c>
    </row>
    <row r="1615" spans="1:24" x14ac:dyDescent="0.25">
      <c r="A1615" s="46">
        <v>220230008432</v>
      </c>
      <c r="B1615" s="47" t="s">
        <v>1249</v>
      </c>
      <c r="C1615" s="52">
        <v>45000</v>
      </c>
      <c r="D1615" s="46">
        <v>22023002890</v>
      </c>
      <c r="E1615" s="47" t="s">
        <v>1260</v>
      </c>
      <c r="F1615" s="53">
        <v>1815</v>
      </c>
      <c r="G1615" s="47" t="s">
        <v>29</v>
      </c>
      <c r="H1615" s="47" t="s">
        <v>2980</v>
      </c>
      <c r="I1615" s="46" t="s">
        <v>1251</v>
      </c>
      <c r="J1615" s="47" t="s">
        <v>519</v>
      </c>
      <c r="K1615" s="47" t="s">
        <v>519</v>
      </c>
      <c r="L1615" s="47" t="s">
        <v>520</v>
      </c>
      <c r="M1615" s="47" t="s">
        <v>514</v>
      </c>
      <c r="N1615" s="47" t="s">
        <v>515</v>
      </c>
      <c r="O1615" s="54" t="s">
        <v>382</v>
      </c>
      <c r="P1615" s="44" t="s">
        <v>309</v>
      </c>
      <c r="Q1615" s="59" t="str">
        <f>MID(Tabla1[[#This Row],[Aplicación]],14,1)</f>
        <v>2</v>
      </c>
      <c r="R1615" s="35" t="s">
        <v>298</v>
      </c>
      <c r="S1615" s="59" t="str">
        <f>MID(Tabla1[[#This Row],[Aplicación]],6,2)</f>
        <v>03</v>
      </c>
      <c r="T1615" s="35" t="str">
        <f>VLOOKUP(Tabla1[[#This Row],[AREA]],Hoja1!A:B,2,FALSE)</f>
        <v>03. Participación ciudadana y deportes</v>
      </c>
      <c r="U1615" s="35" t="str">
        <f>MID(Tabla1[[#This Row],[Aplicación]],9,4)</f>
        <v>9241</v>
      </c>
      <c r="V1615" s="35" t="str">
        <f>VLOOKUP(Tabla1[[#This Row],[PROGRAMA]],Hoja1!A:B,2,FALSE)</f>
        <v>9241. Participación ciudadana</v>
      </c>
      <c r="W1615" s="56" t="str">
        <f>MID(Tabla1[[#This Row],[Aplicación]],14,2)</f>
        <v>22</v>
      </c>
      <c r="X1615" s="56" t="str">
        <f>MID(Tabla1[[#This Row],[Aplicación]],14,6)</f>
        <v>22602</v>
      </c>
    </row>
    <row r="1616" spans="1:24" x14ac:dyDescent="0.25">
      <c r="A1616" s="46">
        <v>220230008510</v>
      </c>
      <c r="B1616" s="47" t="s">
        <v>1514</v>
      </c>
      <c r="C1616" s="52">
        <v>45000</v>
      </c>
      <c r="D1616" s="46">
        <v>22023002378</v>
      </c>
      <c r="E1616" s="47" t="s">
        <v>1362</v>
      </c>
      <c r="F1616" s="53">
        <v>49.13</v>
      </c>
      <c r="G1616" s="47" t="s">
        <v>1351</v>
      </c>
      <c r="H1616" s="47" t="s">
        <v>2981</v>
      </c>
      <c r="I1616" s="46" t="s">
        <v>1517</v>
      </c>
      <c r="J1616" s="47" t="s">
        <v>519</v>
      </c>
      <c r="K1616" s="47" t="s">
        <v>519</v>
      </c>
      <c r="L1616" s="47" t="s">
        <v>552</v>
      </c>
      <c r="M1616" s="47" t="s">
        <v>514</v>
      </c>
      <c r="N1616" s="47" t="s">
        <v>515</v>
      </c>
      <c r="O1616" s="54" t="s">
        <v>382</v>
      </c>
      <c r="P1616" s="44" t="s">
        <v>309</v>
      </c>
      <c r="Q1616" s="59" t="str">
        <f>MID(Tabla1[[#This Row],[Aplicación]],14,1)</f>
        <v>2</v>
      </c>
      <c r="R1616" s="35" t="s">
        <v>298</v>
      </c>
      <c r="S1616" s="59" t="str">
        <f>MID(Tabla1[[#This Row],[Aplicación]],6,2)</f>
        <v>09</v>
      </c>
      <c r="T1616" s="35" t="str">
        <f>VLOOKUP(Tabla1[[#This Row],[AREA]],Hoja1!A:B,2,FALSE)</f>
        <v>09. Cultura y turismo</v>
      </c>
      <c r="U1616" s="35" t="str">
        <f>MID(Tabla1[[#This Row],[Aplicación]],9,4)</f>
        <v>3341</v>
      </c>
      <c r="V1616" s="35" t="str">
        <f>VLOOKUP(Tabla1[[#This Row],[PROGRAMA]],Hoja1!A:B,2,FALSE)</f>
        <v>3341. Coordinación de políticas culturales</v>
      </c>
      <c r="W1616" s="56" t="str">
        <f>MID(Tabla1[[#This Row],[Aplicación]],14,2)</f>
        <v>21</v>
      </c>
      <c r="X1616" s="56" t="str">
        <f>MID(Tabla1[[#This Row],[Aplicación]],14,6)</f>
        <v>213</v>
      </c>
    </row>
    <row r="1617" spans="1:24" x14ac:dyDescent="0.25">
      <c r="A1617" s="46">
        <v>220230008468</v>
      </c>
      <c r="B1617" s="47" t="s">
        <v>1514</v>
      </c>
      <c r="C1617" s="52">
        <v>45000</v>
      </c>
      <c r="D1617" s="46">
        <v>22023001344</v>
      </c>
      <c r="E1617" s="47" t="s">
        <v>1150</v>
      </c>
      <c r="F1617" s="53">
        <v>39.26</v>
      </c>
      <c r="G1617" s="47" t="s">
        <v>1351</v>
      </c>
      <c r="H1617" s="47" t="s">
        <v>2982</v>
      </c>
      <c r="I1617" s="46" t="s">
        <v>1517</v>
      </c>
      <c r="J1617" s="47" t="s">
        <v>519</v>
      </c>
      <c r="K1617" s="47" t="s">
        <v>519</v>
      </c>
      <c r="L1617" s="47" t="s">
        <v>552</v>
      </c>
      <c r="M1617" s="47" t="s">
        <v>514</v>
      </c>
      <c r="N1617" s="47" t="s">
        <v>604</v>
      </c>
      <c r="O1617" s="54" t="s">
        <v>382</v>
      </c>
      <c r="P1617" s="44" t="s">
        <v>309</v>
      </c>
      <c r="Q1617" s="59" t="str">
        <f>MID(Tabla1[[#This Row],[Aplicación]],14,1)</f>
        <v>2</v>
      </c>
      <c r="R1617" s="35" t="s">
        <v>298</v>
      </c>
      <c r="S1617" s="59" t="str">
        <f>MID(Tabla1[[#This Row],[Aplicación]],6,2)</f>
        <v>03</v>
      </c>
      <c r="T1617" s="35" t="str">
        <f>VLOOKUP(Tabla1[[#This Row],[AREA]],Hoja1!A:B,2,FALSE)</f>
        <v>03. Participación ciudadana y deportes</v>
      </c>
      <c r="U1617" s="35" t="str">
        <f>MID(Tabla1[[#This Row],[Aplicación]],9,4)</f>
        <v>9241</v>
      </c>
      <c r="V1617" s="35" t="str">
        <f>VLOOKUP(Tabla1[[#This Row],[PROGRAMA]],Hoja1!A:B,2,FALSE)</f>
        <v>9241. Participación ciudadana</v>
      </c>
      <c r="W1617" s="56" t="str">
        <f>MID(Tabla1[[#This Row],[Aplicación]],14,2)</f>
        <v>21</v>
      </c>
      <c r="X1617" s="56" t="str">
        <f>MID(Tabla1[[#This Row],[Aplicación]],14,6)</f>
        <v>213</v>
      </c>
    </row>
    <row r="1618" spans="1:24" x14ac:dyDescent="0.25">
      <c r="A1618" s="46">
        <v>220230006808</v>
      </c>
      <c r="B1618" s="47" t="s">
        <v>1249</v>
      </c>
      <c r="C1618" s="52">
        <v>44987</v>
      </c>
      <c r="D1618" s="46">
        <v>22023002595</v>
      </c>
      <c r="E1618" s="47" t="s">
        <v>2973</v>
      </c>
      <c r="F1618" s="53">
        <v>61.14</v>
      </c>
      <c r="G1618" s="47" t="s">
        <v>964</v>
      </c>
      <c r="H1618" s="47" t="s">
        <v>2983</v>
      </c>
      <c r="I1618" s="46" t="s">
        <v>1251</v>
      </c>
      <c r="J1618" s="47" t="s">
        <v>512</v>
      </c>
      <c r="K1618" s="47" t="s">
        <v>512</v>
      </c>
      <c r="L1618" s="47" t="s">
        <v>552</v>
      </c>
      <c r="M1618" s="47" t="s">
        <v>514</v>
      </c>
      <c r="N1618" s="47" t="s">
        <v>515</v>
      </c>
      <c r="O1618" s="45" t="s">
        <v>371</v>
      </c>
      <c r="P1618" s="44" t="s">
        <v>309</v>
      </c>
      <c r="Q1618" s="59" t="str">
        <f>MID(Tabla1[[#This Row],[Aplicación]],14,1)</f>
        <v>2</v>
      </c>
      <c r="R1618" s="35" t="s">
        <v>298</v>
      </c>
      <c r="S1618" s="59" t="str">
        <f>MID(Tabla1[[#This Row],[Aplicación]],6,2)</f>
        <v>07</v>
      </c>
      <c r="T1618" s="35" t="str">
        <f>VLOOKUP(Tabla1[[#This Row],[AREA]],Hoja1!A:B,2,FALSE)</f>
        <v>07. Medio ambiente y desarrollo sostenible</v>
      </c>
      <c r="U1618" s="35" t="str">
        <f>MID(Tabla1[[#This Row],[Aplicación]],9,4)</f>
        <v>1721</v>
      </c>
      <c r="V1618" s="35" t="str">
        <f>VLOOKUP(Tabla1[[#This Row],[PROGRAMA]],Hoja1!A:B,2,FALSE)</f>
        <v>1721. Protección del medio ambiente</v>
      </c>
      <c r="W1618" s="56" t="str">
        <f>MID(Tabla1[[#This Row],[Aplicación]],14,2)</f>
        <v>22</v>
      </c>
      <c r="X1618" s="56" t="str">
        <f>MID(Tabla1[[#This Row],[Aplicación]],14,6)</f>
        <v>22103</v>
      </c>
    </row>
    <row r="1619" spans="1:24" x14ac:dyDescent="0.25">
      <c r="A1619" s="46">
        <v>220230008470</v>
      </c>
      <c r="B1619" s="47" t="s">
        <v>1514</v>
      </c>
      <c r="C1619" s="52">
        <v>45000</v>
      </c>
      <c r="D1619" s="46">
        <v>22023001343</v>
      </c>
      <c r="E1619" s="47" t="s">
        <v>1506</v>
      </c>
      <c r="F1619" s="53">
        <v>287.99</v>
      </c>
      <c r="G1619" s="47" t="s">
        <v>2115</v>
      </c>
      <c r="H1619" s="47" t="s">
        <v>2984</v>
      </c>
      <c r="I1619" s="46" t="s">
        <v>1517</v>
      </c>
      <c r="J1619" s="47" t="s">
        <v>519</v>
      </c>
      <c r="K1619" s="47" t="s">
        <v>519</v>
      </c>
      <c r="L1619" s="47" t="s">
        <v>552</v>
      </c>
      <c r="M1619" s="47" t="s">
        <v>514</v>
      </c>
      <c r="N1619" s="47" t="s">
        <v>604</v>
      </c>
      <c r="O1619" s="54" t="s">
        <v>382</v>
      </c>
      <c r="P1619" s="44" t="s">
        <v>309</v>
      </c>
      <c r="Q1619" s="59" t="str">
        <f>MID(Tabla1[[#This Row],[Aplicación]],14,1)</f>
        <v>2</v>
      </c>
      <c r="R1619" s="35" t="s">
        <v>298</v>
      </c>
      <c r="S1619" s="59" t="str">
        <f>MID(Tabla1[[#This Row],[Aplicación]],6,2)</f>
        <v>03</v>
      </c>
      <c r="T1619" s="35" t="str">
        <f>VLOOKUP(Tabla1[[#This Row],[AREA]],Hoja1!A:B,2,FALSE)</f>
        <v>03. Participación ciudadana y deportes</v>
      </c>
      <c r="U1619" s="35" t="str">
        <f>MID(Tabla1[[#This Row],[Aplicación]],9,4)</f>
        <v>9241</v>
      </c>
      <c r="V1619" s="35" t="str">
        <f>VLOOKUP(Tabla1[[#This Row],[PROGRAMA]],Hoja1!A:B,2,FALSE)</f>
        <v>9241. Participación ciudadana</v>
      </c>
      <c r="W1619" s="56" t="str">
        <f>MID(Tabla1[[#This Row],[Aplicación]],14,2)</f>
        <v>21</v>
      </c>
      <c r="X1619" s="56" t="str">
        <f>MID(Tabla1[[#This Row],[Aplicación]],14,6)</f>
        <v>212</v>
      </c>
    </row>
    <row r="1620" spans="1:24" x14ac:dyDescent="0.25">
      <c r="A1620" s="46">
        <v>220230008458</v>
      </c>
      <c r="B1620" s="47" t="s">
        <v>1514</v>
      </c>
      <c r="C1620" s="52">
        <v>45000</v>
      </c>
      <c r="D1620" s="46">
        <v>22023001343</v>
      </c>
      <c r="E1620" s="47" t="s">
        <v>1506</v>
      </c>
      <c r="F1620" s="53">
        <v>93.75</v>
      </c>
      <c r="G1620" s="47" t="s">
        <v>2115</v>
      </c>
      <c r="H1620" s="47" t="s">
        <v>2985</v>
      </c>
      <c r="I1620" s="46" t="s">
        <v>1517</v>
      </c>
      <c r="J1620" s="47" t="s">
        <v>519</v>
      </c>
      <c r="K1620" s="47" t="s">
        <v>519</v>
      </c>
      <c r="L1620" s="47" t="s">
        <v>552</v>
      </c>
      <c r="M1620" s="47" t="s">
        <v>514</v>
      </c>
      <c r="N1620" s="47" t="s">
        <v>604</v>
      </c>
      <c r="O1620" s="54" t="s">
        <v>382</v>
      </c>
      <c r="P1620" s="44" t="s">
        <v>309</v>
      </c>
      <c r="Q1620" s="59" t="str">
        <f>MID(Tabla1[[#This Row],[Aplicación]],14,1)</f>
        <v>2</v>
      </c>
      <c r="R1620" s="35" t="s">
        <v>298</v>
      </c>
      <c r="S1620" s="59" t="str">
        <f>MID(Tabla1[[#This Row],[Aplicación]],6,2)</f>
        <v>03</v>
      </c>
      <c r="T1620" s="35" t="str">
        <f>VLOOKUP(Tabla1[[#This Row],[AREA]],Hoja1!A:B,2,FALSE)</f>
        <v>03. Participación ciudadana y deportes</v>
      </c>
      <c r="U1620" s="35" t="str">
        <f>MID(Tabla1[[#This Row],[Aplicación]],9,4)</f>
        <v>9241</v>
      </c>
      <c r="V1620" s="35" t="str">
        <f>VLOOKUP(Tabla1[[#This Row],[PROGRAMA]],Hoja1!A:B,2,FALSE)</f>
        <v>9241. Participación ciudadana</v>
      </c>
      <c r="W1620" s="56" t="str">
        <f>MID(Tabla1[[#This Row],[Aplicación]],14,2)</f>
        <v>21</v>
      </c>
      <c r="X1620" s="56" t="str">
        <f>MID(Tabla1[[#This Row],[Aplicación]],14,6)</f>
        <v>212</v>
      </c>
    </row>
    <row r="1621" spans="1:24" x14ac:dyDescent="0.25">
      <c r="A1621" s="46">
        <v>220230008448</v>
      </c>
      <c r="B1621" s="47" t="s">
        <v>1514</v>
      </c>
      <c r="C1621" s="52">
        <v>45000</v>
      </c>
      <c r="D1621" s="46">
        <v>22023001343</v>
      </c>
      <c r="E1621" s="47" t="s">
        <v>1506</v>
      </c>
      <c r="F1621" s="53">
        <v>13.21</v>
      </c>
      <c r="G1621" s="47" t="s">
        <v>2115</v>
      </c>
      <c r="H1621" s="47" t="s">
        <v>2986</v>
      </c>
      <c r="I1621" s="46" t="s">
        <v>1517</v>
      </c>
      <c r="J1621" s="47" t="s">
        <v>519</v>
      </c>
      <c r="K1621" s="47" t="s">
        <v>519</v>
      </c>
      <c r="L1621" s="47" t="s">
        <v>552</v>
      </c>
      <c r="M1621" s="47" t="s">
        <v>514</v>
      </c>
      <c r="N1621" s="47" t="s">
        <v>604</v>
      </c>
      <c r="O1621" s="54" t="s">
        <v>382</v>
      </c>
      <c r="P1621" s="44" t="s">
        <v>309</v>
      </c>
      <c r="Q1621" s="59" t="str">
        <f>MID(Tabla1[[#This Row],[Aplicación]],14,1)</f>
        <v>2</v>
      </c>
      <c r="R1621" s="35" t="s">
        <v>298</v>
      </c>
      <c r="S1621" s="59" t="str">
        <f>MID(Tabla1[[#This Row],[Aplicación]],6,2)</f>
        <v>03</v>
      </c>
      <c r="T1621" s="35" t="str">
        <f>VLOOKUP(Tabla1[[#This Row],[AREA]],Hoja1!A:B,2,FALSE)</f>
        <v>03. Participación ciudadana y deportes</v>
      </c>
      <c r="U1621" s="35" t="str">
        <f>MID(Tabla1[[#This Row],[Aplicación]],9,4)</f>
        <v>9241</v>
      </c>
      <c r="V1621" s="35" t="str">
        <f>VLOOKUP(Tabla1[[#This Row],[PROGRAMA]],Hoja1!A:B,2,FALSE)</f>
        <v>9241. Participación ciudadana</v>
      </c>
      <c r="W1621" s="56" t="str">
        <f>MID(Tabla1[[#This Row],[Aplicación]],14,2)</f>
        <v>21</v>
      </c>
      <c r="X1621" s="56" t="str">
        <f>MID(Tabla1[[#This Row],[Aplicación]],14,6)</f>
        <v>212</v>
      </c>
    </row>
    <row r="1622" spans="1:24" x14ac:dyDescent="0.25">
      <c r="A1622" s="46">
        <v>220230008460</v>
      </c>
      <c r="B1622" s="47" t="s">
        <v>1514</v>
      </c>
      <c r="C1622" s="52">
        <v>45000</v>
      </c>
      <c r="D1622" s="46">
        <v>22023001343</v>
      </c>
      <c r="E1622" s="47" t="s">
        <v>1506</v>
      </c>
      <c r="F1622" s="53">
        <v>503.87</v>
      </c>
      <c r="G1622" s="47" t="s">
        <v>98</v>
      </c>
      <c r="H1622" s="47" t="s">
        <v>2987</v>
      </c>
      <c r="I1622" s="46" t="s">
        <v>1517</v>
      </c>
      <c r="J1622" s="47" t="s">
        <v>519</v>
      </c>
      <c r="K1622" s="47" t="s">
        <v>519</v>
      </c>
      <c r="L1622" s="47" t="s">
        <v>552</v>
      </c>
      <c r="M1622" s="47" t="s">
        <v>514</v>
      </c>
      <c r="N1622" s="47" t="s">
        <v>604</v>
      </c>
      <c r="O1622" s="54" t="s">
        <v>382</v>
      </c>
      <c r="P1622" s="44" t="s">
        <v>309</v>
      </c>
      <c r="Q1622" s="59" t="str">
        <f>MID(Tabla1[[#This Row],[Aplicación]],14,1)</f>
        <v>2</v>
      </c>
      <c r="R1622" s="35" t="s">
        <v>298</v>
      </c>
      <c r="S1622" s="59" t="str">
        <f>MID(Tabla1[[#This Row],[Aplicación]],6,2)</f>
        <v>03</v>
      </c>
      <c r="T1622" s="35" t="str">
        <f>VLOOKUP(Tabla1[[#This Row],[AREA]],Hoja1!A:B,2,FALSE)</f>
        <v>03. Participación ciudadana y deportes</v>
      </c>
      <c r="U1622" s="35" t="str">
        <f>MID(Tabla1[[#This Row],[Aplicación]],9,4)</f>
        <v>9241</v>
      </c>
      <c r="V1622" s="35" t="str">
        <f>VLOOKUP(Tabla1[[#This Row],[PROGRAMA]],Hoja1!A:B,2,FALSE)</f>
        <v>9241. Participación ciudadana</v>
      </c>
      <c r="W1622" s="56" t="str">
        <f>MID(Tabla1[[#This Row],[Aplicación]],14,2)</f>
        <v>21</v>
      </c>
      <c r="X1622" s="56" t="str">
        <f>MID(Tabla1[[#This Row],[Aplicación]],14,6)</f>
        <v>212</v>
      </c>
    </row>
    <row r="1623" spans="1:24" x14ac:dyDescent="0.25">
      <c r="A1623" s="46">
        <v>220230008446</v>
      </c>
      <c r="B1623" s="47" t="s">
        <v>1514</v>
      </c>
      <c r="C1623" s="52">
        <v>45000</v>
      </c>
      <c r="D1623" s="46">
        <v>22023001343</v>
      </c>
      <c r="E1623" s="47" t="s">
        <v>1506</v>
      </c>
      <c r="F1623" s="53">
        <v>386.98</v>
      </c>
      <c r="G1623" s="47" t="s">
        <v>98</v>
      </c>
      <c r="H1623" s="47" t="s">
        <v>2988</v>
      </c>
      <c r="I1623" s="46" t="s">
        <v>1517</v>
      </c>
      <c r="J1623" s="47" t="s">
        <v>519</v>
      </c>
      <c r="K1623" s="47" t="s">
        <v>519</v>
      </c>
      <c r="L1623" s="47" t="s">
        <v>552</v>
      </c>
      <c r="M1623" s="47" t="s">
        <v>514</v>
      </c>
      <c r="N1623" s="47" t="s">
        <v>604</v>
      </c>
      <c r="O1623" s="54" t="s">
        <v>382</v>
      </c>
      <c r="P1623" s="44" t="s">
        <v>309</v>
      </c>
      <c r="Q1623" s="59" t="str">
        <f>MID(Tabla1[[#This Row],[Aplicación]],14,1)</f>
        <v>2</v>
      </c>
      <c r="R1623" s="35" t="s">
        <v>298</v>
      </c>
      <c r="S1623" s="59" t="str">
        <f>MID(Tabla1[[#This Row],[Aplicación]],6,2)</f>
        <v>03</v>
      </c>
      <c r="T1623" s="35" t="str">
        <f>VLOOKUP(Tabla1[[#This Row],[AREA]],Hoja1!A:B,2,FALSE)</f>
        <v>03. Participación ciudadana y deportes</v>
      </c>
      <c r="U1623" s="35" t="str">
        <f>MID(Tabla1[[#This Row],[Aplicación]],9,4)</f>
        <v>9241</v>
      </c>
      <c r="V1623" s="35" t="str">
        <f>VLOOKUP(Tabla1[[#This Row],[PROGRAMA]],Hoja1!A:B,2,FALSE)</f>
        <v>9241. Participación ciudadana</v>
      </c>
      <c r="W1623" s="56" t="str">
        <f>MID(Tabla1[[#This Row],[Aplicación]],14,2)</f>
        <v>21</v>
      </c>
      <c r="X1623" s="56" t="str">
        <f>MID(Tabla1[[#This Row],[Aplicación]],14,6)</f>
        <v>212</v>
      </c>
    </row>
    <row r="1624" spans="1:24" x14ac:dyDescent="0.25">
      <c r="A1624" s="46">
        <v>220230008472</v>
      </c>
      <c r="B1624" s="47" t="s">
        <v>1514</v>
      </c>
      <c r="C1624" s="52">
        <v>45000</v>
      </c>
      <c r="D1624" s="46">
        <v>22023001343</v>
      </c>
      <c r="E1624" s="47" t="s">
        <v>1506</v>
      </c>
      <c r="F1624" s="53">
        <v>267.74</v>
      </c>
      <c r="G1624" s="47" t="s">
        <v>98</v>
      </c>
      <c r="H1624" s="47" t="s">
        <v>2989</v>
      </c>
      <c r="I1624" s="46" t="s">
        <v>1517</v>
      </c>
      <c r="J1624" s="47" t="s">
        <v>519</v>
      </c>
      <c r="K1624" s="47" t="s">
        <v>519</v>
      </c>
      <c r="L1624" s="47" t="s">
        <v>552</v>
      </c>
      <c r="M1624" s="47" t="s">
        <v>514</v>
      </c>
      <c r="N1624" s="47" t="s">
        <v>604</v>
      </c>
      <c r="O1624" s="54" t="s">
        <v>382</v>
      </c>
      <c r="P1624" s="44" t="s">
        <v>309</v>
      </c>
      <c r="Q1624" s="59" t="str">
        <f>MID(Tabla1[[#This Row],[Aplicación]],14,1)</f>
        <v>2</v>
      </c>
      <c r="R1624" s="35" t="s">
        <v>298</v>
      </c>
      <c r="S1624" s="59" t="str">
        <f>MID(Tabla1[[#This Row],[Aplicación]],6,2)</f>
        <v>03</v>
      </c>
      <c r="T1624" s="35" t="str">
        <f>VLOOKUP(Tabla1[[#This Row],[AREA]],Hoja1!A:B,2,FALSE)</f>
        <v>03. Participación ciudadana y deportes</v>
      </c>
      <c r="U1624" s="35" t="str">
        <f>MID(Tabla1[[#This Row],[Aplicación]],9,4)</f>
        <v>9241</v>
      </c>
      <c r="V1624" s="35" t="str">
        <f>VLOOKUP(Tabla1[[#This Row],[PROGRAMA]],Hoja1!A:B,2,FALSE)</f>
        <v>9241. Participación ciudadana</v>
      </c>
      <c r="W1624" s="56" t="str">
        <f>MID(Tabla1[[#This Row],[Aplicación]],14,2)</f>
        <v>21</v>
      </c>
      <c r="X1624" s="56" t="str">
        <f>MID(Tabla1[[#This Row],[Aplicación]],14,6)</f>
        <v>212</v>
      </c>
    </row>
    <row r="1625" spans="1:24" x14ac:dyDescent="0.25">
      <c r="A1625" s="46">
        <v>220230008412</v>
      </c>
      <c r="B1625" s="47" t="s">
        <v>1514</v>
      </c>
      <c r="C1625" s="52">
        <v>45000</v>
      </c>
      <c r="D1625" s="46">
        <v>22023001549</v>
      </c>
      <c r="E1625" s="47" t="s">
        <v>1515</v>
      </c>
      <c r="F1625" s="53">
        <v>60.6</v>
      </c>
      <c r="G1625" s="47" t="s">
        <v>98</v>
      </c>
      <c r="H1625" s="47" t="s">
        <v>2990</v>
      </c>
      <c r="I1625" s="46" t="s">
        <v>1517</v>
      </c>
      <c r="J1625" s="47" t="s">
        <v>519</v>
      </c>
      <c r="K1625" s="47" t="s">
        <v>519</v>
      </c>
      <c r="L1625" s="47" t="s">
        <v>552</v>
      </c>
      <c r="M1625" s="47" t="s">
        <v>514</v>
      </c>
      <c r="N1625" s="47" t="s">
        <v>515</v>
      </c>
      <c r="O1625" s="54" t="s">
        <v>382</v>
      </c>
      <c r="P1625" s="44" t="s">
        <v>309</v>
      </c>
      <c r="Q1625" s="59" t="str">
        <f>MID(Tabla1[[#This Row],[Aplicación]],14,1)</f>
        <v>2</v>
      </c>
      <c r="R1625" s="35" t="s">
        <v>298</v>
      </c>
      <c r="S1625" s="59" t="str">
        <f>MID(Tabla1[[#This Row],[Aplicación]],6,2)</f>
        <v>07</v>
      </c>
      <c r="T1625" s="35" t="str">
        <f>VLOOKUP(Tabla1[[#This Row],[AREA]],Hoja1!A:B,2,FALSE)</f>
        <v>07. Medio ambiente y desarrollo sostenible</v>
      </c>
      <c r="U1625" s="35" t="str">
        <f>MID(Tabla1[[#This Row],[Aplicación]],9,4)</f>
        <v>1711</v>
      </c>
      <c r="V1625" s="35" t="str">
        <f>VLOOKUP(Tabla1[[#This Row],[PROGRAMA]],Hoja1!A:B,2,FALSE)</f>
        <v>1711. Parques y jardines</v>
      </c>
      <c r="W1625" s="56" t="str">
        <f>MID(Tabla1[[#This Row],[Aplicación]],14,2)</f>
        <v>22</v>
      </c>
      <c r="X1625" s="56" t="str">
        <f>MID(Tabla1[[#This Row],[Aplicación]],14,6)</f>
        <v>22199</v>
      </c>
    </row>
    <row r="1626" spans="1:24" x14ac:dyDescent="0.25">
      <c r="A1626" s="46">
        <v>220230008564</v>
      </c>
      <c r="B1626" s="47" t="s">
        <v>1514</v>
      </c>
      <c r="C1626" s="52">
        <v>45000</v>
      </c>
      <c r="D1626" s="46">
        <v>22023002739</v>
      </c>
      <c r="E1626" s="47" t="s">
        <v>1551</v>
      </c>
      <c r="F1626" s="53">
        <v>45.99</v>
      </c>
      <c r="G1626" s="47" t="s">
        <v>98</v>
      </c>
      <c r="H1626" s="47" t="s">
        <v>2991</v>
      </c>
      <c r="I1626" s="46" t="s">
        <v>1517</v>
      </c>
      <c r="J1626" s="47" t="s">
        <v>519</v>
      </c>
      <c r="K1626" s="47" t="s">
        <v>519</v>
      </c>
      <c r="L1626" s="47" t="s">
        <v>552</v>
      </c>
      <c r="M1626" s="47" t="s">
        <v>514</v>
      </c>
      <c r="N1626" s="47" t="s">
        <v>515</v>
      </c>
      <c r="O1626" s="54" t="s">
        <v>382</v>
      </c>
      <c r="P1626" s="44" t="s">
        <v>309</v>
      </c>
      <c r="Q1626" s="59" t="str">
        <f>MID(Tabla1[[#This Row],[Aplicación]],14,1)</f>
        <v>2</v>
      </c>
      <c r="R1626" s="35" t="s">
        <v>298</v>
      </c>
      <c r="S1626" s="59" t="str">
        <f>MID(Tabla1[[#This Row],[Aplicación]],6,2)</f>
        <v>02</v>
      </c>
      <c r="T1626" s="35" t="str">
        <f>VLOOKUP(Tabla1[[#This Row],[AREA]],Hoja1!A:B,2,FALSE)</f>
        <v>02. Planeamiento urbanístico y vivienda</v>
      </c>
      <c r="U1626" s="35" t="str">
        <f>MID(Tabla1[[#This Row],[Aplicación]],9,4)</f>
        <v>9332</v>
      </c>
      <c r="V1626" s="35" t="str">
        <f>VLOOKUP(Tabla1[[#This Row],[PROGRAMA]],Hoja1!A:B,2,FALSE)</f>
        <v>9332. Mantenimiento de edificios e instalaciones municipales</v>
      </c>
      <c r="W1626" s="56" t="str">
        <f>MID(Tabla1[[#This Row],[Aplicación]],14,2)</f>
        <v>21</v>
      </c>
      <c r="X1626" s="56" t="str">
        <f>MID(Tabla1[[#This Row],[Aplicación]],14,6)</f>
        <v>212</v>
      </c>
    </row>
    <row r="1627" spans="1:24" x14ac:dyDescent="0.25">
      <c r="A1627" s="46">
        <v>220230008595</v>
      </c>
      <c r="B1627" s="47" t="s">
        <v>507</v>
      </c>
      <c r="C1627" s="52">
        <v>45000</v>
      </c>
      <c r="D1627" s="46">
        <v>22023002996</v>
      </c>
      <c r="E1627" s="47" t="s">
        <v>1234</v>
      </c>
      <c r="F1627" s="53">
        <v>429.55</v>
      </c>
      <c r="G1627" s="47" t="s">
        <v>481</v>
      </c>
      <c r="H1627" s="47" t="s">
        <v>2992</v>
      </c>
      <c r="I1627" s="46" t="s">
        <v>511</v>
      </c>
      <c r="J1627" s="47" t="s">
        <v>519</v>
      </c>
      <c r="K1627" s="47" t="s">
        <v>519</v>
      </c>
      <c r="L1627" s="47" t="s">
        <v>520</v>
      </c>
      <c r="M1627" s="47" t="s">
        <v>976</v>
      </c>
      <c r="N1627" s="47" t="s">
        <v>839</v>
      </c>
      <c r="O1627" s="54" t="s">
        <v>383</v>
      </c>
      <c r="P1627" s="44" t="s">
        <v>309</v>
      </c>
      <c r="Q1627" s="59" t="str">
        <f>MID(Tabla1[[#This Row],[Aplicación]],14,1)</f>
        <v>2</v>
      </c>
      <c r="R1627" s="35" t="s">
        <v>298</v>
      </c>
      <c r="S1627" s="59" t="str">
        <f>MID(Tabla1[[#This Row],[Aplicación]],6,2)</f>
        <v>10</v>
      </c>
      <c r="T1627" s="35" t="str">
        <f>VLOOKUP(Tabla1[[#This Row],[AREA]],Hoja1!A:B,2,FALSE)</f>
        <v>10. Servicios sociales y mediación comunitaria</v>
      </c>
      <c r="U1627" s="35" t="str">
        <f>MID(Tabla1[[#This Row],[Aplicación]],9,4)</f>
        <v>2316</v>
      </c>
      <c r="V1627" s="35" t="str">
        <f>VLOOKUP(Tabla1[[#This Row],[PROGRAMA]],Hoja1!A:B,2,FALSE)</f>
        <v>2316. Mediación comunitaria</v>
      </c>
      <c r="W1627" s="56" t="str">
        <f>MID(Tabla1[[#This Row],[Aplicación]],14,2)</f>
        <v>22</v>
      </c>
      <c r="X1627" s="56" t="str">
        <f>MID(Tabla1[[#This Row],[Aplicación]],14,6)</f>
        <v>22616</v>
      </c>
    </row>
    <row r="1628" spans="1:24" x14ac:dyDescent="0.25">
      <c r="A1628" s="55">
        <v>220220016314</v>
      </c>
      <c r="B1628" s="47" t="s">
        <v>507</v>
      </c>
      <c r="C1628" s="52">
        <v>45014</v>
      </c>
      <c r="D1628" s="46">
        <v>22022002963</v>
      </c>
      <c r="E1628" s="47" t="s">
        <v>1283</v>
      </c>
      <c r="F1628" s="53">
        <v>35175.519999999997</v>
      </c>
      <c r="G1628" s="47" t="s">
        <v>461</v>
      </c>
      <c r="H1628" s="47" t="s">
        <v>2993</v>
      </c>
      <c r="I1628" s="46" t="s">
        <v>511</v>
      </c>
      <c r="J1628" s="47" t="s">
        <v>519</v>
      </c>
      <c r="K1628" s="47" t="s">
        <v>519</v>
      </c>
      <c r="L1628" s="47" t="s">
        <v>527</v>
      </c>
      <c r="M1628" s="47" t="s">
        <v>976</v>
      </c>
      <c r="N1628" s="47" t="s">
        <v>839</v>
      </c>
      <c r="O1628" s="54" t="s">
        <v>383</v>
      </c>
      <c r="P1628" s="44" t="s">
        <v>309</v>
      </c>
      <c r="Q1628" s="59" t="str">
        <f>MID(Tabla1[[#This Row],[Aplicación]],14,1)</f>
        <v>6</v>
      </c>
      <c r="R1628" s="35" t="s">
        <v>299</v>
      </c>
      <c r="S1628" s="59" t="str">
        <f>MID(Tabla1[[#This Row],[Aplicación]],6,2)</f>
        <v>11</v>
      </c>
      <c r="T1628" s="35" t="str">
        <f>VLOOKUP(Tabla1[[#This Row],[AREA]],Hoja1!A:B,2,FALSE)</f>
        <v>11. Salud pública y seguridad ciudadana</v>
      </c>
      <c r="U1628" s="35" t="str">
        <f>MID(Tabla1[[#This Row],[Aplicación]],9,4)</f>
        <v>1321</v>
      </c>
      <c r="V1628" s="35" t="str">
        <f>VLOOKUP(Tabla1[[#This Row],[PROGRAMA]],Hoja1!A:B,2,FALSE)</f>
        <v>1321. Policía municipal</v>
      </c>
      <c r="W1628" s="56" t="str">
        <f>MID(Tabla1[[#This Row],[Aplicación]],14,2)</f>
        <v>63</v>
      </c>
      <c r="X1628" s="56" t="str">
        <f>MID(Tabla1[[#This Row],[Aplicación]],14,6)</f>
        <v>632</v>
      </c>
    </row>
    <row r="1629" spans="1:24" x14ac:dyDescent="0.25">
      <c r="A1629" s="46">
        <v>220219001265</v>
      </c>
      <c r="B1629" s="47" t="s">
        <v>507</v>
      </c>
      <c r="C1629" s="52">
        <v>44927</v>
      </c>
      <c r="D1629" s="46">
        <v>22023003296</v>
      </c>
      <c r="E1629" s="47" t="s">
        <v>591</v>
      </c>
      <c r="F1629" s="53">
        <v>4621.08</v>
      </c>
      <c r="G1629" s="47" t="s">
        <v>2994</v>
      </c>
      <c r="H1629" s="47" t="s">
        <v>2995</v>
      </c>
      <c r="I1629" s="46" t="s">
        <v>511</v>
      </c>
      <c r="J1629" s="47" t="s">
        <v>512</v>
      </c>
      <c r="K1629" s="47" t="s">
        <v>512</v>
      </c>
      <c r="L1629" s="47" t="s">
        <v>520</v>
      </c>
      <c r="M1629" s="47" t="s">
        <v>514</v>
      </c>
      <c r="N1629" s="47" t="s">
        <v>515</v>
      </c>
      <c r="O1629" s="45" t="s">
        <v>371</v>
      </c>
      <c r="P1629" s="44" t="s">
        <v>309</v>
      </c>
      <c r="Q1629" s="59" t="str">
        <f>MID(Tabla1[[#This Row],[Aplicación]],14,1)</f>
        <v>2</v>
      </c>
      <c r="R1629" s="35" t="s">
        <v>298</v>
      </c>
      <c r="S1629" s="59" t="str">
        <f>MID(Tabla1[[#This Row],[Aplicación]],6,2)</f>
        <v>04</v>
      </c>
      <c r="T1629" s="35" t="str">
        <f>VLOOKUP(Tabla1[[#This Row],[AREA]],Hoja1!A:B,2,FALSE)</f>
        <v>04. Planificación y recursos</v>
      </c>
      <c r="U1629" s="35" t="str">
        <f>MID(Tabla1[[#This Row],[Aplicación]],9,4)</f>
        <v>9204</v>
      </c>
      <c r="V1629" s="35" t="str">
        <f>VLOOKUP(Tabla1[[#This Row],[PROGRAMA]],Hoja1!A:B,2,FALSE)</f>
        <v>9204. Tecnologías de la información y comunicación</v>
      </c>
      <c r="W1629" s="56" t="str">
        <f>MID(Tabla1[[#This Row],[Aplicación]],14,2)</f>
        <v>21</v>
      </c>
      <c r="X1629" s="56" t="str">
        <f>MID(Tabla1[[#This Row],[Aplicación]],14,6)</f>
        <v>213</v>
      </c>
    </row>
    <row r="1630" spans="1:24" x14ac:dyDescent="0.25">
      <c r="A1630" s="46">
        <v>220230001954</v>
      </c>
      <c r="B1630" s="47" t="s">
        <v>507</v>
      </c>
      <c r="C1630" s="52">
        <v>44960</v>
      </c>
      <c r="D1630" s="46">
        <v>22023001377</v>
      </c>
      <c r="E1630" s="47" t="s">
        <v>1719</v>
      </c>
      <c r="F1630" s="53">
        <v>912</v>
      </c>
      <c r="G1630" s="47" t="s">
        <v>405</v>
      </c>
      <c r="H1630" s="47" t="s">
        <v>2996</v>
      </c>
      <c r="I1630" s="46" t="s">
        <v>511</v>
      </c>
      <c r="J1630" s="47" t="s">
        <v>512</v>
      </c>
      <c r="K1630" s="47" t="s">
        <v>512</v>
      </c>
      <c r="L1630" s="47" t="s">
        <v>552</v>
      </c>
      <c r="M1630" s="47" t="s">
        <v>976</v>
      </c>
      <c r="N1630" s="47" t="s">
        <v>839</v>
      </c>
      <c r="O1630" s="45" t="s">
        <v>383</v>
      </c>
      <c r="P1630" s="44" t="s">
        <v>309</v>
      </c>
      <c r="Q1630" s="59" t="str">
        <f>MID(Tabla1[[#This Row],[Aplicación]],14,1)</f>
        <v>2</v>
      </c>
      <c r="R1630" s="35" t="s">
        <v>298</v>
      </c>
      <c r="S1630" s="59" t="str">
        <f>MID(Tabla1[[#This Row],[Aplicación]],6,2)</f>
        <v>01</v>
      </c>
      <c r="T1630" s="35" t="str">
        <f>VLOOKUP(Tabla1[[#This Row],[AREA]],Hoja1!A:B,2,FALSE)</f>
        <v>01. Alcaldía</v>
      </c>
      <c r="U1630" s="35" t="str">
        <f>MID(Tabla1[[#This Row],[Aplicación]],9,4)</f>
        <v>9206</v>
      </c>
      <c r="V1630" s="35" t="str">
        <f>VLOOKUP(Tabla1[[#This Row],[PROGRAMA]],Hoja1!A:B,2,FALSE)</f>
        <v>9206. Archivo municipal</v>
      </c>
      <c r="W1630" s="56" t="str">
        <f>MID(Tabla1[[#This Row],[Aplicación]],14,2)</f>
        <v>22</v>
      </c>
      <c r="X1630" s="56" t="str">
        <f>MID(Tabla1[[#This Row],[Aplicación]],14,6)</f>
        <v>22001</v>
      </c>
    </row>
    <row r="1631" spans="1:24" x14ac:dyDescent="0.25">
      <c r="A1631" s="46">
        <v>220230002593</v>
      </c>
      <c r="B1631" s="47" t="s">
        <v>507</v>
      </c>
      <c r="C1631" s="52">
        <v>44965</v>
      </c>
      <c r="D1631" s="46">
        <v>22023002119</v>
      </c>
      <c r="E1631" s="47" t="s">
        <v>1093</v>
      </c>
      <c r="F1631" s="53">
        <v>428.04</v>
      </c>
      <c r="G1631" s="47" t="s">
        <v>52</v>
      </c>
      <c r="H1631" s="47" t="s">
        <v>2997</v>
      </c>
      <c r="I1631" s="46" t="s">
        <v>511</v>
      </c>
      <c r="J1631" s="47" t="s">
        <v>556</v>
      </c>
      <c r="K1631" s="47" t="s">
        <v>512</v>
      </c>
      <c r="L1631" s="47" t="s">
        <v>520</v>
      </c>
      <c r="M1631" s="47" t="s">
        <v>976</v>
      </c>
      <c r="N1631" s="47" t="s">
        <v>839</v>
      </c>
      <c r="O1631" s="45" t="s">
        <v>383</v>
      </c>
      <c r="P1631" s="44" t="s">
        <v>309</v>
      </c>
      <c r="Q1631" s="59" t="str">
        <f>MID(Tabla1[[#This Row],[Aplicación]],14,1)</f>
        <v>2</v>
      </c>
      <c r="R1631" s="35" t="s">
        <v>298</v>
      </c>
      <c r="S1631" s="59" t="str">
        <f>MID(Tabla1[[#This Row],[Aplicación]],6,2)</f>
        <v>11</v>
      </c>
      <c r="T1631" s="35" t="str">
        <f>VLOOKUP(Tabla1[[#This Row],[AREA]],Hoja1!A:B,2,FALSE)</f>
        <v>11. Salud pública y seguridad ciudadana</v>
      </c>
      <c r="U1631" s="35" t="str">
        <f>MID(Tabla1[[#This Row],[Aplicación]],9,4)</f>
        <v>3111</v>
      </c>
      <c r="V1631" s="35" t="str">
        <f>VLOOKUP(Tabla1[[#This Row],[PROGRAMA]],Hoja1!A:B,2,FALSE)</f>
        <v>3111. Protección de la salubridad pública</v>
      </c>
      <c r="W1631" s="56" t="str">
        <f>MID(Tabla1[[#This Row],[Aplicación]],14,2)</f>
        <v>22</v>
      </c>
      <c r="X1631" s="56" t="str">
        <f>MID(Tabla1[[#This Row],[Aplicación]],14,6)</f>
        <v>22106</v>
      </c>
    </row>
    <row r="1632" spans="1:24" x14ac:dyDescent="0.25">
      <c r="A1632" s="46">
        <v>220230005920</v>
      </c>
      <c r="B1632" s="47" t="s">
        <v>507</v>
      </c>
      <c r="C1632" s="52">
        <v>44980</v>
      </c>
      <c r="D1632" s="46">
        <v>22023002628</v>
      </c>
      <c r="E1632" s="47" t="s">
        <v>616</v>
      </c>
      <c r="F1632" s="53">
        <v>120.4</v>
      </c>
      <c r="G1632" s="47" t="s">
        <v>1621</v>
      </c>
      <c r="H1632" s="47" t="s">
        <v>2205</v>
      </c>
      <c r="I1632" s="46" t="s">
        <v>511</v>
      </c>
      <c r="J1632" s="47" t="s">
        <v>1623</v>
      </c>
      <c r="K1632" s="47" t="s">
        <v>1624</v>
      </c>
      <c r="L1632" s="47" t="s">
        <v>520</v>
      </c>
      <c r="M1632" s="47" t="s">
        <v>514</v>
      </c>
      <c r="N1632" s="47" t="s">
        <v>515</v>
      </c>
      <c r="O1632" s="45" t="s">
        <v>371</v>
      </c>
      <c r="P1632" s="44" t="s">
        <v>309</v>
      </c>
      <c r="Q1632" s="59" t="str">
        <f>MID(Tabla1[[#This Row],[Aplicación]],14,1)</f>
        <v>2</v>
      </c>
      <c r="R1632" s="35" t="s">
        <v>298</v>
      </c>
      <c r="S1632" s="59" t="str">
        <f>MID(Tabla1[[#This Row],[Aplicación]],6,2)</f>
        <v>10</v>
      </c>
      <c r="T1632" s="35" t="str">
        <f>VLOOKUP(Tabla1[[#This Row],[AREA]],Hoja1!A:B,2,FALSE)</f>
        <v>10. Servicios sociales y mediación comunitaria</v>
      </c>
      <c r="U1632" s="35" t="str">
        <f>MID(Tabla1[[#This Row],[Aplicación]],9,4)</f>
        <v>2412</v>
      </c>
      <c r="V1632" s="35" t="str">
        <f>VLOOKUP(Tabla1[[#This Row],[PROGRAMA]],Hoja1!A:B,2,FALSE)</f>
        <v>2412. Formación para el empleo</v>
      </c>
      <c r="W1632" s="56" t="str">
        <f>MID(Tabla1[[#This Row],[Aplicación]],14,2)</f>
        <v>21</v>
      </c>
      <c r="X1632" s="56" t="str">
        <f>MID(Tabla1[[#This Row],[Aplicación]],14,6)</f>
        <v>213</v>
      </c>
    </row>
    <row r="1633" spans="1:24" x14ac:dyDescent="0.25">
      <c r="A1633" s="46">
        <v>220230008462</v>
      </c>
      <c r="B1633" s="47" t="s">
        <v>1514</v>
      </c>
      <c r="C1633" s="52">
        <v>45000</v>
      </c>
      <c r="D1633" s="46">
        <v>22023001344</v>
      </c>
      <c r="E1633" s="47" t="s">
        <v>1150</v>
      </c>
      <c r="F1633" s="53">
        <v>362.42</v>
      </c>
      <c r="G1633" s="47" t="s">
        <v>1481</v>
      </c>
      <c r="H1633" s="47" t="s">
        <v>2998</v>
      </c>
      <c r="I1633" s="46" t="s">
        <v>1517</v>
      </c>
      <c r="J1633" s="47" t="s">
        <v>837</v>
      </c>
      <c r="K1633" s="47" t="s">
        <v>837</v>
      </c>
      <c r="L1633" s="47" t="s">
        <v>552</v>
      </c>
      <c r="M1633" s="47" t="s">
        <v>514</v>
      </c>
      <c r="N1633" s="47" t="s">
        <v>604</v>
      </c>
      <c r="O1633" s="54" t="s">
        <v>382</v>
      </c>
      <c r="P1633" s="44" t="s">
        <v>309</v>
      </c>
      <c r="Q1633" s="59" t="str">
        <f>MID(Tabla1[[#This Row],[Aplicación]],14,1)</f>
        <v>2</v>
      </c>
      <c r="R1633" s="35" t="s">
        <v>298</v>
      </c>
      <c r="S1633" s="59" t="str">
        <f>MID(Tabla1[[#This Row],[Aplicación]],6,2)</f>
        <v>03</v>
      </c>
      <c r="T1633" s="35" t="str">
        <f>VLOOKUP(Tabla1[[#This Row],[AREA]],Hoja1!A:B,2,FALSE)</f>
        <v>03. Participación ciudadana y deportes</v>
      </c>
      <c r="U1633" s="35" t="str">
        <f>MID(Tabla1[[#This Row],[Aplicación]],9,4)</f>
        <v>9241</v>
      </c>
      <c r="V1633" s="35" t="str">
        <f>VLOOKUP(Tabla1[[#This Row],[PROGRAMA]],Hoja1!A:B,2,FALSE)</f>
        <v>9241. Participación ciudadana</v>
      </c>
      <c r="W1633" s="56" t="str">
        <f>MID(Tabla1[[#This Row],[Aplicación]],14,2)</f>
        <v>21</v>
      </c>
      <c r="X1633" s="56" t="str">
        <f>MID(Tabla1[[#This Row],[Aplicación]],14,6)</f>
        <v>213</v>
      </c>
    </row>
    <row r="1634" spans="1:24" x14ac:dyDescent="0.25">
      <c r="A1634" s="46">
        <v>220230008396</v>
      </c>
      <c r="B1634" s="47" t="s">
        <v>1514</v>
      </c>
      <c r="C1634" s="52">
        <v>45000</v>
      </c>
      <c r="D1634" s="46">
        <v>22023001549</v>
      </c>
      <c r="E1634" s="47" t="s">
        <v>1515</v>
      </c>
      <c r="F1634" s="53">
        <v>6.06</v>
      </c>
      <c r="G1634" s="47" t="s">
        <v>1481</v>
      </c>
      <c r="H1634" s="47" t="s">
        <v>2999</v>
      </c>
      <c r="I1634" s="46" t="s">
        <v>1517</v>
      </c>
      <c r="J1634" s="47" t="s">
        <v>837</v>
      </c>
      <c r="K1634" s="47" t="s">
        <v>837</v>
      </c>
      <c r="L1634" s="47" t="s">
        <v>552</v>
      </c>
      <c r="M1634" s="47" t="s">
        <v>514</v>
      </c>
      <c r="N1634" s="47" t="s">
        <v>515</v>
      </c>
      <c r="O1634" s="54" t="s">
        <v>382</v>
      </c>
      <c r="P1634" s="44" t="s">
        <v>309</v>
      </c>
      <c r="Q1634" s="59" t="str">
        <f>MID(Tabla1[[#This Row],[Aplicación]],14,1)</f>
        <v>2</v>
      </c>
      <c r="R1634" s="35" t="s">
        <v>298</v>
      </c>
      <c r="S1634" s="59" t="str">
        <f>MID(Tabla1[[#This Row],[Aplicación]],6,2)</f>
        <v>07</v>
      </c>
      <c r="T1634" s="35" t="str">
        <f>VLOOKUP(Tabla1[[#This Row],[AREA]],Hoja1!A:B,2,FALSE)</f>
        <v>07. Medio ambiente y desarrollo sostenible</v>
      </c>
      <c r="U1634" s="35" t="str">
        <f>MID(Tabla1[[#This Row],[Aplicación]],9,4)</f>
        <v>1711</v>
      </c>
      <c r="V1634" s="35" t="str">
        <f>VLOOKUP(Tabla1[[#This Row],[PROGRAMA]],Hoja1!A:B,2,FALSE)</f>
        <v>1711. Parques y jardines</v>
      </c>
      <c r="W1634" s="56" t="str">
        <f>MID(Tabla1[[#This Row],[Aplicación]],14,2)</f>
        <v>22</v>
      </c>
      <c r="X1634" s="56" t="str">
        <f>MID(Tabla1[[#This Row],[Aplicación]],14,6)</f>
        <v>22199</v>
      </c>
    </row>
    <row r="1635" spans="1:24" x14ac:dyDescent="0.25">
      <c r="A1635" s="55">
        <v>220210057024</v>
      </c>
      <c r="B1635" s="47" t="s">
        <v>507</v>
      </c>
      <c r="C1635" s="52">
        <v>45014</v>
      </c>
      <c r="D1635" s="46">
        <v>22021006505</v>
      </c>
      <c r="E1635" s="47" t="s">
        <v>1272</v>
      </c>
      <c r="F1635" s="53">
        <v>847</v>
      </c>
      <c r="G1635" s="47" t="s">
        <v>411</v>
      </c>
      <c r="H1635" s="47" t="s">
        <v>3000</v>
      </c>
      <c r="I1635" s="46" t="s">
        <v>511</v>
      </c>
      <c r="J1635" s="47" t="s">
        <v>519</v>
      </c>
      <c r="K1635" s="47" t="s">
        <v>519</v>
      </c>
      <c r="L1635" s="47" t="s">
        <v>527</v>
      </c>
      <c r="M1635" s="47" t="s">
        <v>976</v>
      </c>
      <c r="N1635" s="47" t="s">
        <v>839</v>
      </c>
      <c r="O1635" s="54" t="s">
        <v>383</v>
      </c>
      <c r="P1635" s="44" t="s">
        <v>309</v>
      </c>
      <c r="Q1635" s="59" t="str">
        <f>MID(Tabla1[[#This Row],[Aplicación]],14,1)</f>
        <v>6</v>
      </c>
      <c r="R1635" s="35" t="s">
        <v>299</v>
      </c>
      <c r="S1635" s="59" t="str">
        <f>MID(Tabla1[[#This Row],[Aplicación]],6,2)</f>
        <v>02</v>
      </c>
      <c r="T1635" s="35" t="str">
        <f>VLOOKUP(Tabla1[[#This Row],[AREA]],Hoja1!A:B,2,FALSE)</f>
        <v>02. Planeamiento urbanístico y vivienda</v>
      </c>
      <c r="U1635" s="35" t="str">
        <f>MID(Tabla1[[#This Row],[Aplicación]],9,4)</f>
        <v>9332</v>
      </c>
      <c r="V1635" s="35" t="str">
        <f>VLOOKUP(Tabla1[[#This Row],[PROGRAMA]],Hoja1!A:B,2,FALSE)</f>
        <v>9332. Mantenimiento de edificios e instalaciones municipales</v>
      </c>
      <c r="W1635" s="56" t="str">
        <f>MID(Tabla1[[#This Row],[Aplicación]],14,2)</f>
        <v>63</v>
      </c>
      <c r="X1635" s="56" t="str">
        <f>MID(Tabla1[[#This Row],[Aplicación]],14,6)</f>
        <v>632</v>
      </c>
    </row>
    <row r="1636" spans="1:24" x14ac:dyDescent="0.25">
      <c r="A1636" s="46">
        <v>220230008502</v>
      </c>
      <c r="B1636" s="47" t="s">
        <v>1514</v>
      </c>
      <c r="C1636" s="52">
        <v>45000</v>
      </c>
      <c r="D1636" s="46">
        <v>22023001549</v>
      </c>
      <c r="E1636" s="47" t="s">
        <v>1515</v>
      </c>
      <c r="F1636" s="53">
        <v>73.83</v>
      </c>
      <c r="G1636" s="47" t="s">
        <v>3001</v>
      </c>
      <c r="H1636" s="47" t="s">
        <v>3002</v>
      </c>
      <c r="I1636" s="46" t="s">
        <v>1517</v>
      </c>
      <c r="J1636" s="47" t="s">
        <v>519</v>
      </c>
      <c r="K1636" s="47" t="s">
        <v>519</v>
      </c>
      <c r="L1636" s="47" t="s">
        <v>552</v>
      </c>
      <c r="M1636" s="47" t="s">
        <v>514</v>
      </c>
      <c r="N1636" s="47" t="s">
        <v>515</v>
      </c>
      <c r="O1636" s="54" t="s">
        <v>382</v>
      </c>
      <c r="P1636" s="44" t="s">
        <v>309</v>
      </c>
      <c r="Q1636" s="59" t="str">
        <f>MID(Tabla1[[#This Row],[Aplicación]],14,1)</f>
        <v>2</v>
      </c>
      <c r="R1636" s="35" t="s">
        <v>298</v>
      </c>
      <c r="S1636" s="59" t="str">
        <f>MID(Tabla1[[#This Row],[Aplicación]],6,2)</f>
        <v>07</v>
      </c>
      <c r="T1636" s="35" t="str">
        <f>VLOOKUP(Tabla1[[#This Row],[AREA]],Hoja1!A:B,2,FALSE)</f>
        <v>07. Medio ambiente y desarrollo sostenible</v>
      </c>
      <c r="U1636" s="35" t="str">
        <f>MID(Tabla1[[#This Row],[Aplicación]],9,4)</f>
        <v>1711</v>
      </c>
      <c r="V1636" s="35" t="str">
        <f>VLOOKUP(Tabla1[[#This Row],[PROGRAMA]],Hoja1!A:B,2,FALSE)</f>
        <v>1711. Parques y jardines</v>
      </c>
      <c r="W1636" s="56" t="str">
        <f>MID(Tabla1[[#This Row],[Aplicación]],14,2)</f>
        <v>22</v>
      </c>
      <c r="X1636" s="56" t="str">
        <f>MID(Tabla1[[#This Row],[Aplicación]],14,6)</f>
        <v>22199</v>
      </c>
    </row>
    <row r="1637" spans="1:24" x14ac:dyDescent="0.25">
      <c r="A1637" s="46">
        <v>220230001953</v>
      </c>
      <c r="B1637" s="47" t="s">
        <v>507</v>
      </c>
      <c r="C1637" s="52">
        <v>44960</v>
      </c>
      <c r="D1637" s="46">
        <v>22023001374</v>
      </c>
      <c r="E1637" s="47" t="s">
        <v>1719</v>
      </c>
      <c r="F1637" s="53">
        <v>305.76</v>
      </c>
      <c r="G1637" s="47" t="s">
        <v>401</v>
      </c>
      <c r="H1637" s="47" t="s">
        <v>3003</v>
      </c>
      <c r="I1637" s="46" t="s">
        <v>511</v>
      </c>
      <c r="J1637" s="47" t="s">
        <v>512</v>
      </c>
      <c r="K1637" s="47" t="s">
        <v>512</v>
      </c>
      <c r="L1637" s="47" t="s">
        <v>552</v>
      </c>
      <c r="M1637" s="47" t="s">
        <v>976</v>
      </c>
      <c r="N1637" s="47" t="s">
        <v>839</v>
      </c>
      <c r="O1637" s="45" t="s">
        <v>383</v>
      </c>
      <c r="P1637" s="44" t="s">
        <v>309</v>
      </c>
      <c r="Q1637" s="59" t="str">
        <f>MID(Tabla1[[#This Row],[Aplicación]],14,1)</f>
        <v>2</v>
      </c>
      <c r="R1637" s="35" t="s">
        <v>298</v>
      </c>
      <c r="S1637" s="59" t="str">
        <f>MID(Tabla1[[#This Row],[Aplicación]],6,2)</f>
        <v>01</v>
      </c>
      <c r="T1637" s="35" t="str">
        <f>VLOOKUP(Tabla1[[#This Row],[AREA]],Hoja1!A:B,2,FALSE)</f>
        <v>01. Alcaldía</v>
      </c>
      <c r="U1637" s="35" t="str">
        <f>MID(Tabla1[[#This Row],[Aplicación]],9,4)</f>
        <v>9206</v>
      </c>
      <c r="V1637" s="35" t="str">
        <f>VLOOKUP(Tabla1[[#This Row],[PROGRAMA]],Hoja1!A:B,2,FALSE)</f>
        <v>9206. Archivo municipal</v>
      </c>
      <c r="W1637" s="56" t="str">
        <f>MID(Tabla1[[#This Row],[Aplicación]],14,2)</f>
        <v>22</v>
      </c>
      <c r="X1637" s="56" t="str">
        <f>MID(Tabla1[[#This Row],[Aplicación]],14,6)</f>
        <v>22001</v>
      </c>
    </row>
    <row r="1638" spans="1:24" x14ac:dyDescent="0.25">
      <c r="A1638" s="46">
        <v>220230002639</v>
      </c>
      <c r="B1638" s="47" t="s">
        <v>507</v>
      </c>
      <c r="C1638" s="52">
        <v>44966</v>
      </c>
      <c r="D1638" s="46">
        <v>22023002172</v>
      </c>
      <c r="E1638" s="47" t="s">
        <v>1299</v>
      </c>
      <c r="F1638" s="53">
        <v>175</v>
      </c>
      <c r="G1638" s="47" t="s">
        <v>454</v>
      </c>
      <c r="H1638" s="47" t="s">
        <v>3004</v>
      </c>
      <c r="I1638" s="46" t="s">
        <v>511</v>
      </c>
      <c r="J1638" s="47" t="s">
        <v>512</v>
      </c>
      <c r="K1638" s="47" t="s">
        <v>512</v>
      </c>
      <c r="L1638" s="47" t="s">
        <v>552</v>
      </c>
      <c r="M1638" s="47" t="s">
        <v>976</v>
      </c>
      <c r="N1638" s="47" t="s">
        <v>839</v>
      </c>
      <c r="O1638" s="45" t="s">
        <v>383</v>
      </c>
      <c r="P1638" s="44" t="s">
        <v>309</v>
      </c>
      <c r="Q1638" s="59" t="str">
        <f>MID(Tabla1[[#This Row],[Aplicación]],14,1)</f>
        <v>2</v>
      </c>
      <c r="R1638" s="35" t="s">
        <v>298</v>
      </c>
      <c r="S1638" s="59" t="str">
        <f>MID(Tabla1[[#This Row],[Aplicación]],6,2)</f>
        <v>06</v>
      </c>
      <c r="T1638" s="35" t="str">
        <f>VLOOKUP(Tabla1[[#This Row],[AREA]],Hoja1!A:B,2,FALSE)</f>
        <v>06. Educación, infancia, juventud e igualdad</v>
      </c>
      <c r="U1638" s="35" t="str">
        <f>MID(Tabla1[[#This Row],[Aplicación]],9,4)</f>
        <v>3321</v>
      </c>
      <c r="V1638" s="35" t="str">
        <f>VLOOKUP(Tabla1[[#This Row],[PROGRAMA]],Hoja1!A:B,2,FALSE)</f>
        <v>3321. Bibliotecas públicas</v>
      </c>
      <c r="W1638" s="56" t="str">
        <f>MID(Tabla1[[#This Row],[Aplicación]],14,2)</f>
        <v>22</v>
      </c>
      <c r="X1638" s="56" t="str">
        <f>MID(Tabla1[[#This Row],[Aplicación]],14,6)</f>
        <v>22001</v>
      </c>
    </row>
    <row r="1639" spans="1:24" x14ac:dyDescent="0.25">
      <c r="A1639" s="46">
        <v>220230002595</v>
      </c>
      <c r="B1639" s="47" t="s">
        <v>507</v>
      </c>
      <c r="C1639" s="52">
        <v>44965</v>
      </c>
      <c r="D1639" s="46">
        <v>22023002123</v>
      </c>
      <c r="E1639" s="47" t="s">
        <v>2275</v>
      </c>
      <c r="F1639" s="53">
        <v>105.27</v>
      </c>
      <c r="G1639" s="47" t="s">
        <v>3005</v>
      </c>
      <c r="H1639" s="47" t="s">
        <v>3006</v>
      </c>
      <c r="I1639" s="46" t="s">
        <v>511</v>
      </c>
      <c r="J1639" s="47" t="s">
        <v>519</v>
      </c>
      <c r="K1639" s="47" t="s">
        <v>519</v>
      </c>
      <c r="L1639" s="47" t="s">
        <v>552</v>
      </c>
      <c r="M1639" s="47" t="s">
        <v>976</v>
      </c>
      <c r="N1639" s="47" t="s">
        <v>839</v>
      </c>
      <c r="O1639" s="45" t="s">
        <v>383</v>
      </c>
      <c r="P1639" s="44" t="s">
        <v>309</v>
      </c>
      <c r="Q1639" s="59" t="str">
        <f>MID(Tabla1[[#This Row],[Aplicación]],14,1)</f>
        <v>2</v>
      </c>
      <c r="R1639" s="35" t="s">
        <v>298</v>
      </c>
      <c r="S1639" s="59" t="str">
        <f>MID(Tabla1[[#This Row],[Aplicación]],6,2)</f>
        <v>11</v>
      </c>
      <c r="T1639" s="35" t="str">
        <f>VLOOKUP(Tabla1[[#This Row],[AREA]],Hoja1!A:B,2,FALSE)</f>
        <v>11. Salud pública y seguridad ciudadana</v>
      </c>
      <c r="U1639" s="35" t="str">
        <f>MID(Tabla1[[#This Row],[Aplicación]],9,4)</f>
        <v>3111</v>
      </c>
      <c r="V1639" s="35" t="str">
        <f>VLOOKUP(Tabla1[[#This Row],[PROGRAMA]],Hoja1!A:B,2,FALSE)</f>
        <v>3111. Protección de la salubridad pública</v>
      </c>
      <c r="W1639" s="56" t="str">
        <f>MID(Tabla1[[#This Row],[Aplicación]],14,2)</f>
        <v>22</v>
      </c>
      <c r="X1639" s="56" t="str">
        <f>MID(Tabla1[[#This Row],[Aplicación]],14,6)</f>
        <v>22199</v>
      </c>
    </row>
    <row r="1640" spans="1:24" x14ac:dyDescent="0.25">
      <c r="A1640" s="46">
        <v>220230008188</v>
      </c>
      <c r="B1640" s="47" t="s">
        <v>507</v>
      </c>
      <c r="C1640" s="52">
        <v>44998</v>
      </c>
      <c r="D1640" s="46">
        <v>22023003027</v>
      </c>
      <c r="E1640" s="47" t="s">
        <v>1191</v>
      </c>
      <c r="F1640" s="53">
        <v>847</v>
      </c>
      <c r="G1640" s="47" t="s">
        <v>3007</v>
      </c>
      <c r="H1640" s="47" t="s">
        <v>3008</v>
      </c>
      <c r="I1640" s="46" t="s">
        <v>511</v>
      </c>
      <c r="J1640" s="47" t="s">
        <v>519</v>
      </c>
      <c r="K1640" s="47" t="s">
        <v>519</v>
      </c>
      <c r="L1640" s="47" t="s">
        <v>520</v>
      </c>
      <c r="M1640" s="47" t="s">
        <v>976</v>
      </c>
      <c r="N1640" s="47" t="s">
        <v>839</v>
      </c>
      <c r="O1640" s="54" t="s">
        <v>383</v>
      </c>
      <c r="P1640" s="44" t="s">
        <v>309</v>
      </c>
      <c r="Q1640" s="59" t="str">
        <f>MID(Tabla1[[#This Row],[Aplicación]],14,1)</f>
        <v>2</v>
      </c>
      <c r="R1640" s="35" t="s">
        <v>298</v>
      </c>
      <c r="S1640" s="59" t="str">
        <f>MID(Tabla1[[#This Row],[Aplicación]],6,2)</f>
        <v>06</v>
      </c>
      <c r="T1640" s="35" t="str">
        <f>VLOOKUP(Tabla1[[#This Row],[AREA]],Hoja1!A:B,2,FALSE)</f>
        <v>06. Educación, infancia, juventud e igualdad</v>
      </c>
      <c r="U1640" s="35" t="str">
        <f>MID(Tabla1[[#This Row],[Aplicación]],9,4)</f>
        <v>2315</v>
      </c>
      <c r="V1640" s="35" t="str">
        <f>VLOOKUP(Tabla1[[#This Row],[PROGRAMA]],Hoja1!A:B,2,FALSE)</f>
        <v>2315. Políticas de Igualdad e infancia</v>
      </c>
      <c r="W1640" s="56" t="str">
        <f>MID(Tabla1[[#This Row],[Aplicación]],14,2)</f>
        <v>22</v>
      </c>
      <c r="X1640" s="56" t="str">
        <f>MID(Tabla1[[#This Row],[Aplicación]],14,6)</f>
        <v>22611</v>
      </c>
    </row>
    <row r="1641" spans="1:24" x14ac:dyDescent="0.25">
      <c r="A1641" s="55">
        <v>220230010309</v>
      </c>
      <c r="B1641" s="47" t="s">
        <v>507</v>
      </c>
      <c r="C1641" s="52">
        <v>45008</v>
      </c>
      <c r="D1641" s="46">
        <v>22023003475</v>
      </c>
      <c r="E1641" s="47" t="s">
        <v>1490</v>
      </c>
      <c r="F1641" s="53">
        <v>1573</v>
      </c>
      <c r="G1641" s="47" t="s">
        <v>3007</v>
      </c>
      <c r="H1641" s="47" t="s">
        <v>3009</v>
      </c>
      <c r="I1641" s="46" t="s">
        <v>511</v>
      </c>
      <c r="J1641" s="47" t="s">
        <v>519</v>
      </c>
      <c r="K1641" s="47" t="s">
        <v>519</v>
      </c>
      <c r="L1641" s="47" t="s">
        <v>520</v>
      </c>
      <c r="M1641" s="47" t="s">
        <v>976</v>
      </c>
      <c r="N1641" s="47" t="s">
        <v>839</v>
      </c>
      <c r="O1641" s="54" t="s">
        <v>383</v>
      </c>
      <c r="P1641" s="44" t="s">
        <v>309</v>
      </c>
      <c r="Q1641" s="59" t="str">
        <f>MID(Tabla1[[#This Row],[Aplicación]],14,1)</f>
        <v>2</v>
      </c>
      <c r="R1641" s="35" t="s">
        <v>298</v>
      </c>
      <c r="S1641" s="59" t="str">
        <f>MID(Tabla1[[#This Row],[Aplicación]],6,2)</f>
        <v>06</v>
      </c>
      <c r="T1641" s="35" t="str">
        <f>VLOOKUP(Tabla1[[#This Row],[AREA]],Hoja1!A:B,2,FALSE)</f>
        <v>06. Educación, infancia, juventud e igualdad</v>
      </c>
      <c r="U1641" s="35" t="str">
        <f>MID(Tabla1[[#This Row],[Aplicación]],9,4)</f>
        <v>2314</v>
      </c>
      <c r="V1641" s="35" t="str">
        <f>VLOOKUP(Tabla1[[#This Row],[PROGRAMA]],Hoja1!A:B,2,FALSE)</f>
        <v>2314. Centro de programas juveniles</v>
      </c>
      <c r="W1641" s="56" t="str">
        <f>MID(Tabla1[[#This Row],[Aplicación]],14,2)</f>
        <v>22</v>
      </c>
      <c r="X1641" s="56" t="str">
        <f>MID(Tabla1[[#This Row],[Aplicación]],14,6)</f>
        <v>22613</v>
      </c>
    </row>
    <row r="1642" spans="1:24" x14ac:dyDescent="0.25">
      <c r="A1642" s="46">
        <v>220230003624</v>
      </c>
      <c r="B1642" s="47" t="s">
        <v>507</v>
      </c>
      <c r="C1642" s="52">
        <v>44973</v>
      </c>
      <c r="D1642" s="46">
        <v>22023001922</v>
      </c>
      <c r="E1642" s="47" t="s">
        <v>2899</v>
      </c>
      <c r="F1642" s="53">
        <v>260.14999999999998</v>
      </c>
      <c r="G1642" s="47" t="s">
        <v>3010</v>
      </c>
      <c r="H1642" s="47" t="s">
        <v>3011</v>
      </c>
      <c r="I1642" s="46" t="s">
        <v>511</v>
      </c>
      <c r="J1642" s="47" t="s">
        <v>3012</v>
      </c>
      <c r="K1642" s="47" t="s">
        <v>837</v>
      </c>
      <c r="L1642" s="47" t="s">
        <v>552</v>
      </c>
      <c r="M1642" s="47" t="s">
        <v>976</v>
      </c>
      <c r="N1642" s="47" t="s">
        <v>839</v>
      </c>
      <c r="O1642" s="45" t="s">
        <v>383</v>
      </c>
      <c r="P1642" s="44" t="s">
        <v>309</v>
      </c>
      <c r="Q1642" s="59" t="str">
        <f>MID(Tabla1[[#This Row],[Aplicación]],14,1)</f>
        <v>2</v>
      </c>
      <c r="R1642" s="35" t="s">
        <v>298</v>
      </c>
      <c r="S1642" s="59" t="str">
        <f>MID(Tabla1[[#This Row],[Aplicación]],6,2)</f>
        <v>09</v>
      </c>
      <c r="T1642" s="35" t="str">
        <f>VLOOKUP(Tabla1[[#This Row],[AREA]],Hoja1!A:B,2,FALSE)</f>
        <v>09. Cultura y turismo</v>
      </c>
      <c r="U1642" s="35" t="str">
        <f>MID(Tabla1[[#This Row],[Aplicación]],9,4)</f>
        <v>3341</v>
      </c>
      <c r="V1642" s="35" t="str">
        <f>VLOOKUP(Tabla1[[#This Row],[PROGRAMA]],Hoja1!A:B,2,FALSE)</f>
        <v>3341. Coordinación de políticas culturales</v>
      </c>
      <c r="W1642" s="56" t="str">
        <f>MID(Tabla1[[#This Row],[Aplicación]],14,2)</f>
        <v>22</v>
      </c>
      <c r="X1642" s="56" t="str">
        <f>MID(Tabla1[[#This Row],[Aplicación]],14,6)</f>
        <v>22199</v>
      </c>
    </row>
    <row r="1643" spans="1:24" x14ac:dyDescent="0.25">
      <c r="A1643" s="55">
        <v>220230011683</v>
      </c>
      <c r="B1643" s="47" t="s">
        <v>507</v>
      </c>
      <c r="C1643" s="52">
        <v>45013</v>
      </c>
      <c r="D1643" s="46">
        <v>22023003532</v>
      </c>
      <c r="E1643" s="47" t="s">
        <v>1290</v>
      </c>
      <c r="F1643" s="53">
        <v>1560.9</v>
      </c>
      <c r="G1643" s="47" t="s">
        <v>62</v>
      </c>
      <c r="H1643" s="47" t="s">
        <v>3013</v>
      </c>
      <c r="I1643" s="46" t="s">
        <v>511</v>
      </c>
      <c r="J1643" s="47" t="s">
        <v>3014</v>
      </c>
      <c r="K1643" s="47" t="s">
        <v>3015</v>
      </c>
      <c r="L1643" s="47" t="s">
        <v>520</v>
      </c>
      <c r="M1643" s="47" t="s">
        <v>976</v>
      </c>
      <c r="N1643" s="47" t="s">
        <v>839</v>
      </c>
      <c r="O1643" s="54" t="s">
        <v>383</v>
      </c>
      <c r="P1643" s="44" t="s">
        <v>309</v>
      </c>
      <c r="Q1643" s="59" t="str">
        <f>MID(Tabla1[[#This Row],[Aplicación]],14,1)</f>
        <v>2</v>
      </c>
      <c r="R1643" s="35" t="s">
        <v>298</v>
      </c>
      <c r="S1643" s="59" t="str">
        <f>MID(Tabla1[[#This Row],[Aplicación]],6,2)</f>
        <v>11</v>
      </c>
      <c r="T1643" s="35" t="str">
        <f>VLOOKUP(Tabla1[[#This Row],[AREA]],Hoja1!A:B,2,FALSE)</f>
        <v>11. Salud pública y seguridad ciudadana</v>
      </c>
      <c r="U1643" s="35" t="str">
        <f>MID(Tabla1[[#This Row],[Aplicación]],9,4)</f>
        <v>1621</v>
      </c>
      <c r="V1643" s="35" t="str">
        <f>VLOOKUP(Tabla1[[#This Row],[PROGRAMA]],Hoja1!A:B,2,FALSE)</f>
        <v>1621. Servicio de limpieza</v>
      </c>
      <c r="W1643" s="56" t="str">
        <f>MID(Tabla1[[#This Row],[Aplicación]],14,2)</f>
        <v>21</v>
      </c>
      <c r="X1643" s="56" t="str">
        <f>MID(Tabla1[[#This Row],[Aplicación]],14,6)</f>
        <v>214</v>
      </c>
    </row>
    <row r="1644" spans="1:24" x14ac:dyDescent="0.25">
      <c r="A1644" s="46">
        <v>220230008376</v>
      </c>
      <c r="B1644" s="47" t="s">
        <v>1514</v>
      </c>
      <c r="C1644" s="52">
        <v>45000</v>
      </c>
      <c r="D1644" s="46">
        <v>22023001565</v>
      </c>
      <c r="E1644" s="47" t="s">
        <v>741</v>
      </c>
      <c r="F1644" s="53">
        <v>2171.13</v>
      </c>
      <c r="G1644" s="47" t="s">
        <v>3016</v>
      </c>
      <c r="H1644" s="47" t="s">
        <v>3017</v>
      </c>
      <c r="I1644" s="46" t="s">
        <v>1517</v>
      </c>
      <c r="J1644" s="47" t="s">
        <v>519</v>
      </c>
      <c r="K1644" s="47" t="s">
        <v>519</v>
      </c>
      <c r="L1644" s="47" t="s">
        <v>552</v>
      </c>
      <c r="M1644" s="47" t="s">
        <v>514</v>
      </c>
      <c r="N1644" s="47" t="s">
        <v>515</v>
      </c>
      <c r="O1644" s="54" t="s">
        <v>382</v>
      </c>
      <c r="P1644" s="44" t="s">
        <v>309</v>
      </c>
      <c r="Q1644" s="59" t="str">
        <f>MID(Tabla1[[#This Row],[Aplicación]],14,1)</f>
        <v>6</v>
      </c>
      <c r="R1644" s="35" t="s">
        <v>299</v>
      </c>
      <c r="S1644" s="59" t="str">
        <f>MID(Tabla1[[#This Row],[Aplicación]],6,2)</f>
        <v>07</v>
      </c>
      <c r="T1644" s="35" t="str">
        <f>VLOOKUP(Tabla1[[#This Row],[AREA]],Hoja1!A:B,2,FALSE)</f>
        <v>07. Medio ambiente y desarrollo sostenible</v>
      </c>
      <c r="U1644" s="35" t="str">
        <f>MID(Tabla1[[#This Row],[Aplicación]],9,4)</f>
        <v>1711</v>
      </c>
      <c r="V1644" s="35" t="str">
        <f>VLOOKUP(Tabla1[[#This Row],[PROGRAMA]],Hoja1!A:B,2,FALSE)</f>
        <v>1711. Parques y jardines</v>
      </c>
      <c r="W1644" s="56" t="str">
        <f>MID(Tabla1[[#This Row],[Aplicación]],14,2)</f>
        <v>61</v>
      </c>
      <c r="X1644" s="56" t="str">
        <f>MID(Tabla1[[#This Row],[Aplicación]],14,6)</f>
        <v>619</v>
      </c>
    </row>
    <row r="1645" spans="1:24" x14ac:dyDescent="0.25">
      <c r="A1645" s="46">
        <v>220230008498</v>
      </c>
      <c r="B1645" s="47" t="s">
        <v>1514</v>
      </c>
      <c r="C1645" s="52">
        <v>45000</v>
      </c>
      <c r="D1645" s="46">
        <v>22023001565</v>
      </c>
      <c r="E1645" s="47" t="s">
        <v>741</v>
      </c>
      <c r="F1645" s="53">
        <v>1701.15</v>
      </c>
      <c r="G1645" s="47" t="s">
        <v>3016</v>
      </c>
      <c r="H1645" s="47" t="s">
        <v>3018</v>
      </c>
      <c r="I1645" s="46" t="s">
        <v>1517</v>
      </c>
      <c r="J1645" s="47" t="s">
        <v>519</v>
      </c>
      <c r="K1645" s="47" t="s">
        <v>519</v>
      </c>
      <c r="L1645" s="47" t="s">
        <v>552</v>
      </c>
      <c r="M1645" s="47" t="s">
        <v>514</v>
      </c>
      <c r="N1645" s="47" t="s">
        <v>515</v>
      </c>
      <c r="O1645" s="54" t="s">
        <v>382</v>
      </c>
      <c r="P1645" s="44" t="s">
        <v>309</v>
      </c>
      <c r="Q1645" s="59" t="str">
        <f>MID(Tabla1[[#This Row],[Aplicación]],14,1)</f>
        <v>6</v>
      </c>
      <c r="R1645" s="35" t="s">
        <v>299</v>
      </c>
      <c r="S1645" s="59" t="str">
        <f>MID(Tabla1[[#This Row],[Aplicación]],6,2)</f>
        <v>07</v>
      </c>
      <c r="T1645" s="35" t="str">
        <f>VLOOKUP(Tabla1[[#This Row],[AREA]],Hoja1!A:B,2,FALSE)</f>
        <v>07. Medio ambiente y desarrollo sostenible</v>
      </c>
      <c r="U1645" s="35" t="str">
        <f>MID(Tabla1[[#This Row],[Aplicación]],9,4)</f>
        <v>1711</v>
      </c>
      <c r="V1645" s="35" t="str">
        <f>VLOOKUP(Tabla1[[#This Row],[PROGRAMA]],Hoja1!A:B,2,FALSE)</f>
        <v>1711. Parques y jardines</v>
      </c>
      <c r="W1645" s="56" t="str">
        <f>MID(Tabla1[[#This Row],[Aplicación]],14,2)</f>
        <v>61</v>
      </c>
      <c r="X1645" s="56" t="str">
        <f>MID(Tabla1[[#This Row],[Aplicación]],14,6)</f>
        <v>619</v>
      </c>
    </row>
    <row r="1646" spans="1:24" x14ac:dyDescent="0.25">
      <c r="A1646" s="46">
        <v>220230008378</v>
      </c>
      <c r="B1646" s="47" t="s">
        <v>1514</v>
      </c>
      <c r="C1646" s="52">
        <v>45000</v>
      </c>
      <c r="D1646" s="46">
        <v>22023001565</v>
      </c>
      <c r="E1646" s="47" t="s">
        <v>741</v>
      </c>
      <c r="F1646" s="53">
        <v>663.03</v>
      </c>
      <c r="G1646" s="47" t="s">
        <v>3016</v>
      </c>
      <c r="H1646" s="47" t="s">
        <v>3019</v>
      </c>
      <c r="I1646" s="46" t="s">
        <v>1517</v>
      </c>
      <c r="J1646" s="47" t="s">
        <v>519</v>
      </c>
      <c r="K1646" s="47" t="s">
        <v>519</v>
      </c>
      <c r="L1646" s="47" t="s">
        <v>552</v>
      </c>
      <c r="M1646" s="47" t="s">
        <v>514</v>
      </c>
      <c r="N1646" s="47" t="s">
        <v>515</v>
      </c>
      <c r="O1646" s="54" t="s">
        <v>382</v>
      </c>
      <c r="P1646" s="44" t="s">
        <v>309</v>
      </c>
      <c r="Q1646" s="59" t="str">
        <f>MID(Tabla1[[#This Row],[Aplicación]],14,1)</f>
        <v>6</v>
      </c>
      <c r="R1646" s="35" t="s">
        <v>299</v>
      </c>
      <c r="S1646" s="59" t="str">
        <f>MID(Tabla1[[#This Row],[Aplicación]],6,2)</f>
        <v>07</v>
      </c>
      <c r="T1646" s="35" t="str">
        <f>VLOOKUP(Tabla1[[#This Row],[AREA]],Hoja1!A:B,2,FALSE)</f>
        <v>07. Medio ambiente y desarrollo sostenible</v>
      </c>
      <c r="U1646" s="35" t="str">
        <f>MID(Tabla1[[#This Row],[Aplicación]],9,4)</f>
        <v>1711</v>
      </c>
      <c r="V1646" s="35" t="str">
        <f>VLOOKUP(Tabla1[[#This Row],[PROGRAMA]],Hoja1!A:B,2,FALSE)</f>
        <v>1711. Parques y jardines</v>
      </c>
      <c r="W1646" s="56" t="str">
        <f>MID(Tabla1[[#This Row],[Aplicación]],14,2)</f>
        <v>61</v>
      </c>
      <c r="X1646" s="56" t="str">
        <f>MID(Tabla1[[#This Row],[Aplicación]],14,6)</f>
        <v>619</v>
      </c>
    </row>
    <row r="1647" spans="1:24" x14ac:dyDescent="0.25">
      <c r="A1647" s="46">
        <v>220230008373</v>
      </c>
      <c r="B1647" s="47" t="s">
        <v>1514</v>
      </c>
      <c r="C1647" s="52">
        <v>45000</v>
      </c>
      <c r="D1647" s="46">
        <v>22023001565</v>
      </c>
      <c r="E1647" s="47" t="s">
        <v>741</v>
      </c>
      <c r="F1647" s="53">
        <v>550</v>
      </c>
      <c r="G1647" s="47" t="s">
        <v>3016</v>
      </c>
      <c r="H1647" s="47" t="s">
        <v>3020</v>
      </c>
      <c r="I1647" s="46" t="s">
        <v>1517</v>
      </c>
      <c r="J1647" s="47" t="s">
        <v>519</v>
      </c>
      <c r="K1647" s="47" t="s">
        <v>519</v>
      </c>
      <c r="L1647" s="47" t="s">
        <v>552</v>
      </c>
      <c r="M1647" s="47" t="s">
        <v>514</v>
      </c>
      <c r="N1647" s="47" t="s">
        <v>515</v>
      </c>
      <c r="O1647" s="54" t="s">
        <v>382</v>
      </c>
      <c r="P1647" s="44" t="s">
        <v>309</v>
      </c>
      <c r="Q1647" s="59" t="str">
        <f>MID(Tabla1[[#This Row],[Aplicación]],14,1)</f>
        <v>6</v>
      </c>
      <c r="R1647" s="35" t="s">
        <v>299</v>
      </c>
      <c r="S1647" s="59" t="str">
        <f>MID(Tabla1[[#This Row],[Aplicación]],6,2)</f>
        <v>07</v>
      </c>
      <c r="T1647" s="35" t="str">
        <f>VLOOKUP(Tabla1[[#This Row],[AREA]],Hoja1!A:B,2,FALSE)</f>
        <v>07. Medio ambiente y desarrollo sostenible</v>
      </c>
      <c r="U1647" s="35" t="str">
        <f>MID(Tabla1[[#This Row],[Aplicación]],9,4)</f>
        <v>1711</v>
      </c>
      <c r="V1647" s="35" t="str">
        <f>VLOOKUP(Tabla1[[#This Row],[PROGRAMA]],Hoja1!A:B,2,FALSE)</f>
        <v>1711. Parques y jardines</v>
      </c>
      <c r="W1647" s="56" t="str">
        <f>MID(Tabla1[[#This Row],[Aplicación]],14,2)</f>
        <v>61</v>
      </c>
      <c r="X1647" s="56" t="str">
        <f>MID(Tabla1[[#This Row],[Aplicación]],14,6)</f>
        <v>619</v>
      </c>
    </row>
    <row r="1648" spans="1:24" x14ac:dyDescent="0.25">
      <c r="A1648" s="46">
        <v>220230008500</v>
      </c>
      <c r="B1648" s="47" t="s">
        <v>1514</v>
      </c>
      <c r="C1648" s="52">
        <v>45000</v>
      </c>
      <c r="D1648" s="46">
        <v>22023001565</v>
      </c>
      <c r="E1648" s="47" t="s">
        <v>741</v>
      </c>
      <c r="F1648" s="53">
        <v>231</v>
      </c>
      <c r="G1648" s="47" t="s">
        <v>3016</v>
      </c>
      <c r="H1648" s="47" t="s">
        <v>3021</v>
      </c>
      <c r="I1648" s="46" t="s">
        <v>1517</v>
      </c>
      <c r="J1648" s="47" t="s">
        <v>519</v>
      </c>
      <c r="K1648" s="47" t="s">
        <v>519</v>
      </c>
      <c r="L1648" s="47" t="s">
        <v>552</v>
      </c>
      <c r="M1648" s="47" t="s">
        <v>514</v>
      </c>
      <c r="N1648" s="47" t="s">
        <v>515</v>
      </c>
      <c r="O1648" s="54" t="s">
        <v>382</v>
      </c>
      <c r="P1648" s="44" t="s">
        <v>309</v>
      </c>
      <c r="Q1648" s="59" t="str">
        <f>MID(Tabla1[[#This Row],[Aplicación]],14,1)</f>
        <v>6</v>
      </c>
      <c r="R1648" s="35" t="s">
        <v>299</v>
      </c>
      <c r="S1648" s="59" t="str">
        <f>MID(Tabla1[[#This Row],[Aplicación]],6,2)</f>
        <v>07</v>
      </c>
      <c r="T1648" s="35" t="str">
        <f>VLOOKUP(Tabla1[[#This Row],[AREA]],Hoja1!A:B,2,FALSE)</f>
        <v>07. Medio ambiente y desarrollo sostenible</v>
      </c>
      <c r="U1648" s="35" t="str">
        <f>MID(Tabla1[[#This Row],[Aplicación]],9,4)</f>
        <v>1711</v>
      </c>
      <c r="V1648" s="35" t="str">
        <f>VLOOKUP(Tabla1[[#This Row],[PROGRAMA]],Hoja1!A:B,2,FALSE)</f>
        <v>1711. Parques y jardines</v>
      </c>
      <c r="W1648" s="56" t="str">
        <f>MID(Tabla1[[#This Row],[Aplicación]],14,2)</f>
        <v>61</v>
      </c>
      <c r="X1648" s="56" t="str">
        <f>MID(Tabla1[[#This Row],[Aplicación]],14,6)</f>
        <v>619</v>
      </c>
    </row>
    <row r="1649" spans="1:24" x14ac:dyDescent="0.25">
      <c r="A1649" s="46">
        <v>220230008405</v>
      </c>
      <c r="B1649" s="47" t="s">
        <v>1514</v>
      </c>
      <c r="C1649" s="52">
        <v>45000</v>
      </c>
      <c r="D1649" s="46">
        <v>22023001549</v>
      </c>
      <c r="E1649" s="47" t="s">
        <v>1515</v>
      </c>
      <c r="F1649" s="53">
        <v>11.07</v>
      </c>
      <c r="G1649" s="47" t="s">
        <v>2351</v>
      </c>
      <c r="H1649" s="47" t="s">
        <v>3022</v>
      </c>
      <c r="I1649" s="46" t="s">
        <v>1517</v>
      </c>
      <c r="J1649" s="47" t="s">
        <v>519</v>
      </c>
      <c r="K1649" s="47" t="s">
        <v>519</v>
      </c>
      <c r="L1649" s="47" t="s">
        <v>552</v>
      </c>
      <c r="M1649" s="47" t="s">
        <v>514</v>
      </c>
      <c r="N1649" s="47" t="s">
        <v>515</v>
      </c>
      <c r="O1649" s="54" t="s">
        <v>382</v>
      </c>
      <c r="P1649" s="44" t="s">
        <v>309</v>
      </c>
      <c r="Q1649" s="59" t="str">
        <f>MID(Tabla1[[#This Row],[Aplicación]],14,1)</f>
        <v>2</v>
      </c>
      <c r="R1649" s="35" t="s">
        <v>298</v>
      </c>
      <c r="S1649" s="59" t="str">
        <f>MID(Tabla1[[#This Row],[Aplicación]],6,2)</f>
        <v>07</v>
      </c>
      <c r="T1649" s="35" t="str">
        <f>VLOOKUP(Tabla1[[#This Row],[AREA]],Hoja1!A:B,2,FALSE)</f>
        <v>07. Medio ambiente y desarrollo sostenible</v>
      </c>
      <c r="U1649" s="35" t="str">
        <f>MID(Tabla1[[#This Row],[Aplicación]],9,4)</f>
        <v>1711</v>
      </c>
      <c r="V1649" s="35" t="str">
        <f>VLOOKUP(Tabla1[[#This Row],[PROGRAMA]],Hoja1!A:B,2,FALSE)</f>
        <v>1711. Parques y jardines</v>
      </c>
      <c r="W1649" s="56" t="str">
        <f>MID(Tabla1[[#This Row],[Aplicación]],14,2)</f>
        <v>22</v>
      </c>
      <c r="X1649" s="56" t="str">
        <f>MID(Tabla1[[#This Row],[Aplicación]],14,6)</f>
        <v>22199</v>
      </c>
    </row>
    <row r="1650" spans="1:24" x14ac:dyDescent="0.25">
      <c r="A1650" s="46">
        <v>220230008466</v>
      </c>
      <c r="B1650" s="47" t="s">
        <v>1514</v>
      </c>
      <c r="C1650" s="52">
        <v>45000</v>
      </c>
      <c r="D1650" s="46">
        <v>22023001343</v>
      </c>
      <c r="E1650" s="47" t="s">
        <v>1506</v>
      </c>
      <c r="F1650" s="53">
        <v>55.3</v>
      </c>
      <c r="G1650" s="47" t="s">
        <v>2432</v>
      </c>
      <c r="H1650" s="47" t="s">
        <v>3023</v>
      </c>
      <c r="I1650" s="46" t="s">
        <v>1517</v>
      </c>
      <c r="J1650" s="47" t="s">
        <v>519</v>
      </c>
      <c r="K1650" s="47" t="s">
        <v>519</v>
      </c>
      <c r="L1650" s="47" t="s">
        <v>552</v>
      </c>
      <c r="M1650" s="47" t="s">
        <v>514</v>
      </c>
      <c r="N1650" s="47" t="s">
        <v>604</v>
      </c>
      <c r="O1650" s="54" t="s">
        <v>382</v>
      </c>
      <c r="P1650" s="44" t="s">
        <v>309</v>
      </c>
      <c r="Q1650" s="59" t="str">
        <f>MID(Tabla1[[#This Row],[Aplicación]],14,1)</f>
        <v>2</v>
      </c>
      <c r="R1650" s="35" t="s">
        <v>298</v>
      </c>
      <c r="S1650" s="59" t="str">
        <f>MID(Tabla1[[#This Row],[Aplicación]],6,2)</f>
        <v>03</v>
      </c>
      <c r="T1650" s="35" t="str">
        <f>VLOOKUP(Tabla1[[#This Row],[AREA]],Hoja1!A:B,2,FALSE)</f>
        <v>03. Participación ciudadana y deportes</v>
      </c>
      <c r="U1650" s="35" t="str">
        <f>MID(Tabla1[[#This Row],[Aplicación]],9,4)</f>
        <v>9241</v>
      </c>
      <c r="V1650" s="35" t="str">
        <f>VLOOKUP(Tabla1[[#This Row],[PROGRAMA]],Hoja1!A:B,2,FALSE)</f>
        <v>9241. Participación ciudadana</v>
      </c>
      <c r="W1650" s="56" t="str">
        <f>MID(Tabla1[[#This Row],[Aplicación]],14,2)</f>
        <v>21</v>
      </c>
      <c r="X1650" s="56" t="str">
        <f>MID(Tabla1[[#This Row],[Aplicación]],14,6)</f>
        <v>212</v>
      </c>
    </row>
    <row r="1651" spans="1:24" x14ac:dyDescent="0.25">
      <c r="A1651" s="46">
        <v>220230008436</v>
      </c>
      <c r="B1651" s="47" t="s">
        <v>1514</v>
      </c>
      <c r="C1651" s="52">
        <v>45000</v>
      </c>
      <c r="D1651" s="46">
        <v>22023002282</v>
      </c>
      <c r="E1651" s="47" t="s">
        <v>1846</v>
      </c>
      <c r="F1651" s="53">
        <v>509.73</v>
      </c>
      <c r="G1651" s="47" t="s">
        <v>2025</v>
      </c>
      <c r="H1651" s="47" t="s">
        <v>3024</v>
      </c>
      <c r="I1651" s="46" t="s">
        <v>1517</v>
      </c>
      <c r="J1651" s="47" t="s">
        <v>519</v>
      </c>
      <c r="K1651" s="47" t="s">
        <v>519</v>
      </c>
      <c r="L1651" s="47" t="s">
        <v>520</v>
      </c>
      <c r="M1651" s="47" t="s">
        <v>514</v>
      </c>
      <c r="N1651" s="47" t="s">
        <v>515</v>
      </c>
      <c r="O1651" s="54" t="s">
        <v>382</v>
      </c>
      <c r="P1651" s="44" t="s">
        <v>309</v>
      </c>
      <c r="Q1651" s="59" t="str">
        <f>MID(Tabla1[[#This Row],[Aplicación]],14,1)</f>
        <v>2</v>
      </c>
      <c r="R1651" s="35" t="s">
        <v>298</v>
      </c>
      <c r="S1651" s="59" t="str">
        <f>MID(Tabla1[[#This Row],[Aplicación]],6,2)</f>
        <v>07</v>
      </c>
      <c r="T1651" s="35" t="str">
        <f>VLOOKUP(Tabla1[[#This Row],[AREA]],Hoja1!A:B,2,FALSE)</f>
        <v>07. Medio ambiente y desarrollo sostenible</v>
      </c>
      <c r="U1651" s="35" t="str">
        <f>MID(Tabla1[[#This Row],[Aplicación]],9,4)</f>
        <v>1721</v>
      </c>
      <c r="V1651" s="35" t="str">
        <f>VLOOKUP(Tabla1[[#This Row],[PROGRAMA]],Hoja1!A:B,2,FALSE)</f>
        <v>1721. Protección del medio ambiente</v>
      </c>
      <c r="W1651" s="56" t="str">
        <f>MID(Tabla1[[#This Row],[Aplicación]],14,2)</f>
        <v>21</v>
      </c>
      <c r="X1651" s="56" t="str">
        <f>MID(Tabla1[[#This Row],[Aplicación]],14,6)</f>
        <v>214</v>
      </c>
    </row>
    <row r="1652" spans="1:24" x14ac:dyDescent="0.25">
      <c r="A1652" s="55">
        <v>220230011740</v>
      </c>
      <c r="B1652" s="47" t="s">
        <v>507</v>
      </c>
      <c r="C1652" s="52">
        <v>45014</v>
      </c>
      <c r="D1652" s="46">
        <v>22023003535</v>
      </c>
      <c r="E1652" s="47" t="s">
        <v>1290</v>
      </c>
      <c r="F1652" s="53">
        <v>2468.4</v>
      </c>
      <c r="G1652" s="47" t="s">
        <v>62</v>
      </c>
      <c r="H1652" s="47" t="s">
        <v>3025</v>
      </c>
      <c r="I1652" s="46" t="s">
        <v>511</v>
      </c>
      <c r="J1652" s="47" t="s">
        <v>3014</v>
      </c>
      <c r="K1652" s="47" t="s">
        <v>3015</v>
      </c>
      <c r="L1652" s="47" t="s">
        <v>520</v>
      </c>
      <c r="M1652" s="47" t="s">
        <v>976</v>
      </c>
      <c r="N1652" s="47" t="s">
        <v>839</v>
      </c>
      <c r="O1652" s="54" t="s">
        <v>383</v>
      </c>
      <c r="P1652" s="44" t="s">
        <v>309</v>
      </c>
      <c r="Q1652" s="59" t="str">
        <f>MID(Tabla1[[#This Row],[Aplicación]],14,1)</f>
        <v>2</v>
      </c>
      <c r="R1652" s="35" t="s">
        <v>298</v>
      </c>
      <c r="S1652" s="59" t="str">
        <f>MID(Tabla1[[#This Row],[Aplicación]],6,2)</f>
        <v>11</v>
      </c>
      <c r="T1652" s="35" t="str">
        <f>VLOOKUP(Tabla1[[#This Row],[AREA]],Hoja1!A:B,2,FALSE)</f>
        <v>11. Salud pública y seguridad ciudadana</v>
      </c>
      <c r="U1652" s="35" t="str">
        <f>MID(Tabla1[[#This Row],[Aplicación]],9,4)</f>
        <v>1621</v>
      </c>
      <c r="V1652" s="35" t="str">
        <f>VLOOKUP(Tabla1[[#This Row],[PROGRAMA]],Hoja1!A:B,2,FALSE)</f>
        <v>1621. Servicio de limpieza</v>
      </c>
      <c r="W1652" s="56" t="str">
        <f>MID(Tabla1[[#This Row],[Aplicación]],14,2)</f>
        <v>21</v>
      </c>
      <c r="X1652" s="56" t="str">
        <f>MID(Tabla1[[#This Row],[Aplicación]],14,6)</f>
        <v>214</v>
      </c>
    </row>
    <row r="1653" spans="1:24" x14ac:dyDescent="0.25">
      <c r="A1653" s="46">
        <v>220230008450</v>
      </c>
      <c r="B1653" s="47" t="s">
        <v>1514</v>
      </c>
      <c r="C1653" s="52">
        <v>45000</v>
      </c>
      <c r="D1653" s="46">
        <v>22023001343</v>
      </c>
      <c r="E1653" s="47" t="s">
        <v>1506</v>
      </c>
      <c r="F1653" s="53">
        <v>31.64</v>
      </c>
      <c r="G1653" s="47" t="s">
        <v>2436</v>
      </c>
      <c r="H1653" s="47" t="s">
        <v>3026</v>
      </c>
      <c r="I1653" s="46" t="s">
        <v>1517</v>
      </c>
      <c r="J1653" s="47" t="s">
        <v>2438</v>
      </c>
      <c r="K1653" s="47" t="s">
        <v>1359</v>
      </c>
      <c r="L1653" s="47" t="s">
        <v>552</v>
      </c>
      <c r="M1653" s="47" t="s">
        <v>514</v>
      </c>
      <c r="N1653" s="47" t="s">
        <v>604</v>
      </c>
      <c r="O1653" s="54" t="s">
        <v>382</v>
      </c>
      <c r="P1653" s="44" t="s">
        <v>309</v>
      </c>
      <c r="Q1653" s="59" t="str">
        <f>MID(Tabla1[[#This Row],[Aplicación]],14,1)</f>
        <v>2</v>
      </c>
      <c r="R1653" s="35" t="s">
        <v>298</v>
      </c>
      <c r="S1653" s="59" t="str">
        <f>MID(Tabla1[[#This Row],[Aplicación]],6,2)</f>
        <v>03</v>
      </c>
      <c r="T1653" s="35" t="str">
        <f>VLOOKUP(Tabla1[[#This Row],[AREA]],Hoja1!A:B,2,FALSE)</f>
        <v>03. Participación ciudadana y deportes</v>
      </c>
      <c r="U1653" s="35" t="str">
        <f>MID(Tabla1[[#This Row],[Aplicación]],9,4)</f>
        <v>9241</v>
      </c>
      <c r="V1653" s="35" t="str">
        <f>VLOOKUP(Tabla1[[#This Row],[PROGRAMA]],Hoja1!A:B,2,FALSE)</f>
        <v>9241. Participación ciudadana</v>
      </c>
      <c r="W1653" s="56" t="str">
        <f>MID(Tabla1[[#This Row],[Aplicación]],14,2)</f>
        <v>21</v>
      </c>
      <c r="X1653" s="56" t="str">
        <f>MID(Tabla1[[#This Row],[Aplicación]],14,6)</f>
        <v>212</v>
      </c>
    </row>
    <row r="1654" spans="1:24" x14ac:dyDescent="0.25">
      <c r="A1654" s="46">
        <v>220230004190</v>
      </c>
      <c r="B1654" s="47" t="s">
        <v>507</v>
      </c>
      <c r="C1654" s="52">
        <v>44977</v>
      </c>
      <c r="D1654" s="46">
        <v>22023002545</v>
      </c>
      <c r="E1654" s="47" t="s">
        <v>1191</v>
      </c>
      <c r="F1654" s="53">
        <v>300</v>
      </c>
      <c r="G1654" s="47" t="s">
        <v>3027</v>
      </c>
      <c r="H1654" s="47" t="s">
        <v>3028</v>
      </c>
      <c r="I1654" s="46" t="s">
        <v>511</v>
      </c>
      <c r="J1654" s="47" t="s">
        <v>3029</v>
      </c>
      <c r="K1654" s="47" t="s">
        <v>858</v>
      </c>
      <c r="L1654" s="47" t="s">
        <v>520</v>
      </c>
      <c r="M1654" s="47" t="s">
        <v>976</v>
      </c>
      <c r="N1654" s="47" t="s">
        <v>839</v>
      </c>
      <c r="O1654" s="45" t="s">
        <v>383</v>
      </c>
      <c r="P1654" s="44" t="s">
        <v>309</v>
      </c>
      <c r="Q1654" s="59" t="str">
        <f>MID(Tabla1[[#This Row],[Aplicación]],14,1)</f>
        <v>2</v>
      </c>
      <c r="R1654" s="35" t="s">
        <v>298</v>
      </c>
      <c r="S1654" s="59" t="str">
        <f>MID(Tabla1[[#This Row],[Aplicación]],6,2)</f>
        <v>06</v>
      </c>
      <c r="T1654" s="35" t="str">
        <f>VLOOKUP(Tabla1[[#This Row],[AREA]],Hoja1!A:B,2,FALSE)</f>
        <v>06. Educación, infancia, juventud e igualdad</v>
      </c>
      <c r="U1654" s="35" t="str">
        <f>MID(Tabla1[[#This Row],[Aplicación]],9,4)</f>
        <v>2315</v>
      </c>
      <c r="V1654" s="35" t="str">
        <f>VLOOKUP(Tabla1[[#This Row],[PROGRAMA]],Hoja1!A:B,2,FALSE)</f>
        <v>2315. Políticas de Igualdad e infancia</v>
      </c>
      <c r="W1654" s="56" t="str">
        <f>MID(Tabla1[[#This Row],[Aplicación]],14,2)</f>
        <v>22</v>
      </c>
      <c r="X1654" s="56" t="str">
        <f>MID(Tabla1[[#This Row],[Aplicación]],14,6)</f>
        <v>22611</v>
      </c>
    </row>
    <row r="1655" spans="1:24" x14ac:dyDescent="0.25">
      <c r="A1655" s="46">
        <v>220230001799</v>
      </c>
      <c r="B1655" s="47" t="s">
        <v>507</v>
      </c>
      <c r="C1655" s="52">
        <v>44960</v>
      </c>
      <c r="D1655" s="46">
        <v>22023000284</v>
      </c>
      <c r="E1655" s="47" t="s">
        <v>1285</v>
      </c>
      <c r="F1655" s="53">
        <v>323.98</v>
      </c>
      <c r="G1655" s="47" t="s">
        <v>3030</v>
      </c>
      <c r="H1655" s="47" t="s">
        <v>3031</v>
      </c>
      <c r="I1655" s="46" t="s">
        <v>511</v>
      </c>
      <c r="J1655" s="47" t="s">
        <v>519</v>
      </c>
      <c r="K1655" s="47" t="s">
        <v>519</v>
      </c>
      <c r="L1655" s="47" t="s">
        <v>552</v>
      </c>
      <c r="M1655" s="47" t="s">
        <v>976</v>
      </c>
      <c r="N1655" s="47" t="s">
        <v>839</v>
      </c>
      <c r="O1655" s="45" t="s">
        <v>383</v>
      </c>
      <c r="P1655" s="44" t="s">
        <v>309</v>
      </c>
      <c r="Q1655" s="59" t="str">
        <f>MID(Tabla1[[#This Row],[Aplicación]],14,1)</f>
        <v>2</v>
      </c>
      <c r="R1655" s="35" t="s">
        <v>298</v>
      </c>
      <c r="S1655" s="59" t="str">
        <f>MID(Tabla1[[#This Row],[Aplicación]],6,2)</f>
        <v>11</v>
      </c>
      <c r="T1655" s="35" t="str">
        <f>VLOOKUP(Tabla1[[#This Row],[AREA]],Hoja1!A:B,2,FALSE)</f>
        <v>11. Salud pública y seguridad ciudadana</v>
      </c>
      <c r="U1655" s="35" t="str">
        <f>MID(Tabla1[[#This Row],[Aplicación]],9,4)</f>
        <v>1361</v>
      </c>
      <c r="V1655" s="35" t="str">
        <f>VLOOKUP(Tabla1[[#This Row],[PROGRAMA]],Hoja1!A:B,2,FALSE)</f>
        <v>1361. Prevención y extinción de incencios</v>
      </c>
      <c r="W1655" s="56" t="str">
        <f>MID(Tabla1[[#This Row],[Aplicación]],14,2)</f>
        <v>22</v>
      </c>
      <c r="X1655" s="56" t="str">
        <f>MID(Tabla1[[#This Row],[Aplicación]],14,6)</f>
        <v>22199</v>
      </c>
    </row>
    <row r="1656" spans="1:24" x14ac:dyDescent="0.25">
      <c r="A1656" s="55">
        <v>220230012873</v>
      </c>
      <c r="B1656" s="47" t="s">
        <v>507</v>
      </c>
      <c r="C1656" s="52">
        <v>45016</v>
      </c>
      <c r="D1656" s="46">
        <v>22023003695</v>
      </c>
      <c r="E1656" s="47" t="s">
        <v>1453</v>
      </c>
      <c r="F1656" s="53">
        <v>340.49</v>
      </c>
      <c r="G1656" s="47" t="s">
        <v>3032</v>
      </c>
      <c r="H1656" s="47" t="s">
        <v>3033</v>
      </c>
      <c r="I1656" s="46" t="s">
        <v>511</v>
      </c>
      <c r="J1656" s="47" t="s">
        <v>519</v>
      </c>
      <c r="K1656" s="47" t="s">
        <v>519</v>
      </c>
      <c r="L1656" s="47" t="s">
        <v>552</v>
      </c>
      <c r="M1656" s="47" t="s">
        <v>976</v>
      </c>
      <c r="N1656" s="47" t="s">
        <v>839</v>
      </c>
      <c r="O1656" s="54" t="s">
        <v>383</v>
      </c>
      <c r="P1656" s="44" t="s">
        <v>309</v>
      </c>
      <c r="Q1656" s="59" t="str">
        <f>MID(Tabla1[[#This Row],[Aplicación]],14,1)</f>
        <v>2</v>
      </c>
      <c r="R1656" s="35" t="s">
        <v>298</v>
      </c>
      <c r="S1656" s="59" t="str">
        <f>MID(Tabla1[[#This Row],[Aplicación]],6,2)</f>
        <v>11</v>
      </c>
      <c r="T1656" s="35" t="str">
        <f>VLOOKUP(Tabla1[[#This Row],[AREA]],Hoja1!A:B,2,FALSE)</f>
        <v>11. Salud pública y seguridad ciudadana</v>
      </c>
      <c r="U1656" s="35" t="str">
        <f>MID(Tabla1[[#This Row],[Aplicación]],9,4)</f>
        <v>3111</v>
      </c>
      <c r="V1656" s="35" t="str">
        <f>VLOOKUP(Tabla1[[#This Row],[PROGRAMA]],Hoja1!A:B,2,FALSE)</f>
        <v>3111. Protección de la salubridad pública</v>
      </c>
      <c r="W1656" s="56" t="str">
        <f>MID(Tabla1[[#This Row],[Aplicación]],14,2)</f>
        <v>22</v>
      </c>
      <c r="X1656" s="56" t="str">
        <f>MID(Tabla1[[#This Row],[Aplicación]],14,6)</f>
        <v>22799</v>
      </c>
    </row>
    <row r="1657" spans="1:24" x14ac:dyDescent="0.25">
      <c r="A1657" s="46">
        <v>220230002012</v>
      </c>
      <c r="B1657" s="47" t="s">
        <v>507</v>
      </c>
      <c r="C1657" s="52">
        <v>44960</v>
      </c>
      <c r="D1657" s="46">
        <v>22023001502</v>
      </c>
      <c r="E1657" s="47" t="s">
        <v>1382</v>
      </c>
      <c r="F1657" s="53">
        <v>1361.25</v>
      </c>
      <c r="G1657" s="47" t="s">
        <v>452</v>
      </c>
      <c r="H1657" s="47" t="s">
        <v>3034</v>
      </c>
      <c r="I1657" s="46" t="s">
        <v>511</v>
      </c>
      <c r="J1657" s="47" t="s">
        <v>519</v>
      </c>
      <c r="K1657" s="47" t="s">
        <v>519</v>
      </c>
      <c r="L1657" s="47" t="s">
        <v>520</v>
      </c>
      <c r="M1657" s="47" t="s">
        <v>976</v>
      </c>
      <c r="N1657" s="47" t="s">
        <v>839</v>
      </c>
      <c r="O1657" s="45" t="s">
        <v>383</v>
      </c>
      <c r="P1657" s="44" t="s">
        <v>309</v>
      </c>
      <c r="Q1657" s="59" t="str">
        <f>MID(Tabla1[[#This Row],[Aplicación]],14,1)</f>
        <v>2</v>
      </c>
      <c r="R1657" s="35" t="s">
        <v>298</v>
      </c>
      <c r="S1657" s="59" t="str">
        <f>MID(Tabla1[[#This Row],[Aplicación]],6,2)</f>
        <v>03</v>
      </c>
      <c r="T1657" s="35" t="str">
        <f>VLOOKUP(Tabla1[[#This Row],[AREA]],Hoja1!A:B,2,FALSE)</f>
        <v>03. Participación ciudadana y deportes</v>
      </c>
      <c r="U1657" s="35" t="str">
        <f>MID(Tabla1[[#This Row],[Aplicación]],9,4)</f>
        <v>9241</v>
      </c>
      <c r="V1657" s="35" t="str">
        <f>VLOOKUP(Tabla1[[#This Row],[PROGRAMA]],Hoja1!A:B,2,FALSE)</f>
        <v>9241. Participación ciudadana</v>
      </c>
      <c r="W1657" s="56" t="str">
        <f>MID(Tabla1[[#This Row],[Aplicación]],14,2)</f>
        <v>22</v>
      </c>
      <c r="X1657" s="56" t="str">
        <f>MID(Tabla1[[#This Row],[Aplicación]],14,6)</f>
        <v>22699</v>
      </c>
    </row>
    <row r="1658" spans="1:24" x14ac:dyDescent="0.25">
      <c r="A1658" s="55">
        <v>220230008935</v>
      </c>
      <c r="B1658" s="47" t="s">
        <v>507</v>
      </c>
      <c r="C1658" s="52">
        <v>45002</v>
      </c>
      <c r="D1658" s="46">
        <v>22023003112</v>
      </c>
      <c r="E1658" s="47" t="s">
        <v>1510</v>
      </c>
      <c r="F1658" s="53">
        <v>330.45</v>
      </c>
      <c r="G1658" s="47" t="s">
        <v>104</v>
      </c>
      <c r="H1658" s="47" t="s">
        <v>3035</v>
      </c>
      <c r="I1658" s="46" t="s">
        <v>511</v>
      </c>
      <c r="J1658" s="47" t="s">
        <v>519</v>
      </c>
      <c r="K1658" s="47" t="s">
        <v>519</v>
      </c>
      <c r="L1658" s="47" t="s">
        <v>520</v>
      </c>
      <c r="M1658" s="47" t="s">
        <v>976</v>
      </c>
      <c r="N1658" s="47" t="s">
        <v>839</v>
      </c>
      <c r="O1658" s="54" t="s">
        <v>383</v>
      </c>
      <c r="P1658" s="44" t="s">
        <v>309</v>
      </c>
      <c r="Q1658" s="59" t="str">
        <f>MID(Tabla1[[#This Row],[Aplicación]],14,1)</f>
        <v>2</v>
      </c>
      <c r="R1658" s="35" t="s">
        <v>298</v>
      </c>
      <c r="S1658" s="59" t="str">
        <f>MID(Tabla1[[#This Row],[Aplicación]],6,2)</f>
        <v>10</v>
      </c>
      <c r="T1658" s="35" t="str">
        <f>VLOOKUP(Tabla1[[#This Row],[AREA]],Hoja1!A:B,2,FALSE)</f>
        <v>10. Servicios sociales y mediación comunitaria</v>
      </c>
      <c r="U1658" s="35" t="str">
        <f>MID(Tabla1[[#This Row],[Aplicación]],9,4)</f>
        <v>2311</v>
      </c>
      <c r="V1658" s="35" t="str">
        <f>VLOOKUP(Tabla1[[#This Row],[PROGRAMA]],Hoja1!A:B,2,FALSE)</f>
        <v>2311. Intervención social</v>
      </c>
      <c r="W1658" s="56" t="str">
        <f>MID(Tabla1[[#This Row],[Aplicación]],14,2)</f>
        <v>21</v>
      </c>
      <c r="X1658" s="56" t="str">
        <f>MID(Tabla1[[#This Row],[Aplicación]],14,6)</f>
        <v>212</v>
      </c>
    </row>
    <row r="1659" spans="1:24" x14ac:dyDescent="0.25">
      <c r="A1659" s="55">
        <v>220230008953</v>
      </c>
      <c r="B1659" s="47" t="s">
        <v>507</v>
      </c>
      <c r="C1659" s="52">
        <v>45002</v>
      </c>
      <c r="D1659" s="46">
        <v>22023003147</v>
      </c>
      <c r="E1659" s="47" t="s">
        <v>1674</v>
      </c>
      <c r="F1659" s="53">
        <v>423.5</v>
      </c>
      <c r="G1659" s="47" t="s">
        <v>1675</v>
      </c>
      <c r="H1659" s="47" t="s">
        <v>3036</v>
      </c>
      <c r="I1659" s="46" t="s">
        <v>511</v>
      </c>
      <c r="J1659" s="47" t="s">
        <v>519</v>
      </c>
      <c r="K1659" s="47" t="s">
        <v>519</v>
      </c>
      <c r="L1659" s="47" t="s">
        <v>552</v>
      </c>
      <c r="M1659" s="47" t="s">
        <v>976</v>
      </c>
      <c r="N1659" s="47" t="s">
        <v>839</v>
      </c>
      <c r="O1659" s="54" t="s">
        <v>383</v>
      </c>
      <c r="P1659" s="44" t="s">
        <v>309</v>
      </c>
      <c r="Q1659" s="59" t="str">
        <f>MID(Tabla1[[#This Row],[Aplicación]],14,1)</f>
        <v>2</v>
      </c>
      <c r="R1659" s="35" t="s">
        <v>298</v>
      </c>
      <c r="S1659" s="59" t="str">
        <f>MID(Tabla1[[#This Row],[Aplicación]],6,2)</f>
        <v>10</v>
      </c>
      <c r="T1659" s="35" t="str">
        <f>VLOOKUP(Tabla1[[#This Row],[AREA]],Hoja1!A:B,2,FALSE)</f>
        <v>10. Servicios sociales y mediación comunitaria</v>
      </c>
      <c r="U1659" s="35" t="str">
        <f>MID(Tabla1[[#This Row],[Aplicación]],9,4)</f>
        <v>2312</v>
      </c>
      <c r="V1659" s="35" t="str">
        <f>VLOOKUP(Tabla1[[#This Row],[PROGRAMA]],Hoja1!A:B,2,FALSE)</f>
        <v>2312. Iniciativas sociales</v>
      </c>
      <c r="W1659" s="56" t="str">
        <f>MID(Tabla1[[#This Row],[Aplicación]],14,2)</f>
        <v>22</v>
      </c>
      <c r="X1659" s="56" t="str">
        <f>MID(Tabla1[[#This Row],[Aplicación]],14,6)</f>
        <v>22618</v>
      </c>
    </row>
    <row r="1660" spans="1:24" x14ac:dyDescent="0.25">
      <c r="A1660" s="55">
        <v>220230008953</v>
      </c>
      <c r="B1660" s="47" t="s">
        <v>507</v>
      </c>
      <c r="C1660" s="52">
        <v>45002</v>
      </c>
      <c r="D1660" s="46">
        <v>22023003148</v>
      </c>
      <c r="E1660" s="47" t="s">
        <v>1674</v>
      </c>
      <c r="F1660" s="53">
        <v>508.2</v>
      </c>
      <c r="G1660" s="47" t="s">
        <v>1675</v>
      </c>
      <c r="H1660" s="47" t="s">
        <v>3036</v>
      </c>
      <c r="I1660" s="46" t="s">
        <v>511</v>
      </c>
      <c r="J1660" s="47" t="s">
        <v>519</v>
      </c>
      <c r="K1660" s="47" t="s">
        <v>519</v>
      </c>
      <c r="L1660" s="47" t="s">
        <v>552</v>
      </c>
      <c r="M1660" s="47" t="s">
        <v>976</v>
      </c>
      <c r="N1660" s="47" t="s">
        <v>839</v>
      </c>
      <c r="O1660" s="54" t="s">
        <v>383</v>
      </c>
      <c r="P1660" s="44" t="s">
        <v>309</v>
      </c>
      <c r="Q1660" s="59" t="str">
        <f>MID(Tabla1[[#This Row],[Aplicación]],14,1)</f>
        <v>2</v>
      </c>
      <c r="R1660" s="35" t="s">
        <v>298</v>
      </c>
      <c r="S1660" s="59" t="str">
        <f>MID(Tabla1[[#This Row],[Aplicación]],6,2)</f>
        <v>10</v>
      </c>
      <c r="T1660" s="35" t="str">
        <f>VLOOKUP(Tabla1[[#This Row],[AREA]],Hoja1!A:B,2,FALSE)</f>
        <v>10. Servicios sociales y mediación comunitaria</v>
      </c>
      <c r="U1660" s="35" t="str">
        <f>MID(Tabla1[[#This Row],[Aplicación]],9,4)</f>
        <v>2312</v>
      </c>
      <c r="V1660" s="35" t="str">
        <f>VLOOKUP(Tabla1[[#This Row],[PROGRAMA]],Hoja1!A:B,2,FALSE)</f>
        <v>2312. Iniciativas sociales</v>
      </c>
      <c r="W1660" s="56" t="str">
        <f>MID(Tabla1[[#This Row],[Aplicación]],14,2)</f>
        <v>22</v>
      </c>
      <c r="X1660" s="56" t="str">
        <f>MID(Tabla1[[#This Row],[Aplicación]],14,6)</f>
        <v>22618</v>
      </c>
    </row>
    <row r="1661" spans="1:24" x14ac:dyDescent="0.25">
      <c r="A1661" s="46">
        <v>220219001267</v>
      </c>
      <c r="B1661" s="47" t="s">
        <v>507</v>
      </c>
      <c r="C1661" s="52">
        <v>44927</v>
      </c>
      <c r="D1661" s="46">
        <v>22023003298</v>
      </c>
      <c r="E1661" s="47" t="s">
        <v>591</v>
      </c>
      <c r="F1661" s="53">
        <v>1045.44</v>
      </c>
      <c r="G1661" s="47" t="s">
        <v>39</v>
      </c>
      <c r="H1661" s="47" t="s">
        <v>3037</v>
      </c>
      <c r="I1661" s="46" t="s">
        <v>511</v>
      </c>
      <c r="J1661" s="47" t="s">
        <v>1152</v>
      </c>
      <c r="K1661" s="47" t="s">
        <v>771</v>
      </c>
      <c r="L1661" s="47" t="s">
        <v>520</v>
      </c>
      <c r="M1661" s="47" t="s">
        <v>514</v>
      </c>
      <c r="N1661" s="47" t="s">
        <v>515</v>
      </c>
      <c r="O1661" s="45" t="s">
        <v>371</v>
      </c>
      <c r="P1661" s="44" t="s">
        <v>309</v>
      </c>
      <c r="Q1661" s="59" t="str">
        <f>MID(Tabla1[[#This Row],[Aplicación]],14,1)</f>
        <v>2</v>
      </c>
      <c r="R1661" s="35" t="s">
        <v>298</v>
      </c>
      <c r="S1661" s="59" t="str">
        <f>MID(Tabla1[[#This Row],[Aplicación]],6,2)</f>
        <v>04</v>
      </c>
      <c r="T1661" s="35" t="str">
        <f>VLOOKUP(Tabla1[[#This Row],[AREA]],Hoja1!A:B,2,FALSE)</f>
        <v>04. Planificación y recursos</v>
      </c>
      <c r="U1661" s="35" t="str">
        <f>MID(Tabla1[[#This Row],[Aplicación]],9,4)</f>
        <v>9204</v>
      </c>
      <c r="V1661" s="35" t="str">
        <f>VLOOKUP(Tabla1[[#This Row],[PROGRAMA]],Hoja1!A:B,2,FALSE)</f>
        <v>9204. Tecnologías de la información y comunicación</v>
      </c>
      <c r="W1661" s="56" t="str">
        <f>MID(Tabla1[[#This Row],[Aplicación]],14,2)</f>
        <v>21</v>
      </c>
      <c r="X1661" s="56" t="str">
        <f>MID(Tabla1[[#This Row],[Aplicación]],14,6)</f>
        <v>213</v>
      </c>
    </row>
    <row r="1662" spans="1:24" x14ac:dyDescent="0.25">
      <c r="A1662" s="55">
        <v>220230008952</v>
      </c>
      <c r="B1662" s="47" t="s">
        <v>507</v>
      </c>
      <c r="C1662" s="52">
        <v>45002</v>
      </c>
      <c r="D1662" s="46">
        <v>22023003133</v>
      </c>
      <c r="E1662" s="47" t="s">
        <v>1191</v>
      </c>
      <c r="F1662" s="53">
        <v>214.17</v>
      </c>
      <c r="G1662" s="47" t="s">
        <v>3038</v>
      </c>
      <c r="H1662" s="47" t="s">
        <v>3039</v>
      </c>
      <c r="I1662" s="46" t="s">
        <v>511</v>
      </c>
      <c r="J1662" s="47" t="s">
        <v>519</v>
      </c>
      <c r="K1662" s="47" t="s">
        <v>519</v>
      </c>
      <c r="L1662" s="47" t="s">
        <v>552</v>
      </c>
      <c r="M1662" s="47" t="s">
        <v>976</v>
      </c>
      <c r="N1662" s="47" t="s">
        <v>839</v>
      </c>
      <c r="O1662" s="54" t="s">
        <v>383</v>
      </c>
      <c r="P1662" s="44" t="s">
        <v>309</v>
      </c>
      <c r="Q1662" s="59" t="str">
        <f>MID(Tabla1[[#This Row],[Aplicación]],14,1)</f>
        <v>2</v>
      </c>
      <c r="R1662" s="35" t="s">
        <v>298</v>
      </c>
      <c r="S1662" s="59" t="str">
        <f>MID(Tabla1[[#This Row],[Aplicación]],6,2)</f>
        <v>06</v>
      </c>
      <c r="T1662" s="35" t="str">
        <f>VLOOKUP(Tabla1[[#This Row],[AREA]],Hoja1!A:B,2,FALSE)</f>
        <v>06. Educación, infancia, juventud e igualdad</v>
      </c>
      <c r="U1662" s="35" t="str">
        <f>MID(Tabla1[[#This Row],[Aplicación]],9,4)</f>
        <v>2315</v>
      </c>
      <c r="V1662" s="35" t="str">
        <f>VLOOKUP(Tabla1[[#This Row],[PROGRAMA]],Hoja1!A:B,2,FALSE)</f>
        <v>2315. Políticas de Igualdad e infancia</v>
      </c>
      <c r="W1662" s="56" t="str">
        <f>MID(Tabla1[[#This Row],[Aplicación]],14,2)</f>
        <v>22</v>
      </c>
      <c r="X1662" s="56" t="str">
        <f>MID(Tabla1[[#This Row],[Aplicación]],14,6)</f>
        <v>22611</v>
      </c>
    </row>
    <row r="1663" spans="1:24" x14ac:dyDescent="0.25">
      <c r="A1663" s="55">
        <v>220230008923</v>
      </c>
      <c r="B1663" s="47" t="s">
        <v>507</v>
      </c>
      <c r="C1663" s="52">
        <v>45002</v>
      </c>
      <c r="D1663" s="46">
        <v>22023003074</v>
      </c>
      <c r="E1663" s="47" t="s">
        <v>1428</v>
      </c>
      <c r="F1663" s="53">
        <v>171.42</v>
      </c>
      <c r="G1663" s="47" t="s">
        <v>2216</v>
      </c>
      <c r="H1663" s="47" t="s">
        <v>3040</v>
      </c>
      <c r="I1663" s="46" t="s">
        <v>511</v>
      </c>
      <c r="J1663" s="47" t="s">
        <v>519</v>
      </c>
      <c r="K1663" s="47" t="s">
        <v>519</v>
      </c>
      <c r="L1663" s="47" t="s">
        <v>520</v>
      </c>
      <c r="M1663" s="47" t="s">
        <v>976</v>
      </c>
      <c r="N1663" s="47" t="s">
        <v>839</v>
      </c>
      <c r="O1663" s="54" t="s">
        <v>383</v>
      </c>
      <c r="P1663" s="44" t="s">
        <v>309</v>
      </c>
      <c r="Q1663" s="59" t="str">
        <f>MID(Tabla1[[#This Row],[Aplicación]],14,1)</f>
        <v>2</v>
      </c>
      <c r="R1663" s="35" t="s">
        <v>298</v>
      </c>
      <c r="S1663" s="59" t="str">
        <f>MID(Tabla1[[#This Row],[Aplicación]],6,2)</f>
        <v>09</v>
      </c>
      <c r="T1663" s="35" t="str">
        <f>VLOOKUP(Tabla1[[#This Row],[AREA]],Hoja1!A:B,2,FALSE)</f>
        <v>09. Cultura y turismo</v>
      </c>
      <c r="U1663" s="35" t="str">
        <f>MID(Tabla1[[#This Row],[Aplicación]],9,4)</f>
        <v>3301</v>
      </c>
      <c r="V1663" s="35" t="str">
        <f>VLOOKUP(Tabla1[[#This Row],[PROGRAMA]],Hoja1!A:B,2,FALSE)</f>
        <v>3301. Dirección del área de cultura</v>
      </c>
      <c r="W1663" s="56" t="str">
        <f>MID(Tabla1[[#This Row],[Aplicación]],14,2)</f>
        <v>22</v>
      </c>
      <c r="X1663" s="56" t="str">
        <f>MID(Tabla1[[#This Row],[Aplicación]],14,6)</f>
        <v>22799</v>
      </c>
    </row>
    <row r="1664" spans="1:24" x14ac:dyDescent="0.25">
      <c r="A1664" s="55">
        <v>220230008930</v>
      </c>
      <c r="B1664" s="47" t="s">
        <v>507</v>
      </c>
      <c r="C1664" s="52">
        <v>45002</v>
      </c>
      <c r="D1664" s="46">
        <v>22023003098</v>
      </c>
      <c r="E1664" s="47" t="s">
        <v>1479</v>
      </c>
      <c r="F1664" s="53">
        <v>1100</v>
      </c>
      <c r="G1664" s="47" t="s">
        <v>1689</v>
      </c>
      <c r="H1664" s="47" t="s">
        <v>3041</v>
      </c>
      <c r="I1664" s="46" t="s">
        <v>511</v>
      </c>
      <c r="J1664" s="47" t="s">
        <v>1691</v>
      </c>
      <c r="K1664" s="47" t="s">
        <v>519</v>
      </c>
      <c r="L1664" s="47" t="s">
        <v>520</v>
      </c>
      <c r="M1664" s="47" t="s">
        <v>976</v>
      </c>
      <c r="N1664" s="47" t="s">
        <v>839</v>
      </c>
      <c r="O1664" s="54" t="s">
        <v>383</v>
      </c>
      <c r="P1664" s="44" t="s">
        <v>309</v>
      </c>
      <c r="Q1664" s="59" t="str">
        <f>MID(Tabla1[[#This Row],[Aplicación]],14,1)</f>
        <v>2</v>
      </c>
      <c r="R1664" s="35" t="s">
        <v>298</v>
      </c>
      <c r="S1664" s="59" t="str">
        <f>MID(Tabla1[[#This Row],[Aplicación]],6,2)</f>
        <v>03</v>
      </c>
      <c r="T1664" s="35" t="str">
        <f>VLOOKUP(Tabla1[[#This Row],[AREA]],Hoja1!A:B,2,FALSE)</f>
        <v>03. Participación ciudadana y deportes</v>
      </c>
      <c r="U1664" s="35" t="str">
        <f>MID(Tabla1[[#This Row],[Aplicación]],9,4)</f>
        <v>9241</v>
      </c>
      <c r="V1664" s="35" t="str">
        <f>VLOOKUP(Tabla1[[#This Row],[PROGRAMA]],Hoja1!A:B,2,FALSE)</f>
        <v>9241. Participación ciudadana</v>
      </c>
      <c r="W1664" s="56" t="str">
        <f>MID(Tabla1[[#This Row],[Aplicación]],14,2)</f>
        <v>22</v>
      </c>
      <c r="X1664" s="56" t="str">
        <f>MID(Tabla1[[#This Row],[Aplicación]],14,6)</f>
        <v>22609</v>
      </c>
    </row>
    <row r="1665" spans="1:24" x14ac:dyDescent="0.25">
      <c r="A1665" s="55">
        <v>220230008963</v>
      </c>
      <c r="B1665" s="47" t="s">
        <v>507</v>
      </c>
      <c r="C1665" s="52">
        <v>45002</v>
      </c>
      <c r="D1665" s="46">
        <v>22023003178</v>
      </c>
      <c r="E1665" s="47" t="s">
        <v>1260</v>
      </c>
      <c r="F1665" s="53">
        <v>371</v>
      </c>
      <c r="G1665" s="47" t="s">
        <v>118</v>
      </c>
      <c r="H1665" s="47" t="s">
        <v>3042</v>
      </c>
      <c r="I1665" s="46" t="s">
        <v>511</v>
      </c>
      <c r="J1665" s="47" t="s">
        <v>519</v>
      </c>
      <c r="K1665" s="47" t="s">
        <v>519</v>
      </c>
      <c r="L1665" s="47" t="s">
        <v>520</v>
      </c>
      <c r="M1665" s="47" t="s">
        <v>976</v>
      </c>
      <c r="N1665" s="47" t="s">
        <v>839</v>
      </c>
      <c r="O1665" s="54" t="s">
        <v>383</v>
      </c>
      <c r="P1665" s="44" t="s">
        <v>309</v>
      </c>
      <c r="Q1665" s="59" t="str">
        <f>MID(Tabla1[[#This Row],[Aplicación]],14,1)</f>
        <v>2</v>
      </c>
      <c r="R1665" s="35" t="s">
        <v>298</v>
      </c>
      <c r="S1665" s="59" t="str">
        <f>MID(Tabla1[[#This Row],[Aplicación]],6,2)</f>
        <v>03</v>
      </c>
      <c r="T1665" s="35" t="str">
        <f>VLOOKUP(Tabla1[[#This Row],[AREA]],Hoja1!A:B,2,FALSE)</f>
        <v>03. Participación ciudadana y deportes</v>
      </c>
      <c r="U1665" s="35" t="str">
        <f>MID(Tabla1[[#This Row],[Aplicación]],9,4)</f>
        <v>9241</v>
      </c>
      <c r="V1665" s="35" t="str">
        <f>VLOOKUP(Tabla1[[#This Row],[PROGRAMA]],Hoja1!A:B,2,FALSE)</f>
        <v>9241. Participación ciudadana</v>
      </c>
      <c r="W1665" s="56" t="str">
        <f>MID(Tabla1[[#This Row],[Aplicación]],14,2)</f>
        <v>22</v>
      </c>
      <c r="X1665" s="56" t="str">
        <f>MID(Tabla1[[#This Row],[Aplicación]],14,6)</f>
        <v>22602</v>
      </c>
    </row>
    <row r="1666" spans="1:24" x14ac:dyDescent="0.25">
      <c r="A1666" s="55">
        <v>220230008933</v>
      </c>
      <c r="B1666" s="47" t="s">
        <v>507</v>
      </c>
      <c r="C1666" s="52">
        <v>45002</v>
      </c>
      <c r="D1666" s="46">
        <v>22023003107</v>
      </c>
      <c r="E1666" s="47" t="s">
        <v>1479</v>
      </c>
      <c r="F1666" s="53">
        <v>258</v>
      </c>
      <c r="G1666" s="47" t="s">
        <v>3043</v>
      </c>
      <c r="H1666" s="47" t="s">
        <v>3044</v>
      </c>
      <c r="I1666" s="46" t="s">
        <v>511</v>
      </c>
      <c r="J1666" s="47" t="s">
        <v>519</v>
      </c>
      <c r="K1666" s="47" t="s">
        <v>519</v>
      </c>
      <c r="L1666" s="47" t="s">
        <v>520</v>
      </c>
      <c r="M1666" s="47" t="s">
        <v>976</v>
      </c>
      <c r="N1666" s="47" t="s">
        <v>839</v>
      </c>
      <c r="O1666" s="54" t="s">
        <v>383</v>
      </c>
      <c r="P1666" s="44" t="s">
        <v>309</v>
      </c>
      <c r="Q1666" s="59" t="str">
        <f>MID(Tabla1[[#This Row],[Aplicación]],14,1)</f>
        <v>2</v>
      </c>
      <c r="R1666" s="35" t="s">
        <v>298</v>
      </c>
      <c r="S1666" s="59" t="str">
        <f>MID(Tabla1[[#This Row],[Aplicación]],6,2)</f>
        <v>03</v>
      </c>
      <c r="T1666" s="35" t="str">
        <f>VLOOKUP(Tabla1[[#This Row],[AREA]],Hoja1!A:B,2,FALSE)</f>
        <v>03. Participación ciudadana y deportes</v>
      </c>
      <c r="U1666" s="35" t="str">
        <f>MID(Tabla1[[#This Row],[Aplicación]],9,4)</f>
        <v>9241</v>
      </c>
      <c r="V1666" s="35" t="str">
        <f>VLOOKUP(Tabla1[[#This Row],[PROGRAMA]],Hoja1!A:B,2,FALSE)</f>
        <v>9241. Participación ciudadana</v>
      </c>
      <c r="W1666" s="56" t="str">
        <f>MID(Tabla1[[#This Row],[Aplicación]],14,2)</f>
        <v>22</v>
      </c>
      <c r="X1666" s="56" t="str">
        <f>MID(Tabla1[[#This Row],[Aplicación]],14,6)</f>
        <v>22609</v>
      </c>
    </row>
    <row r="1667" spans="1:24" x14ac:dyDescent="0.25">
      <c r="A1667" s="55">
        <v>220230008932</v>
      </c>
      <c r="B1667" s="47" t="s">
        <v>507</v>
      </c>
      <c r="C1667" s="52">
        <v>45002</v>
      </c>
      <c r="D1667" s="46">
        <v>22023003106</v>
      </c>
      <c r="E1667" s="47" t="s">
        <v>1479</v>
      </c>
      <c r="F1667" s="53">
        <v>300</v>
      </c>
      <c r="G1667" s="47" t="s">
        <v>3045</v>
      </c>
      <c r="H1667" s="47" t="s">
        <v>3046</v>
      </c>
      <c r="I1667" s="46" t="s">
        <v>511</v>
      </c>
      <c r="J1667" s="47" t="s">
        <v>519</v>
      </c>
      <c r="K1667" s="47" t="s">
        <v>519</v>
      </c>
      <c r="L1667" s="47" t="s">
        <v>520</v>
      </c>
      <c r="M1667" s="47" t="s">
        <v>976</v>
      </c>
      <c r="N1667" s="47" t="s">
        <v>839</v>
      </c>
      <c r="O1667" s="54" t="s">
        <v>383</v>
      </c>
      <c r="P1667" s="44" t="s">
        <v>309</v>
      </c>
      <c r="Q1667" s="59" t="str">
        <f>MID(Tabla1[[#This Row],[Aplicación]],14,1)</f>
        <v>2</v>
      </c>
      <c r="R1667" s="35" t="s">
        <v>298</v>
      </c>
      <c r="S1667" s="59" t="str">
        <f>MID(Tabla1[[#This Row],[Aplicación]],6,2)</f>
        <v>03</v>
      </c>
      <c r="T1667" s="35" t="str">
        <f>VLOOKUP(Tabla1[[#This Row],[AREA]],Hoja1!A:B,2,FALSE)</f>
        <v>03. Participación ciudadana y deportes</v>
      </c>
      <c r="U1667" s="35" t="str">
        <f>MID(Tabla1[[#This Row],[Aplicación]],9,4)</f>
        <v>9241</v>
      </c>
      <c r="V1667" s="35" t="str">
        <f>VLOOKUP(Tabla1[[#This Row],[PROGRAMA]],Hoja1!A:B,2,FALSE)</f>
        <v>9241. Participación ciudadana</v>
      </c>
      <c r="W1667" s="56" t="str">
        <f>MID(Tabla1[[#This Row],[Aplicación]],14,2)</f>
        <v>22</v>
      </c>
      <c r="X1667" s="56" t="str">
        <f>MID(Tabla1[[#This Row],[Aplicación]],14,6)</f>
        <v>22609</v>
      </c>
    </row>
    <row r="1668" spans="1:24" x14ac:dyDescent="0.25">
      <c r="A1668" s="55">
        <v>220230008958</v>
      </c>
      <c r="B1668" s="47" t="s">
        <v>507</v>
      </c>
      <c r="C1668" s="52">
        <v>45002</v>
      </c>
      <c r="D1668" s="46">
        <v>22023003166</v>
      </c>
      <c r="E1668" s="47" t="s">
        <v>1191</v>
      </c>
      <c r="F1668" s="53">
        <v>500</v>
      </c>
      <c r="G1668" s="47" t="s">
        <v>3047</v>
      </c>
      <c r="H1668" s="47" t="s">
        <v>3048</v>
      </c>
      <c r="I1668" s="46" t="s">
        <v>511</v>
      </c>
      <c r="J1668" s="47" t="s">
        <v>519</v>
      </c>
      <c r="K1668" s="47" t="s">
        <v>519</v>
      </c>
      <c r="L1668" s="47" t="s">
        <v>520</v>
      </c>
      <c r="M1668" s="47" t="s">
        <v>976</v>
      </c>
      <c r="N1668" s="47" t="s">
        <v>839</v>
      </c>
      <c r="O1668" s="54" t="s">
        <v>383</v>
      </c>
      <c r="P1668" s="44" t="s">
        <v>309</v>
      </c>
      <c r="Q1668" s="59" t="str">
        <f>MID(Tabla1[[#This Row],[Aplicación]],14,1)</f>
        <v>2</v>
      </c>
      <c r="R1668" s="35" t="s">
        <v>298</v>
      </c>
      <c r="S1668" s="59" t="str">
        <f>MID(Tabla1[[#This Row],[Aplicación]],6,2)</f>
        <v>06</v>
      </c>
      <c r="T1668" s="35" t="str">
        <f>VLOOKUP(Tabla1[[#This Row],[AREA]],Hoja1!A:B,2,FALSE)</f>
        <v>06. Educación, infancia, juventud e igualdad</v>
      </c>
      <c r="U1668" s="35" t="str">
        <f>MID(Tabla1[[#This Row],[Aplicación]],9,4)</f>
        <v>2315</v>
      </c>
      <c r="V1668" s="35" t="str">
        <f>VLOOKUP(Tabla1[[#This Row],[PROGRAMA]],Hoja1!A:B,2,FALSE)</f>
        <v>2315. Políticas de Igualdad e infancia</v>
      </c>
      <c r="W1668" s="56" t="str">
        <f>MID(Tabla1[[#This Row],[Aplicación]],14,2)</f>
        <v>22</v>
      </c>
      <c r="X1668" s="56" t="str">
        <f>MID(Tabla1[[#This Row],[Aplicación]],14,6)</f>
        <v>22611</v>
      </c>
    </row>
    <row r="1669" spans="1:24" x14ac:dyDescent="0.25">
      <c r="A1669" s="55">
        <v>220230008941</v>
      </c>
      <c r="B1669" s="47" t="s">
        <v>507</v>
      </c>
      <c r="C1669" s="52">
        <v>45002</v>
      </c>
      <c r="D1669" s="46">
        <v>22023003125</v>
      </c>
      <c r="E1669" s="47" t="s">
        <v>1234</v>
      </c>
      <c r="F1669" s="53">
        <v>300</v>
      </c>
      <c r="G1669" s="47" t="s">
        <v>3049</v>
      </c>
      <c r="H1669" s="47" t="s">
        <v>3050</v>
      </c>
      <c r="I1669" s="46" t="s">
        <v>511</v>
      </c>
      <c r="J1669" s="47" t="s">
        <v>519</v>
      </c>
      <c r="K1669" s="47" t="s">
        <v>519</v>
      </c>
      <c r="L1669" s="47" t="s">
        <v>652</v>
      </c>
      <c r="M1669" s="47" t="s">
        <v>976</v>
      </c>
      <c r="N1669" s="47" t="s">
        <v>839</v>
      </c>
      <c r="O1669" s="54" t="s">
        <v>383</v>
      </c>
      <c r="P1669" s="44" t="s">
        <v>309</v>
      </c>
      <c r="Q1669" s="59" t="str">
        <f>MID(Tabla1[[#This Row],[Aplicación]],14,1)</f>
        <v>2</v>
      </c>
      <c r="R1669" s="35" t="s">
        <v>298</v>
      </c>
      <c r="S1669" s="59" t="str">
        <f>MID(Tabla1[[#This Row],[Aplicación]],6,2)</f>
        <v>10</v>
      </c>
      <c r="T1669" s="35" t="str">
        <f>VLOOKUP(Tabla1[[#This Row],[AREA]],Hoja1!A:B,2,FALSE)</f>
        <v>10. Servicios sociales y mediación comunitaria</v>
      </c>
      <c r="U1669" s="35" t="str">
        <f>MID(Tabla1[[#This Row],[Aplicación]],9,4)</f>
        <v>2316</v>
      </c>
      <c r="V1669" s="35" t="str">
        <f>VLOOKUP(Tabla1[[#This Row],[PROGRAMA]],Hoja1!A:B,2,FALSE)</f>
        <v>2316. Mediación comunitaria</v>
      </c>
      <c r="W1669" s="56" t="str">
        <f>MID(Tabla1[[#This Row],[Aplicación]],14,2)</f>
        <v>22</v>
      </c>
      <c r="X1669" s="56" t="str">
        <f>MID(Tabla1[[#This Row],[Aplicación]],14,6)</f>
        <v>22616</v>
      </c>
    </row>
    <row r="1670" spans="1:24" x14ac:dyDescent="0.25">
      <c r="A1670" s="55">
        <v>220230008921</v>
      </c>
      <c r="B1670" s="47" t="s">
        <v>507</v>
      </c>
      <c r="C1670" s="52">
        <v>45002</v>
      </c>
      <c r="D1670" s="46">
        <v>22023003062</v>
      </c>
      <c r="E1670" s="47" t="s">
        <v>1234</v>
      </c>
      <c r="F1670" s="53">
        <v>350</v>
      </c>
      <c r="G1670" s="47" t="s">
        <v>3051</v>
      </c>
      <c r="H1670" s="47" t="s">
        <v>3052</v>
      </c>
      <c r="I1670" s="46" t="s">
        <v>511</v>
      </c>
      <c r="J1670" s="47" t="s">
        <v>519</v>
      </c>
      <c r="K1670" s="47" t="s">
        <v>519</v>
      </c>
      <c r="L1670" s="47" t="s">
        <v>520</v>
      </c>
      <c r="M1670" s="47" t="s">
        <v>976</v>
      </c>
      <c r="N1670" s="47" t="s">
        <v>839</v>
      </c>
      <c r="O1670" s="54" t="s">
        <v>383</v>
      </c>
      <c r="P1670" s="44" t="s">
        <v>309</v>
      </c>
      <c r="Q1670" s="59" t="str">
        <f>MID(Tabla1[[#This Row],[Aplicación]],14,1)</f>
        <v>2</v>
      </c>
      <c r="R1670" s="35" t="s">
        <v>298</v>
      </c>
      <c r="S1670" s="59" t="str">
        <f>MID(Tabla1[[#This Row],[Aplicación]],6,2)</f>
        <v>10</v>
      </c>
      <c r="T1670" s="35" t="str">
        <f>VLOOKUP(Tabla1[[#This Row],[AREA]],Hoja1!A:B,2,FALSE)</f>
        <v>10. Servicios sociales y mediación comunitaria</v>
      </c>
      <c r="U1670" s="35" t="str">
        <f>MID(Tabla1[[#This Row],[Aplicación]],9,4)</f>
        <v>2316</v>
      </c>
      <c r="V1670" s="35" t="str">
        <f>VLOOKUP(Tabla1[[#This Row],[PROGRAMA]],Hoja1!A:B,2,FALSE)</f>
        <v>2316. Mediación comunitaria</v>
      </c>
      <c r="W1670" s="56" t="str">
        <f>MID(Tabla1[[#This Row],[Aplicación]],14,2)</f>
        <v>22</v>
      </c>
      <c r="X1670" s="56" t="str">
        <f>MID(Tabla1[[#This Row],[Aplicación]],14,6)</f>
        <v>22616</v>
      </c>
    </row>
    <row r="1671" spans="1:24" x14ac:dyDescent="0.25">
      <c r="A1671" s="55">
        <v>220230008931</v>
      </c>
      <c r="B1671" s="47" t="s">
        <v>507</v>
      </c>
      <c r="C1671" s="52">
        <v>45002</v>
      </c>
      <c r="D1671" s="46">
        <v>22023003099</v>
      </c>
      <c r="E1671" s="47" t="s">
        <v>1479</v>
      </c>
      <c r="F1671" s="53">
        <v>550</v>
      </c>
      <c r="G1671" s="47" t="s">
        <v>3051</v>
      </c>
      <c r="H1671" s="47" t="s">
        <v>3053</v>
      </c>
      <c r="I1671" s="46" t="s">
        <v>511</v>
      </c>
      <c r="J1671" s="47" t="s">
        <v>519</v>
      </c>
      <c r="K1671" s="47" t="s">
        <v>519</v>
      </c>
      <c r="L1671" s="47" t="s">
        <v>520</v>
      </c>
      <c r="M1671" s="47" t="s">
        <v>976</v>
      </c>
      <c r="N1671" s="47" t="s">
        <v>839</v>
      </c>
      <c r="O1671" s="54" t="s">
        <v>383</v>
      </c>
      <c r="P1671" s="44" t="s">
        <v>309</v>
      </c>
      <c r="Q1671" s="59" t="str">
        <f>MID(Tabla1[[#This Row],[Aplicación]],14,1)</f>
        <v>2</v>
      </c>
      <c r="R1671" s="35" t="s">
        <v>298</v>
      </c>
      <c r="S1671" s="59" t="str">
        <f>MID(Tabla1[[#This Row],[Aplicación]],6,2)</f>
        <v>03</v>
      </c>
      <c r="T1671" s="35" t="str">
        <f>VLOOKUP(Tabla1[[#This Row],[AREA]],Hoja1!A:B,2,FALSE)</f>
        <v>03. Participación ciudadana y deportes</v>
      </c>
      <c r="U1671" s="35" t="str">
        <f>MID(Tabla1[[#This Row],[Aplicación]],9,4)</f>
        <v>9241</v>
      </c>
      <c r="V1671" s="35" t="str">
        <f>VLOOKUP(Tabla1[[#This Row],[PROGRAMA]],Hoja1!A:B,2,FALSE)</f>
        <v>9241. Participación ciudadana</v>
      </c>
      <c r="W1671" s="56" t="str">
        <f>MID(Tabla1[[#This Row],[Aplicación]],14,2)</f>
        <v>22</v>
      </c>
      <c r="X1671" s="56" t="str">
        <f>MID(Tabla1[[#This Row],[Aplicación]],14,6)</f>
        <v>22609</v>
      </c>
    </row>
    <row r="1672" spans="1:24" x14ac:dyDescent="0.25">
      <c r="A1672" s="55">
        <v>220230008981</v>
      </c>
      <c r="B1672" s="47" t="s">
        <v>507</v>
      </c>
      <c r="C1672" s="52">
        <v>45002</v>
      </c>
      <c r="D1672" s="46">
        <v>22023003123</v>
      </c>
      <c r="E1672" s="47" t="s">
        <v>1688</v>
      </c>
      <c r="F1672" s="53">
        <v>1210</v>
      </c>
      <c r="G1672" s="47" t="s">
        <v>386</v>
      </c>
      <c r="H1672" s="47" t="s">
        <v>3054</v>
      </c>
      <c r="I1672" s="46" t="s">
        <v>511</v>
      </c>
      <c r="J1672" s="47" t="s">
        <v>519</v>
      </c>
      <c r="K1672" s="47" t="s">
        <v>519</v>
      </c>
      <c r="L1672" s="47" t="s">
        <v>552</v>
      </c>
      <c r="M1672" s="47" t="s">
        <v>976</v>
      </c>
      <c r="N1672" s="47" t="s">
        <v>839</v>
      </c>
      <c r="O1672" s="54" t="s">
        <v>383</v>
      </c>
      <c r="P1672" s="44" t="s">
        <v>309</v>
      </c>
      <c r="Q1672" s="59" t="str">
        <f>MID(Tabla1[[#This Row],[Aplicación]],14,1)</f>
        <v>2</v>
      </c>
      <c r="R1672" s="35" t="s">
        <v>298</v>
      </c>
      <c r="S1672" s="59" t="str">
        <f>MID(Tabla1[[#This Row],[Aplicación]],6,2)</f>
        <v>06</v>
      </c>
      <c r="T1672" s="35" t="str">
        <f>VLOOKUP(Tabla1[[#This Row],[AREA]],Hoja1!A:B,2,FALSE)</f>
        <v>06. Educación, infancia, juventud e igualdad</v>
      </c>
      <c r="U1672" s="35" t="str">
        <f>MID(Tabla1[[#This Row],[Aplicación]],9,4)</f>
        <v>3261</v>
      </c>
      <c r="V1672" s="35" t="str">
        <f>VLOOKUP(Tabla1[[#This Row],[PROGRAMA]],Hoja1!A:B,2,FALSE)</f>
        <v>3261. Servicios complementarios de educación</v>
      </c>
      <c r="W1672" s="56" t="str">
        <f>MID(Tabla1[[#This Row],[Aplicación]],14,2)</f>
        <v>22</v>
      </c>
      <c r="X1672" s="56" t="str">
        <f>MID(Tabla1[[#This Row],[Aplicación]],14,6)</f>
        <v>22699</v>
      </c>
    </row>
    <row r="1673" spans="1:24" x14ac:dyDescent="0.25">
      <c r="A1673" s="55">
        <v>220230008983</v>
      </c>
      <c r="B1673" s="47" t="s">
        <v>507</v>
      </c>
      <c r="C1673" s="52">
        <v>45002</v>
      </c>
      <c r="D1673" s="46">
        <v>22023002962</v>
      </c>
      <c r="E1673" s="47" t="s">
        <v>1055</v>
      </c>
      <c r="F1673" s="53">
        <v>500</v>
      </c>
      <c r="G1673" s="47" t="s">
        <v>3055</v>
      </c>
      <c r="H1673" s="47" t="s">
        <v>3056</v>
      </c>
      <c r="I1673" s="46" t="s">
        <v>511</v>
      </c>
      <c r="J1673" s="47" t="s">
        <v>519</v>
      </c>
      <c r="K1673" s="47" t="s">
        <v>519</v>
      </c>
      <c r="L1673" s="47" t="s">
        <v>520</v>
      </c>
      <c r="M1673" s="47" t="s">
        <v>976</v>
      </c>
      <c r="N1673" s="47" t="s">
        <v>839</v>
      </c>
      <c r="O1673" s="54" t="s">
        <v>383</v>
      </c>
      <c r="P1673" s="44" t="s">
        <v>309</v>
      </c>
      <c r="Q1673" s="59" t="str">
        <f>MID(Tabla1[[#This Row],[Aplicación]],14,1)</f>
        <v>2</v>
      </c>
      <c r="R1673" s="35" t="s">
        <v>298</v>
      </c>
      <c r="S1673" s="59" t="str">
        <f>MID(Tabla1[[#This Row],[Aplicación]],6,2)</f>
        <v>02</v>
      </c>
      <c r="T1673" s="35" t="str">
        <f>VLOOKUP(Tabla1[[#This Row],[AREA]],Hoja1!A:B,2,FALSE)</f>
        <v>02. Planeamiento urbanístico y vivienda</v>
      </c>
      <c r="U1673" s="35" t="str">
        <f>MID(Tabla1[[#This Row],[Aplicación]],9,4)</f>
        <v>9332</v>
      </c>
      <c r="V1673" s="35" t="str">
        <f>VLOOKUP(Tabla1[[#This Row],[PROGRAMA]],Hoja1!A:B,2,FALSE)</f>
        <v>9332. Mantenimiento de edificios e instalaciones municipales</v>
      </c>
      <c r="W1673" s="56" t="str">
        <f>MID(Tabla1[[#This Row],[Aplicación]],14,2)</f>
        <v>21</v>
      </c>
      <c r="X1673" s="56" t="str">
        <f>MID(Tabla1[[#This Row],[Aplicación]],14,6)</f>
        <v>213</v>
      </c>
    </row>
    <row r="1674" spans="1:24" x14ac:dyDescent="0.25">
      <c r="A1674" s="55">
        <v>220230008927</v>
      </c>
      <c r="B1674" s="47" t="s">
        <v>507</v>
      </c>
      <c r="C1674" s="52">
        <v>45002</v>
      </c>
      <c r="D1674" s="46">
        <v>22023003090</v>
      </c>
      <c r="E1674" s="47" t="s">
        <v>1260</v>
      </c>
      <c r="F1674" s="53">
        <v>211.75</v>
      </c>
      <c r="G1674" s="47" t="s">
        <v>3057</v>
      </c>
      <c r="H1674" s="47" t="s">
        <v>3058</v>
      </c>
      <c r="I1674" s="46" t="s">
        <v>511</v>
      </c>
      <c r="J1674" s="47" t="s">
        <v>519</v>
      </c>
      <c r="K1674" s="47" t="s">
        <v>519</v>
      </c>
      <c r="L1674" s="47" t="s">
        <v>520</v>
      </c>
      <c r="M1674" s="47" t="s">
        <v>976</v>
      </c>
      <c r="N1674" s="47" t="s">
        <v>839</v>
      </c>
      <c r="O1674" s="54" t="s">
        <v>383</v>
      </c>
      <c r="P1674" s="44" t="s">
        <v>309</v>
      </c>
      <c r="Q1674" s="59" t="str">
        <f>MID(Tabla1[[#This Row],[Aplicación]],14,1)</f>
        <v>2</v>
      </c>
      <c r="R1674" s="35" t="s">
        <v>298</v>
      </c>
      <c r="S1674" s="59" t="str">
        <f>MID(Tabla1[[#This Row],[Aplicación]],6,2)</f>
        <v>03</v>
      </c>
      <c r="T1674" s="35" t="str">
        <f>VLOOKUP(Tabla1[[#This Row],[AREA]],Hoja1!A:B,2,FALSE)</f>
        <v>03. Participación ciudadana y deportes</v>
      </c>
      <c r="U1674" s="35" t="str">
        <f>MID(Tabla1[[#This Row],[Aplicación]],9,4)</f>
        <v>9241</v>
      </c>
      <c r="V1674" s="35" t="str">
        <f>VLOOKUP(Tabla1[[#This Row],[PROGRAMA]],Hoja1!A:B,2,FALSE)</f>
        <v>9241. Participación ciudadana</v>
      </c>
      <c r="W1674" s="56" t="str">
        <f>MID(Tabla1[[#This Row],[Aplicación]],14,2)</f>
        <v>22</v>
      </c>
      <c r="X1674" s="56" t="str">
        <f>MID(Tabla1[[#This Row],[Aplicación]],14,6)</f>
        <v>22602</v>
      </c>
    </row>
    <row r="1675" spans="1:24" x14ac:dyDescent="0.25">
      <c r="A1675" s="55">
        <v>220230008960</v>
      </c>
      <c r="B1675" s="47" t="s">
        <v>507</v>
      </c>
      <c r="C1675" s="52">
        <v>45002</v>
      </c>
      <c r="D1675" s="46">
        <v>22023003173</v>
      </c>
      <c r="E1675" s="47" t="s">
        <v>2226</v>
      </c>
      <c r="F1675" s="53">
        <v>1048.3499999999999</v>
      </c>
      <c r="G1675" s="47" t="s">
        <v>58</v>
      </c>
      <c r="H1675" s="47" t="s">
        <v>3059</v>
      </c>
      <c r="I1675" s="46" t="s">
        <v>511</v>
      </c>
      <c r="J1675" s="47" t="s">
        <v>2902</v>
      </c>
      <c r="K1675" s="47" t="s">
        <v>512</v>
      </c>
      <c r="L1675" s="47" t="s">
        <v>552</v>
      </c>
      <c r="M1675" s="47" t="s">
        <v>976</v>
      </c>
      <c r="N1675" s="47" t="s">
        <v>839</v>
      </c>
      <c r="O1675" s="54" t="s">
        <v>383</v>
      </c>
      <c r="P1675" s="44" t="s">
        <v>309</v>
      </c>
      <c r="Q1675" s="59" t="str">
        <f>MID(Tabla1[[#This Row],[Aplicación]],14,1)</f>
        <v>2</v>
      </c>
      <c r="R1675" s="35" t="s">
        <v>298</v>
      </c>
      <c r="S1675" s="59" t="str">
        <f>MID(Tabla1[[#This Row],[Aplicación]],6,2)</f>
        <v>11</v>
      </c>
      <c r="T1675" s="35" t="str">
        <f>VLOOKUP(Tabla1[[#This Row],[AREA]],Hoja1!A:B,2,FALSE)</f>
        <v>11. Salud pública y seguridad ciudadana</v>
      </c>
      <c r="U1675" s="35" t="str">
        <f>MID(Tabla1[[#This Row],[Aplicación]],9,4)</f>
        <v>1621</v>
      </c>
      <c r="V1675" s="35" t="str">
        <f>VLOOKUP(Tabla1[[#This Row],[PROGRAMA]],Hoja1!A:B,2,FALSE)</f>
        <v>1621. Servicio de limpieza</v>
      </c>
      <c r="W1675" s="56" t="str">
        <f>MID(Tabla1[[#This Row],[Aplicación]],14,2)</f>
        <v>21</v>
      </c>
      <c r="X1675" s="56" t="str">
        <f>MID(Tabla1[[#This Row],[Aplicación]],14,6)</f>
        <v>219</v>
      </c>
    </row>
    <row r="1676" spans="1:24" x14ac:dyDescent="0.25">
      <c r="A1676" s="55">
        <v>220230008961</v>
      </c>
      <c r="B1676" s="47" t="s">
        <v>507</v>
      </c>
      <c r="C1676" s="52">
        <v>45002</v>
      </c>
      <c r="D1676" s="46">
        <v>22023003176</v>
      </c>
      <c r="E1676" s="47" t="s">
        <v>1506</v>
      </c>
      <c r="F1676" s="53">
        <v>965.7</v>
      </c>
      <c r="G1676" s="47" t="s">
        <v>1915</v>
      </c>
      <c r="H1676" s="47" t="s">
        <v>3060</v>
      </c>
      <c r="I1676" s="46" t="s">
        <v>511</v>
      </c>
      <c r="J1676" s="47" t="s">
        <v>953</v>
      </c>
      <c r="K1676" s="47" t="s">
        <v>519</v>
      </c>
      <c r="L1676" s="47" t="s">
        <v>552</v>
      </c>
      <c r="M1676" s="47" t="s">
        <v>976</v>
      </c>
      <c r="N1676" s="47" t="s">
        <v>839</v>
      </c>
      <c r="O1676" s="54" t="s">
        <v>383</v>
      </c>
      <c r="P1676" s="44" t="s">
        <v>309</v>
      </c>
      <c r="Q1676" s="59" t="str">
        <f>MID(Tabla1[[#This Row],[Aplicación]],14,1)</f>
        <v>2</v>
      </c>
      <c r="R1676" s="35" t="s">
        <v>298</v>
      </c>
      <c r="S1676" s="59" t="str">
        <f>MID(Tabla1[[#This Row],[Aplicación]],6,2)</f>
        <v>03</v>
      </c>
      <c r="T1676" s="35" t="str">
        <f>VLOOKUP(Tabla1[[#This Row],[AREA]],Hoja1!A:B,2,FALSE)</f>
        <v>03. Participación ciudadana y deportes</v>
      </c>
      <c r="U1676" s="35" t="str">
        <f>MID(Tabla1[[#This Row],[Aplicación]],9,4)</f>
        <v>9241</v>
      </c>
      <c r="V1676" s="35" t="str">
        <f>VLOOKUP(Tabla1[[#This Row],[PROGRAMA]],Hoja1!A:B,2,FALSE)</f>
        <v>9241. Participación ciudadana</v>
      </c>
      <c r="W1676" s="56" t="str">
        <f>MID(Tabla1[[#This Row],[Aplicación]],14,2)</f>
        <v>21</v>
      </c>
      <c r="X1676" s="56" t="str">
        <f>MID(Tabla1[[#This Row],[Aplicación]],14,6)</f>
        <v>212</v>
      </c>
    </row>
    <row r="1677" spans="1:24" x14ac:dyDescent="0.25">
      <c r="A1677" s="55">
        <v>220230008934</v>
      </c>
      <c r="B1677" s="47" t="s">
        <v>507</v>
      </c>
      <c r="C1677" s="52">
        <v>45002</v>
      </c>
      <c r="D1677" s="46">
        <v>22023003111</v>
      </c>
      <c r="E1677" s="47" t="s">
        <v>3061</v>
      </c>
      <c r="F1677" s="53">
        <v>644.69000000000005</v>
      </c>
      <c r="G1677" s="47" t="s">
        <v>35</v>
      </c>
      <c r="H1677" s="47" t="s">
        <v>3062</v>
      </c>
      <c r="I1677" s="46" t="s">
        <v>511</v>
      </c>
      <c r="J1677" s="47" t="s">
        <v>519</v>
      </c>
      <c r="K1677" s="47" t="s">
        <v>519</v>
      </c>
      <c r="L1677" s="47" t="s">
        <v>552</v>
      </c>
      <c r="M1677" s="47" t="s">
        <v>976</v>
      </c>
      <c r="N1677" s="47" t="s">
        <v>839</v>
      </c>
      <c r="O1677" s="54" t="s">
        <v>383</v>
      </c>
      <c r="P1677" s="44" t="s">
        <v>309</v>
      </c>
      <c r="Q1677" s="59" t="str">
        <f>MID(Tabla1[[#This Row],[Aplicación]],14,1)</f>
        <v>2</v>
      </c>
      <c r="R1677" s="35" t="s">
        <v>298</v>
      </c>
      <c r="S1677" s="59" t="str">
        <f>MID(Tabla1[[#This Row],[Aplicación]],6,2)</f>
        <v>03</v>
      </c>
      <c r="T1677" s="35" t="str">
        <f>VLOOKUP(Tabla1[[#This Row],[AREA]],Hoja1!A:B,2,FALSE)</f>
        <v>03. Participación ciudadana y deportes</v>
      </c>
      <c r="U1677" s="35" t="str">
        <f>MID(Tabla1[[#This Row],[Aplicación]],9,4)</f>
        <v>9241</v>
      </c>
      <c r="V1677" s="35" t="str">
        <f>VLOOKUP(Tabla1[[#This Row],[PROGRAMA]],Hoja1!A:B,2,FALSE)</f>
        <v>9241. Participación ciudadana</v>
      </c>
      <c r="W1677" s="56" t="str">
        <f>MID(Tabla1[[#This Row],[Aplicación]],14,2)</f>
        <v>22</v>
      </c>
      <c r="X1677" s="56" t="str">
        <f>MID(Tabla1[[#This Row],[Aplicación]],14,6)</f>
        <v>22103</v>
      </c>
    </row>
    <row r="1678" spans="1:24" x14ac:dyDescent="0.25">
      <c r="A1678" s="46">
        <v>220230002056</v>
      </c>
      <c r="B1678" s="47" t="s">
        <v>507</v>
      </c>
      <c r="C1678" s="52">
        <v>44963</v>
      </c>
      <c r="D1678" s="46">
        <v>22023001819</v>
      </c>
      <c r="E1678" s="47" t="s">
        <v>1905</v>
      </c>
      <c r="F1678" s="53">
        <v>1452</v>
      </c>
      <c r="G1678" s="47" t="s">
        <v>452</v>
      </c>
      <c r="H1678" s="47" t="s">
        <v>3063</v>
      </c>
      <c r="I1678" s="46" t="s">
        <v>511</v>
      </c>
      <c r="J1678" s="47" t="s">
        <v>519</v>
      </c>
      <c r="K1678" s="47" t="s">
        <v>519</v>
      </c>
      <c r="L1678" s="47" t="s">
        <v>520</v>
      </c>
      <c r="M1678" s="47" t="s">
        <v>976</v>
      </c>
      <c r="N1678" s="47" t="s">
        <v>839</v>
      </c>
      <c r="O1678" s="45" t="s">
        <v>383</v>
      </c>
      <c r="P1678" s="44" t="s">
        <v>309</v>
      </c>
      <c r="Q1678" s="59" t="str">
        <f>MID(Tabla1[[#This Row],[Aplicación]],14,1)</f>
        <v>2</v>
      </c>
      <c r="R1678" s="35" t="s">
        <v>298</v>
      </c>
      <c r="S1678" s="59" t="str">
        <f>MID(Tabla1[[#This Row],[Aplicación]],6,2)</f>
        <v>02</v>
      </c>
      <c r="T1678" s="35" t="str">
        <f>VLOOKUP(Tabla1[[#This Row],[AREA]],Hoja1!A:B,2,FALSE)</f>
        <v>02. Planeamiento urbanístico y vivienda</v>
      </c>
      <c r="U1678" s="35" t="str">
        <f>MID(Tabla1[[#This Row],[Aplicación]],9,4)</f>
        <v>1501</v>
      </c>
      <c r="V1678" s="35" t="str">
        <f>VLOOKUP(Tabla1[[#This Row],[PROGRAMA]],Hoja1!A:B,2,FALSE)</f>
        <v>1501. Dirección del área de urbanismo</v>
      </c>
      <c r="W1678" s="56" t="str">
        <f>MID(Tabla1[[#This Row],[Aplicación]],14,2)</f>
        <v>22</v>
      </c>
      <c r="X1678" s="56" t="str">
        <f>MID(Tabla1[[#This Row],[Aplicación]],14,6)</f>
        <v>22699</v>
      </c>
    </row>
    <row r="1679" spans="1:24" x14ac:dyDescent="0.25">
      <c r="A1679" s="46">
        <v>220230006728</v>
      </c>
      <c r="B1679" s="47" t="s">
        <v>507</v>
      </c>
      <c r="C1679" s="52">
        <v>44986</v>
      </c>
      <c r="D1679" s="46">
        <v>22023002706</v>
      </c>
      <c r="E1679" s="47" t="s">
        <v>835</v>
      </c>
      <c r="F1679" s="53">
        <v>7139</v>
      </c>
      <c r="G1679" s="47" t="s">
        <v>452</v>
      </c>
      <c r="H1679" s="47" t="s">
        <v>3064</v>
      </c>
      <c r="I1679" s="46" t="s">
        <v>511</v>
      </c>
      <c r="J1679" s="47" t="s">
        <v>519</v>
      </c>
      <c r="K1679" s="47" t="s">
        <v>519</v>
      </c>
      <c r="L1679" s="47" t="s">
        <v>520</v>
      </c>
      <c r="M1679" s="47" t="s">
        <v>976</v>
      </c>
      <c r="N1679" s="47" t="s">
        <v>839</v>
      </c>
      <c r="O1679" s="45" t="s">
        <v>383</v>
      </c>
      <c r="P1679" s="44" t="s">
        <v>309</v>
      </c>
      <c r="Q1679" s="59" t="str">
        <f>MID(Tabla1[[#This Row],[Aplicación]],14,1)</f>
        <v>2</v>
      </c>
      <c r="R1679" s="35" t="s">
        <v>298</v>
      </c>
      <c r="S1679" s="59" t="str">
        <f>MID(Tabla1[[#This Row],[Aplicación]],6,2)</f>
        <v>05</v>
      </c>
      <c r="T1679" s="35" t="str">
        <f>VLOOKUP(Tabla1[[#This Row],[AREA]],Hoja1!A:B,2,FALSE)</f>
        <v>05. Innovación, desarrollo económico, empleo y comercio</v>
      </c>
      <c r="U1679" s="35" t="str">
        <f>MID(Tabla1[[#This Row],[Aplicación]],9,4)</f>
        <v>4331</v>
      </c>
      <c r="V1679" s="35" t="str">
        <f>VLOOKUP(Tabla1[[#This Row],[PROGRAMA]],Hoja1!A:B,2,FALSE)</f>
        <v>4331. Desarrollo empresarial</v>
      </c>
      <c r="W1679" s="56" t="str">
        <f>MID(Tabla1[[#This Row],[Aplicación]],14,2)</f>
        <v>22</v>
      </c>
      <c r="X1679" s="56" t="str">
        <f>MID(Tabla1[[#This Row],[Aplicación]],14,6)</f>
        <v>22799</v>
      </c>
    </row>
    <row r="1680" spans="1:24" x14ac:dyDescent="0.25">
      <c r="A1680" s="55">
        <v>220230008974</v>
      </c>
      <c r="B1680" s="47" t="s">
        <v>507</v>
      </c>
      <c r="C1680" s="52">
        <v>45002</v>
      </c>
      <c r="D1680" s="46">
        <v>22023003175</v>
      </c>
      <c r="E1680" s="47" t="s">
        <v>1382</v>
      </c>
      <c r="F1680" s="53">
        <v>4362.05</v>
      </c>
      <c r="G1680" s="47" t="s">
        <v>452</v>
      </c>
      <c r="H1680" s="47" t="s">
        <v>3065</v>
      </c>
      <c r="I1680" s="46" t="s">
        <v>511</v>
      </c>
      <c r="J1680" s="47" t="s">
        <v>519</v>
      </c>
      <c r="K1680" s="47" t="s">
        <v>519</v>
      </c>
      <c r="L1680" s="47" t="s">
        <v>520</v>
      </c>
      <c r="M1680" s="47" t="s">
        <v>976</v>
      </c>
      <c r="N1680" s="47" t="s">
        <v>839</v>
      </c>
      <c r="O1680" s="54" t="s">
        <v>383</v>
      </c>
      <c r="P1680" s="44" t="s">
        <v>309</v>
      </c>
      <c r="Q1680" s="59" t="str">
        <f>MID(Tabla1[[#This Row],[Aplicación]],14,1)</f>
        <v>2</v>
      </c>
      <c r="R1680" s="35" t="s">
        <v>298</v>
      </c>
      <c r="S1680" s="59" t="str">
        <f>MID(Tabla1[[#This Row],[Aplicación]],6,2)</f>
        <v>03</v>
      </c>
      <c r="T1680" s="35" t="str">
        <f>VLOOKUP(Tabla1[[#This Row],[AREA]],Hoja1!A:B,2,FALSE)</f>
        <v>03. Participación ciudadana y deportes</v>
      </c>
      <c r="U1680" s="35" t="str">
        <f>MID(Tabla1[[#This Row],[Aplicación]],9,4)</f>
        <v>9241</v>
      </c>
      <c r="V1680" s="35" t="str">
        <f>VLOOKUP(Tabla1[[#This Row],[PROGRAMA]],Hoja1!A:B,2,FALSE)</f>
        <v>9241. Participación ciudadana</v>
      </c>
      <c r="W1680" s="56" t="str">
        <f>MID(Tabla1[[#This Row],[Aplicación]],14,2)</f>
        <v>22</v>
      </c>
      <c r="X1680" s="56" t="str">
        <f>MID(Tabla1[[#This Row],[Aplicación]],14,6)</f>
        <v>22699</v>
      </c>
    </row>
    <row r="1681" spans="1:24" x14ac:dyDescent="0.25">
      <c r="A1681" s="55">
        <v>220230010337</v>
      </c>
      <c r="B1681" s="47" t="s">
        <v>507</v>
      </c>
      <c r="C1681" s="52">
        <v>45008</v>
      </c>
      <c r="D1681" s="46">
        <v>22023003079</v>
      </c>
      <c r="E1681" s="47" t="s">
        <v>1341</v>
      </c>
      <c r="F1681" s="53">
        <v>1101.0999999999999</v>
      </c>
      <c r="G1681" s="47" t="s">
        <v>452</v>
      </c>
      <c r="H1681" s="47" t="s">
        <v>3066</v>
      </c>
      <c r="I1681" s="46" t="s">
        <v>2168</v>
      </c>
      <c r="J1681" s="47" t="s">
        <v>519</v>
      </c>
      <c r="K1681" s="47" t="s">
        <v>519</v>
      </c>
      <c r="L1681" s="47" t="s">
        <v>520</v>
      </c>
      <c r="M1681" s="47" t="s">
        <v>976</v>
      </c>
      <c r="N1681" s="47" t="s">
        <v>839</v>
      </c>
      <c r="O1681" s="54" t="s">
        <v>383</v>
      </c>
      <c r="P1681" s="44" t="s">
        <v>309</v>
      </c>
      <c r="Q1681" s="59" t="str">
        <f>MID(Tabla1[[#This Row],[Aplicación]],14,1)</f>
        <v>2</v>
      </c>
      <c r="R1681" s="35" t="s">
        <v>298</v>
      </c>
      <c r="S1681" s="59" t="str">
        <f>MID(Tabla1[[#This Row],[Aplicación]],6,2)</f>
        <v>05</v>
      </c>
      <c r="T1681" s="35" t="str">
        <f>VLOOKUP(Tabla1[[#This Row],[AREA]],Hoja1!A:B,2,FALSE)</f>
        <v>05. Innovación, desarrollo económico, empleo y comercio</v>
      </c>
      <c r="U1681" s="35" t="str">
        <f>MID(Tabla1[[#This Row],[Aplicación]],9,4)</f>
        <v>4331</v>
      </c>
      <c r="V1681" s="35" t="str">
        <f>VLOOKUP(Tabla1[[#This Row],[PROGRAMA]],Hoja1!A:B,2,FALSE)</f>
        <v>4331. Desarrollo empresarial</v>
      </c>
      <c r="W1681" s="56" t="str">
        <f>MID(Tabla1[[#This Row],[Aplicación]],14,2)</f>
        <v>22</v>
      </c>
      <c r="X1681" s="56" t="str">
        <f>MID(Tabla1[[#This Row],[Aplicación]],14,6)</f>
        <v>22602</v>
      </c>
    </row>
    <row r="1682" spans="1:24" x14ac:dyDescent="0.25">
      <c r="A1682" s="46">
        <v>220230001788</v>
      </c>
      <c r="B1682" s="47" t="s">
        <v>507</v>
      </c>
      <c r="C1682" s="52">
        <v>44960</v>
      </c>
      <c r="D1682" s="46">
        <v>22023000070</v>
      </c>
      <c r="E1682" s="47" t="s">
        <v>1386</v>
      </c>
      <c r="F1682" s="53">
        <v>2142.91</v>
      </c>
      <c r="G1682" s="47" t="s">
        <v>34</v>
      </c>
      <c r="H1682" s="47" t="s">
        <v>3067</v>
      </c>
      <c r="I1682" s="46" t="s">
        <v>511</v>
      </c>
      <c r="J1682" s="47" t="s">
        <v>519</v>
      </c>
      <c r="K1682" s="47" t="s">
        <v>519</v>
      </c>
      <c r="L1682" s="47" t="s">
        <v>552</v>
      </c>
      <c r="M1682" s="47" t="s">
        <v>976</v>
      </c>
      <c r="N1682" s="47" t="s">
        <v>839</v>
      </c>
      <c r="O1682" s="45" t="s">
        <v>383</v>
      </c>
      <c r="P1682" s="44" t="s">
        <v>309</v>
      </c>
      <c r="Q1682" s="59" t="str">
        <f>MID(Tabla1[[#This Row],[Aplicación]],14,1)</f>
        <v>2</v>
      </c>
      <c r="R1682" s="35" t="s">
        <v>298</v>
      </c>
      <c r="S1682" s="59" t="str">
        <f>MID(Tabla1[[#This Row],[Aplicación]],6,2)</f>
        <v>01</v>
      </c>
      <c r="T1682" s="35" t="str">
        <f>VLOOKUP(Tabla1[[#This Row],[AREA]],Hoja1!A:B,2,FALSE)</f>
        <v>01. Alcaldía</v>
      </c>
      <c r="U1682" s="35" t="str">
        <f>MID(Tabla1[[#This Row],[Aplicación]],9,4)</f>
        <v>9207</v>
      </c>
      <c r="V1682" s="35" t="str">
        <f>VLOOKUP(Tabla1[[#This Row],[PROGRAMA]],Hoja1!A:B,2,FALSE)</f>
        <v>9207. Gobierno y relaciones</v>
      </c>
      <c r="W1682" s="56" t="str">
        <f>MID(Tabla1[[#This Row],[Aplicación]],14,2)</f>
        <v>22</v>
      </c>
      <c r="X1682" s="56" t="str">
        <f>MID(Tabla1[[#This Row],[Aplicación]],14,6)</f>
        <v>22001</v>
      </c>
    </row>
    <row r="1683" spans="1:24" x14ac:dyDescent="0.25">
      <c r="A1683" s="55">
        <v>220230008943</v>
      </c>
      <c r="B1683" s="47" t="s">
        <v>507</v>
      </c>
      <c r="C1683" s="52">
        <v>45002</v>
      </c>
      <c r="D1683" s="46">
        <v>22023003145</v>
      </c>
      <c r="E1683" s="47" t="s">
        <v>3068</v>
      </c>
      <c r="F1683" s="53">
        <v>46.26</v>
      </c>
      <c r="G1683" s="47" t="s">
        <v>2477</v>
      </c>
      <c r="H1683" s="47" t="s">
        <v>3069</v>
      </c>
      <c r="I1683" s="46" t="s">
        <v>511</v>
      </c>
      <c r="J1683" s="47" t="s">
        <v>519</v>
      </c>
      <c r="K1683" s="47" t="s">
        <v>519</v>
      </c>
      <c r="L1683" s="47" t="s">
        <v>552</v>
      </c>
      <c r="M1683" s="47" t="s">
        <v>976</v>
      </c>
      <c r="N1683" s="47" t="s">
        <v>839</v>
      </c>
      <c r="O1683" s="54" t="s">
        <v>383</v>
      </c>
      <c r="P1683" s="44" t="s">
        <v>309</v>
      </c>
      <c r="Q1683" s="59" t="str">
        <f>MID(Tabla1[[#This Row],[Aplicación]],14,1)</f>
        <v>2</v>
      </c>
      <c r="R1683" s="35" t="s">
        <v>298</v>
      </c>
      <c r="S1683" s="59" t="str">
        <f>MID(Tabla1[[#This Row],[Aplicación]],6,2)</f>
        <v>05</v>
      </c>
      <c r="T1683" s="35" t="str">
        <f>VLOOKUP(Tabla1[[#This Row],[AREA]],Hoja1!A:B,2,FALSE)</f>
        <v>05. Innovación, desarrollo económico, empleo y comercio</v>
      </c>
      <c r="U1683" s="35" t="str">
        <f>MID(Tabla1[[#This Row],[Aplicación]],9,4)</f>
        <v>4312</v>
      </c>
      <c r="V1683" s="35" t="str">
        <f>VLOOKUP(Tabla1[[#This Row],[PROGRAMA]],Hoja1!A:B,2,FALSE)</f>
        <v>4312. Mercados, abastos y lonjas</v>
      </c>
      <c r="W1683" s="56" t="str">
        <f>MID(Tabla1[[#This Row],[Aplicación]],14,2)</f>
        <v>22</v>
      </c>
      <c r="X1683" s="56" t="str">
        <f>MID(Tabla1[[#This Row],[Aplicación]],14,6)</f>
        <v>22199</v>
      </c>
    </row>
    <row r="1684" spans="1:24" x14ac:dyDescent="0.25">
      <c r="A1684" s="46">
        <v>220230006726</v>
      </c>
      <c r="B1684" s="47" t="s">
        <v>507</v>
      </c>
      <c r="C1684" s="52">
        <v>44986</v>
      </c>
      <c r="D1684" s="46">
        <v>22023002678</v>
      </c>
      <c r="E1684" s="47" t="s">
        <v>1299</v>
      </c>
      <c r="F1684" s="53">
        <v>1100</v>
      </c>
      <c r="G1684" s="47" t="s">
        <v>34</v>
      </c>
      <c r="H1684" s="47" t="s">
        <v>3070</v>
      </c>
      <c r="I1684" s="46" t="s">
        <v>511</v>
      </c>
      <c r="J1684" s="47" t="s">
        <v>519</v>
      </c>
      <c r="K1684" s="47" t="s">
        <v>519</v>
      </c>
      <c r="L1684" s="47" t="s">
        <v>552</v>
      </c>
      <c r="M1684" s="47" t="s">
        <v>976</v>
      </c>
      <c r="N1684" s="47" t="s">
        <v>839</v>
      </c>
      <c r="O1684" s="45" t="s">
        <v>383</v>
      </c>
      <c r="P1684" s="44" t="s">
        <v>309</v>
      </c>
      <c r="Q1684" s="59" t="str">
        <f>MID(Tabla1[[#This Row],[Aplicación]],14,1)</f>
        <v>2</v>
      </c>
      <c r="R1684" s="35" t="s">
        <v>298</v>
      </c>
      <c r="S1684" s="59" t="str">
        <f>MID(Tabla1[[#This Row],[Aplicación]],6,2)</f>
        <v>06</v>
      </c>
      <c r="T1684" s="35" t="str">
        <f>VLOOKUP(Tabla1[[#This Row],[AREA]],Hoja1!A:B,2,FALSE)</f>
        <v>06. Educación, infancia, juventud e igualdad</v>
      </c>
      <c r="U1684" s="35" t="str">
        <f>MID(Tabla1[[#This Row],[Aplicación]],9,4)</f>
        <v>3321</v>
      </c>
      <c r="V1684" s="35" t="str">
        <f>VLOOKUP(Tabla1[[#This Row],[PROGRAMA]],Hoja1!A:B,2,FALSE)</f>
        <v>3321. Bibliotecas públicas</v>
      </c>
      <c r="W1684" s="56" t="str">
        <f>MID(Tabla1[[#This Row],[Aplicación]],14,2)</f>
        <v>22</v>
      </c>
      <c r="X1684" s="56" t="str">
        <f>MID(Tabla1[[#This Row],[Aplicación]],14,6)</f>
        <v>22001</v>
      </c>
    </row>
    <row r="1685" spans="1:24" x14ac:dyDescent="0.25">
      <c r="A1685" s="46">
        <v>220230007161</v>
      </c>
      <c r="B1685" s="47" t="s">
        <v>507</v>
      </c>
      <c r="C1685" s="52">
        <v>44987</v>
      </c>
      <c r="D1685" s="46">
        <v>22023002900</v>
      </c>
      <c r="E1685" s="47" t="s">
        <v>1688</v>
      </c>
      <c r="F1685" s="53">
        <v>399.3</v>
      </c>
      <c r="G1685" s="47" t="s">
        <v>3071</v>
      </c>
      <c r="H1685" s="47" t="s">
        <v>3072</v>
      </c>
      <c r="I1685" s="46" t="s">
        <v>511</v>
      </c>
      <c r="J1685" s="47" t="s">
        <v>519</v>
      </c>
      <c r="K1685" s="47" t="s">
        <v>519</v>
      </c>
      <c r="L1685" s="47" t="s">
        <v>552</v>
      </c>
      <c r="M1685" s="47" t="s">
        <v>976</v>
      </c>
      <c r="N1685" s="47" t="s">
        <v>839</v>
      </c>
      <c r="O1685" s="45" t="s">
        <v>383</v>
      </c>
      <c r="P1685" s="44" t="s">
        <v>309</v>
      </c>
      <c r="Q1685" s="59" t="str">
        <f>MID(Tabla1[[#This Row],[Aplicación]],14,1)</f>
        <v>2</v>
      </c>
      <c r="R1685" s="35" t="s">
        <v>298</v>
      </c>
      <c r="S1685" s="59" t="str">
        <f>MID(Tabla1[[#This Row],[Aplicación]],6,2)</f>
        <v>06</v>
      </c>
      <c r="T1685" s="35" t="str">
        <f>VLOOKUP(Tabla1[[#This Row],[AREA]],Hoja1!A:B,2,FALSE)</f>
        <v>06. Educación, infancia, juventud e igualdad</v>
      </c>
      <c r="U1685" s="35" t="str">
        <f>MID(Tabla1[[#This Row],[Aplicación]],9,4)</f>
        <v>3261</v>
      </c>
      <c r="V1685" s="35" t="str">
        <f>VLOOKUP(Tabla1[[#This Row],[PROGRAMA]],Hoja1!A:B,2,FALSE)</f>
        <v>3261. Servicios complementarios de educación</v>
      </c>
      <c r="W1685" s="56" t="str">
        <f>MID(Tabla1[[#This Row],[Aplicación]],14,2)</f>
        <v>22</v>
      </c>
      <c r="X1685" s="56" t="str">
        <f>MID(Tabla1[[#This Row],[Aplicación]],14,6)</f>
        <v>22699</v>
      </c>
    </row>
    <row r="1686" spans="1:24" x14ac:dyDescent="0.25">
      <c r="A1686" s="46">
        <v>220230008181</v>
      </c>
      <c r="B1686" s="47" t="s">
        <v>507</v>
      </c>
      <c r="C1686" s="52">
        <v>44998</v>
      </c>
      <c r="D1686" s="46">
        <v>22023002876</v>
      </c>
      <c r="E1686" s="47" t="s">
        <v>1285</v>
      </c>
      <c r="F1686" s="53">
        <v>353.93</v>
      </c>
      <c r="G1686" s="47" t="s">
        <v>3071</v>
      </c>
      <c r="H1686" s="47" t="s">
        <v>3073</v>
      </c>
      <c r="I1686" s="46" t="s">
        <v>511</v>
      </c>
      <c r="J1686" s="47" t="s">
        <v>519</v>
      </c>
      <c r="K1686" s="47" t="s">
        <v>519</v>
      </c>
      <c r="L1686" s="47" t="s">
        <v>552</v>
      </c>
      <c r="M1686" s="47" t="s">
        <v>976</v>
      </c>
      <c r="N1686" s="47" t="s">
        <v>839</v>
      </c>
      <c r="O1686" s="54" t="s">
        <v>383</v>
      </c>
      <c r="P1686" s="44" t="s">
        <v>309</v>
      </c>
      <c r="Q1686" s="59" t="str">
        <f>MID(Tabla1[[#This Row],[Aplicación]],14,1)</f>
        <v>2</v>
      </c>
      <c r="R1686" s="35" t="s">
        <v>298</v>
      </c>
      <c r="S1686" s="59" t="str">
        <f>MID(Tabla1[[#This Row],[Aplicación]],6,2)</f>
        <v>11</v>
      </c>
      <c r="T1686" s="35" t="str">
        <f>VLOOKUP(Tabla1[[#This Row],[AREA]],Hoja1!A:B,2,FALSE)</f>
        <v>11. Salud pública y seguridad ciudadana</v>
      </c>
      <c r="U1686" s="35" t="str">
        <f>MID(Tabla1[[#This Row],[Aplicación]],9,4)</f>
        <v>1361</v>
      </c>
      <c r="V1686" s="35" t="str">
        <f>VLOOKUP(Tabla1[[#This Row],[PROGRAMA]],Hoja1!A:B,2,FALSE)</f>
        <v>1361. Prevención y extinción de incencios</v>
      </c>
      <c r="W1686" s="56" t="str">
        <f>MID(Tabla1[[#This Row],[Aplicación]],14,2)</f>
        <v>22</v>
      </c>
      <c r="X1686" s="56" t="str">
        <f>MID(Tabla1[[#This Row],[Aplicación]],14,6)</f>
        <v>22199</v>
      </c>
    </row>
    <row r="1687" spans="1:24" x14ac:dyDescent="0.25">
      <c r="A1687" s="46">
        <v>220230001932</v>
      </c>
      <c r="B1687" s="47" t="s">
        <v>507</v>
      </c>
      <c r="C1687" s="52">
        <v>44960</v>
      </c>
      <c r="D1687" s="46">
        <v>22023001333</v>
      </c>
      <c r="E1687" s="47" t="s">
        <v>2138</v>
      </c>
      <c r="F1687" s="53">
        <v>118.58</v>
      </c>
      <c r="G1687" s="47" t="s">
        <v>41</v>
      </c>
      <c r="H1687" s="47" t="s">
        <v>3074</v>
      </c>
      <c r="I1687" s="46" t="s">
        <v>511</v>
      </c>
      <c r="J1687" s="47" t="s">
        <v>519</v>
      </c>
      <c r="K1687" s="47" t="s">
        <v>519</v>
      </c>
      <c r="L1687" s="47" t="s">
        <v>520</v>
      </c>
      <c r="M1687" s="47" t="s">
        <v>976</v>
      </c>
      <c r="N1687" s="47" t="s">
        <v>839</v>
      </c>
      <c r="O1687" s="45" t="s">
        <v>383</v>
      </c>
      <c r="P1687" s="44" t="s">
        <v>309</v>
      </c>
      <c r="Q1687" s="59" t="str">
        <f>MID(Tabla1[[#This Row],[Aplicación]],14,1)</f>
        <v>2</v>
      </c>
      <c r="R1687" s="35" t="s">
        <v>298</v>
      </c>
      <c r="S1687" s="59" t="str">
        <f>MID(Tabla1[[#This Row],[Aplicación]],6,2)</f>
        <v>10</v>
      </c>
      <c r="T1687" s="35" t="str">
        <f>VLOOKUP(Tabla1[[#This Row],[AREA]],Hoja1!A:B,2,FALSE)</f>
        <v>10. Servicios sociales y mediación comunitaria</v>
      </c>
      <c r="U1687" s="35" t="str">
        <f>MID(Tabla1[[#This Row],[Aplicación]],9,4)</f>
        <v>2312</v>
      </c>
      <c r="V1687" s="35" t="str">
        <f>VLOOKUP(Tabla1[[#This Row],[PROGRAMA]],Hoja1!A:B,2,FALSE)</f>
        <v>2312. Iniciativas sociales</v>
      </c>
      <c r="W1687" s="56" t="str">
        <f>MID(Tabla1[[#This Row],[Aplicación]],14,2)</f>
        <v>22</v>
      </c>
      <c r="X1687" s="56" t="str">
        <f>MID(Tabla1[[#This Row],[Aplicación]],14,6)</f>
        <v>22615</v>
      </c>
    </row>
    <row r="1688" spans="1:24" x14ac:dyDescent="0.25">
      <c r="A1688" s="46">
        <v>220230001986</v>
      </c>
      <c r="B1688" s="47" t="s">
        <v>507</v>
      </c>
      <c r="C1688" s="52">
        <v>44960</v>
      </c>
      <c r="D1688" s="46">
        <v>22023001568</v>
      </c>
      <c r="E1688" s="47" t="s">
        <v>1303</v>
      </c>
      <c r="F1688" s="53">
        <v>200</v>
      </c>
      <c r="G1688" s="47" t="s">
        <v>41</v>
      </c>
      <c r="H1688" s="47" t="s">
        <v>3075</v>
      </c>
      <c r="I1688" s="46" t="s">
        <v>511</v>
      </c>
      <c r="J1688" s="47" t="s">
        <v>519</v>
      </c>
      <c r="K1688" s="47" t="s">
        <v>519</v>
      </c>
      <c r="L1688" s="47" t="s">
        <v>552</v>
      </c>
      <c r="M1688" s="47" t="s">
        <v>976</v>
      </c>
      <c r="N1688" s="47" t="s">
        <v>839</v>
      </c>
      <c r="O1688" s="45" t="s">
        <v>383</v>
      </c>
      <c r="P1688" s="44" t="s">
        <v>309</v>
      </c>
      <c r="Q1688" s="59" t="str">
        <f>MID(Tabla1[[#This Row],[Aplicación]],14,1)</f>
        <v>2</v>
      </c>
      <c r="R1688" s="35" t="s">
        <v>298</v>
      </c>
      <c r="S1688" s="59" t="str">
        <f>MID(Tabla1[[#This Row],[Aplicación]],6,2)</f>
        <v>11</v>
      </c>
      <c r="T1688" s="35" t="str">
        <f>VLOOKUP(Tabla1[[#This Row],[AREA]],Hoja1!A:B,2,FALSE)</f>
        <v>11. Salud pública y seguridad ciudadana</v>
      </c>
      <c r="U1688" s="35" t="str">
        <f>MID(Tabla1[[#This Row],[Aplicación]],9,4)</f>
        <v>1321</v>
      </c>
      <c r="V1688" s="35" t="str">
        <f>VLOOKUP(Tabla1[[#This Row],[PROGRAMA]],Hoja1!A:B,2,FALSE)</f>
        <v>1321. Policía municipal</v>
      </c>
      <c r="W1688" s="56" t="str">
        <f>MID(Tabla1[[#This Row],[Aplicación]],14,2)</f>
        <v>22</v>
      </c>
      <c r="X1688" s="56" t="str">
        <f>MID(Tabla1[[#This Row],[Aplicación]],14,6)</f>
        <v>22699</v>
      </c>
    </row>
    <row r="1689" spans="1:24" x14ac:dyDescent="0.25">
      <c r="A1689" s="46">
        <v>220230001963</v>
      </c>
      <c r="B1689" s="47" t="s">
        <v>507</v>
      </c>
      <c r="C1689" s="52">
        <v>44960</v>
      </c>
      <c r="D1689" s="46">
        <v>22023000594</v>
      </c>
      <c r="E1689" s="47" t="s">
        <v>1667</v>
      </c>
      <c r="F1689" s="53">
        <v>7210.39</v>
      </c>
      <c r="G1689" s="47" t="s">
        <v>41</v>
      </c>
      <c r="H1689" s="47" t="s">
        <v>3076</v>
      </c>
      <c r="I1689" s="46" t="s">
        <v>511</v>
      </c>
      <c r="J1689" s="47" t="s">
        <v>519</v>
      </c>
      <c r="K1689" s="47" t="s">
        <v>519</v>
      </c>
      <c r="L1689" s="47" t="s">
        <v>552</v>
      </c>
      <c r="M1689" s="47" t="s">
        <v>976</v>
      </c>
      <c r="N1689" s="47" t="s">
        <v>839</v>
      </c>
      <c r="O1689" s="45" t="s">
        <v>383</v>
      </c>
      <c r="P1689" s="44" t="s">
        <v>309</v>
      </c>
      <c r="Q1689" s="59" t="str">
        <f>MID(Tabla1[[#This Row],[Aplicación]],14,1)</f>
        <v>2</v>
      </c>
      <c r="R1689" s="35" t="s">
        <v>298</v>
      </c>
      <c r="S1689" s="59" t="str">
        <f>MID(Tabla1[[#This Row],[Aplicación]],6,2)</f>
        <v>01</v>
      </c>
      <c r="T1689" s="35" t="str">
        <f>VLOOKUP(Tabla1[[#This Row],[AREA]],Hoja1!A:B,2,FALSE)</f>
        <v>01. Alcaldía</v>
      </c>
      <c r="U1689" s="35" t="str">
        <f>MID(Tabla1[[#This Row],[Aplicación]],9,4)</f>
        <v>9205</v>
      </c>
      <c r="V1689" s="35" t="str">
        <f>VLOOKUP(Tabla1[[#This Row],[PROGRAMA]],Hoja1!A:B,2,FALSE)</f>
        <v>9205. Imprenta municipal</v>
      </c>
      <c r="W1689" s="56" t="str">
        <f>MID(Tabla1[[#This Row],[Aplicación]],14,2)</f>
        <v>22</v>
      </c>
      <c r="X1689" s="56" t="str">
        <f>MID(Tabla1[[#This Row],[Aplicación]],14,6)</f>
        <v>22199</v>
      </c>
    </row>
    <row r="1690" spans="1:24" x14ac:dyDescent="0.25">
      <c r="A1690" s="46">
        <v>220230002055</v>
      </c>
      <c r="B1690" s="47" t="s">
        <v>507</v>
      </c>
      <c r="C1690" s="52">
        <v>44963</v>
      </c>
      <c r="D1690" s="46">
        <v>22023001818</v>
      </c>
      <c r="E1690" s="47" t="s">
        <v>1905</v>
      </c>
      <c r="F1690" s="53">
        <v>763.51</v>
      </c>
      <c r="G1690" s="47" t="s">
        <v>41</v>
      </c>
      <c r="H1690" s="47" t="s">
        <v>3077</v>
      </c>
      <c r="I1690" s="46" t="s">
        <v>511</v>
      </c>
      <c r="J1690" s="47" t="s">
        <v>519</v>
      </c>
      <c r="K1690" s="47" t="s">
        <v>519</v>
      </c>
      <c r="L1690" s="47" t="s">
        <v>520</v>
      </c>
      <c r="M1690" s="47" t="s">
        <v>976</v>
      </c>
      <c r="N1690" s="47" t="s">
        <v>839</v>
      </c>
      <c r="O1690" s="45" t="s">
        <v>383</v>
      </c>
      <c r="P1690" s="44" t="s">
        <v>309</v>
      </c>
      <c r="Q1690" s="59" t="str">
        <f>MID(Tabla1[[#This Row],[Aplicación]],14,1)</f>
        <v>2</v>
      </c>
      <c r="R1690" s="35" t="s">
        <v>298</v>
      </c>
      <c r="S1690" s="59" t="str">
        <f>MID(Tabla1[[#This Row],[Aplicación]],6,2)</f>
        <v>02</v>
      </c>
      <c r="T1690" s="35" t="str">
        <f>VLOOKUP(Tabla1[[#This Row],[AREA]],Hoja1!A:B,2,FALSE)</f>
        <v>02. Planeamiento urbanístico y vivienda</v>
      </c>
      <c r="U1690" s="35" t="str">
        <f>MID(Tabla1[[#This Row],[Aplicación]],9,4)</f>
        <v>1501</v>
      </c>
      <c r="V1690" s="35" t="str">
        <f>VLOOKUP(Tabla1[[#This Row],[PROGRAMA]],Hoja1!A:B,2,FALSE)</f>
        <v>1501. Dirección del área de urbanismo</v>
      </c>
      <c r="W1690" s="56" t="str">
        <f>MID(Tabla1[[#This Row],[Aplicación]],14,2)</f>
        <v>22</v>
      </c>
      <c r="X1690" s="56" t="str">
        <f>MID(Tabla1[[#This Row],[Aplicación]],14,6)</f>
        <v>22699</v>
      </c>
    </row>
    <row r="1691" spans="1:24" x14ac:dyDescent="0.25">
      <c r="A1691" s="46">
        <v>220230002065</v>
      </c>
      <c r="B1691" s="47" t="s">
        <v>507</v>
      </c>
      <c r="C1691" s="52">
        <v>44963</v>
      </c>
      <c r="D1691" s="46">
        <v>22023001836</v>
      </c>
      <c r="E1691" s="47" t="s">
        <v>1260</v>
      </c>
      <c r="F1691" s="53">
        <v>850.63</v>
      </c>
      <c r="G1691" s="47" t="s">
        <v>41</v>
      </c>
      <c r="H1691" s="47" t="s">
        <v>3078</v>
      </c>
      <c r="I1691" s="46" t="s">
        <v>511</v>
      </c>
      <c r="J1691" s="47" t="s">
        <v>519</v>
      </c>
      <c r="K1691" s="47" t="s">
        <v>519</v>
      </c>
      <c r="L1691" s="47" t="s">
        <v>520</v>
      </c>
      <c r="M1691" s="47" t="s">
        <v>976</v>
      </c>
      <c r="N1691" s="47" t="s">
        <v>839</v>
      </c>
      <c r="O1691" s="45" t="s">
        <v>383</v>
      </c>
      <c r="P1691" s="44" t="s">
        <v>309</v>
      </c>
      <c r="Q1691" s="59" t="str">
        <f>MID(Tabla1[[#This Row],[Aplicación]],14,1)</f>
        <v>2</v>
      </c>
      <c r="R1691" s="35" t="s">
        <v>298</v>
      </c>
      <c r="S1691" s="59" t="str">
        <f>MID(Tabla1[[#This Row],[Aplicación]],6,2)</f>
        <v>03</v>
      </c>
      <c r="T1691" s="35" t="str">
        <f>VLOOKUP(Tabla1[[#This Row],[AREA]],Hoja1!A:B,2,FALSE)</f>
        <v>03. Participación ciudadana y deportes</v>
      </c>
      <c r="U1691" s="35" t="str">
        <f>MID(Tabla1[[#This Row],[Aplicación]],9,4)</f>
        <v>9241</v>
      </c>
      <c r="V1691" s="35" t="str">
        <f>VLOOKUP(Tabla1[[#This Row],[PROGRAMA]],Hoja1!A:B,2,FALSE)</f>
        <v>9241. Participación ciudadana</v>
      </c>
      <c r="W1691" s="56" t="str">
        <f>MID(Tabla1[[#This Row],[Aplicación]],14,2)</f>
        <v>22</v>
      </c>
      <c r="X1691" s="56" t="str">
        <f>MID(Tabla1[[#This Row],[Aplicación]],14,6)</f>
        <v>22602</v>
      </c>
    </row>
    <row r="1692" spans="1:24" x14ac:dyDescent="0.25">
      <c r="A1692" s="46">
        <v>220230003434</v>
      </c>
      <c r="B1692" s="47" t="s">
        <v>507</v>
      </c>
      <c r="C1692" s="52">
        <v>44971</v>
      </c>
      <c r="D1692" s="46">
        <v>22023002388</v>
      </c>
      <c r="E1692" s="47" t="s">
        <v>1043</v>
      </c>
      <c r="F1692" s="53">
        <v>250</v>
      </c>
      <c r="G1692" s="47" t="s">
        <v>41</v>
      </c>
      <c r="H1692" s="47" t="s">
        <v>3079</v>
      </c>
      <c r="I1692" s="46" t="s">
        <v>511</v>
      </c>
      <c r="J1692" s="47" t="s">
        <v>519</v>
      </c>
      <c r="K1692" s="47" t="s">
        <v>519</v>
      </c>
      <c r="L1692" s="47" t="s">
        <v>520</v>
      </c>
      <c r="M1692" s="47" t="s">
        <v>976</v>
      </c>
      <c r="N1692" s="47" t="s">
        <v>839</v>
      </c>
      <c r="O1692" s="45" t="s">
        <v>383</v>
      </c>
      <c r="P1692" s="44" t="s">
        <v>309</v>
      </c>
      <c r="Q1692" s="59" t="str">
        <f>MID(Tabla1[[#This Row],[Aplicación]],14,1)</f>
        <v>2</v>
      </c>
      <c r="R1692" s="35" t="s">
        <v>298</v>
      </c>
      <c r="S1692" s="59" t="str">
        <f>MID(Tabla1[[#This Row],[Aplicación]],6,2)</f>
        <v>10</v>
      </c>
      <c r="T1692" s="35" t="str">
        <f>VLOOKUP(Tabla1[[#This Row],[AREA]],Hoja1!A:B,2,FALSE)</f>
        <v>10. Servicios sociales y mediación comunitaria</v>
      </c>
      <c r="U1692" s="35" t="str">
        <f>MID(Tabla1[[#This Row],[Aplicación]],9,4)</f>
        <v>2312</v>
      </c>
      <c r="V1692" s="35" t="str">
        <f>VLOOKUP(Tabla1[[#This Row],[PROGRAMA]],Hoja1!A:B,2,FALSE)</f>
        <v>2312. Iniciativas sociales</v>
      </c>
      <c r="W1692" s="56" t="str">
        <f>MID(Tabla1[[#This Row],[Aplicación]],14,2)</f>
        <v>22</v>
      </c>
      <c r="X1692" s="56" t="str">
        <f>MID(Tabla1[[#This Row],[Aplicación]],14,6)</f>
        <v>22699</v>
      </c>
    </row>
    <row r="1693" spans="1:24" x14ac:dyDescent="0.25">
      <c r="A1693" s="46">
        <v>220230003434</v>
      </c>
      <c r="B1693" s="47" t="s">
        <v>507</v>
      </c>
      <c r="C1693" s="52">
        <v>44971</v>
      </c>
      <c r="D1693" s="46">
        <v>22023002389</v>
      </c>
      <c r="E1693" s="47" t="s">
        <v>2138</v>
      </c>
      <c r="F1693" s="53">
        <v>250</v>
      </c>
      <c r="G1693" s="47" t="s">
        <v>41</v>
      </c>
      <c r="H1693" s="47" t="s">
        <v>3079</v>
      </c>
      <c r="I1693" s="46" t="s">
        <v>511</v>
      </c>
      <c r="J1693" s="47" t="s">
        <v>519</v>
      </c>
      <c r="K1693" s="47" t="s">
        <v>519</v>
      </c>
      <c r="L1693" s="47" t="s">
        <v>520</v>
      </c>
      <c r="M1693" s="47" t="s">
        <v>976</v>
      </c>
      <c r="N1693" s="47" t="s">
        <v>839</v>
      </c>
      <c r="O1693" s="45" t="s">
        <v>383</v>
      </c>
      <c r="P1693" s="44" t="s">
        <v>309</v>
      </c>
      <c r="Q1693" s="59" t="str">
        <f>MID(Tabla1[[#This Row],[Aplicación]],14,1)</f>
        <v>2</v>
      </c>
      <c r="R1693" s="35" t="s">
        <v>298</v>
      </c>
      <c r="S1693" s="59" t="str">
        <f>MID(Tabla1[[#This Row],[Aplicación]],6,2)</f>
        <v>10</v>
      </c>
      <c r="T1693" s="35" t="str">
        <f>VLOOKUP(Tabla1[[#This Row],[AREA]],Hoja1!A:B,2,FALSE)</f>
        <v>10. Servicios sociales y mediación comunitaria</v>
      </c>
      <c r="U1693" s="35" t="str">
        <f>MID(Tabla1[[#This Row],[Aplicación]],9,4)</f>
        <v>2312</v>
      </c>
      <c r="V1693" s="35" t="str">
        <f>VLOOKUP(Tabla1[[#This Row],[PROGRAMA]],Hoja1!A:B,2,FALSE)</f>
        <v>2312. Iniciativas sociales</v>
      </c>
      <c r="W1693" s="56" t="str">
        <f>MID(Tabla1[[#This Row],[Aplicación]],14,2)</f>
        <v>22</v>
      </c>
      <c r="X1693" s="56" t="str">
        <f>MID(Tabla1[[#This Row],[Aplicación]],14,6)</f>
        <v>22615</v>
      </c>
    </row>
    <row r="1694" spans="1:24" x14ac:dyDescent="0.25">
      <c r="A1694" s="46">
        <v>220230003227</v>
      </c>
      <c r="B1694" s="47" t="s">
        <v>507</v>
      </c>
      <c r="C1694" s="52">
        <v>44971</v>
      </c>
      <c r="D1694" s="46">
        <v>22023001910</v>
      </c>
      <c r="E1694" s="47" t="s">
        <v>1907</v>
      </c>
      <c r="F1694" s="53">
        <v>1500</v>
      </c>
      <c r="G1694" s="47" t="s">
        <v>41</v>
      </c>
      <c r="H1694" s="47" t="s">
        <v>3080</v>
      </c>
      <c r="I1694" s="46" t="s">
        <v>511</v>
      </c>
      <c r="J1694" s="47" t="s">
        <v>519</v>
      </c>
      <c r="K1694" s="47" t="s">
        <v>519</v>
      </c>
      <c r="L1694" s="47" t="s">
        <v>520</v>
      </c>
      <c r="M1694" s="47" t="s">
        <v>976</v>
      </c>
      <c r="N1694" s="47" t="s">
        <v>839</v>
      </c>
      <c r="O1694" s="45" t="s">
        <v>383</v>
      </c>
      <c r="P1694" s="44" t="s">
        <v>309</v>
      </c>
      <c r="Q1694" s="59" t="str">
        <f>MID(Tabla1[[#This Row],[Aplicación]],14,1)</f>
        <v>2</v>
      </c>
      <c r="R1694" s="35" t="s">
        <v>298</v>
      </c>
      <c r="S1694" s="59" t="str">
        <f>MID(Tabla1[[#This Row],[Aplicación]],6,2)</f>
        <v>10</v>
      </c>
      <c r="T1694" s="35" t="str">
        <f>VLOOKUP(Tabla1[[#This Row],[AREA]],Hoja1!A:B,2,FALSE)</f>
        <v>10. Servicios sociales y mediación comunitaria</v>
      </c>
      <c r="U1694" s="35" t="str">
        <f>MID(Tabla1[[#This Row],[Aplicación]],9,4)</f>
        <v>2313</v>
      </c>
      <c r="V1694" s="35" t="str">
        <f>VLOOKUP(Tabla1[[#This Row],[PROGRAMA]],Hoja1!A:B,2,FALSE)</f>
        <v>2313. Dirección del área de servicios sociales</v>
      </c>
      <c r="W1694" s="56" t="str">
        <f>MID(Tabla1[[#This Row],[Aplicación]],14,2)</f>
        <v>22</v>
      </c>
      <c r="X1694" s="56" t="str">
        <f>MID(Tabla1[[#This Row],[Aplicación]],14,6)</f>
        <v>22699</v>
      </c>
    </row>
    <row r="1695" spans="1:24" x14ac:dyDescent="0.25">
      <c r="A1695" s="46">
        <v>220230003895</v>
      </c>
      <c r="B1695" s="47" t="s">
        <v>507</v>
      </c>
      <c r="C1695" s="52">
        <v>44974</v>
      </c>
      <c r="D1695" s="46">
        <v>22023002570</v>
      </c>
      <c r="E1695" s="47" t="s">
        <v>1303</v>
      </c>
      <c r="F1695" s="53">
        <v>1000</v>
      </c>
      <c r="G1695" s="47" t="s">
        <v>41</v>
      </c>
      <c r="H1695" s="47" t="s">
        <v>3081</v>
      </c>
      <c r="I1695" s="46" t="s">
        <v>511</v>
      </c>
      <c r="J1695" s="47" t="s">
        <v>519</v>
      </c>
      <c r="K1695" s="47" t="s">
        <v>519</v>
      </c>
      <c r="L1695" s="47" t="s">
        <v>520</v>
      </c>
      <c r="M1695" s="47" t="s">
        <v>976</v>
      </c>
      <c r="N1695" s="47" t="s">
        <v>839</v>
      </c>
      <c r="O1695" s="45" t="s">
        <v>383</v>
      </c>
      <c r="P1695" s="44" t="s">
        <v>309</v>
      </c>
      <c r="Q1695" s="59" t="str">
        <f>MID(Tabla1[[#This Row],[Aplicación]],14,1)</f>
        <v>2</v>
      </c>
      <c r="R1695" s="35" t="s">
        <v>298</v>
      </c>
      <c r="S1695" s="59" t="str">
        <f>MID(Tabla1[[#This Row],[Aplicación]],6,2)</f>
        <v>11</v>
      </c>
      <c r="T1695" s="35" t="str">
        <f>VLOOKUP(Tabla1[[#This Row],[AREA]],Hoja1!A:B,2,FALSE)</f>
        <v>11. Salud pública y seguridad ciudadana</v>
      </c>
      <c r="U1695" s="35" t="str">
        <f>MID(Tabla1[[#This Row],[Aplicación]],9,4)</f>
        <v>1321</v>
      </c>
      <c r="V1695" s="35" t="str">
        <f>VLOOKUP(Tabla1[[#This Row],[PROGRAMA]],Hoja1!A:B,2,FALSE)</f>
        <v>1321. Policía municipal</v>
      </c>
      <c r="W1695" s="56" t="str">
        <f>MID(Tabla1[[#This Row],[Aplicación]],14,2)</f>
        <v>22</v>
      </c>
      <c r="X1695" s="56" t="str">
        <f>MID(Tabla1[[#This Row],[Aplicación]],14,6)</f>
        <v>22699</v>
      </c>
    </row>
    <row r="1696" spans="1:24" x14ac:dyDescent="0.25">
      <c r="A1696" s="46">
        <v>220230005419</v>
      </c>
      <c r="B1696" s="47" t="s">
        <v>507</v>
      </c>
      <c r="C1696" s="52">
        <v>44979</v>
      </c>
      <c r="D1696" s="46">
        <v>22023002643</v>
      </c>
      <c r="E1696" s="47" t="s">
        <v>1260</v>
      </c>
      <c r="F1696" s="53">
        <v>53.24</v>
      </c>
      <c r="G1696" s="47" t="s">
        <v>41</v>
      </c>
      <c r="H1696" s="47" t="s">
        <v>3082</v>
      </c>
      <c r="I1696" s="46" t="s">
        <v>511</v>
      </c>
      <c r="J1696" s="47" t="s">
        <v>519</v>
      </c>
      <c r="K1696" s="47" t="s">
        <v>519</v>
      </c>
      <c r="L1696" s="47" t="s">
        <v>552</v>
      </c>
      <c r="M1696" s="47" t="s">
        <v>976</v>
      </c>
      <c r="N1696" s="47" t="s">
        <v>839</v>
      </c>
      <c r="O1696" s="45" t="s">
        <v>383</v>
      </c>
      <c r="P1696" s="44" t="s">
        <v>309</v>
      </c>
      <c r="Q1696" s="59" t="str">
        <f>MID(Tabla1[[#This Row],[Aplicación]],14,1)</f>
        <v>2</v>
      </c>
      <c r="R1696" s="35" t="s">
        <v>298</v>
      </c>
      <c r="S1696" s="59" t="str">
        <f>MID(Tabla1[[#This Row],[Aplicación]],6,2)</f>
        <v>03</v>
      </c>
      <c r="T1696" s="35" t="str">
        <f>VLOOKUP(Tabla1[[#This Row],[AREA]],Hoja1!A:B,2,FALSE)</f>
        <v>03. Participación ciudadana y deportes</v>
      </c>
      <c r="U1696" s="35" t="str">
        <f>MID(Tabla1[[#This Row],[Aplicación]],9,4)</f>
        <v>9241</v>
      </c>
      <c r="V1696" s="35" t="str">
        <f>VLOOKUP(Tabla1[[#This Row],[PROGRAMA]],Hoja1!A:B,2,FALSE)</f>
        <v>9241. Participación ciudadana</v>
      </c>
      <c r="W1696" s="56" t="str">
        <f>MID(Tabla1[[#This Row],[Aplicación]],14,2)</f>
        <v>22</v>
      </c>
      <c r="X1696" s="56" t="str">
        <f>MID(Tabla1[[#This Row],[Aplicación]],14,6)</f>
        <v>22602</v>
      </c>
    </row>
    <row r="1697" spans="1:24" x14ac:dyDescent="0.25">
      <c r="A1697" s="55">
        <v>220230009500</v>
      </c>
      <c r="B1697" s="47" t="s">
        <v>507</v>
      </c>
      <c r="C1697" s="52">
        <v>45006</v>
      </c>
      <c r="D1697" s="46">
        <v>22023003415</v>
      </c>
      <c r="E1697" s="47" t="s">
        <v>1479</v>
      </c>
      <c r="F1697" s="53">
        <v>665.5</v>
      </c>
      <c r="G1697" s="47" t="s">
        <v>3083</v>
      </c>
      <c r="H1697" s="47" t="s">
        <v>3084</v>
      </c>
      <c r="I1697" s="46" t="s">
        <v>511</v>
      </c>
      <c r="J1697" s="47" t="s">
        <v>3085</v>
      </c>
      <c r="K1697" s="47" t="s">
        <v>3085</v>
      </c>
      <c r="L1697" s="47" t="s">
        <v>520</v>
      </c>
      <c r="M1697" s="47" t="s">
        <v>976</v>
      </c>
      <c r="N1697" s="47" t="s">
        <v>839</v>
      </c>
      <c r="O1697" s="54" t="s">
        <v>383</v>
      </c>
      <c r="P1697" s="44" t="s">
        <v>309</v>
      </c>
      <c r="Q1697" s="59" t="str">
        <f>MID(Tabla1[[#This Row],[Aplicación]],14,1)</f>
        <v>2</v>
      </c>
      <c r="R1697" s="35" t="s">
        <v>298</v>
      </c>
      <c r="S1697" s="59" t="str">
        <f>MID(Tabla1[[#This Row],[Aplicación]],6,2)</f>
        <v>03</v>
      </c>
      <c r="T1697" s="35" t="str">
        <f>VLOOKUP(Tabla1[[#This Row],[AREA]],Hoja1!A:B,2,FALSE)</f>
        <v>03. Participación ciudadana y deportes</v>
      </c>
      <c r="U1697" s="35" t="str">
        <f>MID(Tabla1[[#This Row],[Aplicación]],9,4)</f>
        <v>9241</v>
      </c>
      <c r="V1697" s="35" t="str">
        <f>VLOOKUP(Tabla1[[#This Row],[PROGRAMA]],Hoja1!A:B,2,FALSE)</f>
        <v>9241. Participación ciudadana</v>
      </c>
      <c r="W1697" s="56" t="str">
        <f>MID(Tabla1[[#This Row],[Aplicación]],14,2)</f>
        <v>22</v>
      </c>
      <c r="X1697" s="56" t="str">
        <f>MID(Tabla1[[#This Row],[Aplicación]],14,6)</f>
        <v>22609</v>
      </c>
    </row>
    <row r="1698" spans="1:24" x14ac:dyDescent="0.25">
      <c r="A1698" s="46">
        <v>220229000745</v>
      </c>
      <c r="B1698" s="47" t="s">
        <v>507</v>
      </c>
      <c r="C1698" s="52">
        <v>44927</v>
      </c>
      <c r="D1698" s="46">
        <v>22023001314</v>
      </c>
      <c r="E1698" s="47" t="s">
        <v>539</v>
      </c>
      <c r="F1698" s="53">
        <v>16899.580000000002</v>
      </c>
      <c r="G1698" s="47" t="s">
        <v>540</v>
      </c>
      <c r="H1698" s="47" t="s">
        <v>3086</v>
      </c>
      <c r="I1698" s="46" t="s">
        <v>511</v>
      </c>
      <c r="J1698" s="47" t="s">
        <v>512</v>
      </c>
      <c r="K1698" s="47" t="s">
        <v>512</v>
      </c>
      <c r="L1698" s="47" t="s">
        <v>520</v>
      </c>
      <c r="M1698" s="47" t="s">
        <v>514</v>
      </c>
      <c r="N1698" s="47" t="s">
        <v>515</v>
      </c>
      <c r="O1698" s="45" t="s">
        <v>371</v>
      </c>
      <c r="P1698" s="44" t="s">
        <v>309</v>
      </c>
      <c r="Q1698" s="59" t="str">
        <f>MID(Tabla1[[#This Row],[Aplicación]],14,1)</f>
        <v>2</v>
      </c>
      <c r="R1698" s="35" t="s">
        <v>298</v>
      </c>
      <c r="S1698" s="59" t="str">
        <f>MID(Tabla1[[#This Row],[Aplicación]],6,2)</f>
        <v>10</v>
      </c>
      <c r="T1698" s="35" t="str">
        <f>VLOOKUP(Tabla1[[#This Row],[AREA]],Hoja1!A:B,2,FALSE)</f>
        <v>10. Servicios sociales y mediación comunitaria</v>
      </c>
      <c r="U1698" s="35" t="str">
        <f>MID(Tabla1[[#This Row],[Aplicación]],9,4)</f>
        <v>2312</v>
      </c>
      <c r="V1698" s="35" t="str">
        <f>VLOOKUP(Tabla1[[#This Row],[PROGRAMA]],Hoja1!A:B,2,FALSE)</f>
        <v>2312. Iniciativas sociales</v>
      </c>
      <c r="W1698" s="56" t="str">
        <f>MID(Tabla1[[#This Row],[Aplicación]],14,2)</f>
        <v>22</v>
      </c>
      <c r="X1698" s="56" t="str">
        <f>MID(Tabla1[[#This Row],[Aplicación]],14,6)</f>
        <v>22799</v>
      </c>
    </row>
    <row r="1699" spans="1:24" x14ac:dyDescent="0.25">
      <c r="A1699" s="46">
        <v>220230005908</v>
      </c>
      <c r="B1699" s="47" t="s">
        <v>507</v>
      </c>
      <c r="C1699" s="52">
        <v>44980</v>
      </c>
      <c r="D1699" s="46">
        <v>22023002713</v>
      </c>
      <c r="E1699" s="47" t="s">
        <v>898</v>
      </c>
      <c r="F1699" s="53">
        <v>626.36</v>
      </c>
      <c r="G1699" s="47" t="s">
        <v>404</v>
      </c>
      <c r="H1699" s="47" t="s">
        <v>3087</v>
      </c>
      <c r="I1699" s="46" t="s">
        <v>511</v>
      </c>
      <c r="J1699" s="47" t="s">
        <v>519</v>
      </c>
      <c r="K1699" s="47" t="s">
        <v>519</v>
      </c>
      <c r="L1699" s="47" t="s">
        <v>520</v>
      </c>
      <c r="M1699" s="47" t="s">
        <v>976</v>
      </c>
      <c r="N1699" s="47" t="s">
        <v>839</v>
      </c>
      <c r="O1699" s="45" t="s">
        <v>383</v>
      </c>
      <c r="P1699" s="44" t="s">
        <v>309</v>
      </c>
      <c r="Q1699" s="59" t="str">
        <f>MID(Tabla1[[#This Row],[Aplicación]],14,1)</f>
        <v>2</v>
      </c>
      <c r="R1699" s="35" t="s">
        <v>298</v>
      </c>
      <c r="S1699" s="59" t="str">
        <f>MID(Tabla1[[#This Row],[Aplicación]],6,2)</f>
        <v>06</v>
      </c>
      <c r="T1699" s="35" t="str">
        <f>VLOOKUP(Tabla1[[#This Row],[AREA]],Hoja1!A:B,2,FALSE)</f>
        <v>06. Educación, infancia, juventud e igualdad</v>
      </c>
      <c r="U1699" s="35" t="str">
        <f>MID(Tabla1[[#This Row],[Aplicación]],9,4)</f>
        <v>3232</v>
      </c>
      <c r="V1699" s="35" t="str">
        <f>VLOOKUP(Tabla1[[#This Row],[PROGRAMA]],Hoja1!A:B,2,FALSE)</f>
        <v>3232. Conservación y mantenimiento centros educación infantil y primaria</v>
      </c>
      <c r="W1699" s="56" t="str">
        <f>MID(Tabla1[[#This Row],[Aplicación]],14,2)</f>
        <v>22</v>
      </c>
      <c r="X1699" s="56" t="str">
        <f>MID(Tabla1[[#This Row],[Aplicación]],14,6)</f>
        <v>22799</v>
      </c>
    </row>
    <row r="1700" spans="1:24" x14ac:dyDescent="0.25">
      <c r="A1700" s="46">
        <v>220230003244</v>
      </c>
      <c r="B1700" s="47" t="s">
        <v>507</v>
      </c>
      <c r="C1700" s="52">
        <v>44971</v>
      </c>
      <c r="D1700" s="46">
        <v>22023002423</v>
      </c>
      <c r="E1700" s="47" t="s">
        <v>607</v>
      </c>
      <c r="F1700" s="53">
        <v>1720</v>
      </c>
      <c r="G1700" s="47" t="s">
        <v>38</v>
      </c>
      <c r="H1700" s="47" t="s">
        <v>3088</v>
      </c>
      <c r="I1700" s="46" t="s">
        <v>511</v>
      </c>
      <c r="J1700" s="47" t="s">
        <v>2260</v>
      </c>
      <c r="K1700" s="47" t="s">
        <v>512</v>
      </c>
      <c r="L1700" s="47" t="s">
        <v>520</v>
      </c>
      <c r="M1700" s="47" t="s">
        <v>976</v>
      </c>
      <c r="N1700" s="47" t="s">
        <v>839</v>
      </c>
      <c r="O1700" s="45" t="s">
        <v>383</v>
      </c>
      <c r="P1700" s="44" t="s">
        <v>309</v>
      </c>
      <c r="Q1700" s="59" t="str">
        <f>MID(Tabla1[[#This Row],[Aplicación]],14,1)</f>
        <v>2</v>
      </c>
      <c r="R1700" s="35" t="s">
        <v>298</v>
      </c>
      <c r="S1700" s="59" t="str">
        <f>MID(Tabla1[[#This Row],[Aplicación]],6,2)</f>
        <v>11</v>
      </c>
      <c r="T1700" s="35" t="str">
        <f>VLOOKUP(Tabla1[[#This Row],[AREA]],Hoja1!A:B,2,FALSE)</f>
        <v>11. Salud pública y seguridad ciudadana</v>
      </c>
      <c r="U1700" s="35" t="str">
        <f>MID(Tabla1[[#This Row],[Aplicación]],9,4)</f>
        <v>1621</v>
      </c>
      <c r="V1700" s="35" t="str">
        <f>VLOOKUP(Tabla1[[#This Row],[PROGRAMA]],Hoja1!A:B,2,FALSE)</f>
        <v>1621. Servicio de limpieza</v>
      </c>
      <c r="W1700" s="56" t="str">
        <f>MID(Tabla1[[#This Row],[Aplicación]],14,2)</f>
        <v>21</v>
      </c>
      <c r="X1700" s="56" t="str">
        <f>MID(Tabla1[[#This Row],[Aplicación]],14,6)</f>
        <v>213</v>
      </c>
    </row>
    <row r="1701" spans="1:24" x14ac:dyDescent="0.25">
      <c r="A1701" s="55">
        <v>220230012863</v>
      </c>
      <c r="B1701" s="47" t="s">
        <v>507</v>
      </c>
      <c r="C1701" s="52">
        <v>45016</v>
      </c>
      <c r="D1701" s="46">
        <v>22023003046</v>
      </c>
      <c r="E1701" s="47" t="s">
        <v>1234</v>
      </c>
      <c r="F1701" s="53">
        <v>6050</v>
      </c>
      <c r="G1701" s="47" t="s">
        <v>3089</v>
      </c>
      <c r="H1701" s="47" t="s">
        <v>3090</v>
      </c>
      <c r="I1701" s="46" t="s">
        <v>511</v>
      </c>
      <c r="J1701" s="47" t="s">
        <v>519</v>
      </c>
      <c r="K1701" s="47" t="s">
        <v>519</v>
      </c>
      <c r="L1701" s="47" t="s">
        <v>520</v>
      </c>
      <c r="M1701" s="47" t="s">
        <v>976</v>
      </c>
      <c r="N1701" s="47" t="s">
        <v>839</v>
      </c>
      <c r="O1701" s="54" t="s">
        <v>383</v>
      </c>
      <c r="P1701" s="44" t="s">
        <v>309</v>
      </c>
      <c r="Q1701" s="59" t="str">
        <f>MID(Tabla1[[#This Row],[Aplicación]],14,1)</f>
        <v>2</v>
      </c>
      <c r="R1701" s="35" t="s">
        <v>298</v>
      </c>
      <c r="S1701" s="59" t="str">
        <f>MID(Tabla1[[#This Row],[Aplicación]],6,2)</f>
        <v>10</v>
      </c>
      <c r="T1701" s="35" t="str">
        <f>VLOOKUP(Tabla1[[#This Row],[AREA]],Hoja1!A:B,2,FALSE)</f>
        <v>10. Servicios sociales y mediación comunitaria</v>
      </c>
      <c r="U1701" s="35" t="str">
        <f>MID(Tabla1[[#This Row],[Aplicación]],9,4)</f>
        <v>2316</v>
      </c>
      <c r="V1701" s="35" t="str">
        <f>VLOOKUP(Tabla1[[#This Row],[PROGRAMA]],Hoja1!A:B,2,FALSE)</f>
        <v>2316. Mediación comunitaria</v>
      </c>
      <c r="W1701" s="56" t="str">
        <f>MID(Tabla1[[#This Row],[Aplicación]],14,2)</f>
        <v>22</v>
      </c>
      <c r="X1701" s="56" t="str">
        <f>MID(Tabla1[[#This Row],[Aplicación]],14,6)</f>
        <v>22616</v>
      </c>
    </row>
    <row r="1702" spans="1:24" x14ac:dyDescent="0.25">
      <c r="A1702" s="46">
        <v>220230000196</v>
      </c>
      <c r="B1702" s="47" t="s">
        <v>507</v>
      </c>
      <c r="C1702" s="52">
        <v>44927</v>
      </c>
      <c r="D1702" s="46">
        <v>22023000834</v>
      </c>
      <c r="E1702" s="47" t="s">
        <v>574</v>
      </c>
      <c r="F1702" s="53">
        <v>20119.8</v>
      </c>
      <c r="G1702" s="47" t="s">
        <v>760</v>
      </c>
      <c r="H1702" s="47" t="s">
        <v>3091</v>
      </c>
      <c r="I1702" s="46" t="s">
        <v>511</v>
      </c>
      <c r="J1702" s="47" t="s">
        <v>512</v>
      </c>
      <c r="K1702" s="47" t="s">
        <v>512</v>
      </c>
      <c r="L1702" s="47" t="s">
        <v>520</v>
      </c>
      <c r="M1702" s="47" t="s">
        <v>514</v>
      </c>
      <c r="N1702" s="47" t="s">
        <v>515</v>
      </c>
      <c r="O1702" s="45" t="s">
        <v>371</v>
      </c>
      <c r="P1702" s="44" t="s">
        <v>309</v>
      </c>
      <c r="Q1702" s="59" t="str">
        <f>MID(Tabla1[[#This Row],[Aplicación]],14,1)</f>
        <v>2</v>
      </c>
      <c r="R1702" s="35" t="s">
        <v>298</v>
      </c>
      <c r="S1702" s="59" t="str">
        <f>MID(Tabla1[[#This Row],[Aplicación]],6,2)</f>
        <v>11</v>
      </c>
      <c r="T1702" s="35" t="str">
        <f>VLOOKUP(Tabla1[[#This Row],[AREA]],Hoja1!A:B,2,FALSE)</f>
        <v>11. Salud pública y seguridad ciudadana</v>
      </c>
      <c r="U1702" s="35" t="str">
        <f>MID(Tabla1[[#This Row],[Aplicación]],9,4)</f>
        <v>1621</v>
      </c>
      <c r="V1702" s="35" t="str">
        <f>VLOOKUP(Tabla1[[#This Row],[PROGRAMA]],Hoja1!A:B,2,FALSE)</f>
        <v>1621. Servicio de limpieza</v>
      </c>
      <c r="W1702" s="56" t="str">
        <f>MID(Tabla1[[#This Row],[Aplicación]],14,2)</f>
        <v>22</v>
      </c>
      <c r="X1702" s="56" t="str">
        <f>MID(Tabla1[[#This Row],[Aplicación]],14,6)</f>
        <v>22700</v>
      </c>
    </row>
    <row r="1703" spans="1:24" x14ac:dyDescent="0.25">
      <c r="A1703" s="46">
        <v>220229000715</v>
      </c>
      <c r="B1703" s="47" t="s">
        <v>507</v>
      </c>
      <c r="C1703" s="52">
        <v>44927</v>
      </c>
      <c r="D1703" s="46">
        <v>22023001297</v>
      </c>
      <c r="E1703" s="47" t="s">
        <v>972</v>
      </c>
      <c r="F1703" s="53">
        <v>16679.509999999998</v>
      </c>
      <c r="G1703" s="47" t="s">
        <v>760</v>
      </c>
      <c r="H1703" s="47" t="s">
        <v>3092</v>
      </c>
      <c r="I1703" s="46" t="s">
        <v>511</v>
      </c>
      <c r="J1703" s="47" t="s">
        <v>512</v>
      </c>
      <c r="K1703" s="47" t="s">
        <v>512</v>
      </c>
      <c r="L1703" s="47" t="s">
        <v>520</v>
      </c>
      <c r="M1703" s="47" t="s">
        <v>514</v>
      </c>
      <c r="N1703" s="47" t="s">
        <v>515</v>
      </c>
      <c r="O1703" s="45" t="s">
        <v>371</v>
      </c>
      <c r="P1703" s="44" t="s">
        <v>309</v>
      </c>
      <c r="Q1703" s="59" t="str">
        <f>MID(Tabla1[[#This Row],[Aplicación]],14,1)</f>
        <v>2</v>
      </c>
      <c r="R1703" s="35" t="s">
        <v>298</v>
      </c>
      <c r="S1703" s="59" t="str">
        <f>MID(Tabla1[[#This Row],[Aplicación]],6,2)</f>
        <v>06</v>
      </c>
      <c r="T1703" s="35" t="str">
        <f>VLOOKUP(Tabla1[[#This Row],[AREA]],Hoja1!A:B,2,FALSE)</f>
        <v>06. Educación, infancia, juventud e igualdad</v>
      </c>
      <c r="U1703" s="35" t="str">
        <f>MID(Tabla1[[#This Row],[Aplicación]],9,4)</f>
        <v>3321</v>
      </c>
      <c r="V1703" s="35" t="str">
        <f>VLOOKUP(Tabla1[[#This Row],[PROGRAMA]],Hoja1!A:B,2,FALSE)</f>
        <v>3321. Bibliotecas públicas</v>
      </c>
      <c r="W1703" s="56" t="str">
        <f>MID(Tabla1[[#This Row],[Aplicación]],14,2)</f>
        <v>22</v>
      </c>
      <c r="X1703" s="56" t="str">
        <f>MID(Tabla1[[#This Row],[Aplicación]],14,6)</f>
        <v>22700</v>
      </c>
    </row>
    <row r="1704" spans="1:24" x14ac:dyDescent="0.25">
      <c r="A1704" s="46">
        <v>220229000796</v>
      </c>
      <c r="B1704" s="47" t="s">
        <v>507</v>
      </c>
      <c r="C1704" s="52">
        <v>44927</v>
      </c>
      <c r="D1704" s="46">
        <v>22023001872</v>
      </c>
      <c r="E1704" s="47" t="s">
        <v>759</v>
      </c>
      <c r="F1704" s="53">
        <v>16500</v>
      </c>
      <c r="G1704" s="47" t="s">
        <v>760</v>
      </c>
      <c r="H1704" s="47" t="s">
        <v>3093</v>
      </c>
      <c r="I1704" s="46" t="s">
        <v>511</v>
      </c>
      <c r="J1704" s="47" t="s">
        <v>512</v>
      </c>
      <c r="K1704" s="47" t="s">
        <v>512</v>
      </c>
      <c r="L1704" s="47" t="s">
        <v>520</v>
      </c>
      <c r="M1704" s="47" t="s">
        <v>514</v>
      </c>
      <c r="N1704" s="47" t="s">
        <v>515</v>
      </c>
      <c r="O1704" s="45" t="s">
        <v>371</v>
      </c>
      <c r="P1704" s="44" t="s">
        <v>309</v>
      </c>
      <c r="Q1704" s="59" t="str">
        <f>MID(Tabla1[[#This Row],[Aplicación]],14,1)</f>
        <v>2</v>
      </c>
      <c r="R1704" s="35" t="s">
        <v>298</v>
      </c>
      <c r="S1704" s="59" t="str">
        <f>MID(Tabla1[[#This Row],[Aplicación]],6,2)</f>
        <v>06</v>
      </c>
      <c r="T1704" s="35" t="str">
        <f>VLOOKUP(Tabla1[[#This Row],[AREA]],Hoja1!A:B,2,FALSE)</f>
        <v>06. Educación, infancia, juventud e igualdad</v>
      </c>
      <c r="U1704" s="35" t="str">
        <f>MID(Tabla1[[#This Row],[Aplicación]],9,4)</f>
        <v>3231</v>
      </c>
      <c r="V1704" s="35" t="str">
        <f>VLOOKUP(Tabla1[[#This Row],[PROGRAMA]],Hoja1!A:B,2,FALSE)</f>
        <v>3231. Escuelas infantiles</v>
      </c>
      <c r="W1704" s="56" t="str">
        <f>MID(Tabla1[[#This Row],[Aplicación]],14,2)</f>
        <v>22</v>
      </c>
      <c r="X1704" s="56" t="str">
        <f>MID(Tabla1[[#This Row],[Aplicación]],14,6)</f>
        <v>22700</v>
      </c>
    </row>
    <row r="1705" spans="1:24" x14ac:dyDescent="0.25">
      <c r="A1705" s="46">
        <v>220229000719</v>
      </c>
      <c r="B1705" s="47" t="s">
        <v>507</v>
      </c>
      <c r="C1705" s="52">
        <v>44927</v>
      </c>
      <c r="D1705" s="46">
        <v>22023001300</v>
      </c>
      <c r="E1705" s="47" t="s">
        <v>3094</v>
      </c>
      <c r="F1705" s="53">
        <v>9610.64</v>
      </c>
      <c r="G1705" s="47" t="s">
        <v>760</v>
      </c>
      <c r="H1705" s="47" t="s">
        <v>3095</v>
      </c>
      <c r="I1705" s="46" t="s">
        <v>511</v>
      </c>
      <c r="J1705" s="47" t="s">
        <v>512</v>
      </c>
      <c r="K1705" s="47" t="s">
        <v>512</v>
      </c>
      <c r="L1705" s="47" t="s">
        <v>520</v>
      </c>
      <c r="M1705" s="47" t="s">
        <v>514</v>
      </c>
      <c r="N1705" s="47" t="s">
        <v>515</v>
      </c>
      <c r="O1705" s="45" t="s">
        <v>371</v>
      </c>
      <c r="P1705" s="44" t="s">
        <v>309</v>
      </c>
      <c r="Q1705" s="59" t="str">
        <f>MID(Tabla1[[#This Row],[Aplicación]],14,1)</f>
        <v>2</v>
      </c>
      <c r="R1705" s="35" t="s">
        <v>298</v>
      </c>
      <c r="S1705" s="59" t="str">
        <f>MID(Tabla1[[#This Row],[Aplicación]],6,2)</f>
        <v>06</v>
      </c>
      <c r="T1705" s="35" t="str">
        <f>VLOOKUP(Tabla1[[#This Row],[AREA]],Hoja1!A:B,2,FALSE)</f>
        <v>06. Educación, infancia, juventud e igualdad</v>
      </c>
      <c r="U1705" s="35" t="str">
        <f>MID(Tabla1[[#This Row],[Aplicación]],9,4)</f>
        <v>3261</v>
      </c>
      <c r="V1705" s="35" t="str">
        <f>VLOOKUP(Tabla1[[#This Row],[PROGRAMA]],Hoja1!A:B,2,FALSE)</f>
        <v>3261. Servicios complementarios de educación</v>
      </c>
      <c r="W1705" s="56" t="str">
        <f>MID(Tabla1[[#This Row],[Aplicación]],14,2)</f>
        <v>22</v>
      </c>
      <c r="X1705" s="56" t="str">
        <f>MID(Tabla1[[#This Row],[Aplicación]],14,6)</f>
        <v>22700</v>
      </c>
    </row>
    <row r="1706" spans="1:24" x14ac:dyDescent="0.25">
      <c r="A1706" s="46">
        <v>220229000717</v>
      </c>
      <c r="B1706" s="47" t="s">
        <v>507</v>
      </c>
      <c r="C1706" s="52">
        <v>44927</v>
      </c>
      <c r="D1706" s="46">
        <v>22023001298</v>
      </c>
      <c r="E1706" s="47" t="s">
        <v>3096</v>
      </c>
      <c r="F1706" s="53">
        <v>6165.61</v>
      </c>
      <c r="G1706" s="47" t="s">
        <v>760</v>
      </c>
      <c r="H1706" s="47" t="s">
        <v>3097</v>
      </c>
      <c r="I1706" s="46" t="s">
        <v>511</v>
      </c>
      <c r="J1706" s="47" t="s">
        <v>512</v>
      </c>
      <c r="K1706" s="47" t="s">
        <v>512</v>
      </c>
      <c r="L1706" s="47" t="s">
        <v>520</v>
      </c>
      <c r="M1706" s="47" t="s">
        <v>514</v>
      </c>
      <c r="N1706" s="47" t="s">
        <v>515</v>
      </c>
      <c r="O1706" s="45" t="s">
        <v>371</v>
      </c>
      <c r="P1706" s="44" t="s">
        <v>309</v>
      </c>
      <c r="Q1706" s="59" t="str">
        <f>MID(Tabla1[[#This Row],[Aplicación]],14,1)</f>
        <v>2</v>
      </c>
      <c r="R1706" s="35" t="s">
        <v>298</v>
      </c>
      <c r="S1706" s="59" t="str">
        <f>MID(Tabla1[[#This Row],[Aplicación]],6,2)</f>
        <v>06</v>
      </c>
      <c r="T1706" s="35" t="str">
        <f>VLOOKUP(Tabla1[[#This Row],[AREA]],Hoja1!A:B,2,FALSE)</f>
        <v>06. Educación, infancia, juventud e igualdad</v>
      </c>
      <c r="U1706" s="35" t="str">
        <f>MID(Tabla1[[#This Row],[Aplicación]],9,4)</f>
        <v>2315</v>
      </c>
      <c r="V1706" s="35" t="str">
        <f>VLOOKUP(Tabla1[[#This Row],[PROGRAMA]],Hoja1!A:B,2,FALSE)</f>
        <v>2315. Políticas de Igualdad e infancia</v>
      </c>
      <c r="W1706" s="56" t="str">
        <f>MID(Tabla1[[#This Row],[Aplicación]],14,2)</f>
        <v>22</v>
      </c>
      <c r="X1706" s="56" t="str">
        <f>MID(Tabla1[[#This Row],[Aplicación]],14,6)</f>
        <v>22700</v>
      </c>
    </row>
    <row r="1707" spans="1:24" x14ac:dyDescent="0.25">
      <c r="A1707" s="46">
        <v>220230001944</v>
      </c>
      <c r="B1707" s="47" t="s">
        <v>507</v>
      </c>
      <c r="C1707" s="52">
        <v>44960</v>
      </c>
      <c r="D1707" s="46">
        <v>22023001398</v>
      </c>
      <c r="E1707" s="47" t="s">
        <v>3094</v>
      </c>
      <c r="F1707" s="53">
        <v>96.8</v>
      </c>
      <c r="G1707" s="47" t="s">
        <v>760</v>
      </c>
      <c r="H1707" s="47" t="s">
        <v>3098</v>
      </c>
      <c r="I1707" s="46" t="s">
        <v>511</v>
      </c>
      <c r="J1707" s="47" t="s">
        <v>512</v>
      </c>
      <c r="K1707" s="47" t="s">
        <v>512</v>
      </c>
      <c r="L1707" s="47" t="s">
        <v>520</v>
      </c>
      <c r="M1707" s="47" t="s">
        <v>976</v>
      </c>
      <c r="N1707" s="47" t="s">
        <v>839</v>
      </c>
      <c r="O1707" s="45" t="s">
        <v>383</v>
      </c>
      <c r="P1707" s="44" t="s">
        <v>309</v>
      </c>
      <c r="Q1707" s="59" t="str">
        <f>MID(Tabla1[[#This Row],[Aplicación]],14,1)</f>
        <v>2</v>
      </c>
      <c r="R1707" s="35" t="s">
        <v>298</v>
      </c>
      <c r="S1707" s="59" t="str">
        <f>MID(Tabla1[[#This Row],[Aplicación]],6,2)</f>
        <v>06</v>
      </c>
      <c r="T1707" s="35" t="str">
        <f>VLOOKUP(Tabla1[[#This Row],[AREA]],Hoja1!A:B,2,FALSE)</f>
        <v>06. Educación, infancia, juventud e igualdad</v>
      </c>
      <c r="U1707" s="35" t="str">
        <f>MID(Tabla1[[#This Row],[Aplicación]],9,4)</f>
        <v>3261</v>
      </c>
      <c r="V1707" s="35" t="str">
        <f>VLOOKUP(Tabla1[[#This Row],[PROGRAMA]],Hoja1!A:B,2,FALSE)</f>
        <v>3261. Servicios complementarios de educación</v>
      </c>
      <c r="W1707" s="56" t="str">
        <f>MID(Tabla1[[#This Row],[Aplicación]],14,2)</f>
        <v>22</v>
      </c>
      <c r="X1707" s="56" t="str">
        <f>MID(Tabla1[[#This Row],[Aplicación]],14,6)</f>
        <v>22700</v>
      </c>
    </row>
    <row r="1708" spans="1:24" x14ac:dyDescent="0.25">
      <c r="A1708" s="46">
        <v>220230004180</v>
      </c>
      <c r="B1708" s="47" t="s">
        <v>1337</v>
      </c>
      <c r="C1708" s="52">
        <v>44977</v>
      </c>
      <c r="D1708" s="46">
        <v>22023001299</v>
      </c>
      <c r="E1708" s="47" t="s">
        <v>759</v>
      </c>
      <c r="F1708" s="53">
        <v>-213098.76</v>
      </c>
      <c r="G1708" s="47" t="s">
        <v>760</v>
      </c>
      <c r="H1708" s="47" t="s">
        <v>3099</v>
      </c>
      <c r="I1708" s="46" t="s">
        <v>511</v>
      </c>
      <c r="J1708" s="47" t="s">
        <v>512</v>
      </c>
      <c r="K1708" s="47" t="s">
        <v>512</v>
      </c>
      <c r="L1708" s="47" t="s">
        <v>520</v>
      </c>
      <c r="M1708" s="47" t="s">
        <v>514</v>
      </c>
      <c r="N1708" s="47" t="s">
        <v>515</v>
      </c>
      <c r="O1708" s="54" t="s">
        <v>371</v>
      </c>
      <c r="P1708" s="44" t="s">
        <v>309</v>
      </c>
      <c r="Q1708" s="59" t="str">
        <f>MID(Tabla1[[#This Row],[Aplicación]],14,1)</f>
        <v>2</v>
      </c>
      <c r="R1708" s="35" t="s">
        <v>298</v>
      </c>
      <c r="S1708" s="59" t="str">
        <f>MID(Tabla1[[#This Row],[Aplicación]],6,2)</f>
        <v>06</v>
      </c>
      <c r="T1708" s="35" t="str">
        <f>VLOOKUP(Tabla1[[#This Row],[AREA]],Hoja1!A:B,2,FALSE)</f>
        <v>06. Educación, infancia, juventud e igualdad</v>
      </c>
      <c r="U1708" s="35" t="str">
        <f>MID(Tabla1[[#This Row],[Aplicación]],9,4)</f>
        <v>3231</v>
      </c>
      <c r="V1708" s="35" t="str">
        <f>VLOOKUP(Tabla1[[#This Row],[PROGRAMA]],Hoja1!A:B,2,FALSE)</f>
        <v>3231. Escuelas infantiles</v>
      </c>
      <c r="W1708" s="56" t="str">
        <f>MID(Tabla1[[#This Row],[Aplicación]],14,2)</f>
        <v>22</v>
      </c>
      <c r="X1708" s="56" t="str">
        <f>MID(Tabla1[[#This Row],[Aplicación]],14,6)</f>
        <v>22700</v>
      </c>
    </row>
    <row r="1709" spans="1:24" x14ac:dyDescent="0.25">
      <c r="A1709" s="46">
        <v>220230000052</v>
      </c>
      <c r="B1709" s="47" t="s">
        <v>507</v>
      </c>
      <c r="C1709" s="52">
        <v>44927</v>
      </c>
      <c r="D1709" s="46">
        <v>22023000546</v>
      </c>
      <c r="E1709" s="47" t="s">
        <v>1428</v>
      </c>
      <c r="F1709" s="53">
        <v>10054.86</v>
      </c>
      <c r="G1709" s="47" t="s">
        <v>67</v>
      </c>
      <c r="H1709" s="47" t="s">
        <v>3100</v>
      </c>
      <c r="I1709" s="46" t="s">
        <v>511</v>
      </c>
      <c r="J1709" s="47" t="s">
        <v>953</v>
      </c>
      <c r="K1709" s="47" t="s">
        <v>519</v>
      </c>
      <c r="L1709" s="47" t="s">
        <v>520</v>
      </c>
      <c r="M1709" s="47" t="s">
        <v>514</v>
      </c>
      <c r="N1709" s="47" t="s">
        <v>515</v>
      </c>
      <c r="O1709" s="54" t="s">
        <v>382</v>
      </c>
      <c r="P1709" s="44" t="s">
        <v>309</v>
      </c>
      <c r="Q1709" s="59" t="str">
        <f>MID(Tabla1[[#This Row],[Aplicación]],14,1)</f>
        <v>2</v>
      </c>
      <c r="R1709" s="35" t="s">
        <v>298</v>
      </c>
      <c r="S1709" s="59" t="str">
        <f>MID(Tabla1[[#This Row],[Aplicación]],6,2)</f>
        <v>09</v>
      </c>
      <c r="T1709" s="35" t="str">
        <f>VLOOKUP(Tabla1[[#This Row],[AREA]],Hoja1!A:B,2,FALSE)</f>
        <v>09. Cultura y turismo</v>
      </c>
      <c r="U1709" s="35" t="str">
        <f>MID(Tabla1[[#This Row],[Aplicación]],9,4)</f>
        <v>3301</v>
      </c>
      <c r="V1709" s="35" t="str">
        <f>VLOOKUP(Tabla1[[#This Row],[PROGRAMA]],Hoja1!A:B,2,FALSE)</f>
        <v>3301. Dirección del área de cultura</v>
      </c>
      <c r="W1709" s="56" t="str">
        <f>MID(Tabla1[[#This Row],[Aplicación]],14,2)</f>
        <v>22</v>
      </c>
      <c r="X1709" s="56" t="str">
        <f>MID(Tabla1[[#This Row],[Aplicación]],14,6)</f>
        <v>22799</v>
      </c>
    </row>
    <row r="1710" spans="1:24" x14ac:dyDescent="0.25">
      <c r="A1710" s="46">
        <v>220230008601</v>
      </c>
      <c r="B1710" s="47" t="s">
        <v>507</v>
      </c>
      <c r="C1710" s="52">
        <v>45000</v>
      </c>
      <c r="D1710" s="46">
        <v>22023003040</v>
      </c>
      <c r="E1710" s="47" t="s">
        <v>1303</v>
      </c>
      <c r="F1710" s="53">
        <v>6110.5</v>
      </c>
      <c r="G1710" s="47" t="s">
        <v>496</v>
      </c>
      <c r="H1710" s="47" t="s">
        <v>3101</v>
      </c>
      <c r="I1710" s="46" t="s">
        <v>511</v>
      </c>
      <c r="J1710" s="47" t="s">
        <v>589</v>
      </c>
      <c r="K1710" s="47" t="s">
        <v>590</v>
      </c>
      <c r="L1710" s="47" t="s">
        <v>552</v>
      </c>
      <c r="M1710" s="47" t="s">
        <v>976</v>
      </c>
      <c r="N1710" s="47" t="s">
        <v>839</v>
      </c>
      <c r="O1710" s="54" t="s">
        <v>383</v>
      </c>
      <c r="P1710" s="44" t="s">
        <v>309</v>
      </c>
      <c r="Q1710" s="59" t="str">
        <f>MID(Tabla1[[#This Row],[Aplicación]],14,1)</f>
        <v>2</v>
      </c>
      <c r="R1710" s="35" t="s">
        <v>298</v>
      </c>
      <c r="S1710" s="59" t="str">
        <f>MID(Tabla1[[#This Row],[Aplicación]],6,2)</f>
        <v>11</v>
      </c>
      <c r="T1710" s="35" t="str">
        <f>VLOOKUP(Tabla1[[#This Row],[AREA]],Hoja1!A:B,2,FALSE)</f>
        <v>11. Salud pública y seguridad ciudadana</v>
      </c>
      <c r="U1710" s="35" t="str">
        <f>MID(Tabla1[[#This Row],[Aplicación]],9,4)</f>
        <v>1321</v>
      </c>
      <c r="V1710" s="35" t="str">
        <f>VLOOKUP(Tabla1[[#This Row],[PROGRAMA]],Hoja1!A:B,2,FALSE)</f>
        <v>1321. Policía municipal</v>
      </c>
      <c r="W1710" s="56" t="str">
        <f>MID(Tabla1[[#This Row],[Aplicación]],14,2)</f>
        <v>22</v>
      </c>
      <c r="X1710" s="56" t="str">
        <f>MID(Tabla1[[#This Row],[Aplicación]],14,6)</f>
        <v>22699</v>
      </c>
    </row>
    <row r="1711" spans="1:24" x14ac:dyDescent="0.25">
      <c r="A1711" s="55">
        <v>220230010331</v>
      </c>
      <c r="B1711" s="47" t="s">
        <v>507</v>
      </c>
      <c r="C1711" s="52">
        <v>45008</v>
      </c>
      <c r="D1711" s="46">
        <v>22023003080</v>
      </c>
      <c r="E1711" s="47" t="s">
        <v>2233</v>
      </c>
      <c r="F1711" s="53">
        <v>1210</v>
      </c>
      <c r="G1711" s="47" t="s">
        <v>3102</v>
      </c>
      <c r="H1711" s="47" t="s">
        <v>3103</v>
      </c>
      <c r="I1711" s="46" t="s">
        <v>2168</v>
      </c>
      <c r="J1711" s="47" t="s">
        <v>519</v>
      </c>
      <c r="K1711" s="47" t="s">
        <v>519</v>
      </c>
      <c r="L1711" s="47" t="s">
        <v>520</v>
      </c>
      <c r="M1711" s="47" t="s">
        <v>976</v>
      </c>
      <c r="N1711" s="47" t="s">
        <v>839</v>
      </c>
      <c r="O1711" s="54" t="s">
        <v>383</v>
      </c>
      <c r="P1711" s="44" t="s">
        <v>309</v>
      </c>
      <c r="Q1711" s="59" t="str">
        <f>MID(Tabla1[[#This Row],[Aplicación]],14,1)</f>
        <v>2</v>
      </c>
      <c r="R1711" s="35" t="s">
        <v>298</v>
      </c>
      <c r="S1711" s="59" t="str">
        <f>MID(Tabla1[[#This Row],[Aplicación]],6,2)</f>
        <v>05</v>
      </c>
      <c r="T1711" s="35" t="str">
        <f>VLOOKUP(Tabla1[[#This Row],[AREA]],Hoja1!A:B,2,FALSE)</f>
        <v>05. Innovación, desarrollo económico, empleo y comercio</v>
      </c>
      <c r="U1711" s="35" t="str">
        <f>MID(Tabla1[[#This Row],[Aplicación]],9,4)</f>
        <v>4331</v>
      </c>
      <c r="V1711" s="35" t="str">
        <f>VLOOKUP(Tabla1[[#This Row],[PROGRAMA]],Hoja1!A:B,2,FALSE)</f>
        <v>4331. Desarrollo empresarial</v>
      </c>
      <c r="W1711" s="56" t="str">
        <f>MID(Tabla1[[#This Row],[Aplicación]],14,2)</f>
        <v>22</v>
      </c>
      <c r="X1711" s="56" t="str">
        <f>MID(Tabla1[[#This Row],[Aplicación]],14,6)</f>
        <v>22609</v>
      </c>
    </row>
    <row r="1712" spans="1:24" x14ac:dyDescent="0.25">
      <c r="A1712" s="46">
        <v>220229000675</v>
      </c>
      <c r="B1712" s="47" t="s">
        <v>507</v>
      </c>
      <c r="C1712" s="52">
        <v>44927</v>
      </c>
      <c r="D1712" s="46">
        <v>22023001278</v>
      </c>
      <c r="E1712" s="47" t="s">
        <v>1191</v>
      </c>
      <c r="F1712" s="53">
        <v>1720</v>
      </c>
      <c r="G1712" s="47" t="s">
        <v>482</v>
      </c>
      <c r="H1712" s="47" t="s">
        <v>3104</v>
      </c>
      <c r="I1712" s="46" t="s">
        <v>511</v>
      </c>
      <c r="J1712" s="47" t="s">
        <v>2299</v>
      </c>
      <c r="K1712" s="47" t="s">
        <v>519</v>
      </c>
      <c r="L1712" s="47" t="s">
        <v>520</v>
      </c>
      <c r="M1712" s="47" t="s">
        <v>976</v>
      </c>
      <c r="N1712" s="47" t="s">
        <v>839</v>
      </c>
      <c r="O1712" s="45" t="s">
        <v>383</v>
      </c>
      <c r="P1712" s="44" t="s">
        <v>309</v>
      </c>
      <c r="Q1712" s="59" t="str">
        <f>MID(Tabla1[[#This Row],[Aplicación]],14,1)</f>
        <v>2</v>
      </c>
      <c r="R1712" s="35" t="s">
        <v>298</v>
      </c>
      <c r="S1712" s="59" t="str">
        <f>MID(Tabla1[[#This Row],[Aplicación]],6,2)</f>
        <v>06</v>
      </c>
      <c r="T1712" s="35" t="str">
        <f>VLOOKUP(Tabla1[[#This Row],[AREA]],Hoja1!A:B,2,FALSE)</f>
        <v>06. Educación, infancia, juventud e igualdad</v>
      </c>
      <c r="U1712" s="35" t="str">
        <f>MID(Tabla1[[#This Row],[Aplicación]],9,4)</f>
        <v>2315</v>
      </c>
      <c r="V1712" s="35" t="str">
        <f>VLOOKUP(Tabla1[[#This Row],[PROGRAMA]],Hoja1!A:B,2,FALSE)</f>
        <v>2315. Políticas de Igualdad e infancia</v>
      </c>
      <c r="W1712" s="56" t="str">
        <f>MID(Tabla1[[#This Row],[Aplicación]],14,2)</f>
        <v>22</v>
      </c>
      <c r="X1712" s="56" t="str">
        <f>MID(Tabla1[[#This Row],[Aplicación]],14,6)</f>
        <v>22611</v>
      </c>
    </row>
    <row r="1713" spans="1:24" x14ac:dyDescent="0.25">
      <c r="A1713" s="46">
        <v>220230006401</v>
      </c>
      <c r="B1713" s="47" t="s">
        <v>507</v>
      </c>
      <c r="C1713" s="52">
        <v>44981</v>
      </c>
      <c r="D1713" s="46">
        <v>22023002450</v>
      </c>
      <c r="E1713" s="47" t="s">
        <v>835</v>
      </c>
      <c r="F1713" s="53">
        <v>13650</v>
      </c>
      <c r="G1713" s="47" t="s">
        <v>3105</v>
      </c>
      <c r="H1713" s="47" t="s">
        <v>3106</v>
      </c>
      <c r="I1713" s="46" t="s">
        <v>511</v>
      </c>
      <c r="J1713" s="47" t="s">
        <v>519</v>
      </c>
      <c r="K1713" s="47" t="s">
        <v>519</v>
      </c>
      <c r="L1713" s="47" t="s">
        <v>520</v>
      </c>
      <c r="M1713" s="47" t="s">
        <v>976</v>
      </c>
      <c r="N1713" s="47" t="s">
        <v>839</v>
      </c>
      <c r="O1713" s="45" t="s">
        <v>383</v>
      </c>
      <c r="P1713" s="44" t="s">
        <v>309</v>
      </c>
      <c r="Q1713" s="59" t="str">
        <f>MID(Tabla1[[#This Row],[Aplicación]],14,1)</f>
        <v>2</v>
      </c>
      <c r="R1713" s="35" t="s">
        <v>298</v>
      </c>
      <c r="S1713" s="59" t="str">
        <f>MID(Tabla1[[#This Row],[Aplicación]],6,2)</f>
        <v>05</v>
      </c>
      <c r="T1713" s="35" t="str">
        <f>VLOOKUP(Tabla1[[#This Row],[AREA]],Hoja1!A:B,2,FALSE)</f>
        <v>05. Innovación, desarrollo económico, empleo y comercio</v>
      </c>
      <c r="U1713" s="35" t="str">
        <f>MID(Tabla1[[#This Row],[Aplicación]],9,4)</f>
        <v>4331</v>
      </c>
      <c r="V1713" s="35" t="str">
        <f>VLOOKUP(Tabla1[[#This Row],[PROGRAMA]],Hoja1!A:B,2,FALSE)</f>
        <v>4331. Desarrollo empresarial</v>
      </c>
      <c r="W1713" s="56" t="str">
        <f>MID(Tabla1[[#This Row],[Aplicación]],14,2)</f>
        <v>22</v>
      </c>
      <c r="X1713" s="56" t="str">
        <f>MID(Tabla1[[#This Row],[Aplicación]],14,6)</f>
        <v>22799</v>
      </c>
    </row>
    <row r="1714" spans="1:24" x14ac:dyDescent="0.25">
      <c r="A1714" s="46">
        <v>220230001982</v>
      </c>
      <c r="B1714" s="47" t="s">
        <v>507</v>
      </c>
      <c r="C1714" s="52">
        <v>44960</v>
      </c>
      <c r="D1714" s="46">
        <v>22023001515</v>
      </c>
      <c r="E1714" s="47" t="s">
        <v>1711</v>
      </c>
      <c r="F1714" s="53">
        <v>474.32</v>
      </c>
      <c r="G1714" s="47" t="s">
        <v>72</v>
      </c>
      <c r="H1714" s="47" t="s">
        <v>3107</v>
      </c>
      <c r="I1714" s="46" t="s">
        <v>511</v>
      </c>
      <c r="J1714" s="47" t="s">
        <v>519</v>
      </c>
      <c r="K1714" s="47" t="s">
        <v>519</v>
      </c>
      <c r="L1714" s="47" t="s">
        <v>520</v>
      </c>
      <c r="M1714" s="47" t="s">
        <v>976</v>
      </c>
      <c r="N1714" s="47" t="s">
        <v>839</v>
      </c>
      <c r="O1714" s="45" t="s">
        <v>383</v>
      </c>
      <c r="P1714" s="44" t="s">
        <v>309</v>
      </c>
      <c r="Q1714" s="59" t="str">
        <f>MID(Tabla1[[#This Row],[Aplicación]],14,1)</f>
        <v>2</v>
      </c>
      <c r="R1714" s="35" t="s">
        <v>298</v>
      </c>
      <c r="S1714" s="59" t="str">
        <f>MID(Tabla1[[#This Row],[Aplicación]],6,2)</f>
        <v>09</v>
      </c>
      <c r="T1714" s="35" t="str">
        <f>VLOOKUP(Tabla1[[#This Row],[AREA]],Hoja1!A:B,2,FALSE)</f>
        <v>09. Cultura y turismo</v>
      </c>
      <c r="U1714" s="35" t="str">
        <f>MID(Tabla1[[#This Row],[Aplicación]],9,4)</f>
        <v>3341</v>
      </c>
      <c r="V1714" s="35" t="str">
        <f>VLOOKUP(Tabla1[[#This Row],[PROGRAMA]],Hoja1!A:B,2,FALSE)</f>
        <v>3341. Coordinación de políticas culturales</v>
      </c>
      <c r="W1714" s="56" t="str">
        <f>MID(Tabla1[[#This Row],[Aplicación]],14,2)</f>
        <v>22</v>
      </c>
      <c r="X1714" s="56" t="str">
        <f>MID(Tabla1[[#This Row],[Aplicación]],14,6)</f>
        <v>223</v>
      </c>
    </row>
    <row r="1715" spans="1:24" x14ac:dyDescent="0.25">
      <c r="A1715" s="46">
        <v>220230001942</v>
      </c>
      <c r="B1715" s="47" t="s">
        <v>507</v>
      </c>
      <c r="C1715" s="52">
        <v>44960</v>
      </c>
      <c r="D1715" s="46">
        <v>22023001396</v>
      </c>
      <c r="E1715" s="47" t="s">
        <v>736</v>
      </c>
      <c r="F1715" s="53">
        <v>671.74</v>
      </c>
      <c r="G1715" s="47" t="s">
        <v>72</v>
      </c>
      <c r="H1715" s="47" t="s">
        <v>3108</v>
      </c>
      <c r="I1715" s="46" t="s">
        <v>511</v>
      </c>
      <c r="J1715" s="47" t="s">
        <v>519</v>
      </c>
      <c r="K1715" s="47" t="s">
        <v>519</v>
      </c>
      <c r="L1715" s="47" t="s">
        <v>520</v>
      </c>
      <c r="M1715" s="47" t="s">
        <v>976</v>
      </c>
      <c r="N1715" s="47" t="s">
        <v>839</v>
      </c>
      <c r="O1715" s="45" t="s">
        <v>383</v>
      </c>
      <c r="P1715" s="44" t="s">
        <v>309</v>
      </c>
      <c r="Q1715" s="59" t="str">
        <f>MID(Tabla1[[#This Row],[Aplicación]],14,1)</f>
        <v>2</v>
      </c>
      <c r="R1715" s="35" t="s">
        <v>298</v>
      </c>
      <c r="S1715" s="59" t="str">
        <f>MID(Tabla1[[#This Row],[Aplicación]],6,2)</f>
        <v>06</v>
      </c>
      <c r="T1715" s="35" t="str">
        <f>VLOOKUP(Tabla1[[#This Row],[AREA]],Hoja1!A:B,2,FALSE)</f>
        <v>06. Educación, infancia, juventud e igualdad</v>
      </c>
      <c r="U1715" s="35" t="str">
        <f>MID(Tabla1[[#This Row],[Aplicación]],9,4)</f>
        <v>3261</v>
      </c>
      <c r="V1715" s="35" t="str">
        <f>VLOOKUP(Tabla1[[#This Row],[PROGRAMA]],Hoja1!A:B,2,FALSE)</f>
        <v>3261. Servicios complementarios de educación</v>
      </c>
      <c r="W1715" s="56" t="str">
        <f>MID(Tabla1[[#This Row],[Aplicación]],14,2)</f>
        <v>22</v>
      </c>
      <c r="X1715" s="56" t="str">
        <f>MID(Tabla1[[#This Row],[Aplicación]],14,6)</f>
        <v>22799</v>
      </c>
    </row>
    <row r="1716" spans="1:24" x14ac:dyDescent="0.25">
      <c r="A1716" s="46">
        <v>220230002652</v>
      </c>
      <c r="B1716" s="47" t="s">
        <v>507</v>
      </c>
      <c r="C1716" s="52">
        <v>44966</v>
      </c>
      <c r="D1716" s="46">
        <v>22023002352</v>
      </c>
      <c r="E1716" s="47" t="s">
        <v>736</v>
      </c>
      <c r="F1716" s="53">
        <v>1016.4</v>
      </c>
      <c r="G1716" s="47" t="s">
        <v>72</v>
      </c>
      <c r="H1716" s="47" t="s">
        <v>3109</v>
      </c>
      <c r="I1716" s="46" t="s">
        <v>511</v>
      </c>
      <c r="J1716" s="47" t="s">
        <v>519</v>
      </c>
      <c r="K1716" s="47" t="s">
        <v>519</v>
      </c>
      <c r="L1716" s="47" t="s">
        <v>520</v>
      </c>
      <c r="M1716" s="47" t="s">
        <v>976</v>
      </c>
      <c r="N1716" s="47" t="s">
        <v>839</v>
      </c>
      <c r="O1716" s="45" t="s">
        <v>383</v>
      </c>
      <c r="P1716" s="44" t="s">
        <v>309</v>
      </c>
      <c r="Q1716" s="59" t="str">
        <f>MID(Tabla1[[#This Row],[Aplicación]],14,1)</f>
        <v>2</v>
      </c>
      <c r="R1716" s="35" t="s">
        <v>298</v>
      </c>
      <c r="S1716" s="59" t="str">
        <f>MID(Tabla1[[#This Row],[Aplicación]],6,2)</f>
        <v>06</v>
      </c>
      <c r="T1716" s="35" t="str">
        <f>VLOOKUP(Tabla1[[#This Row],[AREA]],Hoja1!A:B,2,FALSE)</f>
        <v>06. Educación, infancia, juventud e igualdad</v>
      </c>
      <c r="U1716" s="35" t="str">
        <f>MID(Tabla1[[#This Row],[Aplicación]],9,4)</f>
        <v>3261</v>
      </c>
      <c r="V1716" s="35" t="str">
        <f>VLOOKUP(Tabla1[[#This Row],[PROGRAMA]],Hoja1!A:B,2,FALSE)</f>
        <v>3261. Servicios complementarios de educación</v>
      </c>
      <c r="W1716" s="56" t="str">
        <f>MID(Tabla1[[#This Row],[Aplicación]],14,2)</f>
        <v>22</v>
      </c>
      <c r="X1716" s="56" t="str">
        <f>MID(Tabla1[[#This Row],[Aplicación]],14,6)</f>
        <v>22799</v>
      </c>
    </row>
    <row r="1717" spans="1:24" x14ac:dyDescent="0.25">
      <c r="A1717" s="55">
        <v>220230008949</v>
      </c>
      <c r="B1717" s="47" t="s">
        <v>507</v>
      </c>
      <c r="C1717" s="52">
        <v>45002</v>
      </c>
      <c r="D1717" s="46">
        <v>22023003088</v>
      </c>
      <c r="E1717" s="47" t="s">
        <v>1191</v>
      </c>
      <c r="F1717" s="53">
        <v>816.75</v>
      </c>
      <c r="G1717" s="47" t="s">
        <v>72</v>
      </c>
      <c r="H1717" s="47" t="s">
        <v>3110</v>
      </c>
      <c r="I1717" s="46" t="s">
        <v>511</v>
      </c>
      <c r="J1717" s="47" t="s">
        <v>519</v>
      </c>
      <c r="K1717" s="47" t="s">
        <v>519</v>
      </c>
      <c r="L1717" s="47" t="s">
        <v>520</v>
      </c>
      <c r="M1717" s="47" t="s">
        <v>976</v>
      </c>
      <c r="N1717" s="47" t="s">
        <v>839</v>
      </c>
      <c r="O1717" s="54" t="s">
        <v>383</v>
      </c>
      <c r="P1717" s="44" t="s">
        <v>309</v>
      </c>
      <c r="Q1717" s="59" t="str">
        <f>MID(Tabla1[[#This Row],[Aplicación]],14,1)</f>
        <v>2</v>
      </c>
      <c r="R1717" s="35" t="s">
        <v>298</v>
      </c>
      <c r="S1717" s="59" t="str">
        <f>MID(Tabla1[[#This Row],[Aplicación]],6,2)</f>
        <v>06</v>
      </c>
      <c r="T1717" s="35" t="str">
        <f>VLOOKUP(Tabla1[[#This Row],[AREA]],Hoja1!A:B,2,FALSE)</f>
        <v>06. Educación, infancia, juventud e igualdad</v>
      </c>
      <c r="U1717" s="35" t="str">
        <f>MID(Tabla1[[#This Row],[Aplicación]],9,4)</f>
        <v>2315</v>
      </c>
      <c r="V1717" s="35" t="str">
        <f>VLOOKUP(Tabla1[[#This Row],[PROGRAMA]],Hoja1!A:B,2,FALSE)</f>
        <v>2315. Políticas de Igualdad e infancia</v>
      </c>
      <c r="W1717" s="56" t="str">
        <f>MID(Tabla1[[#This Row],[Aplicación]],14,2)</f>
        <v>22</v>
      </c>
      <c r="X1717" s="56" t="str">
        <f>MID(Tabla1[[#This Row],[Aplicación]],14,6)</f>
        <v>22611</v>
      </c>
    </row>
    <row r="1718" spans="1:24" x14ac:dyDescent="0.25">
      <c r="A1718" s="55">
        <v>220230010306</v>
      </c>
      <c r="B1718" s="47" t="s">
        <v>507</v>
      </c>
      <c r="C1718" s="52">
        <v>45008</v>
      </c>
      <c r="D1718" s="46">
        <v>22023003189</v>
      </c>
      <c r="E1718" s="47" t="s">
        <v>736</v>
      </c>
      <c r="F1718" s="53">
        <v>726</v>
      </c>
      <c r="G1718" s="47" t="s">
        <v>72</v>
      </c>
      <c r="H1718" s="47" t="s">
        <v>3111</v>
      </c>
      <c r="I1718" s="46" t="s">
        <v>511</v>
      </c>
      <c r="J1718" s="47" t="s">
        <v>519</v>
      </c>
      <c r="K1718" s="47" t="s">
        <v>519</v>
      </c>
      <c r="L1718" s="47" t="s">
        <v>520</v>
      </c>
      <c r="M1718" s="47" t="s">
        <v>976</v>
      </c>
      <c r="N1718" s="47" t="s">
        <v>839</v>
      </c>
      <c r="O1718" s="54" t="s">
        <v>383</v>
      </c>
      <c r="P1718" s="44" t="s">
        <v>309</v>
      </c>
      <c r="Q1718" s="59" t="str">
        <f>MID(Tabla1[[#This Row],[Aplicación]],14,1)</f>
        <v>2</v>
      </c>
      <c r="R1718" s="35" t="s">
        <v>298</v>
      </c>
      <c r="S1718" s="59" t="str">
        <f>MID(Tabla1[[#This Row],[Aplicación]],6,2)</f>
        <v>06</v>
      </c>
      <c r="T1718" s="35" t="str">
        <f>VLOOKUP(Tabla1[[#This Row],[AREA]],Hoja1!A:B,2,FALSE)</f>
        <v>06. Educación, infancia, juventud e igualdad</v>
      </c>
      <c r="U1718" s="35" t="str">
        <f>MID(Tabla1[[#This Row],[Aplicación]],9,4)</f>
        <v>3261</v>
      </c>
      <c r="V1718" s="35" t="str">
        <f>VLOOKUP(Tabla1[[#This Row],[PROGRAMA]],Hoja1!A:B,2,FALSE)</f>
        <v>3261. Servicios complementarios de educación</v>
      </c>
      <c r="W1718" s="56" t="str">
        <f>MID(Tabla1[[#This Row],[Aplicación]],14,2)</f>
        <v>22</v>
      </c>
      <c r="X1718" s="56" t="str">
        <f>MID(Tabla1[[#This Row],[Aplicación]],14,6)</f>
        <v>22799</v>
      </c>
    </row>
    <row r="1719" spans="1:24" x14ac:dyDescent="0.25">
      <c r="A1719" s="55">
        <v>220230010334</v>
      </c>
      <c r="B1719" s="47" t="s">
        <v>507</v>
      </c>
      <c r="C1719" s="52">
        <v>45008</v>
      </c>
      <c r="D1719" s="46">
        <v>22023003078</v>
      </c>
      <c r="E1719" s="47" t="s">
        <v>835</v>
      </c>
      <c r="F1719" s="53">
        <v>4235</v>
      </c>
      <c r="G1719" s="47" t="s">
        <v>72</v>
      </c>
      <c r="H1719" s="47" t="s">
        <v>3112</v>
      </c>
      <c r="I1719" s="46" t="s">
        <v>2168</v>
      </c>
      <c r="J1719" s="47" t="s">
        <v>519</v>
      </c>
      <c r="K1719" s="47" t="s">
        <v>519</v>
      </c>
      <c r="L1719" s="47" t="s">
        <v>520</v>
      </c>
      <c r="M1719" s="47" t="s">
        <v>976</v>
      </c>
      <c r="N1719" s="47" t="s">
        <v>839</v>
      </c>
      <c r="O1719" s="54" t="s">
        <v>383</v>
      </c>
      <c r="P1719" s="44" t="s">
        <v>309</v>
      </c>
      <c r="Q1719" s="59" t="str">
        <f>MID(Tabla1[[#This Row],[Aplicación]],14,1)</f>
        <v>2</v>
      </c>
      <c r="R1719" s="35" t="s">
        <v>298</v>
      </c>
      <c r="S1719" s="59" t="str">
        <f>MID(Tabla1[[#This Row],[Aplicación]],6,2)</f>
        <v>05</v>
      </c>
      <c r="T1719" s="35" t="str">
        <f>VLOOKUP(Tabla1[[#This Row],[AREA]],Hoja1!A:B,2,FALSE)</f>
        <v>05. Innovación, desarrollo económico, empleo y comercio</v>
      </c>
      <c r="U1719" s="35" t="str">
        <f>MID(Tabla1[[#This Row],[Aplicación]],9,4)</f>
        <v>4331</v>
      </c>
      <c r="V1719" s="35" t="str">
        <f>VLOOKUP(Tabla1[[#This Row],[PROGRAMA]],Hoja1!A:B,2,FALSE)</f>
        <v>4331. Desarrollo empresarial</v>
      </c>
      <c r="W1719" s="56" t="str">
        <f>MID(Tabla1[[#This Row],[Aplicación]],14,2)</f>
        <v>22</v>
      </c>
      <c r="X1719" s="56" t="str">
        <f>MID(Tabla1[[#This Row],[Aplicación]],14,6)</f>
        <v>22799</v>
      </c>
    </row>
    <row r="1720" spans="1:24" x14ac:dyDescent="0.25">
      <c r="A1720" s="46">
        <v>220230003256</v>
      </c>
      <c r="B1720" s="47" t="s">
        <v>507</v>
      </c>
      <c r="C1720" s="52">
        <v>44971</v>
      </c>
      <c r="D1720" s="46">
        <v>22023002208</v>
      </c>
      <c r="E1720" s="47" t="s">
        <v>1072</v>
      </c>
      <c r="F1720" s="53">
        <v>3000</v>
      </c>
      <c r="G1720" s="47" t="s">
        <v>345</v>
      </c>
      <c r="H1720" s="47" t="s">
        <v>3113</v>
      </c>
      <c r="I1720" s="46" t="s">
        <v>511</v>
      </c>
      <c r="J1720" s="47" t="s">
        <v>3114</v>
      </c>
      <c r="K1720" s="47" t="s">
        <v>837</v>
      </c>
      <c r="L1720" s="47" t="s">
        <v>552</v>
      </c>
      <c r="M1720" s="47" t="s">
        <v>976</v>
      </c>
      <c r="N1720" s="47" t="s">
        <v>839</v>
      </c>
      <c r="O1720" s="45" t="s">
        <v>383</v>
      </c>
      <c r="P1720" s="44" t="s">
        <v>309</v>
      </c>
      <c r="Q1720" s="59" t="str">
        <f>MID(Tabla1[[#This Row],[Aplicación]],14,1)</f>
        <v>2</v>
      </c>
      <c r="R1720" s="35" t="s">
        <v>298</v>
      </c>
      <c r="S1720" s="59" t="str">
        <f>MID(Tabla1[[#This Row],[Aplicación]],6,2)</f>
        <v>07</v>
      </c>
      <c r="T1720" s="35" t="str">
        <f>VLOOKUP(Tabla1[[#This Row],[AREA]],Hoja1!A:B,2,FALSE)</f>
        <v>07. Medio ambiente y desarrollo sostenible</v>
      </c>
      <c r="U1720" s="35" t="str">
        <f>MID(Tabla1[[#This Row],[Aplicación]],9,4)</f>
        <v>1721</v>
      </c>
      <c r="V1720" s="35" t="str">
        <f>VLOOKUP(Tabla1[[#This Row],[PROGRAMA]],Hoja1!A:B,2,FALSE)</f>
        <v>1721. Protección del medio ambiente</v>
      </c>
      <c r="W1720" s="56" t="str">
        <f>MID(Tabla1[[#This Row],[Aplicación]],14,2)</f>
        <v>22</v>
      </c>
      <c r="X1720" s="56" t="str">
        <f>MID(Tabla1[[#This Row],[Aplicación]],14,6)</f>
        <v>22199</v>
      </c>
    </row>
    <row r="1721" spans="1:24" x14ac:dyDescent="0.25">
      <c r="A1721" s="55">
        <v>220230008950</v>
      </c>
      <c r="B1721" s="47" t="s">
        <v>507</v>
      </c>
      <c r="C1721" s="52">
        <v>45002</v>
      </c>
      <c r="D1721" s="46">
        <v>22023003122</v>
      </c>
      <c r="E1721" s="47" t="s">
        <v>1315</v>
      </c>
      <c r="F1721" s="53">
        <v>3025</v>
      </c>
      <c r="G1721" s="47" t="s">
        <v>1879</v>
      </c>
      <c r="H1721" s="47" t="s">
        <v>3115</v>
      </c>
      <c r="I1721" s="46" t="s">
        <v>511</v>
      </c>
      <c r="J1721" s="47" t="s">
        <v>545</v>
      </c>
      <c r="K1721" s="47" t="s">
        <v>545</v>
      </c>
      <c r="L1721" s="47" t="s">
        <v>520</v>
      </c>
      <c r="M1721" s="47" t="s">
        <v>976</v>
      </c>
      <c r="N1721" s="47" t="s">
        <v>839</v>
      </c>
      <c r="O1721" s="54" t="s">
        <v>383</v>
      </c>
      <c r="P1721" s="44" t="s">
        <v>309</v>
      </c>
      <c r="Q1721" s="59" t="str">
        <f>MID(Tabla1[[#This Row],[Aplicación]],14,1)</f>
        <v>2</v>
      </c>
      <c r="R1721" s="35" t="s">
        <v>298</v>
      </c>
      <c r="S1721" s="59" t="str">
        <f>MID(Tabla1[[#This Row],[Aplicación]],6,2)</f>
        <v>01</v>
      </c>
      <c r="T1721" s="35" t="str">
        <f>VLOOKUP(Tabla1[[#This Row],[AREA]],Hoja1!A:B,2,FALSE)</f>
        <v>01. Alcaldía</v>
      </c>
      <c r="U1721" s="35" t="str">
        <f>MID(Tabla1[[#This Row],[Aplicación]],9,4)</f>
        <v>9207</v>
      </c>
      <c r="V1721" s="35" t="str">
        <f>VLOOKUP(Tabla1[[#This Row],[PROGRAMA]],Hoja1!A:B,2,FALSE)</f>
        <v>9207. Gobierno y relaciones</v>
      </c>
      <c r="W1721" s="56" t="str">
        <f>MID(Tabla1[[#This Row],[Aplicación]],14,2)</f>
        <v>22</v>
      </c>
      <c r="X1721" s="56" t="str">
        <f>MID(Tabla1[[#This Row],[Aplicación]],14,6)</f>
        <v>22602</v>
      </c>
    </row>
    <row r="1722" spans="1:24" x14ac:dyDescent="0.25">
      <c r="A1722" s="46">
        <v>220230003908</v>
      </c>
      <c r="B1722" s="47" t="s">
        <v>1337</v>
      </c>
      <c r="C1722" s="52">
        <v>44974</v>
      </c>
      <c r="D1722" s="46">
        <v>22023000914</v>
      </c>
      <c r="E1722" s="47" t="s">
        <v>578</v>
      </c>
      <c r="F1722" s="53">
        <v>-191840</v>
      </c>
      <c r="G1722" s="47" t="s">
        <v>782</v>
      </c>
      <c r="H1722" s="47" t="s">
        <v>3116</v>
      </c>
      <c r="I1722" s="46" t="s">
        <v>511</v>
      </c>
      <c r="J1722" s="47" t="s">
        <v>519</v>
      </c>
      <c r="K1722" s="47" t="s">
        <v>519</v>
      </c>
      <c r="L1722" s="47" t="s">
        <v>520</v>
      </c>
      <c r="M1722" s="47" t="s">
        <v>514</v>
      </c>
      <c r="N1722" s="47" t="s">
        <v>515</v>
      </c>
      <c r="O1722" s="54" t="s">
        <v>371</v>
      </c>
      <c r="P1722" s="44" t="s">
        <v>309</v>
      </c>
      <c r="Q1722" s="59" t="str">
        <f>MID(Tabla1[[#This Row],[Aplicación]],14,1)</f>
        <v>2</v>
      </c>
      <c r="R1722" s="35" t="s">
        <v>298</v>
      </c>
      <c r="S1722" s="59" t="str">
        <f>MID(Tabla1[[#This Row],[Aplicación]],6,2)</f>
        <v>06</v>
      </c>
      <c r="T1722" s="35" t="str">
        <f>VLOOKUP(Tabla1[[#This Row],[AREA]],Hoja1!A:B,2,FALSE)</f>
        <v>06. Educación, infancia, juventud e igualdad</v>
      </c>
      <c r="U1722" s="35" t="str">
        <f>MID(Tabla1[[#This Row],[Aplicación]],9,4)</f>
        <v>3231</v>
      </c>
      <c r="V1722" s="35" t="str">
        <f>VLOOKUP(Tabla1[[#This Row],[PROGRAMA]],Hoja1!A:B,2,FALSE)</f>
        <v>3231. Escuelas infantiles</v>
      </c>
      <c r="W1722" s="56" t="str">
        <f>MID(Tabla1[[#This Row],[Aplicación]],14,2)</f>
        <v>22</v>
      </c>
      <c r="X1722" s="56" t="str">
        <f>MID(Tabla1[[#This Row],[Aplicación]],14,6)</f>
        <v>22799</v>
      </c>
    </row>
    <row r="1723" spans="1:24" x14ac:dyDescent="0.25">
      <c r="A1723" s="55">
        <v>220230011708</v>
      </c>
      <c r="B1723" s="47" t="s">
        <v>507</v>
      </c>
      <c r="C1723" s="52">
        <v>45014</v>
      </c>
      <c r="D1723" s="46">
        <v>22023003669</v>
      </c>
      <c r="E1723" s="47" t="s">
        <v>1490</v>
      </c>
      <c r="F1723" s="53">
        <v>45</v>
      </c>
      <c r="G1723" s="47" t="s">
        <v>2873</v>
      </c>
      <c r="H1723" s="47" t="s">
        <v>3117</v>
      </c>
      <c r="I1723" s="46" t="s">
        <v>511</v>
      </c>
      <c r="J1723" s="47" t="s">
        <v>519</v>
      </c>
      <c r="K1723" s="47" t="s">
        <v>519</v>
      </c>
      <c r="L1723" s="47" t="s">
        <v>520</v>
      </c>
      <c r="M1723" s="47" t="s">
        <v>976</v>
      </c>
      <c r="N1723" s="47" t="s">
        <v>839</v>
      </c>
      <c r="O1723" s="54" t="s">
        <v>383</v>
      </c>
      <c r="P1723" s="44" t="s">
        <v>309</v>
      </c>
      <c r="Q1723" s="59" t="str">
        <f>MID(Tabla1[[#This Row],[Aplicación]],14,1)</f>
        <v>2</v>
      </c>
      <c r="R1723" s="35" t="s">
        <v>298</v>
      </c>
      <c r="S1723" s="59" t="str">
        <f>MID(Tabla1[[#This Row],[Aplicación]],6,2)</f>
        <v>06</v>
      </c>
      <c r="T1723" s="35" t="str">
        <f>VLOOKUP(Tabla1[[#This Row],[AREA]],Hoja1!A:B,2,FALSE)</f>
        <v>06. Educación, infancia, juventud e igualdad</v>
      </c>
      <c r="U1723" s="35" t="str">
        <f>MID(Tabla1[[#This Row],[Aplicación]],9,4)</f>
        <v>2314</v>
      </c>
      <c r="V1723" s="35" t="str">
        <f>VLOOKUP(Tabla1[[#This Row],[PROGRAMA]],Hoja1!A:B,2,FALSE)</f>
        <v>2314. Centro de programas juveniles</v>
      </c>
      <c r="W1723" s="56" t="str">
        <f>MID(Tabla1[[#This Row],[Aplicación]],14,2)</f>
        <v>22</v>
      </c>
      <c r="X1723" s="56" t="str">
        <f>MID(Tabla1[[#This Row],[Aplicación]],14,6)</f>
        <v>22613</v>
      </c>
    </row>
    <row r="1724" spans="1:24" x14ac:dyDescent="0.25">
      <c r="A1724" s="55">
        <v>220230009327</v>
      </c>
      <c r="B1724" s="47" t="s">
        <v>1514</v>
      </c>
      <c r="C1724" s="52">
        <v>45006</v>
      </c>
      <c r="D1724" s="46">
        <v>22023000213</v>
      </c>
      <c r="E1724" s="47" t="s">
        <v>1694</v>
      </c>
      <c r="F1724" s="53">
        <v>786.23</v>
      </c>
      <c r="G1724" s="47" t="s">
        <v>981</v>
      </c>
      <c r="H1724" s="47" t="s">
        <v>3118</v>
      </c>
      <c r="I1724" s="46" t="s">
        <v>1517</v>
      </c>
      <c r="J1724" s="47" t="s">
        <v>519</v>
      </c>
      <c r="K1724" s="47" t="s">
        <v>519</v>
      </c>
      <c r="L1724" s="47" t="s">
        <v>520</v>
      </c>
      <c r="M1724" s="47" t="s">
        <v>514</v>
      </c>
      <c r="N1724" s="47" t="s">
        <v>515</v>
      </c>
      <c r="O1724" s="54" t="s">
        <v>382</v>
      </c>
      <c r="P1724" s="44" t="s">
        <v>309</v>
      </c>
      <c r="Q1724" s="59" t="str">
        <f>MID(Tabla1[[#This Row],[Aplicación]],14,1)</f>
        <v>2</v>
      </c>
      <c r="R1724" s="35" t="s">
        <v>298</v>
      </c>
      <c r="S1724" s="59" t="str">
        <f>MID(Tabla1[[#This Row],[Aplicación]],6,2)</f>
        <v>11</v>
      </c>
      <c r="T1724" s="35" t="str">
        <f>VLOOKUP(Tabla1[[#This Row],[AREA]],Hoja1!A:B,2,FALSE)</f>
        <v>11. Salud pública y seguridad ciudadana</v>
      </c>
      <c r="U1724" s="35" t="str">
        <f>MID(Tabla1[[#This Row],[Aplicación]],9,4)</f>
        <v>1321</v>
      </c>
      <c r="V1724" s="35" t="str">
        <f>VLOOKUP(Tabla1[[#This Row],[PROGRAMA]],Hoja1!A:B,2,FALSE)</f>
        <v>1321. Policía municipal</v>
      </c>
      <c r="W1724" s="56" t="str">
        <f>MID(Tabla1[[#This Row],[Aplicación]],14,2)</f>
        <v>21</v>
      </c>
      <c r="X1724" s="56" t="str">
        <f>MID(Tabla1[[#This Row],[Aplicación]],14,6)</f>
        <v>214</v>
      </c>
    </row>
    <row r="1725" spans="1:24" x14ac:dyDescent="0.25">
      <c r="A1725" s="55">
        <v>220230009442</v>
      </c>
      <c r="B1725" s="47" t="s">
        <v>507</v>
      </c>
      <c r="C1725" s="52">
        <v>45006</v>
      </c>
      <c r="D1725" s="46">
        <v>22023002108</v>
      </c>
      <c r="E1725" s="47" t="s">
        <v>726</v>
      </c>
      <c r="F1725" s="53">
        <v>45828.75</v>
      </c>
      <c r="G1725" s="47" t="s">
        <v>1450</v>
      </c>
      <c r="H1725" s="47" t="s">
        <v>3119</v>
      </c>
      <c r="I1725" s="46" t="s">
        <v>511</v>
      </c>
      <c r="J1725" s="47" t="s">
        <v>512</v>
      </c>
      <c r="K1725" s="47" t="s">
        <v>512</v>
      </c>
      <c r="L1725" s="47" t="s">
        <v>552</v>
      </c>
      <c r="M1725" s="47" t="s">
        <v>514</v>
      </c>
      <c r="N1725" s="47" t="s">
        <v>515</v>
      </c>
      <c r="O1725" s="54" t="s">
        <v>371</v>
      </c>
      <c r="P1725" s="44" t="s">
        <v>309</v>
      </c>
      <c r="Q1725" s="59" t="str">
        <f>MID(Tabla1[[#This Row],[Aplicación]],14,1)</f>
        <v>6</v>
      </c>
      <c r="R1725" s="35" t="s">
        <v>299</v>
      </c>
      <c r="S1725" s="59" t="str">
        <f>MID(Tabla1[[#This Row],[Aplicación]],6,2)</f>
        <v>04</v>
      </c>
      <c r="T1725" s="35" t="str">
        <f>VLOOKUP(Tabla1[[#This Row],[AREA]],Hoja1!A:B,2,FALSE)</f>
        <v>04. Planificación y recursos</v>
      </c>
      <c r="U1725" s="35" t="str">
        <f>MID(Tabla1[[#This Row],[Aplicación]],9,4)</f>
        <v>9204</v>
      </c>
      <c r="V1725" s="35" t="str">
        <f>VLOOKUP(Tabla1[[#This Row],[PROGRAMA]],Hoja1!A:B,2,FALSE)</f>
        <v>9204. Tecnologías de la información y comunicación</v>
      </c>
      <c r="W1725" s="56" t="str">
        <f>MID(Tabla1[[#This Row],[Aplicación]],14,2)</f>
        <v>64</v>
      </c>
      <c r="X1725" s="56" t="str">
        <f>MID(Tabla1[[#This Row],[Aplicación]],14,6)</f>
        <v>641</v>
      </c>
    </row>
    <row r="1726" spans="1:24" x14ac:dyDescent="0.25">
      <c r="A1726" s="55">
        <v>220230009459</v>
      </c>
      <c r="B1726" s="47" t="s">
        <v>507</v>
      </c>
      <c r="C1726" s="52">
        <v>45006</v>
      </c>
      <c r="D1726" s="46">
        <v>22023003383</v>
      </c>
      <c r="E1726" s="47" t="s">
        <v>659</v>
      </c>
      <c r="F1726" s="53">
        <v>1199.3</v>
      </c>
      <c r="G1726" s="47" t="s">
        <v>3120</v>
      </c>
      <c r="H1726" s="47" t="s">
        <v>3121</v>
      </c>
      <c r="I1726" s="46" t="s">
        <v>511</v>
      </c>
      <c r="J1726" s="47" t="s">
        <v>3122</v>
      </c>
      <c r="K1726" s="47" t="s">
        <v>3123</v>
      </c>
      <c r="L1726" s="47" t="s">
        <v>520</v>
      </c>
      <c r="M1726" s="47" t="s">
        <v>976</v>
      </c>
      <c r="N1726" s="47" t="s">
        <v>839</v>
      </c>
      <c r="O1726" s="54" t="s">
        <v>383</v>
      </c>
      <c r="P1726" s="44" t="s">
        <v>309</v>
      </c>
      <c r="Q1726" s="59" t="str">
        <f>MID(Tabla1[[#This Row],[Aplicación]],14,1)</f>
        <v>2</v>
      </c>
      <c r="R1726" s="35" t="s">
        <v>298</v>
      </c>
      <c r="S1726" s="59" t="str">
        <f>MID(Tabla1[[#This Row],[Aplicación]],6,2)</f>
        <v>11</v>
      </c>
      <c r="T1726" s="35" t="str">
        <f>VLOOKUP(Tabla1[[#This Row],[AREA]],Hoja1!A:B,2,FALSE)</f>
        <v>11. Salud pública y seguridad ciudadana</v>
      </c>
      <c r="U1726" s="35" t="str">
        <f>MID(Tabla1[[#This Row],[Aplicación]],9,4)</f>
        <v>1321</v>
      </c>
      <c r="V1726" s="35" t="str">
        <f>VLOOKUP(Tabla1[[#This Row],[PROGRAMA]],Hoja1!A:B,2,FALSE)</f>
        <v>1321. Policía municipal</v>
      </c>
      <c r="W1726" s="56" t="str">
        <f>MID(Tabla1[[#This Row],[Aplicación]],14,2)</f>
        <v>21</v>
      </c>
      <c r="X1726" s="56" t="str">
        <f>MID(Tabla1[[#This Row],[Aplicación]],14,6)</f>
        <v>213</v>
      </c>
    </row>
    <row r="1727" spans="1:24" x14ac:dyDescent="0.25">
      <c r="A1727" s="55">
        <v>220230009479</v>
      </c>
      <c r="B1727" s="47" t="s">
        <v>507</v>
      </c>
      <c r="C1727" s="52">
        <v>45006</v>
      </c>
      <c r="D1727" s="46">
        <v>22023003429</v>
      </c>
      <c r="E1727" s="47" t="s">
        <v>1191</v>
      </c>
      <c r="F1727" s="53">
        <v>181.5</v>
      </c>
      <c r="G1727" s="47" t="s">
        <v>467</v>
      </c>
      <c r="H1727" s="47" t="s">
        <v>3124</v>
      </c>
      <c r="I1727" s="46" t="s">
        <v>511</v>
      </c>
      <c r="J1727" s="47" t="s">
        <v>3125</v>
      </c>
      <c r="K1727" s="47" t="s">
        <v>519</v>
      </c>
      <c r="L1727" s="47" t="s">
        <v>520</v>
      </c>
      <c r="M1727" s="47" t="s">
        <v>976</v>
      </c>
      <c r="N1727" s="47" t="s">
        <v>839</v>
      </c>
      <c r="O1727" s="54" t="s">
        <v>383</v>
      </c>
      <c r="P1727" s="44" t="s">
        <v>309</v>
      </c>
      <c r="Q1727" s="59" t="str">
        <f>MID(Tabla1[[#This Row],[Aplicación]],14,1)</f>
        <v>2</v>
      </c>
      <c r="R1727" s="35" t="s">
        <v>298</v>
      </c>
      <c r="S1727" s="59" t="str">
        <f>MID(Tabla1[[#This Row],[Aplicación]],6,2)</f>
        <v>06</v>
      </c>
      <c r="T1727" s="35" t="str">
        <f>VLOOKUP(Tabla1[[#This Row],[AREA]],Hoja1!A:B,2,FALSE)</f>
        <v>06. Educación, infancia, juventud e igualdad</v>
      </c>
      <c r="U1727" s="35" t="str">
        <f>MID(Tabla1[[#This Row],[Aplicación]],9,4)</f>
        <v>2315</v>
      </c>
      <c r="V1727" s="35" t="str">
        <f>VLOOKUP(Tabla1[[#This Row],[PROGRAMA]],Hoja1!A:B,2,FALSE)</f>
        <v>2315. Políticas de Igualdad e infancia</v>
      </c>
      <c r="W1727" s="56" t="str">
        <f>MID(Tabla1[[#This Row],[Aplicación]],14,2)</f>
        <v>22</v>
      </c>
      <c r="X1727" s="56" t="str">
        <f>MID(Tabla1[[#This Row],[Aplicación]],14,6)</f>
        <v>22611</v>
      </c>
    </row>
    <row r="1728" spans="1:24" x14ac:dyDescent="0.25">
      <c r="A1728" s="55">
        <v>220230009494</v>
      </c>
      <c r="B1728" s="47" t="s">
        <v>507</v>
      </c>
      <c r="C1728" s="52">
        <v>45006</v>
      </c>
      <c r="D1728" s="46">
        <v>22023003450</v>
      </c>
      <c r="E1728" s="47" t="s">
        <v>659</v>
      </c>
      <c r="F1728" s="53">
        <v>189.37</v>
      </c>
      <c r="G1728" s="47" t="s">
        <v>464</v>
      </c>
      <c r="H1728" s="47" t="s">
        <v>3126</v>
      </c>
      <c r="I1728" s="46" t="s">
        <v>511</v>
      </c>
      <c r="J1728" s="47" t="s">
        <v>1078</v>
      </c>
      <c r="K1728" s="47" t="s">
        <v>519</v>
      </c>
      <c r="L1728" s="47" t="s">
        <v>552</v>
      </c>
      <c r="M1728" s="47" t="s">
        <v>976</v>
      </c>
      <c r="N1728" s="47" t="s">
        <v>839</v>
      </c>
      <c r="O1728" s="54" t="s">
        <v>383</v>
      </c>
      <c r="P1728" s="44" t="s">
        <v>309</v>
      </c>
      <c r="Q1728" s="59" t="str">
        <f>MID(Tabla1[[#This Row],[Aplicación]],14,1)</f>
        <v>2</v>
      </c>
      <c r="R1728" s="35" t="s">
        <v>298</v>
      </c>
      <c r="S1728" s="59" t="str">
        <f>MID(Tabla1[[#This Row],[Aplicación]],6,2)</f>
        <v>11</v>
      </c>
      <c r="T1728" s="35" t="str">
        <f>VLOOKUP(Tabla1[[#This Row],[AREA]],Hoja1!A:B,2,FALSE)</f>
        <v>11. Salud pública y seguridad ciudadana</v>
      </c>
      <c r="U1728" s="35" t="str">
        <f>MID(Tabla1[[#This Row],[Aplicación]],9,4)</f>
        <v>1321</v>
      </c>
      <c r="V1728" s="35" t="str">
        <f>VLOOKUP(Tabla1[[#This Row],[PROGRAMA]],Hoja1!A:B,2,FALSE)</f>
        <v>1321. Policía municipal</v>
      </c>
      <c r="W1728" s="56" t="str">
        <f>MID(Tabla1[[#This Row],[Aplicación]],14,2)</f>
        <v>21</v>
      </c>
      <c r="X1728" s="56" t="str">
        <f>MID(Tabla1[[#This Row],[Aplicación]],14,6)</f>
        <v>213</v>
      </c>
    </row>
    <row r="1729" spans="1:24" x14ac:dyDescent="0.25">
      <c r="A1729" s="55">
        <v>220230009471</v>
      </c>
      <c r="B1729" s="47" t="s">
        <v>507</v>
      </c>
      <c r="C1729" s="52">
        <v>45006</v>
      </c>
      <c r="D1729" s="46">
        <v>22023003278</v>
      </c>
      <c r="E1729" s="47" t="s">
        <v>1551</v>
      </c>
      <c r="F1729" s="53">
        <v>1000</v>
      </c>
      <c r="G1729" s="47" t="s">
        <v>456</v>
      </c>
      <c r="H1729" s="47" t="s">
        <v>3127</v>
      </c>
      <c r="I1729" s="46" t="s">
        <v>511</v>
      </c>
      <c r="J1729" s="47" t="s">
        <v>519</v>
      </c>
      <c r="K1729" s="47" t="s">
        <v>519</v>
      </c>
      <c r="L1729" s="47" t="s">
        <v>552</v>
      </c>
      <c r="M1729" s="47" t="s">
        <v>976</v>
      </c>
      <c r="N1729" s="47" t="s">
        <v>839</v>
      </c>
      <c r="O1729" s="54" t="s">
        <v>383</v>
      </c>
      <c r="P1729" s="44" t="s">
        <v>309</v>
      </c>
      <c r="Q1729" s="59" t="str">
        <f>MID(Tabla1[[#This Row],[Aplicación]],14,1)</f>
        <v>2</v>
      </c>
      <c r="R1729" s="35" t="s">
        <v>298</v>
      </c>
      <c r="S1729" s="59" t="str">
        <f>MID(Tabla1[[#This Row],[Aplicación]],6,2)</f>
        <v>02</v>
      </c>
      <c r="T1729" s="35" t="str">
        <f>VLOOKUP(Tabla1[[#This Row],[AREA]],Hoja1!A:B,2,FALSE)</f>
        <v>02. Planeamiento urbanístico y vivienda</v>
      </c>
      <c r="U1729" s="35" t="str">
        <f>MID(Tabla1[[#This Row],[Aplicación]],9,4)</f>
        <v>9332</v>
      </c>
      <c r="V1729" s="35" t="str">
        <f>VLOOKUP(Tabla1[[#This Row],[PROGRAMA]],Hoja1!A:B,2,FALSE)</f>
        <v>9332. Mantenimiento de edificios e instalaciones municipales</v>
      </c>
      <c r="W1729" s="56" t="str">
        <f>MID(Tabla1[[#This Row],[Aplicación]],14,2)</f>
        <v>21</v>
      </c>
      <c r="X1729" s="56" t="str">
        <f>MID(Tabla1[[#This Row],[Aplicación]],14,6)</f>
        <v>212</v>
      </c>
    </row>
    <row r="1730" spans="1:24" x14ac:dyDescent="0.25">
      <c r="A1730" s="55">
        <v>220230009415</v>
      </c>
      <c r="B1730" s="47" t="s">
        <v>1514</v>
      </c>
      <c r="C1730" s="52">
        <v>45006</v>
      </c>
      <c r="D1730" s="46">
        <v>22023001459</v>
      </c>
      <c r="E1730" s="47" t="s">
        <v>1290</v>
      </c>
      <c r="F1730" s="53">
        <v>652.35</v>
      </c>
      <c r="G1730" s="47" t="s">
        <v>2391</v>
      </c>
      <c r="H1730" s="47" t="s">
        <v>3128</v>
      </c>
      <c r="I1730" s="46" t="s">
        <v>1517</v>
      </c>
      <c r="J1730" s="47" t="s">
        <v>519</v>
      </c>
      <c r="K1730" s="47" t="s">
        <v>519</v>
      </c>
      <c r="L1730" s="47" t="s">
        <v>520</v>
      </c>
      <c r="M1730" s="47" t="s">
        <v>514</v>
      </c>
      <c r="N1730" s="47" t="s">
        <v>515</v>
      </c>
      <c r="O1730" s="54" t="s">
        <v>382</v>
      </c>
      <c r="P1730" s="44" t="s">
        <v>309</v>
      </c>
      <c r="Q1730" s="59" t="str">
        <f>MID(Tabla1[[#This Row],[Aplicación]],14,1)</f>
        <v>2</v>
      </c>
      <c r="R1730" s="35" t="s">
        <v>298</v>
      </c>
      <c r="S1730" s="59" t="str">
        <f>MID(Tabla1[[#This Row],[Aplicación]],6,2)</f>
        <v>11</v>
      </c>
      <c r="T1730" s="35" t="str">
        <f>VLOOKUP(Tabla1[[#This Row],[AREA]],Hoja1!A:B,2,FALSE)</f>
        <v>11. Salud pública y seguridad ciudadana</v>
      </c>
      <c r="U1730" s="35" t="str">
        <f>MID(Tabla1[[#This Row],[Aplicación]],9,4)</f>
        <v>1621</v>
      </c>
      <c r="V1730" s="35" t="str">
        <f>VLOOKUP(Tabla1[[#This Row],[PROGRAMA]],Hoja1!A:B,2,FALSE)</f>
        <v>1621. Servicio de limpieza</v>
      </c>
      <c r="W1730" s="56" t="str">
        <f>MID(Tabla1[[#This Row],[Aplicación]],14,2)</f>
        <v>21</v>
      </c>
      <c r="X1730" s="56" t="str">
        <f>MID(Tabla1[[#This Row],[Aplicación]],14,6)</f>
        <v>214</v>
      </c>
    </row>
    <row r="1731" spans="1:24" x14ac:dyDescent="0.25">
      <c r="A1731" s="55">
        <v>220230009457</v>
      </c>
      <c r="B1731" s="47" t="s">
        <v>507</v>
      </c>
      <c r="C1731" s="52">
        <v>45006</v>
      </c>
      <c r="D1731" s="46">
        <v>22023003200</v>
      </c>
      <c r="E1731" s="47" t="s">
        <v>616</v>
      </c>
      <c r="F1731" s="53">
        <v>51.09</v>
      </c>
      <c r="G1731" s="47" t="s">
        <v>15</v>
      </c>
      <c r="H1731" s="47" t="s">
        <v>3129</v>
      </c>
      <c r="I1731" s="46" t="s">
        <v>511</v>
      </c>
      <c r="J1731" s="47" t="s">
        <v>519</v>
      </c>
      <c r="K1731" s="47" t="s">
        <v>519</v>
      </c>
      <c r="L1731" s="47" t="s">
        <v>520</v>
      </c>
      <c r="M1731" s="47" t="s">
        <v>976</v>
      </c>
      <c r="N1731" s="47" t="s">
        <v>839</v>
      </c>
      <c r="O1731" s="54" t="s">
        <v>383</v>
      </c>
      <c r="P1731" s="44" t="s">
        <v>309</v>
      </c>
      <c r="Q1731" s="59" t="str">
        <f>MID(Tabla1[[#This Row],[Aplicación]],14,1)</f>
        <v>2</v>
      </c>
      <c r="R1731" s="35" t="s">
        <v>298</v>
      </c>
      <c r="S1731" s="59" t="str">
        <f>MID(Tabla1[[#This Row],[Aplicación]],6,2)</f>
        <v>10</v>
      </c>
      <c r="T1731" s="35" t="str">
        <f>VLOOKUP(Tabla1[[#This Row],[AREA]],Hoja1!A:B,2,FALSE)</f>
        <v>10. Servicios sociales y mediación comunitaria</v>
      </c>
      <c r="U1731" s="35" t="str">
        <f>MID(Tabla1[[#This Row],[Aplicación]],9,4)</f>
        <v>2412</v>
      </c>
      <c r="V1731" s="35" t="str">
        <f>VLOOKUP(Tabla1[[#This Row],[PROGRAMA]],Hoja1!A:B,2,FALSE)</f>
        <v>2412. Formación para el empleo</v>
      </c>
      <c r="W1731" s="56" t="str">
        <f>MID(Tabla1[[#This Row],[Aplicación]],14,2)</f>
        <v>21</v>
      </c>
      <c r="X1731" s="56" t="str">
        <f>MID(Tabla1[[#This Row],[Aplicación]],14,6)</f>
        <v>213</v>
      </c>
    </row>
    <row r="1732" spans="1:24" x14ac:dyDescent="0.25">
      <c r="A1732" s="55">
        <v>220230009457</v>
      </c>
      <c r="B1732" s="47" t="s">
        <v>507</v>
      </c>
      <c r="C1732" s="52">
        <v>45006</v>
      </c>
      <c r="D1732" s="46">
        <v>22023003201</v>
      </c>
      <c r="E1732" s="47" t="s">
        <v>616</v>
      </c>
      <c r="F1732" s="53">
        <v>63.86</v>
      </c>
      <c r="G1732" s="47" t="s">
        <v>15</v>
      </c>
      <c r="H1732" s="47" t="s">
        <v>3129</v>
      </c>
      <c r="I1732" s="46" t="s">
        <v>511</v>
      </c>
      <c r="J1732" s="47" t="s">
        <v>519</v>
      </c>
      <c r="K1732" s="47" t="s">
        <v>519</v>
      </c>
      <c r="L1732" s="47" t="s">
        <v>520</v>
      </c>
      <c r="M1732" s="47" t="s">
        <v>976</v>
      </c>
      <c r="N1732" s="47" t="s">
        <v>839</v>
      </c>
      <c r="O1732" s="54" t="s">
        <v>383</v>
      </c>
      <c r="P1732" s="44" t="s">
        <v>309</v>
      </c>
      <c r="Q1732" s="59" t="str">
        <f>MID(Tabla1[[#This Row],[Aplicación]],14,1)</f>
        <v>2</v>
      </c>
      <c r="R1732" s="35" t="s">
        <v>298</v>
      </c>
      <c r="S1732" s="59" t="str">
        <f>MID(Tabla1[[#This Row],[Aplicación]],6,2)</f>
        <v>10</v>
      </c>
      <c r="T1732" s="35" t="str">
        <f>VLOOKUP(Tabla1[[#This Row],[AREA]],Hoja1!A:B,2,FALSE)</f>
        <v>10. Servicios sociales y mediación comunitaria</v>
      </c>
      <c r="U1732" s="35" t="str">
        <f>MID(Tabla1[[#This Row],[Aplicación]],9,4)</f>
        <v>2412</v>
      </c>
      <c r="V1732" s="35" t="str">
        <f>VLOOKUP(Tabla1[[#This Row],[PROGRAMA]],Hoja1!A:B,2,FALSE)</f>
        <v>2412. Formación para el empleo</v>
      </c>
      <c r="W1732" s="56" t="str">
        <f>MID(Tabla1[[#This Row],[Aplicación]],14,2)</f>
        <v>21</v>
      </c>
      <c r="X1732" s="56" t="str">
        <f>MID(Tabla1[[#This Row],[Aplicación]],14,6)</f>
        <v>213</v>
      </c>
    </row>
    <row r="1733" spans="1:24" x14ac:dyDescent="0.25">
      <c r="A1733" s="55">
        <v>220230009510</v>
      </c>
      <c r="B1733" s="47" t="s">
        <v>507</v>
      </c>
      <c r="C1733" s="52">
        <v>45006</v>
      </c>
      <c r="D1733" s="46">
        <v>22023003503</v>
      </c>
      <c r="E1733" s="47" t="s">
        <v>1822</v>
      </c>
      <c r="F1733" s="53">
        <v>800.42</v>
      </c>
      <c r="G1733" s="47" t="s">
        <v>386</v>
      </c>
      <c r="H1733" s="47" t="s">
        <v>3130</v>
      </c>
      <c r="I1733" s="46" t="s">
        <v>511</v>
      </c>
      <c r="J1733" s="47" t="s">
        <v>519</v>
      </c>
      <c r="K1733" s="47" t="s">
        <v>519</v>
      </c>
      <c r="L1733" s="47" t="s">
        <v>552</v>
      </c>
      <c r="M1733" s="47" t="s">
        <v>976</v>
      </c>
      <c r="N1733" s="47" t="s">
        <v>839</v>
      </c>
      <c r="O1733" s="54" t="s">
        <v>383</v>
      </c>
      <c r="P1733" s="44" t="s">
        <v>309</v>
      </c>
      <c r="Q1733" s="59" t="str">
        <f>MID(Tabla1[[#This Row],[Aplicación]],14,1)</f>
        <v>2</v>
      </c>
      <c r="R1733" s="35" t="s">
        <v>298</v>
      </c>
      <c r="S1733" s="59" t="str">
        <f>MID(Tabla1[[#This Row],[Aplicación]],6,2)</f>
        <v>05</v>
      </c>
      <c r="T1733" s="35" t="str">
        <f>VLOOKUP(Tabla1[[#This Row],[AREA]],Hoja1!A:B,2,FALSE)</f>
        <v>05. Innovación, desarrollo económico, empleo y comercio</v>
      </c>
      <c r="U1733" s="35" t="str">
        <f>MID(Tabla1[[#This Row],[Aplicación]],9,4)</f>
        <v>4312</v>
      </c>
      <c r="V1733" s="35" t="str">
        <f>VLOOKUP(Tabla1[[#This Row],[PROGRAMA]],Hoja1!A:B,2,FALSE)</f>
        <v>4312. Mercados, abastos y lonjas</v>
      </c>
      <c r="W1733" s="56" t="str">
        <f>MID(Tabla1[[#This Row],[Aplicación]],14,2)</f>
        <v>22</v>
      </c>
      <c r="X1733" s="56" t="str">
        <f>MID(Tabla1[[#This Row],[Aplicación]],14,6)</f>
        <v>22799</v>
      </c>
    </row>
    <row r="1734" spans="1:24" x14ac:dyDescent="0.25">
      <c r="A1734" s="55">
        <v>220230009475</v>
      </c>
      <c r="B1734" s="47" t="s">
        <v>507</v>
      </c>
      <c r="C1734" s="52">
        <v>45006</v>
      </c>
      <c r="D1734" s="46">
        <v>22023003390</v>
      </c>
      <c r="E1734" s="47" t="s">
        <v>1181</v>
      </c>
      <c r="F1734" s="53">
        <v>2061.23</v>
      </c>
      <c r="G1734" s="47" t="s">
        <v>420</v>
      </c>
      <c r="H1734" s="47" t="s">
        <v>3131</v>
      </c>
      <c r="I1734" s="46" t="s">
        <v>511</v>
      </c>
      <c r="J1734" s="47" t="s">
        <v>519</v>
      </c>
      <c r="K1734" s="47" t="s">
        <v>519</v>
      </c>
      <c r="L1734" s="47" t="s">
        <v>520</v>
      </c>
      <c r="M1734" s="47" t="s">
        <v>976</v>
      </c>
      <c r="N1734" s="47" t="s">
        <v>839</v>
      </c>
      <c r="O1734" s="54" t="s">
        <v>383</v>
      </c>
      <c r="P1734" s="44" t="s">
        <v>309</v>
      </c>
      <c r="Q1734" s="59" t="str">
        <f>MID(Tabla1[[#This Row],[Aplicación]],14,1)</f>
        <v>2</v>
      </c>
      <c r="R1734" s="35" t="s">
        <v>298</v>
      </c>
      <c r="S1734" s="59" t="str">
        <f>MID(Tabla1[[#This Row],[Aplicación]],6,2)</f>
        <v>09</v>
      </c>
      <c r="T1734" s="35" t="str">
        <f>VLOOKUP(Tabla1[[#This Row],[AREA]],Hoja1!A:B,2,FALSE)</f>
        <v>09. Cultura y turismo</v>
      </c>
      <c r="U1734" s="35" t="str">
        <f>MID(Tabla1[[#This Row],[Aplicación]],9,4)</f>
        <v>3341</v>
      </c>
      <c r="V1734" s="35" t="str">
        <f>VLOOKUP(Tabla1[[#This Row],[PROGRAMA]],Hoja1!A:B,2,FALSE)</f>
        <v>3341. Coordinación de políticas culturales</v>
      </c>
      <c r="W1734" s="56" t="str">
        <f>MID(Tabla1[[#This Row],[Aplicación]],14,2)</f>
        <v>22</v>
      </c>
      <c r="X1734" s="56" t="str">
        <f>MID(Tabla1[[#This Row],[Aplicación]],14,6)</f>
        <v>22200</v>
      </c>
    </row>
    <row r="1735" spans="1:24" x14ac:dyDescent="0.25">
      <c r="A1735" s="55">
        <v>220230009470</v>
      </c>
      <c r="B1735" s="47" t="s">
        <v>507</v>
      </c>
      <c r="C1735" s="52">
        <v>45006</v>
      </c>
      <c r="D1735" s="46">
        <v>22023003254</v>
      </c>
      <c r="E1735" s="47" t="s">
        <v>3132</v>
      </c>
      <c r="F1735" s="53">
        <v>2414.3000000000002</v>
      </c>
      <c r="G1735" s="47" t="s">
        <v>2214</v>
      </c>
      <c r="H1735" s="47" t="s">
        <v>3133</v>
      </c>
      <c r="I1735" s="46" t="s">
        <v>511</v>
      </c>
      <c r="J1735" s="47" t="s">
        <v>519</v>
      </c>
      <c r="K1735" s="47" t="s">
        <v>519</v>
      </c>
      <c r="L1735" s="47" t="s">
        <v>520</v>
      </c>
      <c r="M1735" s="47" t="s">
        <v>976</v>
      </c>
      <c r="N1735" s="47" t="s">
        <v>839</v>
      </c>
      <c r="O1735" s="54" t="s">
        <v>383</v>
      </c>
      <c r="P1735" s="44" t="s">
        <v>309</v>
      </c>
      <c r="Q1735" s="59" t="str">
        <f>MID(Tabla1[[#This Row],[Aplicación]],14,1)</f>
        <v>2</v>
      </c>
      <c r="R1735" s="35" t="s">
        <v>298</v>
      </c>
      <c r="S1735" s="59" t="str">
        <f>MID(Tabla1[[#This Row],[Aplicación]],6,2)</f>
        <v>05</v>
      </c>
      <c r="T1735" s="35" t="str">
        <f>VLOOKUP(Tabla1[[#This Row],[AREA]],Hoja1!A:B,2,FALSE)</f>
        <v>05. Innovación, desarrollo económico, empleo y comercio</v>
      </c>
      <c r="U1735" s="35" t="str">
        <f>MID(Tabla1[[#This Row],[Aplicación]],9,4)</f>
        <v>4331</v>
      </c>
      <c r="V1735" s="35" t="str">
        <f>VLOOKUP(Tabla1[[#This Row],[PROGRAMA]],Hoja1!A:B,2,FALSE)</f>
        <v>4331. Desarrollo empresarial</v>
      </c>
      <c r="W1735" s="56" t="str">
        <f>MID(Tabla1[[#This Row],[Aplicación]],14,2)</f>
        <v>22</v>
      </c>
      <c r="X1735" s="56" t="str">
        <f>MID(Tabla1[[#This Row],[Aplicación]],14,6)</f>
        <v>22606</v>
      </c>
    </row>
    <row r="1736" spans="1:24" x14ac:dyDescent="0.25">
      <c r="A1736" s="55">
        <v>220230009511</v>
      </c>
      <c r="B1736" s="47" t="s">
        <v>507</v>
      </c>
      <c r="C1736" s="52">
        <v>45006</v>
      </c>
      <c r="D1736" s="46">
        <v>22023003504</v>
      </c>
      <c r="E1736" s="47" t="s">
        <v>1260</v>
      </c>
      <c r="F1736" s="53">
        <v>52.5</v>
      </c>
      <c r="G1736" s="47" t="s">
        <v>118</v>
      </c>
      <c r="H1736" s="47" t="s">
        <v>3134</v>
      </c>
      <c r="I1736" s="46" t="s">
        <v>511</v>
      </c>
      <c r="J1736" s="47" t="s">
        <v>519</v>
      </c>
      <c r="K1736" s="47" t="s">
        <v>519</v>
      </c>
      <c r="L1736" s="47" t="s">
        <v>520</v>
      </c>
      <c r="M1736" s="47" t="s">
        <v>976</v>
      </c>
      <c r="N1736" s="47" t="s">
        <v>839</v>
      </c>
      <c r="O1736" s="54" t="s">
        <v>383</v>
      </c>
      <c r="P1736" s="44" t="s">
        <v>309</v>
      </c>
      <c r="Q1736" s="59" t="str">
        <f>MID(Tabla1[[#This Row],[Aplicación]],14,1)</f>
        <v>2</v>
      </c>
      <c r="R1736" s="35" t="s">
        <v>298</v>
      </c>
      <c r="S1736" s="59" t="str">
        <f>MID(Tabla1[[#This Row],[Aplicación]],6,2)</f>
        <v>03</v>
      </c>
      <c r="T1736" s="35" t="str">
        <f>VLOOKUP(Tabla1[[#This Row],[AREA]],Hoja1!A:B,2,FALSE)</f>
        <v>03. Participación ciudadana y deportes</v>
      </c>
      <c r="U1736" s="35" t="str">
        <f>MID(Tabla1[[#This Row],[Aplicación]],9,4)</f>
        <v>9241</v>
      </c>
      <c r="V1736" s="35" t="str">
        <f>VLOOKUP(Tabla1[[#This Row],[PROGRAMA]],Hoja1!A:B,2,FALSE)</f>
        <v>9241. Participación ciudadana</v>
      </c>
      <c r="W1736" s="56" t="str">
        <f>MID(Tabla1[[#This Row],[Aplicación]],14,2)</f>
        <v>22</v>
      </c>
      <c r="X1736" s="56" t="str">
        <f>MID(Tabla1[[#This Row],[Aplicación]],14,6)</f>
        <v>22602</v>
      </c>
    </row>
    <row r="1737" spans="1:24" x14ac:dyDescent="0.25">
      <c r="A1737" s="55">
        <v>220230009480</v>
      </c>
      <c r="B1737" s="47" t="s">
        <v>507</v>
      </c>
      <c r="C1737" s="52">
        <v>45006</v>
      </c>
      <c r="D1737" s="46">
        <v>22023003433</v>
      </c>
      <c r="E1737" s="47" t="s">
        <v>732</v>
      </c>
      <c r="F1737" s="53">
        <v>1000</v>
      </c>
      <c r="G1737" s="47" t="s">
        <v>118</v>
      </c>
      <c r="H1737" s="47" t="s">
        <v>3135</v>
      </c>
      <c r="I1737" s="46" t="s">
        <v>511</v>
      </c>
      <c r="J1737" s="47" t="s">
        <v>519</v>
      </c>
      <c r="K1737" s="47" t="s">
        <v>519</v>
      </c>
      <c r="L1737" s="47" t="s">
        <v>520</v>
      </c>
      <c r="M1737" s="47" t="s">
        <v>976</v>
      </c>
      <c r="N1737" s="47" t="s">
        <v>839</v>
      </c>
      <c r="O1737" s="54" t="s">
        <v>383</v>
      </c>
      <c r="P1737" s="44" t="s">
        <v>309</v>
      </c>
      <c r="Q1737" s="59" t="str">
        <f>MID(Tabla1[[#This Row],[Aplicación]],14,1)</f>
        <v>2</v>
      </c>
      <c r="R1737" s="35" t="s">
        <v>298</v>
      </c>
      <c r="S1737" s="59" t="str">
        <f>MID(Tabla1[[#This Row],[Aplicación]],6,2)</f>
        <v>06</v>
      </c>
      <c r="T1737" s="35" t="str">
        <f>VLOOKUP(Tabla1[[#This Row],[AREA]],Hoja1!A:B,2,FALSE)</f>
        <v>06. Educación, infancia, juventud e igualdad</v>
      </c>
      <c r="U1737" s="35" t="str">
        <f>MID(Tabla1[[#This Row],[Aplicación]],9,4)</f>
        <v>3321</v>
      </c>
      <c r="V1737" s="35" t="str">
        <f>VLOOKUP(Tabla1[[#This Row],[PROGRAMA]],Hoja1!A:B,2,FALSE)</f>
        <v>3321. Bibliotecas públicas</v>
      </c>
      <c r="W1737" s="56" t="str">
        <f>MID(Tabla1[[#This Row],[Aplicación]],14,2)</f>
        <v>22</v>
      </c>
      <c r="X1737" s="56" t="str">
        <f>MID(Tabla1[[#This Row],[Aplicación]],14,6)</f>
        <v>22799</v>
      </c>
    </row>
    <row r="1738" spans="1:24" x14ac:dyDescent="0.25">
      <c r="A1738" s="55">
        <v>220230009458</v>
      </c>
      <c r="B1738" s="47" t="s">
        <v>507</v>
      </c>
      <c r="C1738" s="52">
        <v>45006</v>
      </c>
      <c r="D1738" s="46">
        <v>22023003259</v>
      </c>
      <c r="E1738" s="47" t="s">
        <v>1490</v>
      </c>
      <c r="F1738" s="53">
        <v>400</v>
      </c>
      <c r="G1738" s="47" t="s">
        <v>3136</v>
      </c>
      <c r="H1738" s="47" t="s">
        <v>3137</v>
      </c>
      <c r="I1738" s="46" t="s">
        <v>511</v>
      </c>
      <c r="J1738" s="47" t="s">
        <v>519</v>
      </c>
      <c r="K1738" s="47" t="s">
        <v>519</v>
      </c>
      <c r="L1738" s="47" t="s">
        <v>520</v>
      </c>
      <c r="M1738" s="47" t="s">
        <v>976</v>
      </c>
      <c r="N1738" s="47" t="s">
        <v>839</v>
      </c>
      <c r="O1738" s="54" t="s">
        <v>383</v>
      </c>
      <c r="P1738" s="44" t="s">
        <v>309</v>
      </c>
      <c r="Q1738" s="59" t="str">
        <f>MID(Tabla1[[#This Row],[Aplicación]],14,1)</f>
        <v>2</v>
      </c>
      <c r="R1738" s="35" t="s">
        <v>298</v>
      </c>
      <c r="S1738" s="59" t="str">
        <f>MID(Tabla1[[#This Row],[Aplicación]],6,2)</f>
        <v>06</v>
      </c>
      <c r="T1738" s="35" t="str">
        <f>VLOOKUP(Tabla1[[#This Row],[AREA]],Hoja1!A:B,2,FALSE)</f>
        <v>06. Educación, infancia, juventud e igualdad</v>
      </c>
      <c r="U1738" s="35" t="str">
        <f>MID(Tabla1[[#This Row],[Aplicación]],9,4)</f>
        <v>2314</v>
      </c>
      <c r="V1738" s="35" t="str">
        <f>VLOOKUP(Tabla1[[#This Row],[PROGRAMA]],Hoja1!A:B,2,FALSE)</f>
        <v>2314. Centro de programas juveniles</v>
      </c>
      <c r="W1738" s="56" t="str">
        <f>MID(Tabla1[[#This Row],[Aplicación]],14,2)</f>
        <v>22</v>
      </c>
      <c r="X1738" s="56" t="str">
        <f>MID(Tabla1[[#This Row],[Aplicación]],14,6)</f>
        <v>22613</v>
      </c>
    </row>
    <row r="1739" spans="1:24" x14ac:dyDescent="0.25">
      <c r="A1739" s="55">
        <v>220230009450</v>
      </c>
      <c r="B1739" s="47" t="s">
        <v>507</v>
      </c>
      <c r="C1739" s="52">
        <v>45006</v>
      </c>
      <c r="D1739" s="46">
        <v>22023003105</v>
      </c>
      <c r="E1739" s="47" t="s">
        <v>3138</v>
      </c>
      <c r="F1739" s="53">
        <v>1184.83</v>
      </c>
      <c r="G1739" s="47" t="s">
        <v>17</v>
      </c>
      <c r="H1739" s="47" t="s">
        <v>3139</v>
      </c>
      <c r="I1739" s="46" t="s">
        <v>511</v>
      </c>
      <c r="J1739" s="47" t="s">
        <v>519</v>
      </c>
      <c r="K1739" s="47" t="s">
        <v>519</v>
      </c>
      <c r="L1739" s="47" t="s">
        <v>552</v>
      </c>
      <c r="M1739" s="47" t="s">
        <v>976</v>
      </c>
      <c r="N1739" s="47" t="s">
        <v>839</v>
      </c>
      <c r="O1739" s="54" t="s">
        <v>383</v>
      </c>
      <c r="P1739" s="44" t="s">
        <v>309</v>
      </c>
      <c r="Q1739" s="59" t="str">
        <f>MID(Tabla1[[#This Row],[Aplicación]],14,1)</f>
        <v>2</v>
      </c>
      <c r="R1739" s="35" t="s">
        <v>298</v>
      </c>
      <c r="S1739" s="59" t="str">
        <f>MID(Tabla1[[#This Row],[Aplicación]],6,2)</f>
        <v>08</v>
      </c>
      <c r="T1739" s="35" t="str">
        <f>VLOOKUP(Tabla1[[#This Row],[AREA]],Hoja1!A:B,2,FALSE)</f>
        <v>08. Movilidad y espacio urbano</v>
      </c>
      <c r="U1739" s="35" t="str">
        <f>MID(Tabla1[[#This Row],[Aplicación]],9,4)</f>
        <v>1532</v>
      </c>
      <c r="V1739" s="35" t="str">
        <f>VLOOKUP(Tabla1[[#This Row],[PROGRAMA]],Hoja1!A:B,2,FALSE)</f>
        <v>1532. Pavimentación vias públicas y otros servicios urbanísticos</v>
      </c>
      <c r="W1739" s="56" t="str">
        <f>MID(Tabla1[[#This Row],[Aplicación]],14,2)</f>
        <v>22</v>
      </c>
      <c r="X1739" s="56" t="str">
        <f>MID(Tabla1[[#This Row],[Aplicación]],14,6)</f>
        <v>22104</v>
      </c>
    </row>
    <row r="1740" spans="1:24" x14ac:dyDescent="0.25">
      <c r="A1740" s="55">
        <v>220230009452</v>
      </c>
      <c r="B1740" s="47" t="s">
        <v>507</v>
      </c>
      <c r="C1740" s="52">
        <v>45006</v>
      </c>
      <c r="D1740" s="46">
        <v>22023003182</v>
      </c>
      <c r="E1740" s="47" t="s">
        <v>3140</v>
      </c>
      <c r="F1740" s="53">
        <v>18</v>
      </c>
      <c r="G1740" s="47" t="s">
        <v>423</v>
      </c>
      <c r="H1740" s="47" t="s">
        <v>3141</v>
      </c>
      <c r="I1740" s="46" t="s">
        <v>511</v>
      </c>
      <c r="J1740" s="47" t="s">
        <v>755</v>
      </c>
      <c r="K1740" s="47" t="s">
        <v>755</v>
      </c>
      <c r="L1740" s="47" t="s">
        <v>520</v>
      </c>
      <c r="M1740" s="47" t="s">
        <v>976</v>
      </c>
      <c r="N1740" s="47" t="s">
        <v>839</v>
      </c>
      <c r="O1740" s="54" t="s">
        <v>383</v>
      </c>
      <c r="P1740" s="44" t="s">
        <v>309</v>
      </c>
      <c r="Q1740" s="59" t="str">
        <f>MID(Tabla1[[#This Row],[Aplicación]],14,1)</f>
        <v>2</v>
      </c>
      <c r="R1740" s="35" t="s">
        <v>298</v>
      </c>
      <c r="S1740" s="59" t="str">
        <f>MID(Tabla1[[#This Row],[Aplicación]],6,2)</f>
        <v>11</v>
      </c>
      <c r="T1740" s="35" t="str">
        <f>VLOOKUP(Tabla1[[#This Row],[AREA]],Hoja1!A:B,2,FALSE)</f>
        <v>11. Salud pública y seguridad ciudadana</v>
      </c>
      <c r="U1740" s="35" t="str">
        <f>MID(Tabla1[[#This Row],[Aplicación]],9,4)</f>
        <v>1321</v>
      </c>
      <c r="V1740" s="35" t="str">
        <f>VLOOKUP(Tabla1[[#This Row],[PROGRAMA]],Hoja1!A:B,2,FALSE)</f>
        <v>1321. Policía municipal</v>
      </c>
      <c r="W1740" s="56" t="str">
        <f>MID(Tabla1[[#This Row],[Aplicación]],14,2)</f>
        <v>22</v>
      </c>
      <c r="X1740" s="56" t="str">
        <f>MID(Tabla1[[#This Row],[Aplicación]],14,6)</f>
        <v>223</v>
      </c>
    </row>
    <row r="1741" spans="1:24" x14ac:dyDescent="0.25">
      <c r="A1741" s="55">
        <v>220230009454</v>
      </c>
      <c r="B1741" s="47" t="s">
        <v>507</v>
      </c>
      <c r="C1741" s="52">
        <v>45006</v>
      </c>
      <c r="D1741" s="46">
        <v>22023003192</v>
      </c>
      <c r="E1741" s="47" t="s">
        <v>1752</v>
      </c>
      <c r="F1741" s="53">
        <v>179.08</v>
      </c>
      <c r="G1741" s="47" t="s">
        <v>329</v>
      </c>
      <c r="H1741" s="47" t="s">
        <v>3142</v>
      </c>
      <c r="I1741" s="46" t="s">
        <v>511</v>
      </c>
      <c r="J1741" s="47" t="s">
        <v>519</v>
      </c>
      <c r="K1741" s="47" t="s">
        <v>519</v>
      </c>
      <c r="L1741" s="47" t="s">
        <v>552</v>
      </c>
      <c r="M1741" s="47" t="s">
        <v>976</v>
      </c>
      <c r="N1741" s="47" t="s">
        <v>839</v>
      </c>
      <c r="O1741" s="54" t="s">
        <v>383</v>
      </c>
      <c r="P1741" s="44" t="s">
        <v>309</v>
      </c>
      <c r="Q1741" s="59" t="str">
        <f>MID(Tabla1[[#This Row],[Aplicación]],14,1)</f>
        <v>2</v>
      </c>
      <c r="R1741" s="35" t="s">
        <v>298</v>
      </c>
      <c r="S1741" s="59" t="str">
        <f>MID(Tabla1[[#This Row],[Aplicación]],6,2)</f>
        <v>10</v>
      </c>
      <c r="T1741" s="35" t="str">
        <f>VLOOKUP(Tabla1[[#This Row],[AREA]],Hoja1!A:B,2,FALSE)</f>
        <v>10. Servicios sociales y mediación comunitaria</v>
      </c>
      <c r="U1741" s="35" t="str">
        <f>MID(Tabla1[[#This Row],[Aplicación]],9,4)</f>
        <v>2312</v>
      </c>
      <c r="V1741" s="35" t="str">
        <f>VLOOKUP(Tabla1[[#This Row],[PROGRAMA]],Hoja1!A:B,2,FALSE)</f>
        <v>2312. Iniciativas sociales</v>
      </c>
      <c r="W1741" s="56" t="str">
        <f>MID(Tabla1[[#This Row],[Aplicación]],14,2)</f>
        <v>22</v>
      </c>
      <c r="X1741" s="56" t="str">
        <f>MID(Tabla1[[#This Row],[Aplicación]],14,6)</f>
        <v>22199</v>
      </c>
    </row>
    <row r="1742" spans="1:24" x14ac:dyDescent="0.25">
      <c r="A1742" s="55">
        <v>220230009455</v>
      </c>
      <c r="B1742" s="47" t="s">
        <v>507</v>
      </c>
      <c r="C1742" s="52">
        <v>45006</v>
      </c>
      <c r="D1742" s="46">
        <v>22023003193</v>
      </c>
      <c r="E1742" s="47" t="s">
        <v>3143</v>
      </c>
      <c r="F1742" s="53">
        <v>121</v>
      </c>
      <c r="G1742" s="47" t="s">
        <v>115</v>
      </c>
      <c r="H1742" s="47" t="s">
        <v>3144</v>
      </c>
      <c r="I1742" s="46" t="s">
        <v>511</v>
      </c>
      <c r="J1742" s="47" t="s">
        <v>1726</v>
      </c>
      <c r="K1742" s="47" t="s">
        <v>519</v>
      </c>
      <c r="L1742" s="47" t="s">
        <v>520</v>
      </c>
      <c r="M1742" s="47" t="s">
        <v>976</v>
      </c>
      <c r="N1742" s="47" t="s">
        <v>839</v>
      </c>
      <c r="O1742" s="54" t="s">
        <v>383</v>
      </c>
      <c r="P1742" s="44" t="s">
        <v>309</v>
      </c>
      <c r="Q1742" s="59" t="str">
        <f>MID(Tabla1[[#This Row],[Aplicación]],14,1)</f>
        <v>2</v>
      </c>
      <c r="R1742" s="35" t="s">
        <v>298</v>
      </c>
      <c r="S1742" s="59" t="str">
        <f>MID(Tabla1[[#This Row],[Aplicación]],6,2)</f>
        <v>10</v>
      </c>
      <c r="T1742" s="35" t="str">
        <f>VLOOKUP(Tabla1[[#This Row],[AREA]],Hoja1!A:B,2,FALSE)</f>
        <v>10. Servicios sociales y mediación comunitaria</v>
      </c>
      <c r="U1742" s="35" t="str">
        <f>MID(Tabla1[[#This Row],[Aplicación]],9,4)</f>
        <v>2312</v>
      </c>
      <c r="V1742" s="35" t="str">
        <f>VLOOKUP(Tabla1[[#This Row],[PROGRAMA]],Hoja1!A:B,2,FALSE)</f>
        <v>2312. Iniciativas sociales</v>
      </c>
      <c r="W1742" s="56" t="str">
        <f>MID(Tabla1[[#This Row],[Aplicación]],14,2)</f>
        <v>22</v>
      </c>
      <c r="X1742" s="56" t="str">
        <f>MID(Tabla1[[#This Row],[Aplicación]],14,6)</f>
        <v>223</v>
      </c>
    </row>
    <row r="1743" spans="1:24" x14ac:dyDescent="0.25">
      <c r="A1743" s="55">
        <v>220230009499</v>
      </c>
      <c r="B1743" s="47" t="s">
        <v>507</v>
      </c>
      <c r="C1743" s="52">
        <v>45006</v>
      </c>
      <c r="D1743" s="46">
        <v>22023003404</v>
      </c>
      <c r="E1743" s="47" t="s">
        <v>1506</v>
      </c>
      <c r="F1743" s="53">
        <v>1338.43</v>
      </c>
      <c r="G1743" s="47" t="s">
        <v>1915</v>
      </c>
      <c r="H1743" s="47" t="s">
        <v>3145</v>
      </c>
      <c r="I1743" s="46" t="s">
        <v>511</v>
      </c>
      <c r="J1743" s="47" t="s">
        <v>953</v>
      </c>
      <c r="K1743" s="47" t="s">
        <v>519</v>
      </c>
      <c r="L1743" s="47" t="s">
        <v>552</v>
      </c>
      <c r="M1743" s="47" t="s">
        <v>976</v>
      </c>
      <c r="N1743" s="47" t="s">
        <v>839</v>
      </c>
      <c r="O1743" s="54" t="s">
        <v>383</v>
      </c>
      <c r="P1743" s="44" t="s">
        <v>309</v>
      </c>
      <c r="Q1743" s="59" t="str">
        <f>MID(Tabla1[[#This Row],[Aplicación]],14,1)</f>
        <v>2</v>
      </c>
      <c r="R1743" s="35" t="s">
        <v>298</v>
      </c>
      <c r="S1743" s="59" t="str">
        <f>MID(Tabla1[[#This Row],[Aplicación]],6,2)</f>
        <v>03</v>
      </c>
      <c r="T1743" s="35" t="str">
        <f>VLOOKUP(Tabla1[[#This Row],[AREA]],Hoja1!A:B,2,FALSE)</f>
        <v>03. Participación ciudadana y deportes</v>
      </c>
      <c r="U1743" s="35" t="str">
        <f>MID(Tabla1[[#This Row],[Aplicación]],9,4)</f>
        <v>9241</v>
      </c>
      <c r="V1743" s="35" t="str">
        <f>VLOOKUP(Tabla1[[#This Row],[PROGRAMA]],Hoja1!A:B,2,FALSE)</f>
        <v>9241. Participación ciudadana</v>
      </c>
      <c r="W1743" s="56" t="str">
        <f>MID(Tabla1[[#This Row],[Aplicación]],14,2)</f>
        <v>21</v>
      </c>
      <c r="X1743" s="56" t="str">
        <f>MID(Tabla1[[#This Row],[Aplicación]],14,6)</f>
        <v>212</v>
      </c>
    </row>
    <row r="1744" spans="1:24" x14ac:dyDescent="0.25">
      <c r="A1744" s="55">
        <v>220230009474</v>
      </c>
      <c r="B1744" s="47" t="s">
        <v>507</v>
      </c>
      <c r="C1744" s="52">
        <v>45006</v>
      </c>
      <c r="D1744" s="46">
        <v>22023003381</v>
      </c>
      <c r="E1744" s="47" t="s">
        <v>3146</v>
      </c>
      <c r="F1744" s="53">
        <v>94.48</v>
      </c>
      <c r="G1744" s="47" t="s">
        <v>435</v>
      </c>
      <c r="H1744" s="47" t="s">
        <v>3147</v>
      </c>
      <c r="I1744" s="46" t="s">
        <v>511</v>
      </c>
      <c r="J1744" s="47" t="s">
        <v>519</v>
      </c>
      <c r="K1744" s="47" t="s">
        <v>519</v>
      </c>
      <c r="L1744" s="47" t="s">
        <v>552</v>
      </c>
      <c r="M1744" s="47" t="s">
        <v>976</v>
      </c>
      <c r="N1744" s="47" t="s">
        <v>839</v>
      </c>
      <c r="O1744" s="54" t="s">
        <v>383</v>
      </c>
      <c r="P1744" s="44" t="s">
        <v>309</v>
      </c>
      <c r="Q1744" s="59" t="str">
        <f>MID(Tabla1[[#This Row],[Aplicación]],14,1)</f>
        <v>2</v>
      </c>
      <c r="R1744" s="35" t="s">
        <v>298</v>
      </c>
      <c r="S1744" s="59" t="str">
        <f>MID(Tabla1[[#This Row],[Aplicación]],6,2)</f>
        <v>02</v>
      </c>
      <c r="T1744" s="35" t="str">
        <f>VLOOKUP(Tabla1[[#This Row],[AREA]],Hoja1!A:B,2,FALSE)</f>
        <v>02. Planeamiento urbanístico y vivienda</v>
      </c>
      <c r="U1744" s="35" t="str">
        <f>MID(Tabla1[[#This Row],[Aplicación]],9,4)</f>
        <v>9332</v>
      </c>
      <c r="V1744" s="35" t="str">
        <f>VLOOKUP(Tabla1[[#This Row],[PROGRAMA]],Hoja1!A:B,2,FALSE)</f>
        <v>9332. Mantenimiento de edificios e instalaciones municipales</v>
      </c>
      <c r="W1744" s="56" t="str">
        <f>MID(Tabla1[[#This Row],[Aplicación]],14,2)</f>
        <v>21</v>
      </c>
      <c r="X1744" s="56" t="str">
        <f>MID(Tabla1[[#This Row],[Aplicación]],14,6)</f>
        <v>214</v>
      </c>
    </row>
    <row r="1745" spans="1:24" x14ac:dyDescent="0.25">
      <c r="A1745" s="55">
        <v>220230009476</v>
      </c>
      <c r="B1745" s="47" t="s">
        <v>507</v>
      </c>
      <c r="C1745" s="52">
        <v>45006</v>
      </c>
      <c r="D1745" s="46">
        <v>22023003392</v>
      </c>
      <c r="E1745" s="47" t="s">
        <v>835</v>
      </c>
      <c r="F1745" s="53">
        <v>2904</v>
      </c>
      <c r="G1745" s="47" t="s">
        <v>3148</v>
      </c>
      <c r="H1745" s="47" t="s">
        <v>3149</v>
      </c>
      <c r="I1745" s="46" t="s">
        <v>511</v>
      </c>
      <c r="J1745" s="47" t="s">
        <v>519</v>
      </c>
      <c r="K1745" s="47" t="s">
        <v>519</v>
      </c>
      <c r="L1745" s="47" t="s">
        <v>520</v>
      </c>
      <c r="M1745" s="47" t="s">
        <v>976</v>
      </c>
      <c r="N1745" s="47" t="s">
        <v>839</v>
      </c>
      <c r="O1745" s="54" t="s">
        <v>383</v>
      </c>
      <c r="P1745" s="44" t="s">
        <v>309</v>
      </c>
      <c r="Q1745" s="59" t="str">
        <f>MID(Tabla1[[#This Row],[Aplicación]],14,1)</f>
        <v>2</v>
      </c>
      <c r="R1745" s="35" t="s">
        <v>298</v>
      </c>
      <c r="S1745" s="59" t="str">
        <f>MID(Tabla1[[#This Row],[Aplicación]],6,2)</f>
        <v>05</v>
      </c>
      <c r="T1745" s="35" t="str">
        <f>VLOOKUP(Tabla1[[#This Row],[AREA]],Hoja1!A:B,2,FALSE)</f>
        <v>05. Innovación, desarrollo económico, empleo y comercio</v>
      </c>
      <c r="U1745" s="35" t="str">
        <f>MID(Tabla1[[#This Row],[Aplicación]],9,4)</f>
        <v>4331</v>
      </c>
      <c r="V1745" s="35" t="str">
        <f>VLOOKUP(Tabla1[[#This Row],[PROGRAMA]],Hoja1!A:B,2,FALSE)</f>
        <v>4331. Desarrollo empresarial</v>
      </c>
      <c r="W1745" s="56" t="str">
        <f>MID(Tabla1[[#This Row],[Aplicación]],14,2)</f>
        <v>22</v>
      </c>
      <c r="X1745" s="56" t="str">
        <f>MID(Tabla1[[#This Row],[Aplicación]],14,6)</f>
        <v>22799</v>
      </c>
    </row>
    <row r="1746" spans="1:24" x14ac:dyDescent="0.25">
      <c r="A1746" s="55">
        <v>220230009507</v>
      </c>
      <c r="B1746" s="47" t="s">
        <v>507</v>
      </c>
      <c r="C1746" s="52">
        <v>45006</v>
      </c>
      <c r="D1746" s="46">
        <v>22023003465</v>
      </c>
      <c r="E1746" s="47" t="s">
        <v>1260</v>
      </c>
      <c r="F1746" s="53">
        <v>111.44</v>
      </c>
      <c r="G1746" s="47" t="s">
        <v>394</v>
      </c>
      <c r="H1746" s="47" t="s">
        <v>3150</v>
      </c>
      <c r="I1746" s="46" t="s">
        <v>511</v>
      </c>
      <c r="J1746" s="47" t="s">
        <v>519</v>
      </c>
      <c r="K1746" s="47" t="s">
        <v>519</v>
      </c>
      <c r="L1746" s="47" t="s">
        <v>552</v>
      </c>
      <c r="M1746" s="47" t="s">
        <v>976</v>
      </c>
      <c r="N1746" s="47" t="s">
        <v>839</v>
      </c>
      <c r="O1746" s="54" t="s">
        <v>383</v>
      </c>
      <c r="P1746" s="44" t="s">
        <v>309</v>
      </c>
      <c r="Q1746" s="59" t="str">
        <f>MID(Tabla1[[#This Row],[Aplicación]],14,1)</f>
        <v>2</v>
      </c>
      <c r="R1746" s="35" t="s">
        <v>298</v>
      </c>
      <c r="S1746" s="59" t="str">
        <f>MID(Tabla1[[#This Row],[Aplicación]],6,2)</f>
        <v>03</v>
      </c>
      <c r="T1746" s="35" t="str">
        <f>VLOOKUP(Tabla1[[#This Row],[AREA]],Hoja1!A:B,2,FALSE)</f>
        <v>03. Participación ciudadana y deportes</v>
      </c>
      <c r="U1746" s="35" t="str">
        <f>MID(Tabla1[[#This Row],[Aplicación]],9,4)</f>
        <v>9241</v>
      </c>
      <c r="V1746" s="35" t="str">
        <f>VLOOKUP(Tabla1[[#This Row],[PROGRAMA]],Hoja1!A:B,2,FALSE)</f>
        <v>9241. Participación ciudadana</v>
      </c>
      <c r="W1746" s="56" t="str">
        <f>MID(Tabla1[[#This Row],[Aplicación]],14,2)</f>
        <v>22</v>
      </c>
      <c r="X1746" s="56" t="str">
        <f>MID(Tabla1[[#This Row],[Aplicación]],14,6)</f>
        <v>22602</v>
      </c>
    </row>
    <row r="1747" spans="1:24" x14ac:dyDescent="0.25">
      <c r="A1747" s="55">
        <v>220230009466</v>
      </c>
      <c r="B1747" s="47" t="s">
        <v>507</v>
      </c>
      <c r="C1747" s="52">
        <v>45006</v>
      </c>
      <c r="D1747" s="46">
        <v>22023003208</v>
      </c>
      <c r="E1747" s="47" t="s">
        <v>3151</v>
      </c>
      <c r="F1747" s="53">
        <v>4487.6000000000004</v>
      </c>
      <c r="G1747" s="47" t="s">
        <v>3152</v>
      </c>
      <c r="H1747" s="47" t="s">
        <v>3153</v>
      </c>
      <c r="I1747" s="46" t="s">
        <v>511</v>
      </c>
      <c r="J1747" s="47" t="s">
        <v>1049</v>
      </c>
      <c r="K1747" s="47" t="s">
        <v>519</v>
      </c>
      <c r="L1747" s="47" t="s">
        <v>520</v>
      </c>
      <c r="M1747" s="47" t="s">
        <v>976</v>
      </c>
      <c r="N1747" s="47" t="s">
        <v>839</v>
      </c>
      <c r="O1747" s="54" t="s">
        <v>383</v>
      </c>
      <c r="P1747" s="44" t="s">
        <v>309</v>
      </c>
      <c r="Q1747" s="59" t="str">
        <f>MID(Tabla1[[#This Row],[Aplicación]],14,1)</f>
        <v>2</v>
      </c>
      <c r="R1747" s="35" t="s">
        <v>298</v>
      </c>
      <c r="S1747" s="59" t="str">
        <f>MID(Tabla1[[#This Row],[Aplicación]],6,2)</f>
        <v>03</v>
      </c>
      <c r="T1747" s="35" t="str">
        <f>VLOOKUP(Tabla1[[#This Row],[AREA]],Hoja1!A:B,2,FALSE)</f>
        <v>03. Participación ciudadana y deportes</v>
      </c>
      <c r="U1747" s="35" t="str">
        <f>MID(Tabla1[[#This Row],[Aplicación]],9,4)</f>
        <v>9200</v>
      </c>
      <c r="V1747" s="35" t="str">
        <f>VLOOKUP(Tabla1[[#This Row],[PROGRAMA]],Hoja1!A:B,2,FALSE)</f>
        <v>9200. Dirección del area de participación ciudadana</v>
      </c>
      <c r="W1747" s="56" t="str">
        <f>MID(Tabla1[[#This Row],[Aplicación]],14,2)</f>
        <v>22</v>
      </c>
      <c r="X1747" s="56" t="str">
        <f>MID(Tabla1[[#This Row],[Aplicación]],14,6)</f>
        <v>22699</v>
      </c>
    </row>
    <row r="1748" spans="1:24" x14ac:dyDescent="0.25">
      <c r="A1748" s="46">
        <v>220230001802</v>
      </c>
      <c r="B1748" s="47" t="s">
        <v>507</v>
      </c>
      <c r="C1748" s="52">
        <v>44960</v>
      </c>
      <c r="D1748" s="46">
        <v>22023000509</v>
      </c>
      <c r="E1748" s="47" t="s">
        <v>1285</v>
      </c>
      <c r="F1748" s="53">
        <v>141.35</v>
      </c>
      <c r="G1748" s="47" t="s">
        <v>89</v>
      </c>
      <c r="H1748" s="47" t="s">
        <v>3154</v>
      </c>
      <c r="I1748" s="46" t="s">
        <v>511</v>
      </c>
      <c r="J1748" s="47" t="s">
        <v>837</v>
      </c>
      <c r="K1748" s="47" t="s">
        <v>837</v>
      </c>
      <c r="L1748" s="47" t="s">
        <v>552</v>
      </c>
      <c r="M1748" s="47" t="s">
        <v>976</v>
      </c>
      <c r="N1748" s="47" t="s">
        <v>839</v>
      </c>
      <c r="O1748" s="45" t="s">
        <v>383</v>
      </c>
      <c r="P1748" s="44" t="s">
        <v>309</v>
      </c>
      <c r="Q1748" s="59" t="str">
        <f>MID(Tabla1[[#This Row],[Aplicación]],14,1)</f>
        <v>2</v>
      </c>
      <c r="R1748" s="35" t="s">
        <v>298</v>
      </c>
      <c r="S1748" s="59" t="str">
        <f>MID(Tabla1[[#This Row],[Aplicación]],6,2)</f>
        <v>11</v>
      </c>
      <c r="T1748" s="35" t="str">
        <f>VLOOKUP(Tabla1[[#This Row],[AREA]],Hoja1!A:B,2,FALSE)</f>
        <v>11. Salud pública y seguridad ciudadana</v>
      </c>
      <c r="U1748" s="35" t="str">
        <f>MID(Tabla1[[#This Row],[Aplicación]],9,4)</f>
        <v>1361</v>
      </c>
      <c r="V1748" s="35" t="str">
        <f>VLOOKUP(Tabla1[[#This Row],[PROGRAMA]],Hoja1!A:B,2,FALSE)</f>
        <v>1361. Prevención y extinción de incencios</v>
      </c>
      <c r="W1748" s="56" t="str">
        <f>MID(Tabla1[[#This Row],[Aplicación]],14,2)</f>
        <v>22</v>
      </c>
      <c r="X1748" s="56" t="str">
        <f>MID(Tabla1[[#This Row],[Aplicación]],14,6)</f>
        <v>22199</v>
      </c>
    </row>
    <row r="1749" spans="1:24" x14ac:dyDescent="0.25">
      <c r="A1749" s="55">
        <v>220230009170</v>
      </c>
      <c r="B1749" s="47" t="s">
        <v>1514</v>
      </c>
      <c r="C1749" s="52">
        <v>45006</v>
      </c>
      <c r="D1749" s="46">
        <v>22023001344</v>
      </c>
      <c r="E1749" s="47" t="s">
        <v>1150</v>
      </c>
      <c r="F1749" s="53">
        <v>50.72</v>
      </c>
      <c r="G1749" s="47" t="s">
        <v>1979</v>
      </c>
      <c r="H1749" s="47" t="s">
        <v>3155</v>
      </c>
      <c r="I1749" s="46" t="s">
        <v>1517</v>
      </c>
      <c r="J1749" s="47" t="s">
        <v>519</v>
      </c>
      <c r="K1749" s="47" t="s">
        <v>519</v>
      </c>
      <c r="L1749" s="47" t="s">
        <v>552</v>
      </c>
      <c r="M1749" s="47" t="s">
        <v>514</v>
      </c>
      <c r="N1749" s="47" t="s">
        <v>604</v>
      </c>
      <c r="O1749" s="54" t="s">
        <v>382</v>
      </c>
      <c r="P1749" s="44" t="s">
        <v>309</v>
      </c>
      <c r="Q1749" s="59" t="str">
        <f>MID(Tabla1[[#This Row],[Aplicación]],14,1)</f>
        <v>2</v>
      </c>
      <c r="R1749" s="35" t="s">
        <v>298</v>
      </c>
      <c r="S1749" s="59" t="str">
        <f>MID(Tabla1[[#This Row],[Aplicación]],6,2)</f>
        <v>03</v>
      </c>
      <c r="T1749" s="35" t="str">
        <f>VLOOKUP(Tabla1[[#This Row],[AREA]],Hoja1!A:B,2,FALSE)</f>
        <v>03. Participación ciudadana y deportes</v>
      </c>
      <c r="U1749" s="35" t="str">
        <f>MID(Tabla1[[#This Row],[Aplicación]],9,4)</f>
        <v>9241</v>
      </c>
      <c r="V1749" s="35" t="str">
        <f>VLOOKUP(Tabla1[[#This Row],[PROGRAMA]],Hoja1!A:B,2,FALSE)</f>
        <v>9241. Participación ciudadana</v>
      </c>
      <c r="W1749" s="56" t="str">
        <f>MID(Tabla1[[#This Row],[Aplicación]],14,2)</f>
        <v>21</v>
      </c>
      <c r="X1749" s="56" t="str">
        <f>MID(Tabla1[[#This Row],[Aplicación]],14,6)</f>
        <v>213</v>
      </c>
    </row>
    <row r="1750" spans="1:24" x14ac:dyDescent="0.25">
      <c r="A1750" s="55">
        <v>220230009467</v>
      </c>
      <c r="B1750" s="47" t="s">
        <v>507</v>
      </c>
      <c r="C1750" s="52">
        <v>45006</v>
      </c>
      <c r="D1750" s="46">
        <v>22023003251</v>
      </c>
      <c r="E1750" s="47" t="s">
        <v>1603</v>
      </c>
      <c r="F1750" s="53">
        <v>1210</v>
      </c>
      <c r="G1750" s="47" t="s">
        <v>89</v>
      </c>
      <c r="H1750" s="47" t="s">
        <v>3156</v>
      </c>
      <c r="I1750" s="46" t="s">
        <v>511</v>
      </c>
      <c r="J1750" s="47" t="s">
        <v>837</v>
      </c>
      <c r="K1750" s="47" t="s">
        <v>837</v>
      </c>
      <c r="L1750" s="47" t="s">
        <v>552</v>
      </c>
      <c r="M1750" s="47" t="s">
        <v>976</v>
      </c>
      <c r="N1750" s="47" t="s">
        <v>839</v>
      </c>
      <c r="O1750" s="54" t="s">
        <v>383</v>
      </c>
      <c r="P1750" s="44" t="s">
        <v>309</v>
      </c>
      <c r="Q1750" s="59" t="str">
        <f>MID(Tabla1[[#This Row],[Aplicación]],14,1)</f>
        <v>2</v>
      </c>
      <c r="R1750" s="35" t="s">
        <v>298</v>
      </c>
      <c r="S1750" s="59" t="str">
        <f>MID(Tabla1[[#This Row],[Aplicación]],6,2)</f>
        <v>08</v>
      </c>
      <c r="T1750" s="35" t="str">
        <f>VLOOKUP(Tabla1[[#This Row],[AREA]],Hoja1!A:B,2,FALSE)</f>
        <v>08. Movilidad y espacio urbano</v>
      </c>
      <c r="U1750" s="35" t="str">
        <f>MID(Tabla1[[#This Row],[Aplicación]],9,4)</f>
        <v>1532</v>
      </c>
      <c r="V1750" s="35" t="str">
        <f>VLOOKUP(Tabla1[[#This Row],[PROGRAMA]],Hoja1!A:B,2,FALSE)</f>
        <v>1532. Pavimentación vias públicas y otros servicios urbanísticos</v>
      </c>
      <c r="W1750" s="56" t="str">
        <f>MID(Tabla1[[#This Row],[Aplicación]],14,2)</f>
        <v>21</v>
      </c>
      <c r="X1750" s="56" t="str">
        <f>MID(Tabla1[[#This Row],[Aplicación]],14,6)</f>
        <v>210</v>
      </c>
    </row>
    <row r="1751" spans="1:24" x14ac:dyDescent="0.25">
      <c r="A1751" s="46">
        <v>220229000267</v>
      </c>
      <c r="B1751" s="47" t="s">
        <v>507</v>
      </c>
      <c r="C1751" s="52">
        <v>44927</v>
      </c>
      <c r="D1751" s="46">
        <v>22023000938</v>
      </c>
      <c r="E1751" s="47" t="s">
        <v>2030</v>
      </c>
      <c r="F1751" s="53">
        <v>248.29</v>
      </c>
      <c r="G1751" s="47" t="s">
        <v>3157</v>
      </c>
      <c r="H1751" s="47" t="s">
        <v>3158</v>
      </c>
      <c r="I1751" s="46" t="s">
        <v>511</v>
      </c>
      <c r="J1751" s="47" t="s">
        <v>519</v>
      </c>
      <c r="K1751" s="51" t="s">
        <v>519</v>
      </c>
      <c r="L1751" s="47" t="s">
        <v>520</v>
      </c>
      <c r="M1751" s="47" t="s">
        <v>976</v>
      </c>
      <c r="N1751" s="47" t="s">
        <v>839</v>
      </c>
      <c r="O1751" s="45" t="s">
        <v>383</v>
      </c>
      <c r="P1751" s="44" t="s">
        <v>309</v>
      </c>
      <c r="Q1751" s="59" t="str">
        <f>MID(Tabla1[[#This Row],[Aplicación]],14,1)</f>
        <v>2</v>
      </c>
      <c r="R1751" s="35" t="s">
        <v>298</v>
      </c>
      <c r="S1751" s="59" t="str">
        <f>MID(Tabla1[[#This Row],[Aplicación]],6,2)</f>
        <v>09</v>
      </c>
      <c r="T1751" s="35" t="str">
        <f>VLOOKUP(Tabla1[[#This Row],[AREA]],Hoja1!A:B,2,FALSE)</f>
        <v>09. Cultura y turismo</v>
      </c>
      <c r="U1751" s="35" t="str">
        <f>MID(Tabla1[[#This Row],[Aplicación]],9,4)</f>
        <v>3341</v>
      </c>
      <c r="V1751" s="35" t="str">
        <f>VLOOKUP(Tabla1[[#This Row],[PROGRAMA]],Hoja1!A:B,2,FALSE)</f>
        <v>3341. Coordinación de políticas culturales</v>
      </c>
      <c r="W1751" s="56" t="str">
        <f>MID(Tabla1[[#This Row],[Aplicación]],14,2)</f>
        <v>22</v>
      </c>
      <c r="X1751" s="56" t="str">
        <f>MID(Tabla1[[#This Row],[Aplicación]],14,6)</f>
        <v>22701</v>
      </c>
    </row>
    <row r="1752" spans="1:24" x14ac:dyDescent="0.25">
      <c r="A1752" s="55">
        <v>220230009180</v>
      </c>
      <c r="B1752" s="47" t="s">
        <v>1514</v>
      </c>
      <c r="C1752" s="52">
        <v>45006</v>
      </c>
      <c r="D1752" s="46">
        <v>22023001514</v>
      </c>
      <c r="E1752" s="47" t="s">
        <v>1285</v>
      </c>
      <c r="F1752" s="53">
        <v>6.85</v>
      </c>
      <c r="G1752" s="47" t="s">
        <v>1979</v>
      </c>
      <c r="H1752" s="47" t="s">
        <v>3159</v>
      </c>
      <c r="I1752" s="46" t="s">
        <v>1517</v>
      </c>
      <c r="J1752" s="47" t="s">
        <v>519</v>
      </c>
      <c r="K1752" s="47" t="s">
        <v>519</v>
      </c>
      <c r="L1752" s="47" t="s">
        <v>552</v>
      </c>
      <c r="M1752" s="47" t="s">
        <v>514</v>
      </c>
      <c r="N1752" s="47" t="s">
        <v>515</v>
      </c>
      <c r="O1752" s="54" t="s">
        <v>382</v>
      </c>
      <c r="P1752" s="44" t="s">
        <v>309</v>
      </c>
      <c r="Q1752" s="59" t="str">
        <f>MID(Tabla1[[#This Row],[Aplicación]],14,1)</f>
        <v>2</v>
      </c>
      <c r="R1752" s="35" t="s">
        <v>298</v>
      </c>
      <c r="S1752" s="59" t="str">
        <f>MID(Tabla1[[#This Row],[Aplicación]],6,2)</f>
        <v>11</v>
      </c>
      <c r="T1752" s="35" t="str">
        <f>VLOOKUP(Tabla1[[#This Row],[AREA]],Hoja1!A:B,2,FALSE)</f>
        <v>11. Salud pública y seguridad ciudadana</v>
      </c>
      <c r="U1752" s="35" t="str">
        <f>MID(Tabla1[[#This Row],[Aplicación]],9,4)</f>
        <v>1361</v>
      </c>
      <c r="V1752" s="35" t="str">
        <f>VLOOKUP(Tabla1[[#This Row],[PROGRAMA]],Hoja1!A:B,2,FALSE)</f>
        <v>1361. Prevención y extinción de incencios</v>
      </c>
      <c r="W1752" s="56" t="str">
        <f>MID(Tabla1[[#This Row],[Aplicación]],14,2)</f>
        <v>22</v>
      </c>
      <c r="X1752" s="56" t="str">
        <f>MID(Tabla1[[#This Row],[Aplicación]],14,6)</f>
        <v>22199</v>
      </c>
    </row>
    <row r="1753" spans="1:24" x14ac:dyDescent="0.25">
      <c r="A1753" s="55">
        <v>220230011736</v>
      </c>
      <c r="B1753" s="47" t="s">
        <v>507</v>
      </c>
      <c r="C1753" s="52">
        <v>45014</v>
      </c>
      <c r="D1753" s="46">
        <v>22023003495</v>
      </c>
      <c r="E1753" s="47" t="s">
        <v>613</v>
      </c>
      <c r="F1753" s="53">
        <v>290.39999999999998</v>
      </c>
      <c r="G1753" s="47" t="s">
        <v>3157</v>
      </c>
      <c r="H1753" s="47" t="s">
        <v>3160</v>
      </c>
      <c r="I1753" s="46" t="s">
        <v>511</v>
      </c>
      <c r="J1753" s="47" t="s">
        <v>519</v>
      </c>
      <c r="K1753" s="47" t="s">
        <v>519</v>
      </c>
      <c r="L1753" s="47" t="s">
        <v>520</v>
      </c>
      <c r="M1753" s="47" t="s">
        <v>976</v>
      </c>
      <c r="N1753" s="47" t="s">
        <v>839</v>
      </c>
      <c r="O1753" s="54" t="s">
        <v>383</v>
      </c>
      <c r="P1753" s="44" t="s">
        <v>309</v>
      </c>
      <c r="Q1753" s="59" t="str">
        <f>MID(Tabla1[[#This Row],[Aplicación]],14,1)</f>
        <v>2</v>
      </c>
      <c r="R1753" s="35" t="s">
        <v>298</v>
      </c>
      <c r="S1753" s="59" t="str">
        <f>MID(Tabla1[[#This Row],[Aplicación]],6,2)</f>
        <v>10</v>
      </c>
      <c r="T1753" s="35" t="str">
        <f>VLOOKUP(Tabla1[[#This Row],[AREA]],Hoja1!A:B,2,FALSE)</f>
        <v>10. Servicios sociales y mediación comunitaria</v>
      </c>
      <c r="U1753" s="35" t="str">
        <f>MID(Tabla1[[#This Row],[Aplicación]],9,4)</f>
        <v>2312</v>
      </c>
      <c r="V1753" s="35" t="str">
        <f>VLOOKUP(Tabla1[[#This Row],[PROGRAMA]],Hoja1!A:B,2,FALSE)</f>
        <v>2312. Iniciativas sociales</v>
      </c>
      <c r="W1753" s="56" t="str">
        <f>MID(Tabla1[[#This Row],[Aplicación]],14,2)</f>
        <v>21</v>
      </c>
      <c r="X1753" s="56" t="str">
        <f>MID(Tabla1[[#This Row],[Aplicación]],14,6)</f>
        <v>213</v>
      </c>
    </row>
    <row r="1754" spans="1:24" x14ac:dyDescent="0.25">
      <c r="A1754" s="55">
        <v>220230009220</v>
      </c>
      <c r="B1754" s="47" t="s">
        <v>1514</v>
      </c>
      <c r="C1754" s="52">
        <v>45006</v>
      </c>
      <c r="D1754" s="46">
        <v>22023002739</v>
      </c>
      <c r="E1754" s="47" t="s">
        <v>1551</v>
      </c>
      <c r="F1754" s="53">
        <v>484.35</v>
      </c>
      <c r="G1754" s="47" t="s">
        <v>1979</v>
      </c>
      <c r="H1754" s="47" t="s">
        <v>3161</v>
      </c>
      <c r="I1754" s="46" t="s">
        <v>1517</v>
      </c>
      <c r="J1754" s="47" t="s">
        <v>519</v>
      </c>
      <c r="K1754" s="47" t="s">
        <v>519</v>
      </c>
      <c r="L1754" s="47" t="s">
        <v>552</v>
      </c>
      <c r="M1754" s="47" t="s">
        <v>514</v>
      </c>
      <c r="N1754" s="47" t="s">
        <v>515</v>
      </c>
      <c r="O1754" s="54" t="s">
        <v>382</v>
      </c>
      <c r="P1754" s="44" t="s">
        <v>309</v>
      </c>
      <c r="Q1754" s="59" t="str">
        <f>MID(Tabla1[[#This Row],[Aplicación]],14,1)</f>
        <v>2</v>
      </c>
      <c r="R1754" s="35" t="s">
        <v>298</v>
      </c>
      <c r="S1754" s="59" t="str">
        <f>MID(Tabla1[[#This Row],[Aplicación]],6,2)</f>
        <v>02</v>
      </c>
      <c r="T1754" s="35" t="str">
        <f>VLOOKUP(Tabla1[[#This Row],[AREA]],Hoja1!A:B,2,FALSE)</f>
        <v>02. Planeamiento urbanístico y vivienda</v>
      </c>
      <c r="U1754" s="35" t="str">
        <f>MID(Tabla1[[#This Row],[Aplicación]],9,4)</f>
        <v>9332</v>
      </c>
      <c r="V1754" s="35" t="str">
        <f>VLOOKUP(Tabla1[[#This Row],[PROGRAMA]],Hoja1!A:B,2,FALSE)</f>
        <v>9332. Mantenimiento de edificios e instalaciones municipales</v>
      </c>
      <c r="W1754" s="56" t="str">
        <f>MID(Tabla1[[#This Row],[Aplicación]],14,2)</f>
        <v>21</v>
      </c>
      <c r="X1754" s="56" t="str">
        <f>MID(Tabla1[[#This Row],[Aplicación]],14,6)</f>
        <v>212</v>
      </c>
    </row>
    <row r="1755" spans="1:24" x14ac:dyDescent="0.25">
      <c r="A1755" s="55">
        <v>220230009228</v>
      </c>
      <c r="B1755" s="47" t="s">
        <v>1514</v>
      </c>
      <c r="C1755" s="52">
        <v>45006</v>
      </c>
      <c r="D1755" s="46">
        <v>22023002739</v>
      </c>
      <c r="E1755" s="47" t="s">
        <v>1551</v>
      </c>
      <c r="F1755" s="53">
        <v>193.31</v>
      </c>
      <c r="G1755" s="47" t="s">
        <v>1979</v>
      </c>
      <c r="H1755" s="47" t="s">
        <v>3162</v>
      </c>
      <c r="I1755" s="46" t="s">
        <v>1517</v>
      </c>
      <c r="J1755" s="47" t="s">
        <v>519</v>
      </c>
      <c r="K1755" s="47" t="s">
        <v>519</v>
      </c>
      <c r="L1755" s="47" t="s">
        <v>552</v>
      </c>
      <c r="M1755" s="47" t="s">
        <v>514</v>
      </c>
      <c r="N1755" s="47" t="s">
        <v>515</v>
      </c>
      <c r="O1755" s="54" t="s">
        <v>382</v>
      </c>
      <c r="P1755" s="44" t="s">
        <v>309</v>
      </c>
      <c r="Q1755" s="59" t="str">
        <f>MID(Tabla1[[#This Row],[Aplicación]],14,1)</f>
        <v>2</v>
      </c>
      <c r="R1755" s="35" t="s">
        <v>298</v>
      </c>
      <c r="S1755" s="59" t="str">
        <f>MID(Tabla1[[#This Row],[Aplicación]],6,2)</f>
        <v>02</v>
      </c>
      <c r="T1755" s="35" t="str">
        <f>VLOOKUP(Tabla1[[#This Row],[AREA]],Hoja1!A:B,2,FALSE)</f>
        <v>02. Planeamiento urbanístico y vivienda</v>
      </c>
      <c r="U1755" s="35" t="str">
        <f>MID(Tabla1[[#This Row],[Aplicación]],9,4)</f>
        <v>9332</v>
      </c>
      <c r="V1755" s="35" t="str">
        <f>VLOOKUP(Tabla1[[#This Row],[PROGRAMA]],Hoja1!A:B,2,FALSE)</f>
        <v>9332. Mantenimiento de edificios e instalaciones municipales</v>
      </c>
      <c r="W1755" s="56" t="str">
        <f>MID(Tabla1[[#This Row],[Aplicación]],14,2)</f>
        <v>21</v>
      </c>
      <c r="X1755" s="56" t="str">
        <f>MID(Tabla1[[#This Row],[Aplicación]],14,6)</f>
        <v>212</v>
      </c>
    </row>
    <row r="1756" spans="1:24" x14ac:dyDescent="0.25">
      <c r="A1756" s="55">
        <v>220230009276</v>
      </c>
      <c r="B1756" s="47" t="s">
        <v>1514</v>
      </c>
      <c r="C1756" s="52">
        <v>45006</v>
      </c>
      <c r="D1756" s="46">
        <v>22023001467</v>
      </c>
      <c r="E1756" s="47" t="s">
        <v>1512</v>
      </c>
      <c r="F1756" s="53">
        <v>294.11</v>
      </c>
      <c r="G1756" s="47" t="s">
        <v>1979</v>
      </c>
      <c r="H1756" s="47" t="s">
        <v>3163</v>
      </c>
      <c r="I1756" s="46" t="s">
        <v>1517</v>
      </c>
      <c r="J1756" s="47" t="s">
        <v>519</v>
      </c>
      <c r="K1756" s="47" t="s">
        <v>519</v>
      </c>
      <c r="L1756" s="47" t="s">
        <v>552</v>
      </c>
      <c r="M1756" s="47" t="s">
        <v>514</v>
      </c>
      <c r="N1756" s="47" t="s">
        <v>515</v>
      </c>
      <c r="O1756" s="54" t="s">
        <v>382</v>
      </c>
      <c r="P1756" s="44" t="s">
        <v>309</v>
      </c>
      <c r="Q1756" s="59" t="str">
        <f>MID(Tabla1[[#This Row],[Aplicación]],14,1)</f>
        <v>2</v>
      </c>
      <c r="R1756" s="35" t="s">
        <v>298</v>
      </c>
      <c r="S1756" s="59" t="str">
        <f>MID(Tabla1[[#This Row],[Aplicación]],6,2)</f>
        <v>10</v>
      </c>
      <c r="T1756" s="35" t="str">
        <f>VLOOKUP(Tabla1[[#This Row],[AREA]],Hoja1!A:B,2,FALSE)</f>
        <v>10. Servicios sociales y mediación comunitaria</v>
      </c>
      <c r="U1756" s="35" t="str">
        <f>MID(Tabla1[[#This Row],[Aplicación]],9,4)</f>
        <v>2312</v>
      </c>
      <c r="V1756" s="35" t="str">
        <f>VLOOKUP(Tabla1[[#This Row],[PROGRAMA]],Hoja1!A:B,2,FALSE)</f>
        <v>2312. Iniciativas sociales</v>
      </c>
      <c r="W1756" s="56" t="str">
        <f>MID(Tabla1[[#This Row],[Aplicación]],14,2)</f>
        <v>21</v>
      </c>
      <c r="X1756" s="56" t="str">
        <f>MID(Tabla1[[#This Row],[Aplicación]],14,6)</f>
        <v>212</v>
      </c>
    </row>
    <row r="1757" spans="1:24" x14ac:dyDescent="0.25">
      <c r="A1757" s="55">
        <v>220230009288</v>
      </c>
      <c r="B1757" s="47" t="s">
        <v>1514</v>
      </c>
      <c r="C1757" s="52">
        <v>45006</v>
      </c>
      <c r="D1757" s="46">
        <v>22023000268</v>
      </c>
      <c r="E1757" s="47" t="s">
        <v>659</v>
      </c>
      <c r="F1757" s="53">
        <v>1.21</v>
      </c>
      <c r="G1757" s="47" t="s">
        <v>1979</v>
      </c>
      <c r="H1757" s="47" t="s">
        <v>3164</v>
      </c>
      <c r="I1757" s="46" t="s">
        <v>1517</v>
      </c>
      <c r="J1757" s="47" t="s">
        <v>519</v>
      </c>
      <c r="K1757" s="47" t="s">
        <v>519</v>
      </c>
      <c r="L1757" s="47" t="s">
        <v>552</v>
      </c>
      <c r="M1757" s="47" t="s">
        <v>514</v>
      </c>
      <c r="N1757" s="47" t="s">
        <v>515</v>
      </c>
      <c r="O1757" s="54" t="s">
        <v>382</v>
      </c>
      <c r="P1757" s="44" t="s">
        <v>309</v>
      </c>
      <c r="Q1757" s="59" t="str">
        <f>MID(Tabla1[[#This Row],[Aplicación]],14,1)</f>
        <v>2</v>
      </c>
      <c r="R1757" s="35" t="s">
        <v>298</v>
      </c>
      <c r="S1757" s="59" t="str">
        <f>MID(Tabla1[[#This Row],[Aplicación]],6,2)</f>
        <v>11</v>
      </c>
      <c r="T1757" s="35" t="str">
        <f>VLOOKUP(Tabla1[[#This Row],[AREA]],Hoja1!A:B,2,FALSE)</f>
        <v>11. Salud pública y seguridad ciudadana</v>
      </c>
      <c r="U1757" s="35" t="str">
        <f>MID(Tabla1[[#This Row],[Aplicación]],9,4)</f>
        <v>1321</v>
      </c>
      <c r="V1757" s="35" t="str">
        <f>VLOOKUP(Tabla1[[#This Row],[PROGRAMA]],Hoja1!A:B,2,FALSE)</f>
        <v>1321. Policía municipal</v>
      </c>
      <c r="W1757" s="56" t="str">
        <f>MID(Tabla1[[#This Row],[Aplicación]],14,2)</f>
        <v>21</v>
      </c>
      <c r="X1757" s="56" t="str">
        <f>MID(Tabla1[[#This Row],[Aplicación]],14,6)</f>
        <v>213</v>
      </c>
    </row>
    <row r="1758" spans="1:24" x14ac:dyDescent="0.25">
      <c r="A1758" s="55">
        <v>220230009348</v>
      </c>
      <c r="B1758" s="47" t="s">
        <v>1514</v>
      </c>
      <c r="C1758" s="52">
        <v>45006</v>
      </c>
      <c r="D1758" s="46">
        <v>22023001477</v>
      </c>
      <c r="E1758" s="47" t="s">
        <v>1657</v>
      </c>
      <c r="F1758" s="53">
        <v>20.62</v>
      </c>
      <c r="G1758" s="47" t="s">
        <v>1979</v>
      </c>
      <c r="H1758" s="47" t="s">
        <v>3165</v>
      </c>
      <c r="I1758" s="46" t="s">
        <v>1517</v>
      </c>
      <c r="J1758" s="47" t="s">
        <v>519</v>
      </c>
      <c r="K1758" s="47" t="s">
        <v>519</v>
      </c>
      <c r="L1758" s="47" t="s">
        <v>552</v>
      </c>
      <c r="M1758" s="47" t="s">
        <v>514</v>
      </c>
      <c r="N1758" s="47" t="s">
        <v>515</v>
      </c>
      <c r="O1758" s="54" t="s">
        <v>382</v>
      </c>
      <c r="P1758" s="44" t="s">
        <v>309</v>
      </c>
      <c r="Q1758" s="59" t="str">
        <f>MID(Tabla1[[#This Row],[Aplicación]],14,1)</f>
        <v>2</v>
      </c>
      <c r="R1758" s="35" t="s">
        <v>298</v>
      </c>
      <c r="S1758" s="59" t="str">
        <f>MID(Tabla1[[#This Row],[Aplicación]],6,2)</f>
        <v>10</v>
      </c>
      <c r="T1758" s="35" t="str">
        <f>VLOOKUP(Tabla1[[#This Row],[AREA]],Hoja1!A:B,2,FALSE)</f>
        <v>10. Servicios sociales y mediación comunitaria</v>
      </c>
      <c r="U1758" s="35" t="str">
        <f>MID(Tabla1[[#This Row],[Aplicación]],9,4)</f>
        <v>2412</v>
      </c>
      <c r="V1758" s="35" t="str">
        <f>VLOOKUP(Tabla1[[#This Row],[PROGRAMA]],Hoja1!A:B,2,FALSE)</f>
        <v>2412. Formación para el empleo</v>
      </c>
      <c r="W1758" s="56" t="str">
        <f>MID(Tabla1[[#This Row],[Aplicación]],14,2)</f>
        <v>21</v>
      </c>
      <c r="X1758" s="56" t="str">
        <f>MID(Tabla1[[#This Row],[Aplicación]],14,6)</f>
        <v>212</v>
      </c>
    </row>
    <row r="1759" spans="1:24" x14ac:dyDescent="0.25">
      <c r="A1759" s="55">
        <v>220230009395</v>
      </c>
      <c r="B1759" s="47" t="s">
        <v>1514</v>
      </c>
      <c r="C1759" s="52">
        <v>45006</v>
      </c>
      <c r="D1759" s="46">
        <v>22023001468</v>
      </c>
      <c r="E1759" s="47" t="s">
        <v>1512</v>
      </c>
      <c r="F1759" s="53">
        <v>38.270000000000003</v>
      </c>
      <c r="G1759" s="47" t="s">
        <v>1979</v>
      </c>
      <c r="H1759" s="47" t="s">
        <v>3166</v>
      </c>
      <c r="I1759" s="46" t="s">
        <v>1517</v>
      </c>
      <c r="J1759" s="47" t="s">
        <v>519</v>
      </c>
      <c r="K1759" s="47" t="s">
        <v>519</v>
      </c>
      <c r="L1759" s="47" t="s">
        <v>552</v>
      </c>
      <c r="M1759" s="47" t="s">
        <v>514</v>
      </c>
      <c r="N1759" s="47" t="s">
        <v>515</v>
      </c>
      <c r="O1759" s="54" t="s">
        <v>382</v>
      </c>
      <c r="P1759" s="44" t="s">
        <v>309</v>
      </c>
      <c r="Q1759" s="59" t="str">
        <f>MID(Tabla1[[#This Row],[Aplicación]],14,1)</f>
        <v>2</v>
      </c>
      <c r="R1759" s="35" t="s">
        <v>298</v>
      </c>
      <c r="S1759" s="59" t="str">
        <f>MID(Tabla1[[#This Row],[Aplicación]],6,2)</f>
        <v>10</v>
      </c>
      <c r="T1759" s="35" t="str">
        <f>VLOOKUP(Tabla1[[#This Row],[AREA]],Hoja1!A:B,2,FALSE)</f>
        <v>10. Servicios sociales y mediación comunitaria</v>
      </c>
      <c r="U1759" s="35" t="str">
        <f>MID(Tabla1[[#This Row],[Aplicación]],9,4)</f>
        <v>2312</v>
      </c>
      <c r="V1759" s="35" t="str">
        <f>VLOOKUP(Tabla1[[#This Row],[PROGRAMA]],Hoja1!A:B,2,FALSE)</f>
        <v>2312. Iniciativas sociales</v>
      </c>
      <c r="W1759" s="56" t="str">
        <f>MID(Tabla1[[#This Row],[Aplicación]],14,2)</f>
        <v>21</v>
      </c>
      <c r="X1759" s="56" t="str">
        <f>MID(Tabla1[[#This Row],[Aplicación]],14,6)</f>
        <v>212</v>
      </c>
    </row>
    <row r="1760" spans="1:24" x14ac:dyDescent="0.25">
      <c r="A1760" s="55">
        <v>220230009079</v>
      </c>
      <c r="B1760" s="47" t="s">
        <v>1514</v>
      </c>
      <c r="C1760" s="52">
        <v>45006</v>
      </c>
      <c r="D1760" s="46">
        <v>22023001956</v>
      </c>
      <c r="E1760" s="47" t="s">
        <v>1982</v>
      </c>
      <c r="F1760" s="53">
        <v>1487.94</v>
      </c>
      <c r="G1760" s="47" t="s">
        <v>1983</v>
      </c>
      <c r="H1760" s="47" t="s">
        <v>3167</v>
      </c>
      <c r="I1760" s="46" t="s">
        <v>1517</v>
      </c>
      <c r="J1760" s="47" t="s">
        <v>519</v>
      </c>
      <c r="K1760" s="47" t="s">
        <v>519</v>
      </c>
      <c r="L1760" s="47" t="s">
        <v>520</v>
      </c>
      <c r="M1760" s="47" t="s">
        <v>514</v>
      </c>
      <c r="N1760" s="47" t="s">
        <v>515</v>
      </c>
      <c r="O1760" s="54" t="s">
        <v>382</v>
      </c>
      <c r="P1760" s="44" t="s">
        <v>309</v>
      </c>
      <c r="Q1760" s="59" t="str">
        <f>MID(Tabla1[[#This Row],[Aplicación]],14,1)</f>
        <v>2</v>
      </c>
      <c r="R1760" s="35" t="s">
        <v>298</v>
      </c>
      <c r="S1760" s="59" t="str">
        <f>MID(Tabla1[[#This Row],[Aplicación]],6,2)</f>
        <v>07</v>
      </c>
      <c r="T1760" s="35" t="str">
        <f>VLOOKUP(Tabla1[[#This Row],[AREA]],Hoja1!A:B,2,FALSE)</f>
        <v>07. Medio ambiente y desarrollo sostenible</v>
      </c>
      <c r="U1760" s="35" t="str">
        <f>MID(Tabla1[[#This Row],[Aplicación]],9,4)</f>
        <v>1711</v>
      </c>
      <c r="V1760" s="35" t="str">
        <f>VLOOKUP(Tabla1[[#This Row],[PROGRAMA]],Hoja1!A:B,2,FALSE)</f>
        <v>1711. Parques y jardines</v>
      </c>
      <c r="W1760" s="56" t="str">
        <f>MID(Tabla1[[#This Row],[Aplicación]],14,2)</f>
        <v>21</v>
      </c>
      <c r="X1760" s="56" t="str">
        <f>MID(Tabla1[[#This Row],[Aplicación]],14,6)</f>
        <v>214</v>
      </c>
    </row>
    <row r="1761" spans="1:24" x14ac:dyDescent="0.25">
      <c r="A1761" s="55">
        <v>220230009110</v>
      </c>
      <c r="B1761" s="47" t="s">
        <v>1514</v>
      </c>
      <c r="C1761" s="52">
        <v>45006</v>
      </c>
      <c r="D1761" s="46">
        <v>22023001956</v>
      </c>
      <c r="E1761" s="47" t="s">
        <v>1982</v>
      </c>
      <c r="F1761" s="53">
        <v>202.51</v>
      </c>
      <c r="G1761" s="47" t="s">
        <v>1985</v>
      </c>
      <c r="H1761" s="47" t="s">
        <v>3168</v>
      </c>
      <c r="I1761" s="46" t="s">
        <v>1517</v>
      </c>
      <c r="J1761" s="47" t="s">
        <v>519</v>
      </c>
      <c r="K1761" s="47" t="s">
        <v>519</v>
      </c>
      <c r="L1761" s="47" t="s">
        <v>520</v>
      </c>
      <c r="M1761" s="47" t="s">
        <v>514</v>
      </c>
      <c r="N1761" s="47" t="s">
        <v>515</v>
      </c>
      <c r="O1761" s="54" t="s">
        <v>382</v>
      </c>
      <c r="P1761" s="44" t="s">
        <v>309</v>
      </c>
      <c r="Q1761" s="59" t="str">
        <f>MID(Tabla1[[#This Row],[Aplicación]],14,1)</f>
        <v>2</v>
      </c>
      <c r="R1761" s="35" t="s">
        <v>298</v>
      </c>
      <c r="S1761" s="59" t="str">
        <f>MID(Tabla1[[#This Row],[Aplicación]],6,2)</f>
        <v>07</v>
      </c>
      <c r="T1761" s="35" t="str">
        <f>VLOOKUP(Tabla1[[#This Row],[AREA]],Hoja1!A:B,2,FALSE)</f>
        <v>07. Medio ambiente y desarrollo sostenible</v>
      </c>
      <c r="U1761" s="35" t="str">
        <f>MID(Tabla1[[#This Row],[Aplicación]],9,4)</f>
        <v>1711</v>
      </c>
      <c r="V1761" s="35" t="str">
        <f>VLOOKUP(Tabla1[[#This Row],[PROGRAMA]],Hoja1!A:B,2,FALSE)</f>
        <v>1711. Parques y jardines</v>
      </c>
      <c r="W1761" s="56" t="str">
        <f>MID(Tabla1[[#This Row],[Aplicación]],14,2)</f>
        <v>21</v>
      </c>
      <c r="X1761" s="56" t="str">
        <f>MID(Tabla1[[#This Row],[Aplicación]],14,6)</f>
        <v>214</v>
      </c>
    </row>
    <row r="1762" spans="1:24" x14ac:dyDescent="0.25">
      <c r="A1762" s="55">
        <v>220230009112</v>
      </c>
      <c r="B1762" s="47" t="s">
        <v>1514</v>
      </c>
      <c r="C1762" s="52">
        <v>45006</v>
      </c>
      <c r="D1762" s="46">
        <v>22023001956</v>
      </c>
      <c r="E1762" s="47" t="s">
        <v>1982</v>
      </c>
      <c r="F1762" s="53">
        <v>1461.89</v>
      </c>
      <c r="G1762" s="47" t="s">
        <v>1985</v>
      </c>
      <c r="H1762" s="47" t="s">
        <v>3169</v>
      </c>
      <c r="I1762" s="46" t="s">
        <v>1517</v>
      </c>
      <c r="J1762" s="47" t="s">
        <v>519</v>
      </c>
      <c r="K1762" s="47" t="s">
        <v>519</v>
      </c>
      <c r="L1762" s="47" t="s">
        <v>520</v>
      </c>
      <c r="M1762" s="47" t="s">
        <v>514</v>
      </c>
      <c r="N1762" s="47" t="s">
        <v>515</v>
      </c>
      <c r="O1762" s="54" t="s">
        <v>382</v>
      </c>
      <c r="P1762" s="44" t="s">
        <v>309</v>
      </c>
      <c r="Q1762" s="59" t="str">
        <f>MID(Tabla1[[#This Row],[Aplicación]],14,1)</f>
        <v>2</v>
      </c>
      <c r="R1762" s="35" t="s">
        <v>298</v>
      </c>
      <c r="S1762" s="59" t="str">
        <f>MID(Tabla1[[#This Row],[Aplicación]],6,2)</f>
        <v>07</v>
      </c>
      <c r="T1762" s="35" t="str">
        <f>VLOOKUP(Tabla1[[#This Row],[AREA]],Hoja1!A:B,2,FALSE)</f>
        <v>07. Medio ambiente y desarrollo sostenible</v>
      </c>
      <c r="U1762" s="35" t="str">
        <f>MID(Tabla1[[#This Row],[Aplicación]],9,4)</f>
        <v>1711</v>
      </c>
      <c r="V1762" s="35" t="str">
        <f>VLOOKUP(Tabla1[[#This Row],[PROGRAMA]],Hoja1!A:B,2,FALSE)</f>
        <v>1711. Parques y jardines</v>
      </c>
      <c r="W1762" s="56" t="str">
        <f>MID(Tabla1[[#This Row],[Aplicación]],14,2)</f>
        <v>21</v>
      </c>
      <c r="X1762" s="56" t="str">
        <f>MID(Tabla1[[#This Row],[Aplicación]],14,6)</f>
        <v>214</v>
      </c>
    </row>
    <row r="1763" spans="1:24" x14ac:dyDescent="0.25">
      <c r="A1763" s="55">
        <v>220230009365</v>
      </c>
      <c r="B1763" s="47" t="s">
        <v>1514</v>
      </c>
      <c r="C1763" s="52">
        <v>45006</v>
      </c>
      <c r="D1763" s="46">
        <v>22023001608</v>
      </c>
      <c r="E1763" s="47" t="s">
        <v>1728</v>
      </c>
      <c r="F1763" s="53">
        <v>47.02</v>
      </c>
      <c r="G1763" s="47" t="s">
        <v>1985</v>
      </c>
      <c r="H1763" s="47" t="s">
        <v>3170</v>
      </c>
      <c r="I1763" s="46" t="s">
        <v>1517</v>
      </c>
      <c r="J1763" s="47" t="s">
        <v>519</v>
      </c>
      <c r="K1763" s="47" t="s">
        <v>519</v>
      </c>
      <c r="L1763" s="47" t="s">
        <v>520</v>
      </c>
      <c r="M1763" s="47" t="s">
        <v>514</v>
      </c>
      <c r="N1763" s="47" t="s">
        <v>515</v>
      </c>
      <c r="O1763" s="54" t="s">
        <v>382</v>
      </c>
      <c r="P1763" s="44" t="s">
        <v>309</v>
      </c>
      <c r="Q1763" s="59" t="str">
        <f>MID(Tabla1[[#This Row],[Aplicación]],14,1)</f>
        <v>2</v>
      </c>
      <c r="R1763" s="35" t="s">
        <v>298</v>
      </c>
      <c r="S1763" s="59" t="str">
        <f>MID(Tabla1[[#This Row],[Aplicación]],6,2)</f>
        <v>08</v>
      </c>
      <c r="T1763" s="35" t="str">
        <f>VLOOKUP(Tabla1[[#This Row],[AREA]],Hoja1!A:B,2,FALSE)</f>
        <v>08. Movilidad y espacio urbano</v>
      </c>
      <c r="U1763" s="35" t="str">
        <f>MID(Tabla1[[#This Row],[Aplicación]],9,4)</f>
        <v>1532</v>
      </c>
      <c r="V1763" s="35" t="str">
        <f>VLOOKUP(Tabla1[[#This Row],[PROGRAMA]],Hoja1!A:B,2,FALSE)</f>
        <v>1532. Pavimentación vias públicas y otros servicios urbanísticos</v>
      </c>
      <c r="W1763" s="56" t="str">
        <f>MID(Tabla1[[#This Row],[Aplicación]],14,2)</f>
        <v>21</v>
      </c>
      <c r="X1763" s="56" t="str">
        <f>MID(Tabla1[[#This Row],[Aplicación]],14,6)</f>
        <v>214</v>
      </c>
    </row>
    <row r="1764" spans="1:24" x14ac:dyDescent="0.25">
      <c r="A1764" s="55">
        <v>220230009367</v>
      </c>
      <c r="B1764" s="47" t="s">
        <v>1514</v>
      </c>
      <c r="C1764" s="52">
        <v>45006</v>
      </c>
      <c r="D1764" s="46">
        <v>22023001608</v>
      </c>
      <c r="E1764" s="47" t="s">
        <v>1728</v>
      </c>
      <c r="F1764" s="53">
        <v>193.31</v>
      </c>
      <c r="G1764" s="47" t="s">
        <v>1985</v>
      </c>
      <c r="H1764" s="47" t="s">
        <v>3171</v>
      </c>
      <c r="I1764" s="46" t="s">
        <v>1517</v>
      </c>
      <c r="J1764" s="47" t="s">
        <v>519</v>
      </c>
      <c r="K1764" s="47" t="s">
        <v>519</v>
      </c>
      <c r="L1764" s="47" t="s">
        <v>520</v>
      </c>
      <c r="M1764" s="47" t="s">
        <v>514</v>
      </c>
      <c r="N1764" s="47" t="s">
        <v>515</v>
      </c>
      <c r="O1764" s="54" t="s">
        <v>382</v>
      </c>
      <c r="P1764" s="44" t="s">
        <v>309</v>
      </c>
      <c r="Q1764" s="59" t="str">
        <f>MID(Tabla1[[#This Row],[Aplicación]],14,1)</f>
        <v>2</v>
      </c>
      <c r="R1764" s="35" t="s">
        <v>298</v>
      </c>
      <c r="S1764" s="59" t="str">
        <f>MID(Tabla1[[#This Row],[Aplicación]],6,2)</f>
        <v>08</v>
      </c>
      <c r="T1764" s="35" t="str">
        <f>VLOOKUP(Tabla1[[#This Row],[AREA]],Hoja1!A:B,2,FALSE)</f>
        <v>08. Movilidad y espacio urbano</v>
      </c>
      <c r="U1764" s="35" t="str">
        <f>MID(Tabla1[[#This Row],[Aplicación]],9,4)</f>
        <v>1532</v>
      </c>
      <c r="V1764" s="35" t="str">
        <f>VLOOKUP(Tabla1[[#This Row],[PROGRAMA]],Hoja1!A:B,2,FALSE)</f>
        <v>1532. Pavimentación vias públicas y otros servicios urbanísticos</v>
      </c>
      <c r="W1764" s="56" t="str">
        <f>MID(Tabla1[[#This Row],[Aplicación]],14,2)</f>
        <v>21</v>
      </c>
      <c r="X1764" s="56" t="str">
        <f>MID(Tabla1[[#This Row],[Aplicación]],14,6)</f>
        <v>214</v>
      </c>
    </row>
    <row r="1765" spans="1:24" x14ac:dyDescent="0.25">
      <c r="A1765" s="55">
        <v>220230009369</v>
      </c>
      <c r="B1765" s="47" t="s">
        <v>1514</v>
      </c>
      <c r="C1765" s="52">
        <v>45006</v>
      </c>
      <c r="D1765" s="46">
        <v>22023001608</v>
      </c>
      <c r="E1765" s="47" t="s">
        <v>1728</v>
      </c>
      <c r="F1765" s="53">
        <v>233.81</v>
      </c>
      <c r="G1765" s="47" t="s">
        <v>1985</v>
      </c>
      <c r="H1765" s="47" t="s">
        <v>3172</v>
      </c>
      <c r="I1765" s="46" t="s">
        <v>1517</v>
      </c>
      <c r="J1765" s="47" t="s">
        <v>519</v>
      </c>
      <c r="K1765" s="47" t="s">
        <v>519</v>
      </c>
      <c r="L1765" s="47" t="s">
        <v>520</v>
      </c>
      <c r="M1765" s="47" t="s">
        <v>514</v>
      </c>
      <c r="N1765" s="47" t="s">
        <v>515</v>
      </c>
      <c r="O1765" s="54" t="s">
        <v>382</v>
      </c>
      <c r="P1765" s="44" t="s">
        <v>309</v>
      </c>
      <c r="Q1765" s="59" t="str">
        <f>MID(Tabla1[[#This Row],[Aplicación]],14,1)</f>
        <v>2</v>
      </c>
      <c r="R1765" s="35" t="s">
        <v>298</v>
      </c>
      <c r="S1765" s="59" t="str">
        <f>MID(Tabla1[[#This Row],[Aplicación]],6,2)</f>
        <v>08</v>
      </c>
      <c r="T1765" s="35" t="str">
        <f>VLOOKUP(Tabla1[[#This Row],[AREA]],Hoja1!A:B,2,FALSE)</f>
        <v>08. Movilidad y espacio urbano</v>
      </c>
      <c r="U1765" s="35" t="str">
        <f>MID(Tabla1[[#This Row],[Aplicación]],9,4)</f>
        <v>1532</v>
      </c>
      <c r="V1765" s="35" t="str">
        <f>VLOOKUP(Tabla1[[#This Row],[PROGRAMA]],Hoja1!A:B,2,FALSE)</f>
        <v>1532. Pavimentación vias públicas y otros servicios urbanísticos</v>
      </c>
      <c r="W1765" s="56" t="str">
        <f>MID(Tabla1[[#This Row],[Aplicación]],14,2)</f>
        <v>21</v>
      </c>
      <c r="X1765" s="56" t="str">
        <f>MID(Tabla1[[#This Row],[Aplicación]],14,6)</f>
        <v>214</v>
      </c>
    </row>
    <row r="1766" spans="1:24" x14ac:dyDescent="0.25">
      <c r="A1766" s="55">
        <v>220230009371</v>
      </c>
      <c r="B1766" s="47" t="s">
        <v>1514</v>
      </c>
      <c r="C1766" s="52">
        <v>45006</v>
      </c>
      <c r="D1766" s="46">
        <v>22023001608</v>
      </c>
      <c r="E1766" s="47" t="s">
        <v>1728</v>
      </c>
      <c r="F1766" s="53">
        <v>194.89</v>
      </c>
      <c r="G1766" s="47" t="s">
        <v>1985</v>
      </c>
      <c r="H1766" s="47" t="s">
        <v>3173</v>
      </c>
      <c r="I1766" s="46" t="s">
        <v>1517</v>
      </c>
      <c r="J1766" s="47" t="s">
        <v>519</v>
      </c>
      <c r="K1766" s="47" t="s">
        <v>519</v>
      </c>
      <c r="L1766" s="47" t="s">
        <v>520</v>
      </c>
      <c r="M1766" s="47" t="s">
        <v>514</v>
      </c>
      <c r="N1766" s="47" t="s">
        <v>515</v>
      </c>
      <c r="O1766" s="54" t="s">
        <v>382</v>
      </c>
      <c r="P1766" s="44" t="s">
        <v>309</v>
      </c>
      <c r="Q1766" s="59" t="str">
        <f>MID(Tabla1[[#This Row],[Aplicación]],14,1)</f>
        <v>2</v>
      </c>
      <c r="R1766" s="35" t="s">
        <v>298</v>
      </c>
      <c r="S1766" s="59" t="str">
        <f>MID(Tabla1[[#This Row],[Aplicación]],6,2)</f>
        <v>08</v>
      </c>
      <c r="T1766" s="35" t="str">
        <f>VLOOKUP(Tabla1[[#This Row],[AREA]],Hoja1!A:B,2,FALSE)</f>
        <v>08. Movilidad y espacio urbano</v>
      </c>
      <c r="U1766" s="35" t="str">
        <f>MID(Tabla1[[#This Row],[Aplicación]],9,4)</f>
        <v>1532</v>
      </c>
      <c r="V1766" s="35" t="str">
        <f>VLOOKUP(Tabla1[[#This Row],[PROGRAMA]],Hoja1!A:B,2,FALSE)</f>
        <v>1532. Pavimentación vias públicas y otros servicios urbanísticos</v>
      </c>
      <c r="W1766" s="56" t="str">
        <f>MID(Tabla1[[#This Row],[Aplicación]],14,2)</f>
        <v>21</v>
      </c>
      <c r="X1766" s="56" t="str">
        <f>MID(Tabla1[[#This Row],[Aplicación]],14,6)</f>
        <v>214</v>
      </c>
    </row>
    <row r="1767" spans="1:24" x14ac:dyDescent="0.25">
      <c r="A1767" s="55">
        <v>220230009373</v>
      </c>
      <c r="B1767" s="47" t="s">
        <v>1514</v>
      </c>
      <c r="C1767" s="52">
        <v>45006</v>
      </c>
      <c r="D1767" s="46">
        <v>22023001608</v>
      </c>
      <c r="E1767" s="47" t="s">
        <v>1728</v>
      </c>
      <c r="F1767" s="53">
        <v>262.23</v>
      </c>
      <c r="G1767" s="47" t="s">
        <v>1985</v>
      </c>
      <c r="H1767" s="47" t="s">
        <v>3174</v>
      </c>
      <c r="I1767" s="46" t="s">
        <v>1517</v>
      </c>
      <c r="J1767" s="47" t="s">
        <v>519</v>
      </c>
      <c r="K1767" s="47" t="s">
        <v>519</v>
      </c>
      <c r="L1767" s="47" t="s">
        <v>520</v>
      </c>
      <c r="M1767" s="47" t="s">
        <v>514</v>
      </c>
      <c r="N1767" s="47" t="s">
        <v>515</v>
      </c>
      <c r="O1767" s="54" t="s">
        <v>382</v>
      </c>
      <c r="P1767" s="44" t="s">
        <v>309</v>
      </c>
      <c r="Q1767" s="59" t="str">
        <f>MID(Tabla1[[#This Row],[Aplicación]],14,1)</f>
        <v>2</v>
      </c>
      <c r="R1767" s="35" t="s">
        <v>298</v>
      </c>
      <c r="S1767" s="59" t="str">
        <f>MID(Tabla1[[#This Row],[Aplicación]],6,2)</f>
        <v>08</v>
      </c>
      <c r="T1767" s="35" t="str">
        <f>VLOOKUP(Tabla1[[#This Row],[AREA]],Hoja1!A:B,2,FALSE)</f>
        <v>08. Movilidad y espacio urbano</v>
      </c>
      <c r="U1767" s="35" t="str">
        <f>MID(Tabla1[[#This Row],[Aplicación]],9,4)</f>
        <v>1532</v>
      </c>
      <c r="V1767" s="35" t="str">
        <f>VLOOKUP(Tabla1[[#This Row],[PROGRAMA]],Hoja1!A:B,2,FALSE)</f>
        <v>1532. Pavimentación vias públicas y otros servicios urbanísticos</v>
      </c>
      <c r="W1767" s="56" t="str">
        <f>MID(Tabla1[[#This Row],[Aplicación]],14,2)</f>
        <v>21</v>
      </c>
      <c r="X1767" s="56" t="str">
        <f>MID(Tabla1[[#This Row],[Aplicación]],14,6)</f>
        <v>214</v>
      </c>
    </row>
    <row r="1768" spans="1:24" x14ac:dyDescent="0.25">
      <c r="A1768" s="46">
        <v>220230006768</v>
      </c>
      <c r="B1768" s="47" t="s">
        <v>507</v>
      </c>
      <c r="C1768" s="52">
        <v>44986</v>
      </c>
      <c r="D1768" s="46">
        <v>22023002483</v>
      </c>
      <c r="E1768" s="47" t="s">
        <v>665</v>
      </c>
      <c r="F1768" s="53">
        <v>825.34</v>
      </c>
      <c r="G1768" s="47" t="s">
        <v>3175</v>
      </c>
      <c r="H1768" s="47" t="s">
        <v>3176</v>
      </c>
      <c r="I1768" s="46" t="s">
        <v>511</v>
      </c>
      <c r="J1768" s="47" t="s">
        <v>3177</v>
      </c>
      <c r="K1768" s="47" t="s">
        <v>590</v>
      </c>
      <c r="L1768" s="47" t="s">
        <v>520</v>
      </c>
      <c r="M1768" s="47" t="s">
        <v>976</v>
      </c>
      <c r="N1768" s="47" t="s">
        <v>839</v>
      </c>
      <c r="O1768" s="45" t="s">
        <v>383</v>
      </c>
      <c r="P1768" s="44" t="s">
        <v>309</v>
      </c>
      <c r="Q1768" s="59" t="str">
        <f>MID(Tabla1[[#This Row],[Aplicación]],14,1)</f>
        <v>2</v>
      </c>
      <c r="R1768" s="35" t="s">
        <v>298</v>
      </c>
      <c r="S1768" s="59" t="str">
        <f>MID(Tabla1[[#This Row],[Aplicación]],6,2)</f>
        <v>08</v>
      </c>
      <c r="T1768" s="35" t="str">
        <f>VLOOKUP(Tabla1[[#This Row],[AREA]],Hoja1!A:B,2,FALSE)</f>
        <v>08. Movilidad y espacio urbano</v>
      </c>
      <c r="U1768" s="35" t="str">
        <f>MID(Tabla1[[#This Row],[Aplicación]],9,4)</f>
        <v>1532</v>
      </c>
      <c r="V1768" s="35" t="str">
        <f>VLOOKUP(Tabla1[[#This Row],[PROGRAMA]],Hoja1!A:B,2,FALSE)</f>
        <v>1532. Pavimentación vias públicas y otros servicios urbanísticos</v>
      </c>
      <c r="W1768" s="56" t="str">
        <f>MID(Tabla1[[#This Row],[Aplicación]],14,2)</f>
        <v>21</v>
      </c>
      <c r="X1768" s="56" t="str">
        <f>MID(Tabla1[[#This Row],[Aplicación]],14,6)</f>
        <v>213</v>
      </c>
    </row>
    <row r="1769" spans="1:24" x14ac:dyDescent="0.25">
      <c r="A1769" s="55">
        <v>220230009381</v>
      </c>
      <c r="B1769" s="47" t="s">
        <v>1514</v>
      </c>
      <c r="C1769" s="52">
        <v>45006</v>
      </c>
      <c r="D1769" s="46">
        <v>22023002185</v>
      </c>
      <c r="E1769" s="47" t="s">
        <v>2458</v>
      </c>
      <c r="F1769" s="53">
        <v>190.5</v>
      </c>
      <c r="G1769" s="47" t="s">
        <v>2969</v>
      </c>
      <c r="H1769" s="47" t="s">
        <v>3178</v>
      </c>
      <c r="I1769" s="46" t="s">
        <v>1517</v>
      </c>
      <c r="J1769" s="47" t="s">
        <v>519</v>
      </c>
      <c r="K1769" s="47" t="s">
        <v>519</v>
      </c>
      <c r="L1769" s="47" t="s">
        <v>552</v>
      </c>
      <c r="M1769" s="47" t="s">
        <v>514</v>
      </c>
      <c r="N1769" s="47" t="s">
        <v>515</v>
      </c>
      <c r="O1769" s="54" t="s">
        <v>382</v>
      </c>
      <c r="P1769" s="44" t="s">
        <v>309</v>
      </c>
      <c r="Q1769" s="59" t="str">
        <f>MID(Tabla1[[#This Row],[Aplicación]],14,1)</f>
        <v>2</v>
      </c>
      <c r="R1769" s="35" t="s">
        <v>298</v>
      </c>
      <c r="S1769" s="59" t="str">
        <f>MID(Tabla1[[#This Row],[Aplicación]],6,2)</f>
        <v>06</v>
      </c>
      <c r="T1769" s="35" t="str">
        <f>VLOOKUP(Tabla1[[#This Row],[AREA]],Hoja1!A:B,2,FALSE)</f>
        <v>06. Educación, infancia, juventud e igualdad</v>
      </c>
      <c r="U1769" s="35" t="str">
        <f>MID(Tabla1[[#This Row],[Aplicación]],9,4)</f>
        <v>3231</v>
      </c>
      <c r="V1769" s="35" t="str">
        <f>VLOOKUP(Tabla1[[#This Row],[PROGRAMA]],Hoja1!A:B,2,FALSE)</f>
        <v>3231. Escuelas infantiles</v>
      </c>
      <c r="W1769" s="56" t="str">
        <f>MID(Tabla1[[#This Row],[Aplicación]],14,2)</f>
        <v>21</v>
      </c>
      <c r="X1769" s="56" t="str">
        <f>MID(Tabla1[[#This Row],[Aplicación]],14,6)</f>
        <v>212</v>
      </c>
    </row>
    <row r="1770" spans="1:24" x14ac:dyDescent="0.25">
      <c r="A1770" s="55">
        <v>220230009355</v>
      </c>
      <c r="B1770" s="47" t="s">
        <v>1514</v>
      </c>
      <c r="C1770" s="52">
        <v>45006</v>
      </c>
      <c r="D1770" s="46">
        <v>22023002181</v>
      </c>
      <c r="E1770" s="47" t="s">
        <v>1305</v>
      </c>
      <c r="F1770" s="53">
        <v>113.46</v>
      </c>
      <c r="G1770" s="47" t="s">
        <v>2477</v>
      </c>
      <c r="H1770" s="47" t="s">
        <v>3179</v>
      </c>
      <c r="I1770" s="46" t="s">
        <v>1517</v>
      </c>
      <c r="J1770" s="47" t="s">
        <v>519</v>
      </c>
      <c r="K1770" s="47" t="s">
        <v>519</v>
      </c>
      <c r="L1770" s="47" t="s">
        <v>552</v>
      </c>
      <c r="M1770" s="47" t="s">
        <v>514</v>
      </c>
      <c r="N1770" s="47" t="s">
        <v>515</v>
      </c>
      <c r="O1770" s="54" t="s">
        <v>382</v>
      </c>
      <c r="P1770" s="44" t="s">
        <v>309</v>
      </c>
      <c r="Q1770" s="59" t="str">
        <f>MID(Tabla1[[#This Row],[Aplicación]],14,1)</f>
        <v>2</v>
      </c>
      <c r="R1770" s="35" t="s">
        <v>298</v>
      </c>
      <c r="S1770" s="59" t="str">
        <f>MID(Tabla1[[#This Row],[Aplicación]],6,2)</f>
        <v>06</v>
      </c>
      <c r="T1770" s="35" t="str">
        <f>VLOOKUP(Tabla1[[#This Row],[AREA]],Hoja1!A:B,2,FALSE)</f>
        <v>06. Educación, infancia, juventud e igualdad</v>
      </c>
      <c r="U1770" s="35" t="str">
        <f>MID(Tabla1[[#This Row],[Aplicación]],9,4)</f>
        <v>3232</v>
      </c>
      <c r="V1770" s="35" t="str">
        <f>VLOOKUP(Tabla1[[#This Row],[PROGRAMA]],Hoja1!A:B,2,FALSE)</f>
        <v>3232. Conservación y mantenimiento centros educación infantil y primaria</v>
      </c>
      <c r="W1770" s="56" t="str">
        <f>MID(Tabla1[[#This Row],[Aplicación]],14,2)</f>
        <v>21</v>
      </c>
      <c r="X1770" s="56" t="str">
        <f>MID(Tabla1[[#This Row],[Aplicación]],14,6)</f>
        <v>212</v>
      </c>
    </row>
    <row r="1771" spans="1:24" x14ac:dyDescent="0.25">
      <c r="A1771" s="55">
        <v>220230009387</v>
      </c>
      <c r="B1771" s="47" t="s">
        <v>1514</v>
      </c>
      <c r="C1771" s="52">
        <v>45006</v>
      </c>
      <c r="D1771" s="46">
        <v>22023001343</v>
      </c>
      <c r="E1771" s="47" t="s">
        <v>1506</v>
      </c>
      <c r="F1771" s="53">
        <v>61.26</v>
      </c>
      <c r="G1771" s="47" t="s">
        <v>2477</v>
      </c>
      <c r="H1771" s="47" t="s">
        <v>3180</v>
      </c>
      <c r="I1771" s="46" t="s">
        <v>1517</v>
      </c>
      <c r="J1771" s="47" t="s">
        <v>519</v>
      </c>
      <c r="K1771" s="47" t="s">
        <v>519</v>
      </c>
      <c r="L1771" s="47" t="s">
        <v>552</v>
      </c>
      <c r="M1771" s="47" t="s">
        <v>514</v>
      </c>
      <c r="N1771" s="47" t="s">
        <v>604</v>
      </c>
      <c r="O1771" s="54" t="s">
        <v>382</v>
      </c>
      <c r="P1771" s="44" t="s">
        <v>309</v>
      </c>
      <c r="Q1771" s="59" t="str">
        <f>MID(Tabla1[[#This Row],[Aplicación]],14,1)</f>
        <v>2</v>
      </c>
      <c r="R1771" s="35" t="s">
        <v>298</v>
      </c>
      <c r="S1771" s="59" t="str">
        <f>MID(Tabla1[[#This Row],[Aplicación]],6,2)</f>
        <v>03</v>
      </c>
      <c r="T1771" s="35" t="str">
        <f>VLOOKUP(Tabla1[[#This Row],[AREA]],Hoja1!A:B,2,FALSE)</f>
        <v>03. Participación ciudadana y deportes</v>
      </c>
      <c r="U1771" s="35" t="str">
        <f>MID(Tabla1[[#This Row],[Aplicación]],9,4)</f>
        <v>9241</v>
      </c>
      <c r="V1771" s="35" t="str">
        <f>VLOOKUP(Tabla1[[#This Row],[PROGRAMA]],Hoja1!A:B,2,FALSE)</f>
        <v>9241. Participación ciudadana</v>
      </c>
      <c r="W1771" s="56" t="str">
        <f>MID(Tabla1[[#This Row],[Aplicación]],14,2)</f>
        <v>21</v>
      </c>
      <c r="X1771" s="56" t="str">
        <f>MID(Tabla1[[#This Row],[Aplicación]],14,6)</f>
        <v>212</v>
      </c>
    </row>
    <row r="1772" spans="1:24" x14ac:dyDescent="0.25">
      <c r="A1772" s="55">
        <v>220230009187</v>
      </c>
      <c r="B1772" s="47" t="s">
        <v>1514</v>
      </c>
      <c r="C1772" s="52">
        <v>45006</v>
      </c>
      <c r="D1772" s="46">
        <v>22023002053</v>
      </c>
      <c r="E1772" s="47" t="s">
        <v>2107</v>
      </c>
      <c r="F1772" s="53">
        <v>3141.47</v>
      </c>
      <c r="G1772" s="47" t="s">
        <v>2108</v>
      </c>
      <c r="H1772" s="47" t="s">
        <v>3181</v>
      </c>
      <c r="I1772" s="46" t="s">
        <v>1517</v>
      </c>
      <c r="J1772" s="47" t="s">
        <v>519</v>
      </c>
      <c r="K1772" s="47" t="s">
        <v>519</v>
      </c>
      <c r="L1772" s="47" t="s">
        <v>520</v>
      </c>
      <c r="M1772" s="47" t="s">
        <v>514</v>
      </c>
      <c r="N1772" s="47" t="s">
        <v>515</v>
      </c>
      <c r="O1772" s="54" t="s">
        <v>382</v>
      </c>
      <c r="P1772" s="44" t="s">
        <v>309</v>
      </c>
      <c r="Q1772" s="59" t="str">
        <f>MID(Tabla1[[#This Row],[Aplicación]],14,1)</f>
        <v>2</v>
      </c>
      <c r="R1772" s="35" t="s">
        <v>298</v>
      </c>
      <c r="S1772" s="59" t="str">
        <f>MID(Tabla1[[#This Row],[Aplicación]],6,2)</f>
        <v>07</v>
      </c>
      <c r="T1772" s="35" t="str">
        <f>VLOOKUP(Tabla1[[#This Row],[AREA]],Hoja1!A:B,2,FALSE)</f>
        <v>07. Medio ambiente y desarrollo sostenible</v>
      </c>
      <c r="U1772" s="35" t="str">
        <f>MID(Tabla1[[#This Row],[Aplicación]],9,4)</f>
        <v>1711</v>
      </c>
      <c r="V1772" s="35" t="str">
        <f>VLOOKUP(Tabla1[[#This Row],[PROGRAMA]],Hoja1!A:B,2,FALSE)</f>
        <v>1711. Parques y jardines</v>
      </c>
      <c r="W1772" s="56" t="str">
        <f>MID(Tabla1[[#This Row],[Aplicación]],14,2)</f>
        <v>21</v>
      </c>
      <c r="X1772" s="56" t="str">
        <f>MID(Tabla1[[#This Row],[Aplicación]],14,6)</f>
        <v>213</v>
      </c>
    </row>
    <row r="1773" spans="1:24" x14ac:dyDescent="0.25">
      <c r="A1773" s="55">
        <v>220230009266</v>
      </c>
      <c r="B1773" s="47" t="s">
        <v>1514</v>
      </c>
      <c r="C1773" s="52">
        <v>45006</v>
      </c>
      <c r="D1773" s="46">
        <v>22023002053</v>
      </c>
      <c r="E1773" s="47" t="s">
        <v>2107</v>
      </c>
      <c r="F1773" s="53">
        <v>43.04</v>
      </c>
      <c r="G1773" s="47" t="s">
        <v>2108</v>
      </c>
      <c r="H1773" s="47" t="s">
        <v>3182</v>
      </c>
      <c r="I1773" s="46" t="s">
        <v>1517</v>
      </c>
      <c r="J1773" s="47" t="s">
        <v>519</v>
      </c>
      <c r="K1773" s="47" t="s">
        <v>519</v>
      </c>
      <c r="L1773" s="47" t="s">
        <v>552</v>
      </c>
      <c r="M1773" s="47" t="s">
        <v>514</v>
      </c>
      <c r="N1773" s="47" t="s">
        <v>515</v>
      </c>
      <c r="O1773" s="54" t="s">
        <v>382</v>
      </c>
      <c r="P1773" s="44" t="s">
        <v>309</v>
      </c>
      <c r="Q1773" s="59" t="str">
        <f>MID(Tabla1[[#This Row],[Aplicación]],14,1)</f>
        <v>2</v>
      </c>
      <c r="R1773" s="35" t="s">
        <v>298</v>
      </c>
      <c r="S1773" s="59" t="str">
        <f>MID(Tabla1[[#This Row],[Aplicación]],6,2)</f>
        <v>07</v>
      </c>
      <c r="T1773" s="35" t="str">
        <f>VLOOKUP(Tabla1[[#This Row],[AREA]],Hoja1!A:B,2,FALSE)</f>
        <v>07. Medio ambiente y desarrollo sostenible</v>
      </c>
      <c r="U1773" s="35" t="str">
        <f>MID(Tabla1[[#This Row],[Aplicación]],9,4)</f>
        <v>1711</v>
      </c>
      <c r="V1773" s="35" t="str">
        <f>VLOOKUP(Tabla1[[#This Row],[PROGRAMA]],Hoja1!A:B,2,FALSE)</f>
        <v>1711. Parques y jardines</v>
      </c>
      <c r="W1773" s="56" t="str">
        <f>MID(Tabla1[[#This Row],[Aplicación]],14,2)</f>
        <v>21</v>
      </c>
      <c r="X1773" s="56" t="str">
        <f>MID(Tabla1[[#This Row],[Aplicación]],14,6)</f>
        <v>213</v>
      </c>
    </row>
    <row r="1774" spans="1:24" x14ac:dyDescent="0.25">
      <c r="A1774" s="55">
        <v>220230009423</v>
      </c>
      <c r="B1774" s="47" t="s">
        <v>1514</v>
      </c>
      <c r="C1774" s="52">
        <v>45006</v>
      </c>
      <c r="D1774" s="46">
        <v>22023001462</v>
      </c>
      <c r="E1774" s="47" t="s">
        <v>1290</v>
      </c>
      <c r="F1774" s="53">
        <v>1226</v>
      </c>
      <c r="G1774" s="47" t="s">
        <v>2636</v>
      </c>
      <c r="H1774" s="47" t="s">
        <v>3183</v>
      </c>
      <c r="I1774" s="46" t="s">
        <v>1517</v>
      </c>
      <c r="J1774" s="47" t="s">
        <v>519</v>
      </c>
      <c r="K1774" s="47" t="s">
        <v>519</v>
      </c>
      <c r="L1774" s="47" t="s">
        <v>552</v>
      </c>
      <c r="M1774" s="47" t="s">
        <v>514</v>
      </c>
      <c r="N1774" s="47" t="s">
        <v>515</v>
      </c>
      <c r="O1774" s="54" t="s">
        <v>382</v>
      </c>
      <c r="P1774" s="44" t="s">
        <v>309</v>
      </c>
      <c r="Q1774" s="59" t="str">
        <f>MID(Tabla1[[#This Row],[Aplicación]],14,1)</f>
        <v>2</v>
      </c>
      <c r="R1774" s="35" t="s">
        <v>298</v>
      </c>
      <c r="S1774" s="59" t="str">
        <f>MID(Tabla1[[#This Row],[Aplicación]],6,2)</f>
        <v>11</v>
      </c>
      <c r="T1774" s="35" t="str">
        <f>VLOOKUP(Tabla1[[#This Row],[AREA]],Hoja1!A:B,2,FALSE)</f>
        <v>11. Salud pública y seguridad ciudadana</v>
      </c>
      <c r="U1774" s="35" t="str">
        <f>MID(Tabla1[[#This Row],[Aplicación]],9,4)</f>
        <v>1621</v>
      </c>
      <c r="V1774" s="35" t="str">
        <f>VLOOKUP(Tabla1[[#This Row],[PROGRAMA]],Hoja1!A:B,2,FALSE)</f>
        <v>1621. Servicio de limpieza</v>
      </c>
      <c r="W1774" s="56" t="str">
        <f>MID(Tabla1[[#This Row],[Aplicación]],14,2)</f>
        <v>21</v>
      </c>
      <c r="X1774" s="56" t="str">
        <f>MID(Tabla1[[#This Row],[Aplicación]],14,6)</f>
        <v>214</v>
      </c>
    </row>
    <row r="1775" spans="1:24" x14ac:dyDescent="0.25">
      <c r="A1775" s="55">
        <v>220230009115</v>
      </c>
      <c r="B1775" s="47" t="s">
        <v>1514</v>
      </c>
      <c r="C1775" s="52">
        <v>45006</v>
      </c>
      <c r="D1775" s="46">
        <v>22023002139</v>
      </c>
      <c r="E1775" s="47" t="s">
        <v>2795</v>
      </c>
      <c r="F1775" s="53">
        <v>132.69</v>
      </c>
      <c r="G1775" s="47" t="s">
        <v>70</v>
      </c>
      <c r="H1775" s="47" t="s">
        <v>3184</v>
      </c>
      <c r="I1775" s="46" t="s">
        <v>1517</v>
      </c>
      <c r="J1775" s="47" t="s">
        <v>519</v>
      </c>
      <c r="K1775" s="47" t="s">
        <v>519</v>
      </c>
      <c r="L1775" s="47" t="s">
        <v>552</v>
      </c>
      <c r="M1775" s="47" t="s">
        <v>514</v>
      </c>
      <c r="N1775" s="47" t="s">
        <v>515</v>
      </c>
      <c r="O1775" s="54" t="s">
        <v>382</v>
      </c>
      <c r="P1775" s="44" t="s">
        <v>309</v>
      </c>
      <c r="Q1775" s="59" t="str">
        <f>MID(Tabla1[[#This Row],[Aplicación]],14,1)</f>
        <v>2</v>
      </c>
      <c r="R1775" s="35" t="s">
        <v>298</v>
      </c>
      <c r="S1775" s="59" t="str">
        <f>MID(Tabla1[[#This Row],[Aplicación]],6,2)</f>
        <v>08</v>
      </c>
      <c r="T1775" s="35" t="str">
        <f>VLOOKUP(Tabla1[[#This Row],[AREA]],Hoja1!A:B,2,FALSE)</f>
        <v>08. Movilidad y espacio urbano</v>
      </c>
      <c r="U1775" s="56" t="str">
        <f>MID(Tabla1[[#This Row],[Aplicación]],9,4)</f>
        <v>1341</v>
      </c>
      <c r="V1775" s="35" t="str">
        <f>VLOOKUP(Tabla1[[#This Row],[PROGRAMA]],Hoja1!A:B,2,FALSE)</f>
        <v>1341. Movilidad</v>
      </c>
      <c r="W1775" s="56" t="str">
        <f>MID(Tabla1[[#This Row],[Aplicación]],14,2)</f>
        <v>22</v>
      </c>
      <c r="X1775" s="56" t="str">
        <f>MID(Tabla1[[#This Row],[Aplicación]],14,6)</f>
        <v>22699</v>
      </c>
    </row>
    <row r="1776" spans="1:24" x14ac:dyDescent="0.25">
      <c r="A1776" s="46">
        <v>220230002070</v>
      </c>
      <c r="B1776" s="47" t="s">
        <v>507</v>
      </c>
      <c r="C1776" s="52">
        <v>44963</v>
      </c>
      <c r="D1776" s="46">
        <v>22023001841</v>
      </c>
      <c r="E1776" s="47" t="s">
        <v>1506</v>
      </c>
      <c r="F1776" s="53">
        <v>90.33</v>
      </c>
      <c r="G1776" s="47" t="s">
        <v>46</v>
      </c>
      <c r="H1776" s="47" t="s">
        <v>3185</v>
      </c>
      <c r="I1776" s="46" t="s">
        <v>511</v>
      </c>
      <c r="J1776" s="47" t="s">
        <v>519</v>
      </c>
      <c r="K1776" s="47" t="s">
        <v>519</v>
      </c>
      <c r="L1776" s="47" t="s">
        <v>552</v>
      </c>
      <c r="M1776" s="47" t="s">
        <v>976</v>
      </c>
      <c r="N1776" s="47" t="s">
        <v>839</v>
      </c>
      <c r="O1776" s="45" t="s">
        <v>383</v>
      </c>
      <c r="P1776" s="44" t="s">
        <v>309</v>
      </c>
      <c r="Q1776" s="59" t="str">
        <f>MID(Tabla1[[#This Row],[Aplicación]],14,1)</f>
        <v>2</v>
      </c>
      <c r="R1776" s="35" t="s">
        <v>298</v>
      </c>
      <c r="S1776" s="59" t="str">
        <f>MID(Tabla1[[#This Row],[Aplicación]],6,2)</f>
        <v>03</v>
      </c>
      <c r="T1776" s="35" t="str">
        <f>VLOOKUP(Tabla1[[#This Row],[AREA]],Hoja1!A:B,2,FALSE)</f>
        <v>03. Participación ciudadana y deportes</v>
      </c>
      <c r="U1776" s="35" t="str">
        <f>MID(Tabla1[[#This Row],[Aplicación]],9,4)</f>
        <v>9241</v>
      </c>
      <c r="V1776" s="35" t="str">
        <f>VLOOKUP(Tabla1[[#This Row],[PROGRAMA]],Hoja1!A:B,2,FALSE)</f>
        <v>9241. Participación ciudadana</v>
      </c>
      <c r="W1776" s="56" t="str">
        <f>MID(Tabla1[[#This Row],[Aplicación]],14,2)</f>
        <v>21</v>
      </c>
      <c r="X1776" s="56" t="str">
        <f>MID(Tabla1[[#This Row],[Aplicación]],14,6)</f>
        <v>212</v>
      </c>
    </row>
    <row r="1777" spans="1:24" x14ac:dyDescent="0.25">
      <c r="A1777" s="46">
        <v>220230002062</v>
      </c>
      <c r="B1777" s="47" t="s">
        <v>507</v>
      </c>
      <c r="C1777" s="52">
        <v>44963</v>
      </c>
      <c r="D1777" s="46">
        <v>22023002023</v>
      </c>
      <c r="E1777" s="47" t="s">
        <v>1305</v>
      </c>
      <c r="F1777" s="53">
        <v>7260</v>
      </c>
      <c r="G1777" s="47" t="s">
        <v>46</v>
      </c>
      <c r="H1777" s="47" t="s">
        <v>3186</v>
      </c>
      <c r="I1777" s="46" t="s">
        <v>511</v>
      </c>
      <c r="J1777" s="47" t="s">
        <v>519</v>
      </c>
      <c r="K1777" s="47" t="s">
        <v>519</v>
      </c>
      <c r="L1777" s="47" t="s">
        <v>552</v>
      </c>
      <c r="M1777" s="47" t="s">
        <v>976</v>
      </c>
      <c r="N1777" s="47" t="s">
        <v>839</v>
      </c>
      <c r="O1777" s="45" t="s">
        <v>383</v>
      </c>
      <c r="P1777" s="44" t="s">
        <v>309</v>
      </c>
      <c r="Q1777" s="59" t="str">
        <f>MID(Tabla1[[#This Row],[Aplicación]],14,1)</f>
        <v>2</v>
      </c>
      <c r="R1777" s="35" t="s">
        <v>298</v>
      </c>
      <c r="S1777" s="59" t="str">
        <f>MID(Tabla1[[#This Row],[Aplicación]],6,2)</f>
        <v>06</v>
      </c>
      <c r="T1777" s="35" t="str">
        <f>VLOOKUP(Tabla1[[#This Row],[AREA]],Hoja1!A:B,2,FALSE)</f>
        <v>06. Educación, infancia, juventud e igualdad</v>
      </c>
      <c r="U1777" s="35" t="str">
        <f>MID(Tabla1[[#This Row],[Aplicación]],9,4)</f>
        <v>3232</v>
      </c>
      <c r="V1777" s="35" t="str">
        <f>VLOOKUP(Tabla1[[#This Row],[PROGRAMA]],Hoja1!A:B,2,FALSE)</f>
        <v>3232. Conservación y mantenimiento centros educación infantil y primaria</v>
      </c>
      <c r="W1777" s="56" t="str">
        <f>MID(Tabla1[[#This Row],[Aplicación]],14,2)</f>
        <v>21</v>
      </c>
      <c r="X1777" s="56" t="str">
        <f>MID(Tabla1[[#This Row],[Aplicación]],14,6)</f>
        <v>212</v>
      </c>
    </row>
    <row r="1778" spans="1:24" x14ac:dyDescent="0.25">
      <c r="A1778" s="46">
        <v>220230002644</v>
      </c>
      <c r="B1778" s="47" t="s">
        <v>507</v>
      </c>
      <c r="C1778" s="52">
        <v>44966</v>
      </c>
      <c r="D1778" s="46">
        <v>22023002194</v>
      </c>
      <c r="E1778" s="47" t="s">
        <v>2310</v>
      </c>
      <c r="F1778" s="53">
        <v>2000</v>
      </c>
      <c r="G1778" s="47" t="s">
        <v>46</v>
      </c>
      <c r="H1778" s="47" t="s">
        <v>3187</v>
      </c>
      <c r="I1778" s="46" t="s">
        <v>511</v>
      </c>
      <c r="J1778" s="47" t="s">
        <v>519</v>
      </c>
      <c r="K1778" s="47" t="s">
        <v>519</v>
      </c>
      <c r="L1778" s="47" t="s">
        <v>552</v>
      </c>
      <c r="M1778" s="47" t="s">
        <v>976</v>
      </c>
      <c r="N1778" s="47" t="s">
        <v>839</v>
      </c>
      <c r="O1778" s="45" t="s">
        <v>383</v>
      </c>
      <c r="P1778" s="44" t="s">
        <v>309</v>
      </c>
      <c r="Q1778" s="59" t="str">
        <f>MID(Tabla1[[#This Row],[Aplicación]],14,1)</f>
        <v>2</v>
      </c>
      <c r="R1778" s="35" t="s">
        <v>298</v>
      </c>
      <c r="S1778" s="59" t="str">
        <f>MID(Tabla1[[#This Row],[Aplicación]],6,2)</f>
        <v>11</v>
      </c>
      <c r="T1778" s="35" t="str">
        <f>VLOOKUP(Tabla1[[#This Row],[AREA]],Hoja1!A:B,2,FALSE)</f>
        <v>11. Salud pública y seguridad ciudadana</v>
      </c>
      <c r="U1778" s="35" t="str">
        <f>MID(Tabla1[[#This Row],[Aplicación]],9,4)</f>
        <v>1321</v>
      </c>
      <c r="V1778" s="35" t="str">
        <f>VLOOKUP(Tabla1[[#This Row],[PROGRAMA]],Hoja1!A:B,2,FALSE)</f>
        <v>1321. Policía municipal</v>
      </c>
      <c r="W1778" s="56" t="str">
        <f>MID(Tabla1[[#This Row],[Aplicación]],14,2)</f>
        <v>22</v>
      </c>
      <c r="X1778" s="56" t="str">
        <f>MID(Tabla1[[#This Row],[Aplicación]],14,6)</f>
        <v>22199</v>
      </c>
    </row>
    <row r="1779" spans="1:24" x14ac:dyDescent="0.25">
      <c r="A1779" s="46">
        <v>220230002944</v>
      </c>
      <c r="B1779" s="47" t="s">
        <v>507</v>
      </c>
      <c r="C1779" s="52">
        <v>44967</v>
      </c>
      <c r="D1779" s="46">
        <v>22023002339</v>
      </c>
      <c r="E1779" s="47" t="s">
        <v>1506</v>
      </c>
      <c r="F1779" s="53">
        <v>9.2100000000000009</v>
      </c>
      <c r="G1779" s="47" t="s">
        <v>46</v>
      </c>
      <c r="H1779" s="47" t="s">
        <v>3188</v>
      </c>
      <c r="I1779" s="46" t="s">
        <v>511</v>
      </c>
      <c r="J1779" s="47" t="s">
        <v>519</v>
      </c>
      <c r="K1779" s="47" t="s">
        <v>519</v>
      </c>
      <c r="L1779" s="47" t="s">
        <v>552</v>
      </c>
      <c r="M1779" s="47" t="s">
        <v>976</v>
      </c>
      <c r="N1779" s="47" t="s">
        <v>839</v>
      </c>
      <c r="O1779" s="45" t="s">
        <v>383</v>
      </c>
      <c r="P1779" s="44" t="s">
        <v>309</v>
      </c>
      <c r="Q1779" s="59" t="str">
        <f>MID(Tabla1[[#This Row],[Aplicación]],14,1)</f>
        <v>2</v>
      </c>
      <c r="R1779" s="35" t="s">
        <v>298</v>
      </c>
      <c r="S1779" s="59" t="str">
        <f>MID(Tabla1[[#This Row],[Aplicación]],6,2)</f>
        <v>03</v>
      </c>
      <c r="T1779" s="35" t="str">
        <f>VLOOKUP(Tabla1[[#This Row],[AREA]],Hoja1!A:B,2,FALSE)</f>
        <v>03. Participación ciudadana y deportes</v>
      </c>
      <c r="U1779" s="35" t="str">
        <f>MID(Tabla1[[#This Row],[Aplicación]],9,4)</f>
        <v>9241</v>
      </c>
      <c r="V1779" s="35" t="str">
        <f>VLOOKUP(Tabla1[[#This Row],[PROGRAMA]],Hoja1!A:B,2,FALSE)</f>
        <v>9241. Participación ciudadana</v>
      </c>
      <c r="W1779" s="56" t="str">
        <f>MID(Tabla1[[#This Row],[Aplicación]],14,2)</f>
        <v>21</v>
      </c>
      <c r="X1779" s="56" t="str">
        <f>MID(Tabla1[[#This Row],[Aplicación]],14,6)</f>
        <v>212</v>
      </c>
    </row>
    <row r="1780" spans="1:24" x14ac:dyDescent="0.25">
      <c r="A1780" s="46">
        <v>220230002954</v>
      </c>
      <c r="B1780" s="47" t="s">
        <v>507</v>
      </c>
      <c r="C1780" s="52">
        <v>44967</v>
      </c>
      <c r="D1780" s="46">
        <v>22023002290</v>
      </c>
      <c r="E1780" s="47" t="s">
        <v>2624</v>
      </c>
      <c r="F1780" s="53">
        <v>1500</v>
      </c>
      <c r="G1780" s="47" t="s">
        <v>46</v>
      </c>
      <c r="H1780" s="47" t="s">
        <v>3189</v>
      </c>
      <c r="I1780" s="46" t="s">
        <v>511</v>
      </c>
      <c r="J1780" s="47" t="s">
        <v>519</v>
      </c>
      <c r="K1780" s="47" t="s">
        <v>519</v>
      </c>
      <c r="L1780" s="47" t="s">
        <v>552</v>
      </c>
      <c r="M1780" s="47" t="s">
        <v>976</v>
      </c>
      <c r="N1780" s="47" t="s">
        <v>839</v>
      </c>
      <c r="O1780" s="45" t="s">
        <v>383</v>
      </c>
      <c r="P1780" s="44" t="s">
        <v>309</v>
      </c>
      <c r="Q1780" s="59" t="str">
        <f>MID(Tabla1[[#This Row],[Aplicación]],14,1)</f>
        <v>2</v>
      </c>
      <c r="R1780" s="35" t="s">
        <v>298</v>
      </c>
      <c r="S1780" s="59" t="str">
        <f>MID(Tabla1[[#This Row],[Aplicación]],6,2)</f>
        <v>11</v>
      </c>
      <c r="T1780" s="35" t="str">
        <f>VLOOKUP(Tabla1[[#This Row],[AREA]],Hoja1!A:B,2,FALSE)</f>
        <v>11. Salud pública y seguridad ciudadana</v>
      </c>
      <c r="U1780" s="35" t="str">
        <f>MID(Tabla1[[#This Row],[Aplicación]],9,4)</f>
        <v>1621</v>
      </c>
      <c r="V1780" s="35" t="str">
        <f>VLOOKUP(Tabla1[[#This Row],[PROGRAMA]],Hoja1!A:B,2,FALSE)</f>
        <v>1621. Servicio de limpieza</v>
      </c>
      <c r="W1780" s="56" t="str">
        <f>MID(Tabla1[[#This Row],[Aplicación]],14,2)</f>
        <v>22</v>
      </c>
      <c r="X1780" s="56" t="str">
        <f>MID(Tabla1[[#This Row],[Aplicación]],14,6)</f>
        <v>22199</v>
      </c>
    </row>
    <row r="1781" spans="1:24" x14ac:dyDescent="0.25">
      <c r="A1781" s="46">
        <v>220230003433</v>
      </c>
      <c r="B1781" s="47" t="s">
        <v>507</v>
      </c>
      <c r="C1781" s="52">
        <v>44971</v>
      </c>
      <c r="D1781" s="46">
        <v>22023002386</v>
      </c>
      <c r="E1781" s="47" t="s">
        <v>1512</v>
      </c>
      <c r="F1781" s="53">
        <v>1000</v>
      </c>
      <c r="G1781" s="47" t="s">
        <v>46</v>
      </c>
      <c r="H1781" s="47" t="s">
        <v>3190</v>
      </c>
      <c r="I1781" s="46" t="s">
        <v>511</v>
      </c>
      <c r="J1781" s="47" t="s">
        <v>519</v>
      </c>
      <c r="K1781" s="47" t="s">
        <v>519</v>
      </c>
      <c r="L1781" s="47" t="s">
        <v>552</v>
      </c>
      <c r="M1781" s="47" t="s">
        <v>976</v>
      </c>
      <c r="N1781" s="47" t="s">
        <v>839</v>
      </c>
      <c r="O1781" s="45" t="s">
        <v>383</v>
      </c>
      <c r="P1781" s="44" t="s">
        <v>309</v>
      </c>
      <c r="Q1781" s="59" t="str">
        <f>MID(Tabla1[[#This Row],[Aplicación]],14,1)</f>
        <v>2</v>
      </c>
      <c r="R1781" s="35" t="s">
        <v>298</v>
      </c>
      <c r="S1781" s="59" t="str">
        <f>MID(Tabla1[[#This Row],[Aplicación]],6,2)</f>
        <v>10</v>
      </c>
      <c r="T1781" s="35" t="str">
        <f>VLOOKUP(Tabla1[[#This Row],[AREA]],Hoja1!A:B,2,FALSE)</f>
        <v>10. Servicios sociales y mediación comunitaria</v>
      </c>
      <c r="U1781" s="35" t="str">
        <f>MID(Tabla1[[#This Row],[Aplicación]],9,4)</f>
        <v>2312</v>
      </c>
      <c r="V1781" s="35" t="str">
        <f>VLOOKUP(Tabla1[[#This Row],[PROGRAMA]],Hoja1!A:B,2,FALSE)</f>
        <v>2312. Iniciativas sociales</v>
      </c>
      <c r="W1781" s="56" t="str">
        <f>MID(Tabla1[[#This Row],[Aplicación]],14,2)</f>
        <v>21</v>
      </c>
      <c r="X1781" s="56" t="str">
        <f>MID(Tabla1[[#This Row],[Aplicación]],14,6)</f>
        <v>212</v>
      </c>
    </row>
    <row r="1782" spans="1:24" x14ac:dyDescent="0.25">
      <c r="A1782" s="46">
        <v>220230003433</v>
      </c>
      <c r="B1782" s="47" t="s">
        <v>507</v>
      </c>
      <c r="C1782" s="52">
        <v>44971</v>
      </c>
      <c r="D1782" s="46">
        <v>22023002387</v>
      </c>
      <c r="E1782" s="47" t="s">
        <v>1512</v>
      </c>
      <c r="F1782" s="53">
        <v>1000</v>
      </c>
      <c r="G1782" s="47" t="s">
        <v>46</v>
      </c>
      <c r="H1782" s="47" t="s">
        <v>3190</v>
      </c>
      <c r="I1782" s="46" t="s">
        <v>511</v>
      </c>
      <c r="J1782" s="47" t="s">
        <v>519</v>
      </c>
      <c r="K1782" s="47" t="s">
        <v>519</v>
      </c>
      <c r="L1782" s="47" t="s">
        <v>552</v>
      </c>
      <c r="M1782" s="47" t="s">
        <v>976</v>
      </c>
      <c r="N1782" s="47" t="s">
        <v>839</v>
      </c>
      <c r="O1782" s="45" t="s">
        <v>383</v>
      </c>
      <c r="P1782" s="44" t="s">
        <v>309</v>
      </c>
      <c r="Q1782" s="59" t="str">
        <f>MID(Tabla1[[#This Row],[Aplicación]],14,1)</f>
        <v>2</v>
      </c>
      <c r="R1782" s="35" t="s">
        <v>298</v>
      </c>
      <c r="S1782" s="59" t="str">
        <f>MID(Tabla1[[#This Row],[Aplicación]],6,2)</f>
        <v>10</v>
      </c>
      <c r="T1782" s="35" t="str">
        <f>VLOOKUP(Tabla1[[#This Row],[AREA]],Hoja1!A:B,2,FALSE)</f>
        <v>10. Servicios sociales y mediación comunitaria</v>
      </c>
      <c r="U1782" s="35" t="str">
        <f>MID(Tabla1[[#This Row],[Aplicación]],9,4)</f>
        <v>2312</v>
      </c>
      <c r="V1782" s="35" t="str">
        <f>VLOOKUP(Tabla1[[#This Row],[PROGRAMA]],Hoja1!A:B,2,FALSE)</f>
        <v>2312. Iniciativas sociales</v>
      </c>
      <c r="W1782" s="56" t="str">
        <f>MID(Tabla1[[#This Row],[Aplicación]],14,2)</f>
        <v>21</v>
      </c>
      <c r="X1782" s="56" t="str">
        <f>MID(Tabla1[[#This Row],[Aplicación]],14,6)</f>
        <v>212</v>
      </c>
    </row>
    <row r="1783" spans="1:24" x14ac:dyDescent="0.25">
      <c r="A1783" s="55">
        <v>220230009447</v>
      </c>
      <c r="B1783" s="47" t="s">
        <v>507</v>
      </c>
      <c r="C1783" s="52">
        <v>45006</v>
      </c>
      <c r="D1783" s="46">
        <v>22023003024</v>
      </c>
      <c r="E1783" s="47" t="s">
        <v>1191</v>
      </c>
      <c r="F1783" s="53">
        <v>1210</v>
      </c>
      <c r="G1783" s="47" t="s">
        <v>1764</v>
      </c>
      <c r="H1783" s="47" t="s">
        <v>3191</v>
      </c>
      <c r="I1783" s="46" t="s">
        <v>511</v>
      </c>
      <c r="J1783" s="47" t="s">
        <v>519</v>
      </c>
      <c r="K1783" s="47" t="s">
        <v>519</v>
      </c>
      <c r="L1783" s="47" t="s">
        <v>520</v>
      </c>
      <c r="M1783" s="47" t="s">
        <v>514</v>
      </c>
      <c r="N1783" s="47" t="s">
        <v>515</v>
      </c>
      <c r="O1783" s="54" t="s">
        <v>382</v>
      </c>
      <c r="P1783" s="44" t="s">
        <v>309</v>
      </c>
      <c r="Q1783" s="59" t="str">
        <f>MID(Tabla1[[#This Row],[Aplicación]],14,1)</f>
        <v>2</v>
      </c>
      <c r="R1783" s="35" t="s">
        <v>298</v>
      </c>
      <c r="S1783" s="59" t="str">
        <f>MID(Tabla1[[#This Row],[Aplicación]],6,2)</f>
        <v>06</v>
      </c>
      <c r="T1783" s="35" t="str">
        <f>VLOOKUP(Tabla1[[#This Row],[AREA]],Hoja1!A:B,2,FALSE)</f>
        <v>06. Educación, infancia, juventud e igualdad</v>
      </c>
      <c r="U1783" s="35" t="str">
        <f>MID(Tabla1[[#This Row],[Aplicación]],9,4)</f>
        <v>2315</v>
      </c>
      <c r="V1783" s="35" t="str">
        <f>VLOOKUP(Tabla1[[#This Row],[PROGRAMA]],Hoja1!A:B,2,FALSE)</f>
        <v>2315. Políticas de Igualdad e infancia</v>
      </c>
      <c r="W1783" s="56" t="str">
        <f>MID(Tabla1[[#This Row],[Aplicación]],14,2)</f>
        <v>22</v>
      </c>
      <c r="X1783" s="56" t="str">
        <f>MID(Tabla1[[#This Row],[Aplicación]],14,6)</f>
        <v>22611</v>
      </c>
    </row>
    <row r="1784" spans="1:24" x14ac:dyDescent="0.25">
      <c r="A1784" s="55">
        <v>220230009144</v>
      </c>
      <c r="B1784" s="47" t="s">
        <v>1514</v>
      </c>
      <c r="C1784" s="52">
        <v>45006</v>
      </c>
      <c r="D1784" s="46">
        <v>22023001344</v>
      </c>
      <c r="E1784" s="47" t="s">
        <v>1150</v>
      </c>
      <c r="F1784" s="53">
        <v>30.29</v>
      </c>
      <c r="G1784" s="47" t="s">
        <v>1372</v>
      </c>
      <c r="H1784" s="47" t="s">
        <v>3192</v>
      </c>
      <c r="I1784" s="46" t="s">
        <v>1517</v>
      </c>
      <c r="J1784" s="47" t="s">
        <v>519</v>
      </c>
      <c r="K1784" s="47" t="s">
        <v>519</v>
      </c>
      <c r="L1784" s="47" t="s">
        <v>552</v>
      </c>
      <c r="M1784" s="47" t="s">
        <v>514</v>
      </c>
      <c r="N1784" s="47" t="s">
        <v>604</v>
      </c>
      <c r="O1784" s="54" t="s">
        <v>382</v>
      </c>
      <c r="P1784" s="44" t="s">
        <v>309</v>
      </c>
      <c r="Q1784" s="59" t="str">
        <f>MID(Tabla1[[#This Row],[Aplicación]],14,1)</f>
        <v>2</v>
      </c>
      <c r="R1784" s="35" t="s">
        <v>298</v>
      </c>
      <c r="S1784" s="59" t="str">
        <f>MID(Tabla1[[#This Row],[Aplicación]],6,2)</f>
        <v>03</v>
      </c>
      <c r="T1784" s="35" t="str">
        <f>VLOOKUP(Tabla1[[#This Row],[AREA]],Hoja1!A:B,2,FALSE)</f>
        <v>03. Participación ciudadana y deportes</v>
      </c>
      <c r="U1784" s="35" t="str">
        <f>MID(Tabla1[[#This Row],[Aplicación]],9,4)</f>
        <v>9241</v>
      </c>
      <c r="V1784" s="35" t="str">
        <f>VLOOKUP(Tabla1[[#This Row],[PROGRAMA]],Hoja1!A:B,2,FALSE)</f>
        <v>9241. Participación ciudadana</v>
      </c>
      <c r="W1784" s="56" t="str">
        <f>MID(Tabla1[[#This Row],[Aplicación]],14,2)</f>
        <v>21</v>
      </c>
      <c r="X1784" s="56" t="str">
        <f>MID(Tabla1[[#This Row],[Aplicación]],14,6)</f>
        <v>213</v>
      </c>
    </row>
    <row r="1785" spans="1:24" x14ac:dyDescent="0.25">
      <c r="A1785" s="55">
        <v>220230009208</v>
      </c>
      <c r="B1785" s="47" t="s">
        <v>1514</v>
      </c>
      <c r="C1785" s="52">
        <v>45006</v>
      </c>
      <c r="D1785" s="46">
        <v>22023002181</v>
      </c>
      <c r="E1785" s="47" t="s">
        <v>1305</v>
      </c>
      <c r="F1785" s="53">
        <v>11.01</v>
      </c>
      <c r="G1785" s="47" t="s">
        <v>1372</v>
      </c>
      <c r="H1785" s="47" t="s">
        <v>3193</v>
      </c>
      <c r="I1785" s="46" t="s">
        <v>1517</v>
      </c>
      <c r="J1785" s="47" t="s">
        <v>519</v>
      </c>
      <c r="K1785" s="47" t="s">
        <v>519</v>
      </c>
      <c r="L1785" s="47" t="s">
        <v>552</v>
      </c>
      <c r="M1785" s="47" t="s">
        <v>514</v>
      </c>
      <c r="N1785" s="47" t="s">
        <v>515</v>
      </c>
      <c r="O1785" s="54" t="s">
        <v>382</v>
      </c>
      <c r="P1785" s="44" t="s">
        <v>309</v>
      </c>
      <c r="Q1785" s="59" t="str">
        <f>MID(Tabla1[[#This Row],[Aplicación]],14,1)</f>
        <v>2</v>
      </c>
      <c r="R1785" s="35" t="s">
        <v>298</v>
      </c>
      <c r="S1785" s="59" t="str">
        <f>MID(Tabla1[[#This Row],[Aplicación]],6,2)</f>
        <v>06</v>
      </c>
      <c r="T1785" s="35" t="str">
        <f>VLOOKUP(Tabla1[[#This Row],[AREA]],Hoja1!A:B,2,FALSE)</f>
        <v>06. Educación, infancia, juventud e igualdad</v>
      </c>
      <c r="U1785" s="35" t="str">
        <f>MID(Tabla1[[#This Row],[Aplicación]],9,4)</f>
        <v>3232</v>
      </c>
      <c r="V1785" s="35" t="str">
        <f>VLOOKUP(Tabla1[[#This Row],[PROGRAMA]],Hoja1!A:B,2,FALSE)</f>
        <v>3232. Conservación y mantenimiento centros educación infantil y primaria</v>
      </c>
      <c r="W1785" s="56" t="str">
        <f>MID(Tabla1[[#This Row],[Aplicación]],14,2)</f>
        <v>21</v>
      </c>
      <c r="X1785" s="56" t="str">
        <f>MID(Tabla1[[#This Row],[Aplicación]],14,6)</f>
        <v>212</v>
      </c>
    </row>
    <row r="1786" spans="1:24" x14ac:dyDescent="0.25">
      <c r="A1786" s="55">
        <v>220230009232</v>
      </c>
      <c r="B1786" s="47" t="s">
        <v>1514</v>
      </c>
      <c r="C1786" s="52">
        <v>45006</v>
      </c>
      <c r="D1786" s="46">
        <v>22023002739</v>
      </c>
      <c r="E1786" s="47" t="s">
        <v>1551</v>
      </c>
      <c r="F1786" s="53">
        <v>10.16</v>
      </c>
      <c r="G1786" s="47" t="s">
        <v>1372</v>
      </c>
      <c r="H1786" s="47" t="s">
        <v>3194</v>
      </c>
      <c r="I1786" s="46" t="s">
        <v>1517</v>
      </c>
      <c r="J1786" s="47" t="s">
        <v>519</v>
      </c>
      <c r="K1786" s="47" t="s">
        <v>519</v>
      </c>
      <c r="L1786" s="47" t="s">
        <v>552</v>
      </c>
      <c r="M1786" s="47" t="s">
        <v>514</v>
      </c>
      <c r="N1786" s="47" t="s">
        <v>515</v>
      </c>
      <c r="O1786" s="54" t="s">
        <v>382</v>
      </c>
      <c r="P1786" s="44" t="s">
        <v>309</v>
      </c>
      <c r="Q1786" s="59" t="str">
        <f>MID(Tabla1[[#This Row],[Aplicación]],14,1)</f>
        <v>2</v>
      </c>
      <c r="R1786" s="35" t="s">
        <v>298</v>
      </c>
      <c r="S1786" s="59" t="str">
        <f>MID(Tabla1[[#This Row],[Aplicación]],6,2)</f>
        <v>02</v>
      </c>
      <c r="T1786" s="35" t="str">
        <f>VLOOKUP(Tabla1[[#This Row],[AREA]],Hoja1!A:B,2,FALSE)</f>
        <v>02. Planeamiento urbanístico y vivienda</v>
      </c>
      <c r="U1786" s="35" t="str">
        <f>MID(Tabla1[[#This Row],[Aplicación]],9,4)</f>
        <v>9332</v>
      </c>
      <c r="V1786" s="35" t="str">
        <f>VLOOKUP(Tabla1[[#This Row],[PROGRAMA]],Hoja1!A:B,2,FALSE)</f>
        <v>9332. Mantenimiento de edificios e instalaciones municipales</v>
      </c>
      <c r="W1786" s="56" t="str">
        <f>MID(Tabla1[[#This Row],[Aplicación]],14,2)</f>
        <v>21</v>
      </c>
      <c r="X1786" s="56" t="str">
        <f>MID(Tabla1[[#This Row],[Aplicación]],14,6)</f>
        <v>212</v>
      </c>
    </row>
    <row r="1787" spans="1:24" x14ac:dyDescent="0.25">
      <c r="A1787" s="55">
        <v>220230009393</v>
      </c>
      <c r="B1787" s="47" t="s">
        <v>1514</v>
      </c>
      <c r="C1787" s="52">
        <v>45006</v>
      </c>
      <c r="D1787" s="46">
        <v>22023002739</v>
      </c>
      <c r="E1787" s="47" t="s">
        <v>1551</v>
      </c>
      <c r="F1787" s="53">
        <v>25.05</v>
      </c>
      <c r="G1787" s="47" t="s">
        <v>1372</v>
      </c>
      <c r="H1787" s="47" t="s">
        <v>3195</v>
      </c>
      <c r="I1787" s="46" t="s">
        <v>1517</v>
      </c>
      <c r="J1787" s="47" t="s">
        <v>519</v>
      </c>
      <c r="K1787" s="47" t="s">
        <v>519</v>
      </c>
      <c r="L1787" s="47" t="s">
        <v>552</v>
      </c>
      <c r="M1787" s="47" t="s">
        <v>514</v>
      </c>
      <c r="N1787" s="47" t="s">
        <v>515</v>
      </c>
      <c r="O1787" s="54" t="s">
        <v>382</v>
      </c>
      <c r="P1787" s="44" t="s">
        <v>309</v>
      </c>
      <c r="Q1787" s="59" t="str">
        <f>MID(Tabla1[[#This Row],[Aplicación]],14,1)</f>
        <v>2</v>
      </c>
      <c r="R1787" s="35" t="s">
        <v>298</v>
      </c>
      <c r="S1787" s="59" t="str">
        <f>MID(Tabla1[[#This Row],[Aplicación]],6,2)</f>
        <v>02</v>
      </c>
      <c r="T1787" s="35" t="str">
        <f>VLOOKUP(Tabla1[[#This Row],[AREA]],Hoja1!A:B,2,FALSE)</f>
        <v>02. Planeamiento urbanístico y vivienda</v>
      </c>
      <c r="U1787" s="35" t="str">
        <f>MID(Tabla1[[#This Row],[Aplicación]],9,4)</f>
        <v>9332</v>
      </c>
      <c r="V1787" s="35" t="str">
        <f>VLOOKUP(Tabla1[[#This Row],[PROGRAMA]],Hoja1!A:B,2,FALSE)</f>
        <v>9332. Mantenimiento de edificios e instalaciones municipales</v>
      </c>
      <c r="W1787" s="56" t="str">
        <f>MID(Tabla1[[#This Row],[Aplicación]],14,2)</f>
        <v>21</v>
      </c>
      <c r="X1787" s="56" t="str">
        <f>MID(Tabla1[[#This Row],[Aplicación]],14,6)</f>
        <v>212</v>
      </c>
    </row>
    <row r="1788" spans="1:24" x14ac:dyDescent="0.25">
      <c r="A1788" s="55">
        <v>220230009446</v>
      </c>
      <c r="B1788" s="47" t="s">
        <v>507</v>
      </c>
      <c r="C1788" s="52">
        <v>45006</v>
      </c>
      <c r="D1788" s="46">
        <v>22023002969</v>
      </c>
      <c r="E1788" s="47" t="s">
        <v>1315</v>
      </c>
      <c r="F1788" s="53">
        <v>4114</v>
      </c>
      <c r="G1788" s="47" t="s">
        <v>29</v>
      </c>
      <c r="H1788" s="47" t="s">
        <v>3196</v>
      </c>
      <c r="I1788" s="46" t="s">
        <v>511</v>
      </c>
      <c r="J1788" s="47" t="s">
        <v>519</v>
      </c>
      <c r="K1788" s="47" t="s">
        <v>519</v>
      </c>
      <c r="L1788" s="47" t="s">
        <v>520</v>
      </c>
      <c r="M1788" s="47" t="s">
        <v>514</v>
      </c>
      <c r="N1788" s="47" t="s">
        <v>515</v>
      </c>
      <c r="O1788" s="54" t="s">
        <v>382</v>
      </c>
      <c r="P1788" s="44" t="s">
        <v>309</v>
      </c>
      <c r="Q1788" s="59" t="str">
        <f>MID(Tabla1[[#This Row],[Aplicación]],14,1)</f>
        <v>2</v>
      </c>
      <c r="R1788" s="35" t="s">
        <v>298</v>
      </c>
      <c r="S1788" s="59" t="str">
        <f>MID(Tabla1[[#This Row],[Aplicación]],6,2)</f>
        <v>01</v>
      </c>
      <c r="T1788" s="35" t="str">
        <f>VLOOKUP(Tabla1[[#This Row],[AREA]],Hoja1!A:B,2,FALSE)</f>
        <v>01. Alcaldía</v>
      </c>
      <c r="U1788" s="35" t="str">
        <f>MID(Tabla1[[#This Row],[Aplicación]],9,4)</f>
        <v>9207</v>
      </c>
      <c r="V1788" s="35" t="str">
        <f>VLOOKUP(Tabla1[[#This Row],[PROGRAMA]],Hoja1!A:B,2,FALSE)</f>
        <v>9207. Gobierno y relaciones</v>
      </c>
      <c r="W1788" s="56" t="str">
        <f>MID(Tabla1[[#This Row],[Aplicación]],14,2)</f>
        <v>22</v>
      </c>
      <c r="X1788" s="56" t="str">
        <f>MID(Tabla1[[#This Row],[Aplicación]],14,6)</f>
        <v>22602</v>
      </c>
    </row>
    <row r="1789" spans="1:24" x14ac:dyDescent="0.25">
      <c r="A1789" s="46">
        <v>220230003634</v>
      </c>
      <c r="B1789" s="47" t="s">
        <v>507</v>
      </c>
      <c r="C1789" s="52">
        <v>44973</v>
      </c>
      <c r="D1789" s="46">
        <v>22023002383</v>
      </c>
      <c r="E1789" s="47" t="s">
        <v>1155</v>
      </c>
      <c r="F1789" s="53">
        <v>100</v>
      </c>
      <c r="G1789" s="47" t="s">
        <v>46</v>
      </c>
      <c r="H1789" s="47" t="s">
        <v>3197</v>
      </c>
      <c r="I1789" s="46" t="s">
        <v>511</v>
      </c>
      <c r="J1789" s="47" t="s">
        <v>519</v>
      </c>
      <c r="K1789" s="47" t="s">
        <v>519</v>
      </c>
      <c r="L1789" s="47" t="s">
        <v>520</v>
      </c>
      <c r="M1789" s="47" t="s">
        <v>976</v>
      </c>
      <c r="N1789" s="47" t="s">
        <v>839</v>
      </c>
      <c r="O1789" s="45" t="s">
        <v>383</v>
      </c>
      <c r="P1789" s="44" t="s">
        <v>309</v>
      </c>
      <c r="Q1789" s="59" t="str">
        <f>MID(Tabla1[[#This Row],[Aplicación]],14,1)</f>
        <v>2</v>
      </c>
      <c r="R1789" s="35" t="s">
        <v>298</v>
      </c>
      <c r="S1789" s="59" t="str">
        <f>MID(Tabla1[[#This Row],[Aplicación]],6,2)</f>
        <v>06</v>
      </c>
      <c r="T1789" s="35" t="str">
        <f>VLOOKUP(Tabla1[[#This Row],[AREA]],Hoja1!A:B,2,FALSE)</f>
        <v>06. Educación, infancia, juventud e igualdad</v>
      </c>
      <c r="U1789" s="35" t="str">
        <f>MID(Tabla1[[#This Row],[Aplicación]],9,4)</f>
        <v>2314</v>
      </c>
      <c r="V1789" s="35" t="str">
        <f>VLOOKUP(Tabla1[[#This Row],[PROGRAMA]],Hoja1!A:B,2,FALSE)</f>
        <v>2314. Centro de programas juveniles</v>
      </c>
      <c r="W1789" s="56" t="str">
        <f>MID(Tabla1[[#This Row],[Aplicación]],14,2)</f>
        <v>21</v>
      </c>
      <c r="X1789" s="56" t="str">
        <f>MID(Tabla1[[#This Row],[Aplicación]],14,6)</f>
        <v>213</v>
      </c>
    </row>
    <row r="1790" spans="1:24" x14ac:dyDescent="0.25">
      <c r="A1790" s="55">
        <v>220230009133</v>
      </c>
      <c r="B1790" s="47" t="s">
        <v>1514</v>
      </c>
      <c r="C1790" s="52">
        <v>45006</v>
      </c>
      <c r="D1790" s="46">
        <v>22023002182</v>
      </c>
      <c r="E1790" s="47" t="s">
        <v>2785</v>
      </c>
      <c r="F1790" s="53">
        <v>40.49</v>
      </c>
      <c r="G1790" s="47" t="s">
        <v>1351</v>
      </c>
      <c r="H1790" s="47" t="s">
        <v>3198</v>
      </c>
      <c r="I1790" s="46" t="s">
        <v>1517</v>
      </c>
      <c r="J1790" s="47" t="s">
        <v>519</v>
      </c>
      <c r="K1790" s="47" t="s">
        <v>519</v>
      </c>
      <c r="L1790" s="47" t="s">
        <v>552</v>
      </c>
      <c r="M1790" s="47" t="s">
        <v>514</v>
      </c>
      <c r="N1790" s="47" t="s">
        <v>515</v>
      </c>
      <c r="O1790" s="54" t="s">
        <v>382</v>
      </c>
      <c r="P1790" s="44" t="s">
        <v>309</v>
      </c>
      <c r="Q1790" s="59" t="str">
        <f>MID(Tabla1[[#This Row],[Aplicación]],14,1)</f>
        <v>2</v>
      </c>
      <c r="R1790" s="35" t="s">
        <v>298</v>
      </c>
      <c r="S1790" s="59" t="str">
        <f>MID(Tabla1[[#This Row],[Aplicación]],6,2)</f>
        <v>06</v>
      </c>
      <c r="T1790" s="35" t="str">
        <f>VLOOKUP(Tabla1[[#This Row],[AREA]],Hoja1!A:B,2,FALSE)</f>
        <v>06. Educación, infancia, juventud e igualdad</v>
      </c>
      <c r="U1790" s="35" t="str">
        <f>MID(Tabla1[[#This Row],[Aplicación]],9,4)</f>
        <v>3321</v>
      </c>
      <c r="V1790" s="35" t="str">
        <f>VLOOKUP(Tabla1[[#This Row],[PROGRAMA]],Hoja1!A:B,2,FALSE)</f>
        <v>3321. Bibliotecas públicas</v>
      </c>
      <c r="W1790" s="56" t="str">
        <f>MID(Tabla1[[#This Row],[Aplicación]],14,2)</f>
        <v>21</v>
      </c>
      <c r="X1790" s="56" t="str">
        <f>MID(Tabla1[[#This Row],[Aplicación]],14,6)</f>
        <v>212</v>
      </c>
    </row>
    <row r="1791" spans="1:24" x14ac:dyDescent="0.25">
      <c r="A1791" s="55">
        <v>220230009185</v>
      </c>
      <c r="B1791" s="47" t="s">
        <v>1514</v>
      </c>
      <c r="C1791" s="52">
        <v>45006</v>
      </c>
      <c r="D1791" s="46">
        <v>22023001514</v>
      </c>
      <c r="E1791" s="47" t="s">
        <v>1285</v>
      </c>
      <c r="F1791" s="53">
        <v>34.99</v>
      </c>
      <c r="G1791" s="47" t="s">
        <v>1351</v>
      </c>
      <c r="H1791" s="47" t="s">
        <v>3199</v>
      </c>
      <c r="I1791" s="46" t="s">
        <v>1517</v>
      </c>
      <c r="J1791" s="47" t="s">
        <v>519</v>
      </c>
      <c r="K1791" s="47" t="s">
        <v>519</v>
      </c>
      <c r="L1791" s="47" t="s">
        <v>552</v>
      </c>
      <c r="M1791" s="47" t="s">
        <v>514</v>
      </c>
      <c r="N1791" s="47" t="s">
        <v>515</v>
      </c>
      <c r="O1791" s="54" t="s">
        <v>382</v>
      </c>
      <c r="P1791" s="44" t="s">
        <v>309</v>
      </c>
      <c r="Q1791" s="59" t="str">
        <f>MID(Tabla1[[#This Row],[Aplicación]],14,1)</f>
        <v>2</v>
      </c>
      <c r="R1791" s="35" t="s">
        <v>298</v>
      </c>
      <c r="S1791" s="59" t="str">
        <f>MID(Tabla1[[#This Row],[Aplicación]],6,2)</f>
        <v>11</v>
      </c>
      <c r="T1791" s="35" t="str">
        <f>VLOOKUP(Tabla1[[#This Row],[AREA]],Hoja1!A:B,2,FALSE)</f>
        <v>11. Salud pública y seguridad ciudadana</v>
      </c>
      <c r="U1791" s="35" t="str">
        <f>MID(Tabla1[[#This Row],[Aplicación]],9,4)</f>
        <v>1361</v>
      </c>
      <c r="V1791" s="35" t="str">
        <f>VLOOKUP(Tabla1[[#This Row],[PROGRAMA]],Hoja1!A:B,2,FALSE)</f>
        <v>1361. Prevención y extinción de incencios</v>
      </c>
      <c r="W1791" s="56" t="str">
        <f>MID(Tabla1[[#This Row],[Aplicación]],14,2)</f>
        <v>22</v>
      </c>
      <c r="X1791" s="56" t="str">
        <f>MID(Tabla1[[#This Row],[Aplicación]],14,6)</f>
        <v>22199</v>
      </c>
    </row>
    <row r="1792" spans="1:24" x14ac:dyDescent="0.25">
      <c r="A1792" s="55">
        <v>220230009197</v>
      </c>
      <c r="B1792" s="47" t="s">
        <v>1514</v>
      </c>
      <c r="C1792" s="52">
        <v>45006</v>
      </c>
      <c r="D1792" s="46">
        <v>22023002460</v>
      </c>
      <c r="E1792" s="47" t="s">
        <v>1978</v>
      </c>
      <c r="F1792" s="53">
        <v>17.39</v>
      </c>
      <c r="G1792" s="47" t="s">
        <v>1351</v>
      </c>
      <c r="H1792" s="47" t="s">
        <v>3200</v>
      </c>
      <c r="I1792" s="46" t="s">
        <v>1517</v>
      </c>
      <c r="J1792" s="47" t="s">
        <v>519</v>
      </c>
      <c r="K1792" s="47" t="s">
        <v>519</v>
      </c>
      <c r="L1792" s="47" t="s">
        <v>552</v>
      </c>
      <c r="M1792" s="47" t="s">
        <v>514</v>
      </c>
      <c r="N1792" s="47" t="s">
        <v>515</v>
      </c>
      <c r="O1792" s="54" t="s">
        <v>382</v>
      </c>
      <c r="P1792" s="44" t="s">
        <v>309</v>
      </c>
      <c r="Q1792" s="59" t="str">
        <f>MID(Tabla1[[#This Row],[Aplicación]],14,1)</f>
        <v>2</v>
      </c>
      <c r="R1792" s="35" t="s">
        <v>298</v>
      </c>
      <c r="S1792" s="59" t="str">
        <f>MID(Tabla1[[#This Row],[Aplicación]],6,2)</f>
        <v>05</v>
      </c>
      <c r="T1792" s="35" t="str">
        <f>VLOOKUP(Tabla1[[#This Row],[AREA]],Hoja1!A:B,2,FALSE)</f>
        <v>05. Innovación, desarrollo económico, empleo y comercio</v>
      </c>
      <c r="U1792" s="35" t="str">
        <f>MID(Tabla1[[#This Row],[Aplicación]],9,4)</f>
        <v>4331</v>
      </c>
      <c r="V1792" s="35" t="str">
        <f>VLOOKUP(Tabla1[[#This Row],[PROGRAMA]],Hoja1!A:B,2,FALSE)</f>
        <v>4331. Desarrollo empresarial</v>
      </c>
      <c r="W1792" s="56" t="str">
        <f>MID(Tabla1[[#This Row],[Aplicación]],14,2)</f>
        <v>21</v>
      </c>
      <c r="X1792" s="56" t="str">
        <f>MID(Tabla1[[#This Row],[Aplicación]],14,6)</f>
        <v>212</v>
      </c>
    </row>
    <row r="1793" spans="1:24" x14ac:dyDescent="0.25">
      <c r="A1793" s="55">
        <v>220230009247</v>
      </c>
      <c r="B1793" s="47" t="s">
        <v>1514</v>
      </c>
      <c r="C1793" s="52">
        <v>45006</v>
      </c>
      <c r="D1793" s="46">
        <v>22023002740</v>
      </c>
      <c r="E1793" s="47" t="s">
        <v>1055</v>
      </c>
      <c r="F1793" s="53">
        <v>48.93</v>
      </c>
      <c r="G1793" s="47" t="s">
        <v>1351</v>
      </c>
      <c r="H1793" s="47" t="s">
        <v>3201</v>
      </c>
      <c r="I1793" s="46" t="s">
        <v>1517</v>
      </c>
      <c r="J1793" s="47" t="s">
        <v>519</v>
      </c>
      <c r="K1793" s="47" t="s">
        <v>519</v>
      </c>
      <c r="L1793" s="47" t="s">
        <v>552</v>
      </c>
      <c r="M1793" s="47" t="s">
        <v>514</v>
      </c>
      <c r="N1793" s="47" t="s">
        <v>515</v>
      </c>
      <c r="O1793" s="54" t="s">
        <v>382</v>
      </c>
      <c r="P1793" s="44" t="s">
        <v>309</v>
      </c>
      <c r="Q1793" s="59" t="str">
        <f>MID(Tabla1[[#This Row],[Aplicación]],14,1)</f>
        <v>2</v>
      </c>
      <c r="R1793" s="35" t="s">
        <v>298</v>
      </c>
      <c r="S1793" s="59" t="str">
        <f>MID(Tabla1[[#This Row],[Aplicación]],6,2)</f>
        <v>02</v>
      </c>
      <c r="T1793" s="35" t="str">
        <f>VLOOKUP(Tabla1[[#This Row],[AREA]],Hoja1!A:B,2,FALSE)</f>
        <v>02. Planeamiento urbanístico y vivienda</v>
      </c>
      <c r="U1793" s="35" t="str">
        <f>MID(Tabla1[[#This Row],[Aplicación]],9,4)</f>
        <v>9332</v>
      </c>
      <c r="V1793" s="35" t="str">
        <f>VLOOKUP(Tabla1[[#This Row],[PROGRAMA]],Hoja1!A:B,2,FALSE)</f>
        <v>9332. Mantenimiento de edificios e instalaciones municipales</v>
      </c>
      <c r="W1793" s="56" t="str">
        <f>MID(Tabla1[[#This Row],[Aplicación]],14,2)</f>
        <v>21</v>
      </c>
      <c r="X1793" s="56" t="str">
        <f>MID(Tabla1[[#This Row],[Aplicación]],14,6)</f>
        <v>213</v>
      </c>
    </row>
    <row r="1794" spans="1:24" x14ac:dyDescent="0.25">
      <c r="A1794" s="55">
        <v>220230009456</v>
      </c>
      <c r="B1794" s="47" t="s">
        <v>507</v>
      </c>
      <c r="C1794" s="52">
        <v>45006</v>
      </c>
      <c r="D1794" s="46">
        <v>22023003197</v>
      </c>
      <c r="E1794" s="47" t="s">
        <v>1447</v>
      </c>
      <c r="F1794" s="53">
        <v>1362.33</v>
      </c>
      <c r="G1794" s="47" t="s">
        <v>442</v>
      </c>
      <c r="H1794" s="47" t="s">
        <v>3202</v>
      </c>
      <c r="I1794" s="46" t="s">
        <v>511</v>
      </c>
      <c r="J1794" s="47" t="s">
        <v>1449</v>
      </c>
      <c r="K1794" s="47" t="s">
        <v>512</v>
      </c>
      <c r="L1794" s="47" t="s">
        <v>552</v>
      </c>
      <c r="M1794" s="47" t="s">
        <v>514</v>
      </c>
      <c r="N1794" s="47" t="s">
        <v>515</v>
      </c>
      <c r="O1794" s="54" t="s">
        <v>382</v>
      </c>
      <c r="P1794" s="44" t="s">
        <v>309</v>
      </c>
      <c r="Q1794" s="59" t="str">
        <f>MID(Tabla1[[#This Row],[Aplicación]],14,1)</f>
        <v>2</v>
      </c>
      <c r="R1794" s="35" t="s">
        <v>298</v>
      </c>
      <c r="S1794" s="59" t="str">
        <f>MID(Tabla1[[#This Row],[Aplicación]],6,2)</f>
        <v>10</v>
      </c>
      <c r="T1794" s="35" t="str">
        <f>VLOOKUP(Tabla1[[#This Row],[AREA]],Hoja1!A:B,2,FALSE)</f>
        <v>10. Servicios sociales y mediación comunitaria</v>
      </c>
      <c r="U1794" s="35" t="str">
        <f>MID(Tabla1[[#This Row],[Aplicación]],9,4)</f>
        <v>2412</v>
      </c>
      <c r="V1794" s="35" t="str">
        <f>VLOOKUP(Tabla1[[#This Row],[PROGRAMA]],Hoja1!A:B,2,FALSE)</f>
        <v>2412. Formación para el empleo</v>
      </c>
      <c r="W1794" s="56" t="str">
        <f>MID(Tabla1[[#This Row],[Aplicación]],14,2)</f>
        <v>22</v>
      </c>
      <c r="X1794" s="56" t="str">
        <f>MID(Tabla1[[#This Row],[Aplicación]],14,6)</f>
        <v>22001</v>
      </c>
    </row>
    <row r="1795" spans="1:24" x14ac:dyDescent="0.25">
      <c r="A1795" s="55">
        <v>220230009073</v>
      </c>
      <c r="B1795" s="47" t="s">
        <v>1514</v>
      </c>
      <c r="C1795" s="52">
        <v>45006</v>
      </c>
      <c r="D1795" s="46">
        <v>22023002053</v>
      </c>
      <c r="E1795" s="47" t="s">
        <v>2107</v>
      </c>
      <c r="F1795" s="53">
        <v>1426.9</v>
      </c>
      <c r="G1795" s="47" t="s">
        <v>2115</v>
      </c>
      <c r="H1795" s="47" t="s">
        <v>3203</v>
      </c>
      <c r="I1795" s="46" t="s">
        <v>1517</v>
      </c>
      <c r="J1795" s="47" t="s">
        <v>519</v>
      </c>
      <c r="K1795" s="47" t="s">
        <v>519</v>
      </c>
      <c r="L1795" s="47" t="s">
        <v>520</v>
      </c>
      <c r="M1795" s="47" t="s">
        <v>514</v>
      </c>
      <c r="N1795" s="47" t="s">
        <v>515</v>
      </c>
      <c r="O1795" s="54" t="s">
        <v>382</v>
      </c>
      <c r="P1795" s="44" t="s">
        <v>309</v>
      </c>
      <c r="Q1795" s="59" t="str">
        <f>MID(Tabla1[[#This Row],[Aplicación]],14,1)</f>
        <v>2</v>
      </c>
      <c r="R1795" s="35" t="s">
        <v>298</v>
      </c>
      <c r="S1795" s="59" t="str">
        <f>MID(Tabla1[[#This Row],[Aplicación]],6,2)</f>
        <v>07</v>
      </c>
      <c r="T1795" s="35" t="str">
        <f>VLOOKUP(Tabla1[[#This Row],[AREA]],Hoja1!A:B,2,FALSE)</f>
        <v>07. Medio ambiente y desarrollo sostenible</v>
      </c>
      <c r="U1795" s="35" t="str">
        <f>MID(Tabla1[[#This Row],[Aplicación]],9,4)</f>
        <v>1711</v>
      </c>
      <c r="V1795" s="35" t="str">
        <f>VLOOKUP(Tabla1[[#This Row],[PROGRAMA]],Hoja1!A:B,2,FALSE)</f>
        <v>1711. Parques y jardines</v>
      </c>
      <c r="W1795" s="56" t="str">
        <f>MID(Tabla1[[#This Row],[Aplicación]],14,2)</f>
        <v>21</v>
      </c>
      <c r="X1795" s="56" t="str">
        <f>MID(Tabla1[[#This Row],[Aplicación]],14,6)</f>
        <v>213</v>
      </c>
    </row>
    <row r="1796" spans="1:24" x14ac:dyDescent="0.25">
      <c r="A1796" s="55">
        <v>220230009075</v>
      </c>
      <c r="B1796" s="47" t="s">
        <v>1514</v>
      </c>
      <c r="C1796" s="52">
        <v>45006</v>
      </c>
      <c r="D1796" s="46">
        <v>22023002053</v>
      </c>
      <c r="E1796" s="47" t="s">
        <v>2107</v>
      </c>
      <c r="F1796" s="53">
        <v>3492.81</v>
      </c>
      <c r="G1796" s="47" t="s">
        <v>2115</v>
      </c>
      <c r="H1796" s="47" t="s">
        <v>3204</v>
      </c>
      <c r="I1796" s="46" t="s">
        <v>1517</v>
      </c>
      <c r="J1796" s="47" t="s">
        <v>519</v>
      </c>
      <c r="K1796" s="47" t="s">
        <v>519</v>
      </c>
      <c r="L1796" s="47" t="s">
        <v>520</v>
      </c>
      <c r="M1796" s="47" t="s">
        <v>514</v>
      </c>
      <c r="N1796" s="47" t="s">
        <v>515</v>
      </c>
      <c r="O1796" s="54" t="s">
        <v>382</v>
      </c>
      <c r="P1796" s="44" t="s">
        <v>309</v>
      </c>
      <c r="Q1796" s="59" t="str">
        <f>MID(Tabla1[[#This Row],[Aplicación]],14,1)</f>
        <v>2</v>
      </c>
      <c r="R1796" s="35" t="s">
        <v>298</v>
      </c>
      <c r="S1796" s="59" t="str">
        <f>MID(Tabla1[[#This Row],[Aplicación]],6,2)</f>
        <v>07</v>
      </c>
      <c r="T1796" s="35" t="str">
        <f>VLOOKUP(Tabla1[[#This Row],[AREA]],Hoja1!A:B,2,FALSE)</f>
        <v>07. Medio ambiente y desarrollo sostenible</v>
      </c>
      <c r="U1796" s="35" t="str">
        <f>MID(Tabla1[[#This Row],[Aplicación]],9,4)</f>
        <v>1711</v>
      </c>
      <c r="V1796" s="35" t="str">
        <f>VLOOKUP(Tabla1[[#This Row],[PROGRAMA]],Hoja1!A:B,2,FALSE)</f>
        <v>1711. Parques y jardines</v>
      </c>
      <c r="W1796" s="56" t="str">
        <f>MID(Tabla1[[#This Row],[Aplicación]],14,2)</f>
        <v>21</v>
      </c>
      <c r="X1796" s="56" t="str">
        <f>MID(Tabla1[[#This Row],[Aplicación]],14,6)</f>
        <v>213</v>
      </c>
    </row>
    <row r="1797" spans="1:24" x14ac:dyDescent="0.25">
      <c r="A1797" s="55">
        <v>220230009077</v>
      </c>
      <c r="B1797" s="47" t="s">
        <v>1514</v>
      </c>
      <c r="C1797" s="52">
        <v>45006</v>
      </c>
      <c r="D1797" s="46">
        <v>22023002053</v>
      </c>
      <c r="E1797" s="47" t="s">
        <v>2107</v>
      </c>
      <c r="F1797" s="53">
        <v>2752.54</v>
      </c>
      <c r="G1797" s="47" t="s">
        <v>2115</v>
      </c>
      <c r="H1797" s="47" t="s">
        <v>3205</v>
      </c>
      <c r="I1797" s="46" t="s">
        <v>1517</v>
      </c>
      <c r="J1797" s="47" t="s">
        <v>519</v>
      </c>
      <c r="K1797" s="47" t="s">
        <v>519</v>
      </c>
      <c r="L1797" s="47" t="s">
        <v>552</v>
      </c>
      <c r="M1797" s="47" t="s">
        <v>514</v>
      </c>
      <c r="N1797" s="47" t="s">
        <v>515</v>
      </c>
      <c r="O1797" s="54" t="s">
        <v>382</v>
      </c>
      <c r="P1797" s="44" t="s">
        <v>309</v>
      </c>
      <c r="Q1797" s="59" t="str">
        <f>MID(Tabla1[[#This Row],[Aplicación]],14,1)</f>
        <v>2</v>
      </c>
      <c r="R1797" s="35" t="s">
        <v>298</v>
      </c>
      <c r="S1797" s="59" t="str">
        <f>MID(Tabla1[[#This Row],[Aplicación]],6,2)</f>
        <v>07</v>
      </c>
      <c r="T1797" s="35" t="str">
        <f>VLOOKUP(Tabla1[[#This Row],[AREA]],Hoja1!A:B,2,FALSE)</f>
        <v>07. Medio ambiente y desarrollo sostenible</v>
      </c>
      <c r="U1797" s="35" t="str">
        <f>MID(Tabla1[[#This Row],[Aplicación]],9,4)</f>
        <v>1711</v>
      </c>
      <c r="V1797" s="35" t="str">
        <f>VLOOKUP(Tabla1[[#This Row],[PROGRAMA]],Hoja1!A:B,2,FALSE)</f>
        <v>1711. Parques y jardines</v>
      </c>
      <c r="W1797" s="56" t="str">
        <f>MID(Tabla1[[#This Row],[Aplicación]],14,2)</f>
        <v>21</v>
      </c>
      <c r="X1797" s="56" t="str">
        <f>MID(Tabla1[[#This Row],[Aplicación]],14,6)</f>
        <v>213</v>
      </c>
    </row>
    <row r="1798" spans="1:24" x14ac:dyDescent="0.25">
      <c r="A1798" s="55">
        <v>220230009142</v>
      </c>
      <c r="B1798" s="47" t="s">
        <v>1514</v>
      </c>
      <c r="C1798" s="52">
        <v>45006</v>
      </c>
      <c r="D1798" s="46">
        <v>22023001343</v>
      </c>
      <c r="E1798" s="47" t="s">
        <v>1506</v>
      </c>
      <c r="F1798" s="53">
        <v>44.85</v>
      </c>
      <c r="G1798" s="47" t="s">
        <v>2115</v>
      </c>
      <c r="H1798" s="47" t="s">
        <v>3206</v>
      </c>
      <c r="I1798" s="46" t="s">
        <v>1517</v>
      </c>
      <c r="J1798" s="47" t="s">
        <v>519</v>
      </c>
      <c r="K1798" s="47" t="s">
        <v>519</v>
      </c>
      <c r="L1798" s="47" t="s">
        <v>552</v>
      </c>
      <c r="M1798" s="47" t="s">
        <v>514</v>
      </c>
      <c r="N1798" s="47" t="s">
        <v>604</v>
      </c>
      <c r="O1798" s="54" t="s">
        <v>382</v>
      </c>
      <c r="P1798" s="44" t="s">
        <v>309</v>
      </c>
      <c r="Q1798" s="59" t="str">
        <f>MID(Tabla1[[#This Row],[Aplicación]],14,1)</f>
        <v>2</v>
      </c>
      <c r="R1798" s="35" t="s">
        <v>298</v>
      </c>
      <c r="S1798" s="59" t="str">
        <f>MID(Tabla1[[#This Row],[Aplicación]],6,2)</f>
        <v>03</v>
      </c>
      <c r="T1798" s="35" t="str">
        <f>VLOOKUP(Tabla1[[#This Row],[AREA]],Hoja1!A:B,2,FALSE)</f>
        <v>03. Participación ciudadana y deportes</v>
      </c>
      <c r="U1798" s="35" t="str">
        <f>MID(Tabla1[[#This Row],[Aplicación]],9,4)</f>
        <v>9241</v>
      </c>
      <c r="V1798" s="35" t="str">
        <f>VLOOKUP(Tabla1[[#This Row],[PROGRAMA]],Hoja1!A:B,2,FALSE)</f>
        <v>9241. Participación ciudadana</v>
      </c>
      <c r="W1798" s="56" t="str">
        <f>MID(Tabla1[[#This Row],[Aplicación]],14,2)</f>
        <v>21</v>
      </c>
      <c r="X1798" s="56" t="str">
        <f>MID(Tabla1[[#This Row],[Aplicación]],14,6)</f>
        <v>212</v>
      </c>
    </row>
    <row r="1799" spans="1:24" x14ac:dyDescent="0.25">
      <c r="A1799" s="55">
        <v>220230009202</v>
      </c>
      <c r="B1799" s="47" t="s">
        <v>1514</v>
      </c>
      <c r="C1799" s="52">
        <v>45006</v>
      </c>
      <c r="D1799" s="46">
        <v>22023002181</v>
      </c>
      <c r="E1799" s="47" t="s">
        <v>1305</v>
      </c>
      <c r="F1799" s="53">
        <v>1003.02</v>
      </c>
      <c r="G1799" s="47" t="s">
        <v>2115</v>
      </c>
      <c r="H1799" s="47" t="s">
        <v>3207</v>
      </c>
      <c r="I1799" s="46" t="s">
        <v>1517</v>
      </c>
      <c r="J1799" s="47" t="s">
        <v>519</v>
      </c>
      <c r="K1799" s="47" t="s">
        <v>519</v>
      </c>
      <c r="L1799" s="47" t="s">
        <v>552</v>
      </c>
      <c r="M1799" s="47" t="s">
        <v>514</v>
      </c>
      <c r="N1799" s="47" t="s">
        <v>515</v>
      </c>
      <c r="O1799" s="54" t="s">
        <v>382</v>
      </c>
      <c r="P1799" s="44" t="s">
        <v>309</v>
      </c>
      <c r="Q1799" s="59" t="str">
        <f>MID(Tabla1[[#This Row],[Aplicación]],14,1)</f>
        <v>2</v>
      </c>
      <c r="R1799" s="35" t="s">
        <v>298</v>
      </c>
      <c r="S1799" s="59" t="str">
        <f>MID(Tabla1[[#This Row],[Aplicación]],6,2)</f>
        <v>06</v>
      </c>
      <c r="T1799" s="35" t="str">
        <f>VLOOKUP(Tabla1[[#This Row],[AREA]],Hoja1!A:B,2,FALSE)</f>
        <v>06. Educación, infancia, juventud e igualdad</v>
      </c>
      <c r="U1799" s="35" t="str">
        <f>MID(Tabla1[[#This Row],[Aplicación]],9,4)</f>
        <v>3232</v>
      </c>
      <c r="V1799" s="35" t="str">
        <f>VLOOKUP(Tabla1[[#This Row],[PROGRAMA]],Hoja1!A:B,2,FALSE)</f>
        <v>3232. Conservación y mantenimiento centros educación infantil y primaria</v>
      </c>
      <c r="W1799" s="56" t="str">
        <f>MID(Tabla1[[#This Row],[Aplicación]],14,2)</f>
        <v>21</v>
      </c>
      <c r="X1799" s="56" t="str">
        <f>MID(Tabla1[[#This Row],[Aplicación]],14,6)</f>
        <v>212</v>
      </c>
    </row>
    <row r="1800" spans="1:24" x14ac:dyDescent="0.25">
      <c r="A1800" s="55">
        <v>220230009224</v>
      </c>
      <c r="B1800" s="47" t="s">
        <v>1514</v>
      </c>
      <c r="C1800" s="52">
        <v>45006</v>
      </c>
      <c r="D1800" s="46">
        <v>22023002739</v>
      </c>
      <c r="E1800" s="47" t="s">
        <v>1551</v>
      </c>
      <c r="F1800" s="53">
        <v>371.71</v>
      </c>
      <c r="G1800" s="47" t="s">
        <v>2115</v>
      </c>
      <c r="H1800" s="47" t="s">
        <v>3208</v>
      </c>
      <c r="I1800" s="46" t="s">
        <v>1517</v>
      </c>
      <c r="J1800" s="47" t="s">
        <v>519</v>
      </c>
      <c r="K1800" s="47" t="s">
        <v>519</v>
      </c>
      <c r="L1800" s="47" t="s">
        <v>552</v>
      </c>
      <c r="M1800" s="47" t="s">
        <v>514</v>
      </c>
      <c r="N1800" s="47" t="s">
        <v>515</v>
      </c>
      <c r="O1800" s="54" t="s">
        <v>382</v>
      </c>
      <c r="P1800" s="44" t="s">
        <v>309</v>
      </c>
      <c r="Q1800" s="59" t="str">
        <f>MID(Tabla1[[#This Row],[Aplicación]],14,1)</f>
        <v>2</v>
      </c>
      <c r="R1800" s="35" t="s">
        <v>298</v>
      </c>
      <c r="S1800" s="59" t="str">
        <f>MID(Tabla1[[#This Row],[Aplicación]],6,2)</f>
        <v>02</v>
      </c>
      <c r="T1800" s="35" t="str">
        <f>VLOOKUP(Tabla1[[#This Row],[AREA]],Hoja1!A:B,2,FALSE)</f>
        <v>02. Planeamiento urbanístico y vivienda</v>
      </c>
      <c r="U1800" s="35" t="str">
        <f>MID(Tabla1[[#This Row],[Aplicación]],9,4)</f>
        <v>9332</v>
      </c>
      <c r="V1800" s="35" t="str">
        <f>VLOOKUP(Tabla1[[#This Row],[PROGRAMA]],Hoja1!A:B,2,FALSE)</f>
        <v>9332. Mantenimiento de edificios e instalaciones municipales</v>
      </c>
      <c r="W1800" s="56" t="str">
        <f>MID(Tabla1[[#This Row],[Aplicación]],14,2)</f>
        <v>21</v>
      </c>
      <c r="X1800" s="56" t="str">
        <f>MID(Tabla1[[#This Row],[Aplicación]],14,6)</f>
        <v>212</v>
      </c>
    </row>
    <row r="1801" spans="1:24" x14ac:dyDescent="0.25">
      <c r="A1801" s="46">
        <v>220230005415</v>
      </c>
      <c r="B1801" s="47" t="s">
        <v>507</v>
      </c>
      <c r="C1801" s="52">
        <v>44979</v>
      </c>
      <c r="D1801" s="46">
        <v>22023002638</v>
      </c>
      <c r="E1801" s="47" t="s">
        <v>1506</v>
      </c>
      <c r="F1801" s="53">
        <v>82.61</v>
      </c>
      <c r="G1801" s="47" t="s">
        <v>46</v>
      </c>
      <c r="H1801" s="47" t="s">
        <v>3209</v>
      </c>
      <c r="I1801" s="46" t="s">
        <v>511</v>
      </c>
      <c r="J1801" s="47" t="s">
        <v>519</v>
      </c>
      <c r="K1801" s="47" t="s">
        <v>519</v>
      </c>
      <c r="L1801" s="47" t="s">
        <v>552</v>
      </c>
      <c r="M1801" s="47" t="s">
        <v>976</v>
      </c>
      <c r="N1801" s="47" t="s">
        <v>839</v>
      </c>
      <c r="O1801" s="45" t="s">
        <v>383</v>
      </c>
      <c r="P1801" s="44" t="s">
        <v>309</v>
      </c>
      <c r="Q1801" s="59" t="str">
        <f>MID(Tabla1[[#This Row],[Aplicación]],14,1)</f>
        <v>2</v>
      </c>
      <c r="R1801" s="35" t="s">
        <v>298</v>
      </c>
      <c r="S1801" s="59" t="str">
        <f>MID(Tabla1[[#This Row],[Aplicación]],6,2)</f>
        <v>03</v>
      </c>
      <c r="T1801" s="35" t="str">
        <f>VLOOKUP(Tabla1[[#This Row],[AREA]],Hoja1!A:B,2,FALSE)</f>
        <v>03. Participación ciudadana y deportes</v>
      </c>
      <c r="U1801" s="35" t="str">
        <f>MID(Tabla1[[#This Row],[Aplicación]],9,4)</f>
        <v>9241</v>
      </c>
      <c r="V1801" s="35" t="str">
        <f>VLOOKUP(Tabla1[[#This Row],[PROGRAMA]],Hoja1!A:B,2,FALSE)</f>
        <v>9241. Participación ciudadana</v>
      </c>
      <c r="W1801" s="56" t="str">
        <f>MID(Tabla1[[#This Row],[Aplicación]],14,2)</f>
        <v>21</v>
      </c>
      <c r="X1801" s="56" t="str">
        <f>MID(Tabla1[[#This Row],[Aplicación]],14,6)</f>
        <v>212</v>
      </c>
    </row>
    <row r="1802" spans="1:24" x14ac:dyDescent="0.25">
      <c r="A1802" s="55">
        <v>220230009234</v>
      </c>
      <c r="B1802" s="47" t="s">
        <v>1514</v>
      </c>
      <c r="C1802" s="52">
        <v>45006</v>
      </c>
      <c r="D1802" s="46">
        <v>22023002739</v>
      </c>
      <c r="E1802" s="47" t="s">
        <v>1551</v>
      </c>
      <c r="F1802" s="53">
        <v>384.42</v>
      </c>
      <c r="G1802" s="47" t="s">
        <v>2115</v>
      </c>
      <c r="H1802" s="47" t="s">
        <v>3210</v>
      </c>
      <c r="I1802" s="46" t="s">
        <v>1517</v>
      </c>
      <c r="J1802" s="47" t="s">
        <v>519</v>
      </c>
      <c r="K1802" s="47" t="s">
        <v>519</v>
      </c>
      <c r="L1802" s="47" t="s">
        <v>552</v>
      </c>
      <c r="M1802" s="47" t="s">
        <v>514</v>
      </c>
      <c r="N1802" s="47" t="s">
        <v>515</v>
      </c>
      <c r="O1802" s="54" t="s">
        <v>382</v>
      </c>
      <c r="P1802" s="44" t="s">
        <v>309</v>
      </c>
      <c r="Q1802" s="59" t="str">
        <f>MID(Tabla1[[#This Row],[Aplicación]],14,1)</f>
        <v>2</v>
      </c>
      <c r="R1802" s="35" t="s">
        <v>298</v>
      </c>
      <c r="S1802" s="59" t="str">
        <f>MID(Tabla1[[#This Row],[Aplicación]],6,2)</f>
        <v>02</v>
      </c>
      <c r="T1802" s="35" t="str">
        <f>VLOOKUP(Tabla1[[#This Row],[AREA]],Hoja1!A:B,2,FALSE)</f>
        <v>02. Planeamiento urbanístico y vivienda</v>
      </c>
      <c r="U1802" s="35" t="str">
        <f>MID(Tabla1[[#This Row],[Aplicación]],9,4)</f>
        <v>9332</v>
      </c>
      <c r="V1802" s="35" t="str">
        <f>VLOOKUP(Tabla1[[#This Row],[PROGRAMA]],Hoja1!A:B,2,FALSE)</f>
        <v>9332. Mantenimiento de edificios e instalaciones municipales</v>
      </c>
      <c r="W1802" s="56" t="str">
        <f>MID(Tabla1[[#This Row],[Aplicación]],14,2)</f>
        <v>21</v>
      </c>
      <c r="X1802" s="56" t="str">
        <f>MID(Tabla1[[#This Row],[Aplicación]],14,6)</f>
        <v>212</v>
      </c>
    </row>
    <row r="1803" spans="1:24" x14ac:dyDescent="0.25">
      <c r="A1803" s="46">
        <v>220230005392</v>
      </c>
      <c r="B1803" s="47" t="s">
        <v>507</v>
      </c>
      <c r="C1803" s="52">
        <v>44979</v>
      </c>
      <c r="D1803" s="46">
        <v>22023002569</v>
      </c>
      <c r="E1803" s="47" t="s">
        <v>1551</v>
      </c>
      <c r="F1803" s="53">
        <v>2000</v>
      </c>
      <c r="G1803" s="47" t="s">
        <v>46</v>
      </c>
      <c r="H1803" s="47" t="s">
        <v>3211</v>
      </c>
      <c r="I1803" s="46" t="s">
        <v>511</v>
      </c>
      <c r="J1803" s="47" t="s">
        <v>519</v>
      </c>
      <c r="K1803" s="47" t="s">
        <v>519</v>
      </c>
      <c r="L1803" s="47" t="s">
        <v>552</v>
      </c>
      <c r="M1803" s="47" t="s">
        <v>976</v>
      </c>
      <c r="N1803" s="47" t="s">
        <v>839</v>
      </c>
      <c r="O1803" s="45" t="s">
        <v>383</v>
      </c>
      <c r="P1803" s="44" t="s">
        <v>309</v>
      </c>
      <c r="Q1803" s="59" t="str">
        <f>MID(Tabla1[[#This Row],[Aplicación]],14,1)</f>
        <v>2</v>
      </c>
      <c r="R1803" s="35" t="s">
        <v>298</v>
      </c>
      <c r="S1803" s="59" t="str">
        <f>MID(Tabla1[[#This Row],[Aplicación]],6,2)</f>
        <v>02</v>
      </c>
      <c r="T1803" s="35" t="str">
        <f>VLOOKUP(Tabla1[[#This Row],[AREA]],Hoja1!A:B,2,FALSE)</f>
        <v>02. Planeamiento urbanístico y vivienda</v>
      </c>
      <c r="U1803" s="35" t="str">
        <f>MID(Tabla1[[#This Row],[Aplicación]],9,4)</f>
        <v>9332</v>
      </c>
      <c r="V1803" s="35" t="str">
        <f>VLOOKUP(Tabla1[[#This Row],[PROGRAMA]],Hoja1!A:B,2,FALSE)</f>
        <v>9332. Mantenimiento de edificios e instalaciones municipales</v>
      </c>
      <c r="W1803" s="56" t="str">
        <f>MID(Tabla1[[#This Row],[Aplicación]],14,2)</f>
        <v>21</v>
      </c>
      <c r="X1803" s="56" t="str">
        <f>MID(Tabla1[[#This Row],[Aplicación]],14,6)</f>
        <v>212</v>
      </c>
    </row>
    <row r="1804" spans="1:24" x14ac:dyDescent="0.25">
      <c r="A1804" s="46">
        <v>220230005899</v>
      </c>
      <c r="B1804" s="47" t="s">
        <v>507</v>
      </c>
      <c r="C1804" s="52">
        <v>44980</v>
      </c>
      <c r="D1804" s="46">
        <v>22023002686</v>
      </c>
      <c r="E1804" s="47" t="s">
        <v>1603</v>
      </c>
      <c r="F1804" s="53">
        <v>126.2</v>
      </c>
      <c r="G1804" s="47" t="s">
        <v>46</v>
      </c>
      <c r="H1804" s="47" t="s">
        <v>3212</v>
      </c>
      <c r="I1804" s="46" t="s">
        <v>511</v>
      </c>
      <c r="J1804" s="47" t="s">
        <v>519</v>
      </c>
      <c r="K1804" s="47" t="s">
        <v>519</v>
      </c>
      <c r="L1804" s="47" t="s">
        <v>552</v>
      </c>
      <c r="M1804" s="47" t="s">
        <v>976</v>
      </c>
      <c r="N1804" s="47" t="s">
        <v>839</v>
      </c>
      <c r="O1804" s="45" t="s">
        <v>383</v>
      </c>
      <c r="P1804" s="44" t="s">
        <v>309</v>
      </c>
      <c r="Q1804" s="59" t="str">
        <f>MID(Tabla1[[#This Row],[Aplicación]],14,1)</f>
        <v>2</v>
      </c>
      <c r="R1804" s="35" t="s">
        <v>298</v>
      </c>
      <c r="S1804" s="59" t="str">
        <f>MID(Tabla1[[#This Row],[Aplicación]],6,2)</f>
        <v>08</v>
      </c>
      <c r="T1804" s="35" t="str">
        <f>VLOOKUP(Tabla1[[#This Row],[AREA]],Hoja1!A:B,2,FALSE)</f>
        <v>08. Movilidad y espacio urbano</v>
      </c>
      <c r="U1804" s="35" t="str">
        <f>MID(Tabla1[[#This Row],[Aplicación]],9,4)</f>
        <v>1532</v>
      </c>
      <c r="V1804" s="35" t="str">
        <f>VLOOKUP(Tabla1[[#This Row],[PROGRAMA]],Hoja1!A:B,2,FALSE)</f>
        <v>1532. Pavimentación vias públicas y otros servicios urbanísticos</v>
      </c>
      <c r="W1804" s="56" t="str">
        <f>MID(Tabla1[[#This Row],[Aplicación]],14,2)</f>
        <v>21</v>
      </c>
      <c r="X1804" s="56" t="str">
        <f>MID(Tabla1[[#This Row],[Aplicación]],14,6)</f>
        <v>210</v>
      </c>
    </row>
    <row r="1805" spans="1:24" x14ac:dyDescent="0.25">
      <c r="A1805" s="55">
        <v>220230009249</v>
      </c>
      <c r="B1805" s="47" t="s">
        <v>1514</v>
      </c>
      <c r="C1805" s="52">
        <v>45006</v>
      </c>
      <c r="D1805" s="46">
        <v>22023002739</v>
      </c>
      <c r="E1805" s="47" t="s">
        <v>1551</v>
      </c>
      <c r="F1805" s="53">
        <v>58.21</v>
      </c>
      <c r="G1805" s="47" t="s">
        <v>2115</v>
      </c>
      <c r="H1805" s="47" t="s">
        <v>3213</v>
      </c>
      <c r="I1805" s="46" t="s">
        <v>1517</v>
      </c>
      <c r="J1805" s="47" t="s">
        <v>519</v>
      </c>
      <c r="K1805" s="47" t="s">
        <v>519</v>
      </c>
      <c r="L1805" s="47" t="s">
        <v>552</v>
      </c>
      <c r="M1805" s="47" t="s">
        <v>514</v>
      </c>
      <c r="N1805" s="47" t="s">
        <v>515</v>
      </c>
      <c r="O1805" s="54" t="s">
        <v>382</v>
      </c>
      <c r="P1805" s="44" t="s">
        <v>309</v>
      </c>
      <c r="Q1805" s="59" t="str">
        <f>MID(Tabla1[[#This Row],[Aplicación]],14,1)</f>
        <v>2</v>
      </c>
      <c r="R1805" s="35" t="s">
        <v>298</v>
      </c>
      <c r="S1805" s="59" t="str">
        <f>MID(Tabla1[[#This Row],[Aplicación]],6,2)</f>
        <v>02</v>
      </c>
      <c r="T1805" s="35" t="str">
        <f>VLOOKUP(Tabla1[[#This Row],[AREA]],Hoja1!A:B,2,FALSE)</f>
        <v>02. Planeamiento urbanístico y vivienda</v>
      </c>
      <c r="U1805" s="35" t="str">
        <f>MID(Tabla1[[#This Row],[Aplicación]],9,4)</f>
        <v>9332</v>
      </c>
      <c r="V1805" s="35" t="str">
        <f>VLOOKUP(Tabla1[[#This Row],[PROGRAMA]],Hoja1!A:B,2,FALSE)</f>
        <v>9332. Mantenimiento de edificios e instalaciones municipales</v>
      </c>
      <c r="W1805" s="56" t="str">
        <f>MID(Tabla1[[#This Row],[Aplicación]],14,2)</f>
        <v>21</v>
      </c>
      <c r="X1805" s="56" t="str">
        <f>MID(Tabla1[[#This Row],[Aplicación]],14,6)</f>
        <v>212</v>
      </c>
    </row>
    <row r="1806" spans="1:24" x14ac:dyDescent="0.25">
      <c r="A1806" s="55">
        <v>220230009251</v>
      </c>
      <c r="B1806" s="47" t="s">
        <v>1514</v>
      </c>
      <c r="C1806" s="52">
        <v>45006</v>
      </c>
      <c r="D1806" s="46">
        <v>22023002739</v>
      </c>
      <c r="E1806" s="47" t="s">
        <v>1551</v>
      </c>
      <c r="F1806" s="53">
        <v>683.3</v>
      </c>
      <c r="G1806" s="47" t="s">
        <v>2115</v>
      </c>
      <c r="H1806" s="47" t="s">
        <v>3214</v>
      </c>
      <c r="I1806" s="46" t="s">
        <v>1517</v>
      </c>
      <c r="J1806" s="47" t="s">
        <v>519</v>
      </c>
      <c r="K1806" s="47" t="s">
        <v>519</v>
      </c>
      <c r="L1806" s="47" t="s">
        <v>552</v>
      </c>
      <c r="M1806" s="47" t="s">
        <v>514</v>
      </c>
      <c r="N1806" s="47" t="s">
        <v>515</v>
      </c>
      <c r="O1806" s="54" t="s">
        <v>382</v>
      </c>
      <c r="P1806" s="44" t="s">
        <v>309</v>
      </c>
      <c r="Q1806" s="59" t="str">
        <f>MID(Tabla1[[#This Row],[Aplicación]],14,1)</f>
        <v>2</v>
      </c>
      <c r="R1806" s="35" t="s">
        <v>298</v>
      </c>
      <c r="S1806" s="59" t="str">
        <f>MID(Tabla1[[#This Row],[Aplicación]],6,2)</f>
        <v>02</v>
      </c>
      <c r="T1806" s="35" t="str">
        <f>VLOOKUP(Tabla1[[#This Row],[AREA]],Hoja1!A:B,2,FALSE)</f>
        <v>02. Planeamiento urbanístico y vivienda</v>
      </c>
      <c r="U1806" s="35" t="str">
        <f>MID(Tabla1[[#This Row],[Aplicación]],9,4)</f>
        <v>9332</v>
      </c>
      <c r="V1806" s="35" t="str">
        <f>VLOOKUP(Tabla1[[#This Row],[PROGRAMA]],Hoja1!A:B,2,FALSE)</f>
        <v>9332. Mantenimiento de edificios e instalaciones municipales</v>
      </c>
      <c r="W1806" s="56" t="str">
        <f>MID(Tabla1[[#This Row],[Aplicación]],14,2)</f>
        <v>21</v>
      </c>
      <c r="X1806" s="56" t="str">
        <f>MID(Tabla1[[#This Row],[Aplicación]],14,6)</f>
        <v>212</v>
      </c>
    </row>
    <row r="1807" spans="1:24" x14ac:dyDescent="0.25">
      <c r="A1807" s="55">
        <v>220230009281</v>
      </c>
      <c r="B1807" s="47" t="s">
        <v>1514</v>
      </c>
      <c r="C1807" s="52">
        <v>45006</v>
      </c>
      <c r="D1807" s="46">
        <v>22023002053</v>
      </c>
      <c r="E1807" s="47" t="s">
        <v>2107</v>
      </c>
      <c r="F1807" s="53">
        <v>1637.83</v>
      </c>
      <c r="G1807" s="47" t="s">
        <v>2115</v>
      </c>
      <c r="H1807" s="47" t="s">
        <v>3215</v>
      </c>
      <c r="I1807" s="46" t="s">
        <v>1517</v>
      </c>
      <c r="J1807" s="47" t="s">
        <v>519</v>
      </c>
      <c r="K1807" s="47" t="s">
        <v>519</v>
      </c>
      <c r="L1807" s="47" t="s">
        <v>520</v>
      </c>
      <c r="M1807" s="47" t="s">
        <v>514</v>
      </c>
      <c r="N1807" s="47" t="s">
        <v>515</v>
      </c>
      <c r="O1807" s="54" t="s">
        <v>382</v>
      </c>
      <c r="P1807" s="44" t="s">
        <v>309</v>
      </c>
      <c r="Q1807" s="59" t="str">
        <f>MID(Tabla1[[#This Row],[Aplicación]],14,1)</f>
        <v>2</v>
      </c>
      <c r="R1807" s="35" t="s">
        <v>298</v>
      </c>
      <c r="S1807" s="59" t="str">
        <f>MID(Tabla1[[#This Row],[Aplicación]],6,2)</f>
        <v>07</v>
      </c>
      <c r="T1807" s="35" t="str">
        <f>VLOOKUP(Tabla1[[#This Row],[AREA]],Hoja1!A:B,2,FALSE)</f>
        <v>07. Medio ambiente y desarrollo sostenible</v>
      </c>
      <c r="U1807" s="35" t="str">
        <f>MID(Tabla1[[#This Row],[Aplicación]],9,4)</f>
        <v>1711</v>
      </c>
      <c r="V1807" s="35" t="str">
        <f>VLOOKUP(Tabla1[[#This Row],[PROGRAMA]],Hoja1!A:B,2,FALSE)</f>
        <v>1711. Parques y jardines</v>
      </c>
      <c r="W1807" s="56" t="str">
        <f>MID(Tabla1[[#This Row],[Aplicación]],14,2)</f>
        <v>21</v>
      </c>
      <c r="X1807" s="56" t="str">
        <f>MID(Tabla1[[#This Row],[Aplicación]],14,6)</f>
        <v>213</v>
      </c>
    </row>
    <row r="1808" spans="1:24" x14ac:dyDescent="0.25">
      <c r="A1808" s="55">
        <v>220230009283</v>
      </c>
      <c r="B1808" s="47" t="s">
        <v>1514</v>
      </c>
      <c r="C1808" s="52">
        <v>45006</v>
      </c>
      <c r="D1808" s="46">
        <v>22023002053</v>
      </c>
      <c r="E1808" s="47" t="s">
        <v>2107</v>
      </c>
      <c r="F1808" s="53">
        <v>52.97</v>
      </c>
      <c r="G1808" s="47" t="s">
        <v>2115</v>
      </c>
      <c r="H1808" s="47" t="s">
        <v>3216</v>
      </c>
      <c r="I1808" s="46" t="s">
        <v>1517</v>
      </c>
      <c r="J1808" s="47" t="s">
        <v>519</v>
      </c>
      <c r="K1808" s="47" t="s">
        <v>519</v>
      </c>
      <c r="L1808" s="47" t="s">
        <v>520</v>
      </c>
      <c r="M1808" s="47" t="s">
        <v>514</v>
      </c>
      <c r="N1808" s="47" t="s">
        <v>515</v>
      </c>
      <c r="O1808" s="54" t="s">
        <v>382</v>
      </c>
      <c r="P1808" s="44" t="s">
        <v>309</v>
      </c>
      <c r="Q1808" s="59" t="str">
        <f>MID(Tabla1[[#This Row],[Aplicación]],14,1)</f>
        <v>2</v>
      </c>
      <c r="R1808" s="35" t="s">
        <v>298</v>
      </c>
      <c r="S1808" s="59" t="str">
        <f>MID(Tabla1[[#This Row],[Aplicación]],6,2)</f>
        <v>07</v>
      </c>
      <c r="T1808" s="35" t="str">
        <f>VLOOKUP(Tabla1[[#This Row],[AREA]],Hoja1!A:B,2,FALSE)</f>
        <v>07. Medio ambiente y desarrollo sostenible</v>
      </c>
      <c r="U1808" s="35" t="str">
        <f>MID(Tabla1[[#This Row],[Aplicación]],9,4)</f>
        <v>1711</v>
      </c>
      <c r="V1808" s="35" t="str">
        <f>VLOOKUP(Tabla1[[#This Row],[PROGRAMA]],Hoja1!A:B,2,FALSE)</f>
        <v>1711. Parques y jardines</v>
      </c>
      <c r="W1808" s="56" t="str">
        <f>MID(Tabla1[[#This Row],[Aplicación]],14,2)</f>
        <v>21</v>
      </c>
      <c r="X1808" s="56" t="str">
        <f>MID(Tabla1[[#This Row],[Aplicación]],14,6)</f>
        <v>213</v>
      </c>
    </row>
    <row r="1809" spans="1:24" x14ac:dyDescent="0.25">
      <c r="A1809" s="55">
        <v>220230009298</v>
      </c>
      <c r="B1809" s="47" t="s">
        <v>1514</v>
      </c>
      <c r="C1809" s="52">
        <v>45006</v>
      </c>
      <c r="D1809" s="46">
        <v>22023002185</v>
      </c>
      <c r="E1809" s="47" t="s">
        <v>2458</v>
      </c>
      <c r="F1809" s="53">
        <v>156.96</v>
      </c>
      <c r="G1809" s="47" t="s">
        <v>2115</v>
      </c>
      <c r="H1809" s="47" t="s">
        <v>3217</v>
      </c>
      <c r="I1809" s="46" t="s">
        <v>1517</v>
      </c>
      <c r="J1809" s="47" t="s">
        <v>519</v>
      </c>
      <c r="K1809" s="47" t="s">
        <v>519</v>
      </c>
      <c r="L1809" s="47" t="s">
        <v>552</v>
      </c>
      <c r="M1809" s="47" t="s">
        <v>514</v>
      </c>
      <c r="N1809" s="47" t="s">
        <v>515</v>
      </c>
      <c r="O1809" s="54" t="s">
        <v>382</v>
      </c>
      <c r="P1809" s="44" t="s">
        <v>309</v>
      </c>
      <c r="Q1809" s="59" t="str">
        <f>MID(Tabla1[[#This Row],[Aplicación]],14,1)</f>
        <v>2</v>
      </c>
      <c r="R1809" s="35" t="s">
        <v>298</v>
      </c>
      <c r="S1809" s="59" t="str">
        <f>MID(Tabla1[[#This Row],[Aplicación]],6,2)</f>
        <v>06</v>
      </c>
      <c r="T1809" s="35" t="str">
        <f>VLOOKUP(Tabla1[[#This Row],[AREA]],Hoja1!A:B,2,FALSE)</f>
        <v>06. Educación, infancia, juventud e igualdad</v>
      </c>
      <c r="U1809" s="35" t="str">
        <f>MID(Tabla1[[#This Row],[Aplicación]],9,4)</f>
        <v>3231</v>
      </c>
      <c r="V1809" s="35" t="str">
        <f>VLOOKUP(Tabla1[[#This Row],[PROGRAMA]],Hoja1!A:B,2,FALSE)</f>
        <v>3231. Escuelas infantiles</v>
      </c>
      <c r="W1809" s="56" t="str">
        <f>MID(Tabla1[[#This Row],[Aplicación]],14,2)</f>
        <v>21</v>
      </c>
      <c r="X1809" s="56" t="str">
        <f>MID(Tabla1[[#This Row],[Aplicación]],14,6)</f>
        <v>212</v>
      </c>
    </row>
    <row r="1810" spans="1:24" x14ac:dyDescent="0.25">
      <c r="A1810" s="55">
        <v>220230009303</v>
      </c>
      <c r="B1810" s="47" t="s">
        <v>1514</v>
      </c>
      <c r="C1810" s="52">
        <v>45006</v>
      </c>
      <c r="D1810" s="46">
        <v>22023002053</v>
      </c>
      <c r="E1810" s="47" t="s">
        <v>2107</v>
      </c>
      <c r="F1810" s="53">
        <v>809.56</v>
      </c>
      <c r="G1810" s="47" t="s">
        <v>2115</v>
      </c>
      <c r="H1810" s="47" t="s">
        <v>3218</v>
      </c>
      <c r="I1810" s="46" t="s">
        <v>1517</v>
      </c>
      <c r="J1810" s="47" t="s">
        <v>519</v>
      </c>
      <c r="K1810" s="47" t="s">
        <v>519</v>
      </c>
      <c r="L1810" s="47" t="s">
        <v>552</v>
      </c>
      <c r="M1810" s="47" t="s">
        <v>514</v>
      </c>
      <c r="N1810" s="47" t="s">
        <v>515</v>
      </c>
      <c r="O1810" s="54" t="s">
        <v>382</v>
      </c>
      <c r="P1810" s="44" t="s">
        <v>309</v>
      </c>
      <c r="Q1810" s="59" t="str">
        <f>MID(Tabla1[[#This Row],[Aplicación]],14,1)</f>
        <v>2</v>
      </c>
      <c r="R1810" s="35" t="s">
        <v>298</v>
      </c>
      <c r="S1810" s="59" t="str">
        <f>MID(Tabla1[[#This Row],[Aplicación]],6,2)</f>
        <v>07</v>
      </c>
      <c r="T1810" s="35" t="str">
        <f>VLOOKUP(Tabla1[[#This Row],[AREA]],Hoja1!A:B,2,FALSE)</f>
        <v>07. Medio ambiente y desarrollo sostenible</v>
      </c>
      <c r="U1810" s="35" t="str">
        <f>MID(Tabla1[[#This Row],[Aplicación]],9,4)</f>
        <v>1711</v>
      </c>
      <c r="V1810" s="35" t="str">
        <f>VLOOKUP(Tabla1[[#This Row],[PROGRAMA]],Hoja1!A:B,2,FALSE)</f>
        <v>1711. Parques y jardines</v>
      </c>
      <c r="W1810" s="56" t="str">
        <f>MID(Tabla1[[#This Row],[Aplicación]],14,2)</f>
        <v>21</v>
      </c>
      <c r="X1810" s="56" t="str">
        <f>MID(Tabla1[[#This Row],[Aplicación]],14,6)</f>
        <v>213</v>
      </c>
    </row>
    <row r="1811" spans="1:24" x14ac:dyDescent="0.25">
      <c r="A1811" s="55">
        <v>220230009344</v>
      </c>
      <c r="B1811" s="47" t="s">
        <v>1514</v>
      </c>
      <c r="C1811" s="52">
        <v>45006</v>
      </c>
      <c r="D1811" s="46">
        <v>22023001477</v>
      </c>
      <c r="E1811" s="47" t="s">
        <v>1657</v>
      </c>
      <c r="F1811" s="53">
        <v>85.09</v>
      </c>
      <c r="G1811" s="47" t="s">
        <v>2115</v>
      </c>
      <c r="H1811" s="47" t="s">
        <v>3219</v>
      </c>
      <c r="I1811" s="46" t="s">
        <v>1517</v>
      </c>
      <c r="J1811" s="47" t="s">
        <v>519</v>
      </c>
      <c r="K1811" s="47" t="s">
        <v>519</v>
      </c>
      <c r="L1811" s="47" t="s">
        <v>552</v>
      </c>
      <c r="M1811" s="47" t="s">
        <v>514</v>
      </c>
      <c r="N1811" s="47" t="s">
        <v>515</v>
      </c>
      <c r="O1811" s="54" t="s">
        <v>382</v>
      </c>
      <c r="P1811" s="44" t="s">
        <v>309</v>
      </c>
      <c r="Q1811" s="59" t="str">
        <f>MID(Tabla1[[#This Row],[Aplicación]],14,1)</f>
        <v>2</v>
      </c>
      <c r="R1811" s="35" t="s">
        <v>298</v>
      </c>
      <c r="S1811" s="59" t="str">
        <f>MID(Tabla1[[#This Row],[Aplicación]],6,2)</f>
        <v>10</v>
      </c>
      <c r="T1811" s="35" t="str">
        <f>VLOOKUP(Tabla1[[#This Row],[AREA]],Hoja1!A:B,2,FALSE)</f>
        <v>10. Servicios sociales y mediación comunitaria</v>
      </c>
      <c r="U1811" s="35" t="str">
        <f>MID(Tabla1[[#This Row],[Aplicación]],9,4)</f>
        <v>2412</v>
      </c>
      <c r="V1811" s="35" t="str">
        <f>VLOOKUP(Tabla1[[#This Row],[PROGRAMA]],Hoja1!A:B,2,FALSE)</f>
        <v>2412. Formación para el empleo</v>
      </c>
      <c r="W1811" s="56" t="str">
        <f>MID(Tabla1[[#This Row],[Aplicación]],14,2)</f>
        <v>21</v>
      </c>
      <c r="X1811" s="56" t="str">
        <f>MID(Tabla1[[#This Row],[Aplicación]],14,6)</f>
        <v>212</v>
      </c>
    </row>
    <row r="1812" spans="1:24" x14ac:dyDescent="0.25">
      <c r="A1812" s="55">
        <v>220230009389</v>
      </c>
      <c r="B1812" s="47" t="s">
        <v>1514</v>
      </c>
      <c r="C1812" s="52">
        <v>45006</v>
      </c>
      <c r="D1812" s="46">
        <v>22023002739</v>
      </c>
      <c r="E1812" s="47" t="s">
        <v>1551</v>
      </c>
      <c r="F1812" s="53">
        <v>33.6</v>
      </c>
      <c r="G1812" s="47" t="s">
        <v>2115</v>
      </c>
      <c r="H1812" s="47" t="s">
        <v>3220</v>
      </c>
      <c r="I1812" s="46" t="s">
        <v>1517</v>
      </c>
      <c r="J1812" s="47" t="s">
        <v>519</v>
      </c>
      <c r="K1812" s="47" t="s">
        <v>519</v>
      </c>
      <c r="L1812" s="47" t="s">
        <v>552</v>
      </c>
      <c r="M1812" s="47" t="s">
        <v>514</v>
      </c>
      <c r="N1812" s="47" t="s">
        <v>515</v>
      </c>
      <c r="O1812" s="54" t="s">
        <v>382</v>
      </c>
      <c r="P1812" s="44" t="s">
        <v>309</v>
      </c>
      <c r="Q1812" s="59" t="str">
        <f>MID(Tabla1[[#This Row],[Aplicación]],14,1)</f>
        <v>2</v>
      </c>
      <c r="R1812" s="35" t="s">
        <v>298</v>
      </c>
      <c r="S1812" s="59" t="str">
        <f>MID(Tabla1[[#This Row],[Aplicación]],6,2)</f>
        <v>02</v>
      </c>
      <c r="T1812" s="35" t="str">
        <f>VLOOKUP(Tabla1[[#This Row],[AREA]],Hoja1!A:B,2,FALSE)</f>
        <v>02. Planeamiento urbanístico y vivienda</v>
      </c>
      <c r="U1812" s="35" t="str">
        <f>MID(Tabla1[[#This Row],[Aplicación]],9,4)</f>
        <v>9332</v>
      </c>
      <c r="V1812" s="35" t="str">
        <f>VLOOKUP(Tabla1[[#This Row],[PROGRAMA]],Hoja1!A:B,2,FALSE)</f>
        <v>9332. Mantenimiento de edificios e instalaciones municipales</v>
      </c>
      <c r="W1812" s="56" t="str">
        <f>MID(Tabla1[[#This Row],[Aplicación]],14,2)</f>
        <v>21</v>
      </c>
      <c r="X1812" s="56" t="str">
        <f>MID(Tabla1[[#This Row],[Aplicación]],14,6)</f>
        <v>212</v>
      </c>
    </row>
    <row r="1813" spans="1:24" x14ac:dyDescent="0.25">
      <c r="A1813" s="55">
        <v>220230009391</v>
      </c>
      <c r="B1813" s="47" t="s">
        <v>1514</v>
      </c>
      <c r="C1813" s="52">
        <v>45006</v>
      </c>
      <c r="D1813" s="46">
        <v>22023002739</v>
      </c>
      <c r="E1813" s="47" t="s">
        <v>1551</v>
      </c>
      <c r="F1813" s="53">
        <v>678.11</v>
      </c>
      <c r="G1813" s="47" t="s">
        <v>2115</v>
      </c>
      <c r="H1813" s="47" t="s">
        <v>3221</v>
      </c>
      <c r="I1813" s="46" t="s">
        <v>1517</v>
      </c>
      <c r="J1813" s="47" t="s">
        <v>519</v>
      </c>
      <c r="K1813" s="47" t="s">
        <v>519</v>
      </c>
      <c r="L1813" s="47" t="s">
        <v>552</v>
      </c>
      <c r="M1813" s="47" t="s">
        <v>514</v>
      </c>
      <c r="N1813" s="47" t="s">
        <v>515</v>
      </c>
      <c r="O1813" s="54" t="s">
        <v>382</v>
      </c>
      <c r="P1813" s="44" t="s">
        <v>309</v>
      </c>
      <c r="Q1813" s="59" t="str">
        <f>MID(Tabla1[[#This Row],[Aplicación]],14,1)</f>
        <v>2</v>
      </c>
      <c r="R1813" s="35" t="s">
        <v>298</v>
      </c>
      <c r="S1813" s="59" t="str">
        <f>MID(Tabla1[[#This Row],[Aplicación]],6,2)</f>
        <v>02</v>
      </c>
      <c r="T1813" s="35" t="str">
        <f>VLOOKUP(Tabla1[[#This Row],[AREA]],Hoja1!A:B,2,FALSE)</f>
        <v>02. Planeamiento urbanístico y vivienda</v>
      </c>
      <c r="U1813" s="35" t="str">
        <f>MID(Tabla1[[#This Row],[Aplicación]],9,4)</f>
        <v>9332</v>
      </c>
      <c r="V1813" s="35" t="str">
        <f>VLOOKUP(Tabla1[[#This Row],[PROGRAMA]],Hoja1!A:B,2,FALSE)</f>
        <v>9332. Mantenimiento de edificios e instalaciones municipales</v>
      </c>
      <c r="W1813" s="56" t="str">
        <f>MID(Tabla1[[#This Row],[Aplicación]],14,2)</f>
        <v>21</v>
      </c>
      <c r="X1813" s="56" t="str">
        <f>MID(Tabla1[[#This Row],[Aplicación]],14,6)</f>
        <v>212</v>
      </c>
    </row>
    <row r="1814" spans="1:24" x14ac:dyDescent="0.25">
      <c r="A1814" s="55">
        <v>220230009411</v>
      </c>
      <c r="B1814" s="47" t="s">
        <v>1514</v>
      </c>
      <c r="C1814" s="52">
        <v>45006</v>
      </c>
      <c r="D1814" s="46">
        <v>22023001607</v>
      </c>
      <c r="E1814" s="47" t="s">
        <v>1603</v>
      </c>
      <c r="F1814" s="53">
        <v>104.39</v>
      </c>
      <c r="G1814" s="47" t="s">
        <v>2115</v>
      </c>
      <c r="H1814" s="47" t="s">
        <v>3222</v>
      </c>
      <c r="I1814" s="46" t="s">
        <v>1517</v>
      </c>
      <c r="J1814" s="47" t="s">
        <v>519</v>
      </c>
      <c r="K1814" s="47" t="s">
        <v>519</v>
      </c>
      <c r="L1814" s="47" t="s">
        <v>552</v>
      </c>
      <c r="M1814" s="47" t="s">
        <v>514</v>
      </c>
      <c r="N1814" s="47" t="s">
        <v>515</v>
      </c>
      <c r="O1814" s="54" t="s">
        <v>382</v>
      </c>
      <c r="P1814" s="44" t="s">
        <v>309</v>
      </c>
      <c r="Q1814" s="59" t="str">
        <f>MID(Tabla1[[#This Row],[Aplicación]],14,1)</f>
        <v>2</v>
      </c>
      <c r="R1814" s="35" t="s">
        <v>298</v>
      </c>
      <c r="S1814" s="59" t="str">
        <f>MID(Tabla1[[#This Row],[Aplicación]],6,2)</f>
        <v>08</v>
      </c>
      <c r="T1814" s="35" t="str">
        <f>VLOOKUP(Tabla1[[#This Row],[AREA]],Hoja1!A:B,2,FALSE)</f>
        <v>08. Movilidad y espacio urbano</v>
      </c>
      <c r="U1814" s="35" t="str">
        <f>MID(Tabla1[[#This Row],[Aplicación]],9,4)</f>
        <v>1532</v>
      </c>
      <c r="V1814" s="35" t="str">
        <f>VLOOKUP(Tabla1[[#This Row],[PROGRAMA]],Hoja1!A:B,2,FALSE)</f>
        <v>1532. Pavimentación vias públicas y otros servicios urbanísticos</v>
      </c>
      <c r="W1814" s="56" t="str">
        <f>MID(Tabla1[[#This Row],[Aplicación]],14,2)</f>
        <v>21</v>
      </c>
      <c r="X1814" s="56" t="str">
        <f>MID(Tabla1[[#This Row],[Aplicación]],14,6)</f>
        <v>210</v>
      </c>
    </row>
    <row r="1815" spans="1:24" x14ac:dyDescent="0.25">
      <c r="A1815" s="55">
        <v>220230009421</v>
      </c>
      <c r="B1815" s="47" t="s">
        <v>1514</v>
      </c>
      <c r="C1815" s="52">
        <v>45006</v>
      </c>
      <c r="D1815" s="46">
        <v>22023001466</v>
      </c>
      <c r="E1815" s="47" t="s">
        <v>2624</v>
      </c>
      <c r="F1815" s="53">
        <v>94.62</v>
      </c>
      <c r="G1815" s="47" t="s">
        <v>2115</v>
      </c>
      <c r="H1815" s="47" t="s">
        <v>3223</v>
      </c>
      <c r="I1815" s="46" t="s">
        <v>1517</v>
      </c>
      <c r="J1815" s="47" t="s">
        <v>519</v>
      </c>
      <c r="K1815" s="47" t="s">
        <v>519</v>
      </c>
      <c r="L1815" s="47" t="s">
        <v>552</v>
      </c>
      <c r="M1815" s="47" t="s">
        <v>514</v>
      </c>
      <c r="N1815" s="47" t="s">
        <v>515</v>
      </c>
      <c r="O1815" s="54" t="s">
        <v>382</v>
      </c>
      <c r="P1815" s="44" t="s">
        <v>309</v>
      </c>
      <c r="Q1815" s="59" t="str">
        <f>MID(Tabla1[[#This Row],[Aplicación]],14,1)</f>
        <v>2</v>
      </c>
      <c r="R1815" s="35" t="s">
        <v>298</v>
      </c>
      <c r="S1815" s="59" t="str">
        <f>MID(Tabla1[[#This Row],[Aplicación]],6,2)</f>
        <v>11</v>
      </c>
      <c r="T1815" s="35" t="str">
        <f>VLOOKUP(Tabla1[[#This Row],[AREA]],Hoja1!A:B,2,FALSE)</f>
        <v>11. Salud pública y seguridad ciudadana</v>
      </c>
      <c r="U1815" s="35" t="str">
        <f>MID(Tabla1[[#This Row],[Aplicación]],9,4)</f>
        <v>1621</v>
      </c>
      <c r="V1815" s="35" t="str">
        <f>VLOOKUP(Tabla1[[#This Row],[PROGRAMA]],Hoja1!A:B,2,FALSE)</f>
        <v>1621. Servicio de limpieza</v>
      </c>
      <c r="W1815" s="56" t="str">
        <f>MID(Tabla1[[#This Row],[Aplicación]],14,2)</f>
        <v>22</v>
      </c>
      <c r="X1815" s="56" t="str">
        <f>MID(Tabla1[[#This Row],[Aplicación]],14,6)</f>
        <v>22199</v>
      </c>
    </row>
    <row r="1816" spans="1:24" x14ac:dyDescent="0.25">
      <c r="A1816" s="55">
        <v>220230008925</v>
      </c>
      <c r="B1816" s="47" t="s">
        <v>507</v>
      </c>
      <c r="C1816" s="52">
        <v>45002</v>
      </c>
      <c r="D1816" s="46">
        <v>22023003085</v>
      </c>
      <c r="E1816" s="47" t="s">
        <v>1506</v>
      </c>
      <c r="F1816" s="53">
        <v>18.04</v>
      </c>
      <c r="G1816" s="47" t="s">
        <v>46</v>
      </c>
      <c r="H1816" s="47" t="s">
        <v>3224</v>
      </c>
      <c r="I1816" s="46" t="s">
        <v>511</v>
      </c>
      <c r="J1816" s="47" t="s">
        <v>519</v>
      </c>
      <c r="K1816" s="47" t="s">
        <v>519</v>
      </c>
      <c r="L1816" s="47" t="s">
        <v>552</v>
      </c>
      <c r="M1816" s="47" t="s">
        <v>976</v>
      </c>
      <c r="N1816" s="47" t="s">
        <v>839</v>
      </c>
      <c r="O1816" s="54" t="s">
        <v>383</v>
      </c>
      <c r="P1816" s="44" t="s">
        <v>309</v>
      </c>
      <c r="Q1816" s="59" t="str">
        <f>MID(Tabla1[[#This Row],[Aplicación]],14,1)</f>
        <v>2</v>
      </c>
      <c r="R1816" s="35" t="s">
        <v>298</v>
      </c>
      <c r="S1816" s="59" t="str">
        <f>MID(Tabla1[[#This Row],[Aplicación]],6,2)</f>
        <v>03</v>
      </c>
      <c r="T1816" s="35" t="str">
        <f>VLOOKUP(Tabla1[[#This Row],[AREA]],Hoja1!A:B,2,FALSE)</f>
        <v>03. Participación ciudadana y deportes</v>
      </c>
      <c r="U1816" s="35" t="str">
        <f>MID(Tabla1[[#This Row],[Aplicación]],9,4)</f>
        <v>9241</v>
      </c>
      <c r="V1816" s="35" t="str">
        <f>VLOOKUP(Tabla1[[#This Row],[PROGRAMA]],Hoja1!A:B,2,FALSE)</f>
        <v>9241. Participación ciudadana</v>
      </c>
      <c r="W1816" s="56" t="str">
        <f>MID(Tabla1[[#This Row],[Aplicación]],14,2)</f>
        <v>21</v>
      </c>
      <c r="X1816" s="56" t="str">
        <f>MID(Tabla1[[#This Row],[Aplicación]],14,6)</f>
        <v>212</v>
      </c>
    </row>
    <row r="1817" spans="1:24" x14ac:dyDescent="0.25">
      <c r="A1817" s="55">
        <v>220230008928</v>
      </c>
      <c r="B1817" s="47" t="s">
        <v>507</v>
      </c>
      <c r="C1817" s="52">
        <v>45002</v>
      </c>
      <c r="D1817" s="46">
        <v>22023003092</v>
      </c>
      <c r="E1817" s="47" t="s">
        <v>1510</v>
      </c>
      <c r="F1817" s="53">
        <v>149.63999999999999</v>
      </c>
      <c r="G1817" s="47" t="s">
        <v>46</v>
      </c>
      <c r="H1817" s="47" t="s">
        <v>3225</v>
      </c>
      <c r="I1817" s="46" t="s">
        <v>511</v>
      </c>
      <c r="J1817" s="47" t="s">
        <v>519</v>
      </c>
      <c r="K1817" s="47" t="s">
        <v>519</v>
      </c>
      <c r="L1817" s="47" t="s">
        <v>552</v>
      </c>
      <c r="M1817" s="47" t="s">
        <v>976</v>
      </c>
      <c r="N1817" s="47" t="s">
        <v>839</v>
      </c>
      <c r="O1817" s="54" t="s">
        <v>383</v>
      </c>
      <c r="P1817" s="44" t="s">
        <v>309</v>
      </c>
      <c r="Q1817" s="59" t="str">
        <f>MID(Tabla1[[#This Row],[Aplicación]],14,1)</f>
        <v>2</v>
      </c>
      <c r="R1817" s="35" t="s">
        <v>298</v>
      </c>
      <c r="S1817" s="59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35" t="str">
        <f>MID(Tabla1[[#This Row],[Aplicación]],9,4)</f>
        <v>2311</v>
      </c>
      <c r="V1817" s="35" t="str">
        <f>VLOOKUP(Tabla1[[#This Row],[PROGRAMA]],Hoja1!A:B,2,FALSE)</f>
        <v>2311. Intervención social</v>
      </c>
      <c r="W1817" s="56" t="str">
        <f>MID(Tabla1[[#This Row],[Aplicación]],14,2)</f>
        <v>21</v>
      </c>
      <c r="X1817" s="56" t="str">
        <f>MID(Tabla1[[#This Row],[Aplicación]],14,6)</f>
        <v>212</v>
      </c>
    </row>
    <row r="1818" spans="1:24" x14ac:dyDescent="0.25">
      <c r="A1818" s="55">
        <v>220230009071</v>
      </c>
      <c r="B1818" s="47" t="s">
        <v>1514</v>
      </c>
      <c r="C1818" s="52">
        <v>45006</v>
      </c>
      <c r="D1818" s="46">
        <v>22023001956</v>
      </c>
      <c r="E1818" s="47" t="s">
        <v>1982</v>
      </c>
      <c r="F1818" s="53">
        <v>295</v>
      </c>
      <c r="G1818" s="47" t="s">
        <v>2009</v>
      </c>
      <c r="H1818" s="47" t="s">
        <v>3226</v>
      </c>
      <c r="I1818" s="46" t="s">
        <v>1517</v>
      </c>
      <c r="J1818" s="47" t="s">
        <v>519</v>
      </c>
      <c r="K1818" s="47" t="s">
        <v>519</v>
      </c>
      <c r="L1818" s="47" t="s">
        <v>520</v>
      </c>
      <c r="M1818" s="47" t="s">
        <v>514</v>
      </c>
      <c r="N1818" s="47" t="s">
        <v>515</v>
      </c>
      <c r="O1818" s="54" t="s">
        <v>382</v>
      </c>
      <c r="P1818" s="44" t="s">
        <v>309</v>
      </c>
      <c r="Q1818" s="59" t="str">
        <f>MID(Tabla1[[#This Row],[Aplicación]],14,1)</f>
        <v>2</v>
      </c>
      <c r="R1818" s="35" t="s">
        <v>298</v>
      </c>
      <c r="S1818" s="59" t="str">
        <f>MID(Tabla1[[#This Row],[Aplicación]],6,2)</f>
        <v>07</v>
      </c>
      <c r="T1818" s="35" t="str">
        <f>VLOOKUP(Tabla1[[#This Row],[AREA]],Hoja1!A:B,2,FALSE)</f>
        <v>07. Medio ambiente y desarrollo sostenible</v>
      </c>
      <c r="U1818" s="35" t="str">
        <f>MID(Tabla1[[#This Row],[Aplicación]],9,4)</f>
        <v>1711</v>
      </c>
      <c r="V1818" s="35" t="str">
        <f>VLOOKUP(Tabla1[[#This Row],[PROGRAMA]],Hoja1!A:B,2,FALSE)</f>
        <v>1711. Parques y jardines</v>
      </c>
      <c r="W1818" s="56" t="str">
        <f>MID(Tabla1[[#This Row],[Aplicación]],14,2)</f>
        <v>21</v>
      </c>
      <c r="X1818" s="56" t="str">
        <f>MID(Tabla1[[#This Row],[Aplicación]],14,6)</f>
        <v>214</v>
      </c>
    </row>
    <row r="1819" spans="1:24" x14ac:dyDescent="0.25">
      <c r="A1819" s="55">
        <v>220230009173</v>
      </c>
      <c r="B1819" s="47" t="s">
        <v>1514</v>
      </c>
      <c r="C1819" s="52">
        <v>45006</v>
      </c>
      <c r="D1819" s="46">
        <v>22023001343</v>
      </c>
      <c r="E1819" s="47" t="s">
        <v>1506</v>
      </c>
      <c r="F1819" s="53">
        <v>284.82</v>
      </c>
      <c r="G1819" s="47" t="s">
        <v>98</v>
      </c>
      <c r="H1819" s="47" t="s">
        <v>3227</v>
      </c>
      <c r="I1819" s="46" t="s">
        <v>1517</v>
      </c>
      <c r="J1819" s="47" t="s">
        <v>519</v>
      </c>
      <c r="K1819" s="47" t="s">
        <v>519</v>
      </c>
      <c r="L1819" s="47" t="s">
        <v>552</v>
      </c>
      <c r="M1819" s="47" t="s">
        <v>514</v>
      </c>
      <c r="N1819" s="47" t="s">
        <v>604</v>
      </c>
      <c r="O1819" s="54" t="s">
        <v>382</v>
      </c>
      <c r="P1819" s="44" t="s">
        <v>309</v>
      </c>
      <c r="Q1819" s="59" t="str">
        <f>MID(Tabla1[[#This Row],[Aplicación]],14,1)</f>
        <v>2</v>
      </c>
      <c r="R1819" s="35" t="s">
        <v>298</v>
      </c>
      <c r="S1819" s="59" t="str">
        <f>MID(Tabla1[[#This Row],[Aplicación]],6,2)</f>
        <v>03</v>
      </c>
      <c r="T1819" s="35" t="str">
        <f>VLOOKUP(Tabla1[[#This Row],[AREA]],Hoja1!A:B,2,FALSE)</f>
        <v>03. Participación ciudadana y deportes</v>
      </c>
      <c r="U1819" s="35" t="str">
        <f>MID(Tabla1[[#This Row],[Aplicación]],9,4)</f>
        <v>9241</v>
      </c>
      <c r="V1819" s="35" t="str">
        <f>VLOOKUP(Tabla1[[#This Row],[PROGRAMA]],Hoja1!A:B,2,FALSE)</f>
        <v>9241. Participación ciudadana</v>
      </c>
      <c r="W1819" s="56" t="str">
        <f>MID(Tabla1[[#This Row],[Aplicación]],14,2)</f>
        <v>21</v>
      </c>
      <c r="X1819" s="56" t="str">
        <f>MID(Tabla1[[#This Row],[Aplicación]],14,6)</f>
        <v>212</v>
      </c>
    </row>
    <row r="1820" spans="1:24" x14ac:dyDescent="0.25">
      <c r="A1820" s="55">
        <v>220230009206</v>
      </c>
      <c r="B1820" s="47" t="s">
        <v>1514</v>
      </c>
      <c r="C1820" s="52">
        <v>45006</v>
      </c>
      <c r="D1820" s="46">
        <v>22023002181</v>
      </c>
      <c r="E1820" s="47" t="s">
        <v>1305</v>
      </c>
      <c r="F1820" s="53">
        <v>29.92</v>
      </c>
      <c r="G1820" s="47" t="s">
        <v>98</v>
      </c>
      <c r="H1820" s="47" t="s">
        <v>3228</v>
      </c>
      <c r="I1820" s="46" t="s">
        <v>1517</v>
      </c>
      <c r="J1820" s="47" t="s">
        <v>519</v>
      </c>
      <c r="K1820" s="47" t="s">
        <v>519</v>
      </c>
      <c r="L1820" s="47" t="s">
        <v>552</v>
      </c>
      <c r="M1820" s="47" t="s">
        <v>514</v>
      </c>
      <c r="N1820" s="47" t="s">
        <v>515</v>
      </c>
      <c r="O1820" s="54" t="s">
        <v>382</v>
      </c>
      <c r="P1820" s="44" t="s">
        <v>309</v>
      </c>
      <c r="Q1820" s="59" t="str">
        <f>MID(Tabla1[[#This Row],[Aplicación]],14,1)</f>
        <v>2</v>
      </c>
      <c r="R1820" s="35" t="s">
        <v>298</v>
      </c>
      <c r="S1820" s="59" t="str">
        <f>MID(Tabla1[[#This Row],[Aplicación]],6,2)</f>
        <v>06</v>
      </c>
      <c r="T1820" s="35" t="str">
        <f>VLOOKUP(Tabla1[[#This Row],[AREA]],Hoja1!A:B,2,FALSE)</f>
        <v>06. Educación, infancia, juventud e igualdad</v>
      </c>
      <c r="U1820" s="35" t="str">
        <f>MID(Tabla1[[#This Row],[Aplicación]],9,4)</f>
        <v>3232</v>
      </c>
      <c r="V1820" s="35" t="str">
        <f>VLOOKUP(Tabla1[[#This Row],[PROGRAMA]],Hoja1!A:B,2,FALSE)</f>
        <v>3232. Conservación y mantenimiento centros educación infantil y primaria</v>
      </c>
      <c r="W1820" s="56" t="str">
        <f>MID(Tabla1[[#This Row],[Aplicación]],14,2)</f>
        <v>21</v>
      </c>
      <c r="X1820" s="56" t="str">
        <f>MID(Tabla1[[#This Row],[Aplicación]],14,6)</f>
        <v>212</v>
      </c>
    </row>
    <row r="1821" spans="1:24" x14ac:dyDescent="0.25">
      <c r="A1821" s="55">
        <v>220230009230</v>
      </c>
      <c r="B1821" s="47" t="s">
        <v>1514</v>
      </c>
      <c r="C1821" s="52">
        <v>45006</v>
      </c>
      <c r="D1821" s="46">
        <v>22023002739</v>
      </c>
      <c r="E1821" s="47" t="s">
        <v>1551</v>
      </c>
      <c r="F1821" s="53">
        <v>189.41</v>
      </c>
      <c r="G1821" s="47" t="s">
        <v>98</v>
      </c>
      <c r="H1821" s="47" t="s">
        <v>3229</v>
      </c>
      <c r="I1821" s="46" t="s">
        <v>1517</v>
      </c>
      <c r="J1821" s="47" t="s">
        <v>519</v>
      </c>
      <c r="K1821" s="47" t="s">
        <v>519</v>
      </c>
      <c r="L1821" s="47" t="s">
        <v>552</v>
      </c>
      <c r="M1821" s="47" t="s">
        <v>514</v>
      </c>
      <c r="N1821" s="47" t="s">
        <v>515</v>
      </c>
      <c r="O1821" s="54" t="s">
        <v>382</v>
      </c>
      <c r="P1821" s="44" t="s">
        <v>309</v>
      </c>
      <c r="Q1821" s="59" t="str">
        <f>MID(Tabla1[[#This Row],[Aplicación]],14,1)</f>
        <v>2</v>
      </c>
      <c r="R1821" s="35" t="s">
        <v>298</v>
      </c>
      <c r="S1821" s="59" t="str">
        <f>MID(Tabla1[[#This Row],[Aplicación]],6,2)</f>
        <v>02</v>
      </c>
      <c r="T1821" s="35" t="str">
        <f>VLOOKUP(Tabla1[[#This Row],[AREA]],Hoja1!A:B,2,FALSE)</f>
        <v>02. Planeamiento urbanístico y vivienda</v>
      </c>
      <c r="U1821" s="35" t="str">
        <f>MID(Tabla1[[#This Row],[Aplicación]],9,4)</f>
        <v>9332</v>
      </c>
      <c r="V1821" s="35" t="str">
        <f>VLOOKUP(Tabla1[[#This Row],[PROGRAMA]],Hoja1!A:B,2,FALSE)</f>
        <v>9332. Mantenimiento de edificios e instalaciones municipales</v>
      </c>
      <c r="W1821" s="56" t="str">
        <f>MID(Tabla1[[#This Row],[Aplicación]],14,2)</f>
        <v>21</v>
      </c>
      <c r="X1821" s="56" t="str">
        <f>MID(Tabla1[[#This Row],[Aplicación]],14,6)</f>
        <v>212</v>
      </c>
    </row>
    <row r="1822" spans="1:24" x14ac:dyDescent="0.25">
      <c r="A1822" s="55">
        <v>220230008929</v>
      </c>
      <c r="B1822" s="47" t="s">
        <v>507</v>
      </c>
      <c r="C1822" s="52">
        <v>45002</v>
      </c>
      <c r="D1822" s="46">
        <v>22023003093</v>
      </c>
      <c r="E1822" s="47" t="s">
        <v>1510</v>
      </c>
      <c r="F1822" s="53">
        <v>156.33000000000001</v>
      </c>
      <c r="G1822" s="47" t="s">
        <v>46</v>
      </c>
      <c r="H1822" s="47" t="s">
        <v>3230</v>
      </c>
      <c r="I1822" s="46" t="s">
        <v>511</v>
      </c>
      <c r="J1822" s="47" t="s">
        <v>519</v>
      </c>
      <c r="K1822" s="47" t="s">
        <v>519</v>
      </c>
      <c r="L1822" s="47" t="s">
        <v>552</v>
      </c>
      <c r="M1822" s="47" t="s">
        <v>976</v>
      </c>
      <c r="N1822" s="47" t="s">
        <v>839</v>
      </c>
      <c r="O1822" s="54" t="s">
        <v>383</v>
      </c>
      <c r="P1822" s="44" t="s">
        <v>309</v>
      </c>
      <c r="Q1822" s="59" t="str">
        <f>MID(Tabla1[[#This Row],[Aplicación]],14,1)</f>
        <v>2</v>
      </c>
      <c r="R1822" s="35" t="s">
        <v>298</v>
      </c>
      <c r="S1822" s="59" t="str">
        <f>MID(Tabla1[[#This Row],[Aplicación]],6,2)</f>
        <v>10</v>
      </c>
      <c r="T1822" s="35" t="str">
        <f>VLOOKUP(Tabla1[[#This Row],[AREA]],Hoja1!A:B,2,FALSE)</f>
        <v>10. Servicios sociales y mediación comunitaria</v>
      </c>
      <c r="U1822" s="35" t="str">
        <f>MID(Tabla1[[#This Row],[Aplicación]],9,4)</f>
        <v>2311</v>
      </c>
      <c r="V1822" s="35" t="str">
        <f>VLOOKUP(Tabla1[[#This Row],[PROGRAMA]],Hoja1!A:B,2,FALSE)</f>
        <v>2311. Intervención social</v>
      </c>
      <c r="W1822" s="56" t="str">
        <f>MID(Tabla1[[#This Row],[Aplicación]],14,2)</f>
        <v>21</v>
      </c>
      <c r="X1822" s="56" t="str">
        <f>MID(Tabla1[[#This Row],[Aplicación]],14,6)</f>
        <v>212</v>
      </c>
    </row>
    <row r="1823" spans="1:24" x14ac:dyDescent="0.25">
      <c r="A1823" s="55">
        <v>220230009483</v>
      </c>
      <c r="B1823" s="47" t="s">
        <v>507</v>
      </c>
      <c r="C1823" s="52">
        <v>45006</v>
      </c>
      <c r="D1823" s="46">
        <v>22023003449</v>
      </c>
      <c r="E1823" s="47" t="s">
        <v>2458</v>
      </c>
      <c r="F1823" s="53">
        <v>2000</v>
      </c>
      <c r="G1823" s="47" t="s">
        <v>46</v>
      </c>
      <c r="H1823" s="47" t="s">
        <v>3231</v>
      </c>
      <c r="I1823" s="46" t="s">
        <v>511</v>
      </c>
      <c r="J1823" s="47" t="s">
        <v>519</v>
      </c>
      <c r="K1823" s="47" t="s">
        <v>519</v>
      </c>
      <c r="L1823" s="47" t="s">
        <v>552</v>
      </c>
      <c r="M1823" s="47" t="s">
        <v>976</v>
      </c>
      <c r="N1823" s="47" t="s">
        <v>839</v>
      </c>
      <c r="O1823" s="54" t="s">
        <v>383</v>
      </c>
      <c r="P1823" s="44" t="s">
        <v>309</v>
      </c>
      <c r="Q1823" s="59" t="str">
        <f>MID(Tabla1[[#This Row],[Aplicación]],14,1)</f>
        <v>2</v>
      </c>
      <c r="R1823" s="35" t="s">
        <v>298</v>
      </c>
      <c r="S1823" s="59" t="str">
        <f>MID(Tabla1[[#This Row],[Aplicación]],6,2)</f>
        <v>06</v>
      </c>
      <c r="T1823" s="35" t="str">
        <f>VLOOKUP(Tabla1[[#This Row],[AREA]],Hoja1!A:B,2,FALSE)</f>
        <v>06. Educación, infancia, juventud e igualdad</v>
      </c>
      <c r="U1823" s="35" t="str">
        <f>MID(Tabla1[[#This Row],[Aplicación]],9,4)</f>
        <v>3231</v>
      </c>
      <c r="V1823" s="35" t="str">
        <f>VLOOKUP(Tabla1[[#This Row],[PROGRAMA]],Hoja1!A:B,2,FALSE)</f>
        <v>3231. Escuelas infantiles</v>
      </c>
      <c r="W1823" s="56" t="str">
        <f>MID(Tabla1[[#This Row],[Aplicación]],14,2)</f>
        <v>21</v>
      </c>
      <c r="X1823" s="56" t="str">
        <f>MID(Tabla1[[#This Row],[Aplicación]],14,6)</f>
        <v>212</v>
      </c>
    </row>
    <row r="1824" spans="1:24" x14ac:dyDescent="0.25">
      <c r="A1824" s="55">
        <v>220230009236</v>
      </c>
      <c r="B1824" s="47" t="s">
        <v>1514</v>
      </c>
      <c r="C1824" s="52">
        <v>45006</v>
      </c>
      <c r="D1824" s="46">
        <v>22023002739</v>
      </c>
      <c r="E1824" s="47" t="s">
        <v>1551</v>
      </c>
      <c r="F1824" s="53">
        <v>54.51</v>
      </c>
      <c r="G1824" s="47" t="s">
        <v>98</v>
      </c>
      <c r="H1824" s="47" t="s">
        <v>3232</v>
      </c>
      <c r="I1824" s="46" t="s">
        <v>1517</v>
      </c>
      <c r="J1824" s="47" t="s">
        <v>519</v>
      </c>
      <c r="K1824" s="47" t="s">
        <v>519</v>
      </c>
      <c r="L1824" s="47" t="s">
        <v>552</v>
      </c>
      <c r="M1824" s="47" t="s">
        <v>514</v>
      </c>
      <c r="N1824" s="47" t="s">
        <v>515</v>
      </c>
      <c r="O1824" s="54" t="s">
        <v>382</v>
      </c>
      <c r="P1824" s="44" t="s">
        <v>309</v>
      </c>
      <c r="Q1824" s="59" t="str">
        <f>MID(Tabla1[[#This Row],[Aplicación]],14,1)</f>
        <v>2</v>
      </c>
      <c r="R1824" s="35" t="s">
        <v>298</v>
      </c>
      <c r="S1824" s="59" t="str">
        <f>MID(Tabla1[[#This Row],[Aplicación]],6,2)</f>
        <v>02</v>
      </c>
      <c r="T1824" s="35" t="str">
        <f>VLOOKUP(Tabla1[[#This Row],[AREA]],Hoja1!A:B,2,FALSE)</f>
        <v>02. Planeamiento urbanístico y vivienda</v>
      </c>
      <c r="U1824" s="35" t="str">
        <f>MID(Tabla1[[#This Row],[Aplicación]],9,4)</f>
        <v>9332</v>
      </c>
      <c r="V1824" s="35" t="str">
        <f>VLOOKUP(Tabla1[[#This Row],[PROGRAMA]],Hoja1!A:B,2,FALSE)</f>
        <v>9332. Mantenimiento de edificios e instalaciones municipales</v>
      </c>
      <c r="W1824" s="56" t="str">
        <f>MID(Tabla1[[#This Row],[Aplicación]],14,2)</f>
        <v>21</v>
      </c>
      <c r="X1824" s="56" t="str">
        <f>MID(Tabla1[[#This Row],[Aplicación]],14,6)</f>
        <v>212</v>
      </c>
    </row>
    <row r="1825" spans="1:24" x14ac:dyDescent="0.25">
      <c r="A1825" s="55">
        <v>220230009238</v>
      </c>
      <c r="B1825" s="47" t="s">
        <v>1514</v>
      </c>
      <c r="C1825" s="52">
        <v>45006</v>
      </c>
      <c r="D1825" s="46">
        <v>22023002739</v>
      </c>
      <c r="E1825" s="47" t="s">
        <v>1551</v>
      </c>
      <c r="F1825" s="53">
        <v>33.67</v>
      </c>
      <c r="G1825" s="47" t="s">
        <v>98</v>
      </c>
      <c r="H1825" s="47" t="s">
        <v>3233</v>
      </c>
      <c r="I1825" s="46" t="s">
        <v>1517</v>
      </c>
      <c r="J1825" s="47" t="s">
        <v>519</v>
      </c>
      <c r="K1825" s="47" t="s">
        <v>519</v>
      </c>
      <c r="L1825" s="47" t="s">
        <v>552</v>
      </c>
      <c r="M1825" s="47" t="s">
        <v>514</v>
      </c>
      <c r="N1825" s="47" t="s">
        <v>515</v>
      </c>
      <c r="O1825" s="54" t="s">
        <v>382</v>
      </c>
      <c r="P1825" s="44" t="s">
        <v>309</v>
      </c>
      <c r="Q1825" s="59" t="str">
        <f>MID(Tabla1[[#This Row],[Aplicación]],14,1)</f>
        <v>2</v>
      </c>
      <c r="R1825" s="35" t="s">
        <v>298</v>
      </c>
      <c r="S1825" s="59" t="str">
        <f>MID(Tabla1[[#This Row],[Aplicación]],6,2)</f>
        <v>02</v>
      </c>
      <c r="T1825" s="35" t="str">
        <f>VLOOKUP(Tabla1[[#This Row],[AREA]],Hoja1!A:B,2,FALSE)</f>
        <v>02. Planeamiento urbanístico y vivienda</v>
      </c>
      <c r="U1825" s="35" t="str">
        <f>MID(Tabla1[[#This Row],[Aplicación]],9,4)</f>
        <v>9332</v>
      </c>
      <c r="V1825" s="35" t="str">
        <f>VLOOKUP(Tabla1[[#This Row],[PROGRAMA]],Hoja1!A:B,2,FALSE)</f>
        <v>9332. Mantenimiento de edificios e instalaciones municipales</v>
      </c>
      <c r="W1825" s="56" t="str">
        <f>MID(Tabla1[[#This Row],[Aplicación]],14,2)</f>
        <v>21</v>
      </c>
      <c r="X1825" s="56" t="str">
        <f>MID(Tabla1[[#This Row],[Aplicación]],14,6)</f>
        <v>212</v>
      </c>
    </row>
    <row r="1826" spans="1:24" x14ac:dyDescent="0.25">
      <c r="A1826" s="55">
        <v>220230009273</v>
      </c>
      <c r="B1826" s="47" t="s">
        <v>1514</v>
      </c>
      <c r="C1826" s="52">
        <v>45006</v>
      </c>
      <c r="D1826" s="46">
        <v>22023001467</v>
      </c>
      <c r="E1826" s="47" t="s">
        <v>1512</v>
      </c>
      <c r="F1826" s="53">
        <v>338.24</v>
      </c>
      <c r="G1826" s="47" t="s">
        <v>98</v>
      </c>
      <c r="H1826" s="47" t="s">
        <v>3234</v>
      </c>
      <c r="I1826" s="46" t="s">
        <v>1517</v>
      </c>
      <c r="J1826" s="47" t="s">
        <v>519</v>
      </c>
      <c r="K1826" s="47" t="s">
        <v>519</v>
      </c>
      <c r="L1826" s="47" t="s">
        <v>552</v>
      </c>
      <c r="M1826" s="47" t="s">
        <v>514</v>
      </c>
      <c r="N1826" s="47" t="s">
        <v>515</v>
      </c>
      <c r="O1826" s="54" t="s">
        <v>382</v>
      </c>
      <c r="P1826" s="44" t="s">
        <v>309</v>
      </c>
      <c r="Q1826" s="59" t="str">
        <f>MID(Tabla1[[#This Row],[Aplicación]],14,1)</f>
        <v>2</v>
      </c>
      <c r="R1826" s="35" t="s">
        <v>298</v>
      </c>
      <c r="S1826" s="59" t="str">
        <f>MID(Tabla1[[#This Row],[Aplicación]],6,2)</f>
        <v>10</v>
      </c>
      <c r="T1826" s="35" t="str">
        <f>VLOOKUP(Tabla1[[#This Row],[AREA]],Hoja1!A:B,2,FALSE)</f>
        <v>10. Servicios sociales y mediación comunitaria</v>
      </c>
      <c r="U1826" s="35" t="str">
        <f>MID(Tabla1[[#This Row],[Aplicación]],9,4)</f>
        <v>2312</v>
      </c>
      <c r="V1826" s="35" t="str">
        <f>VLOOKUP(Tabla1[[#This Row],[PROGRAMA]],Hoja1!A:B,2,FALSE)</f>
        <v>2312. Iniciativas sociales</v>
      </c>
      <c r="W1826" s="56" t="str">
        <f>MID(Tabla1[[#This Row],[Aplicación]],14,2)</f>
        <v>21</v>
      </c>
      <c r="X1826" s="56" t="str">
        <f>MID(Tabla1[[#This Row],[Aplicación]],14,6)</f>
        <v>212</v>
      </c>
    </row>
    <row r="1827" spans="1:24" x14ac:dyDescent="0.25">
      <c r="A1827" s="55">
        <v>220230009300</v>
      </c>
      <c r="B1827" s="47" t="s">
        <v>1514</v>
      </c>
      <c r="C1827" s="52">
        <v>45006</v>
      </c>
      <c r="D1827" s="46">
        <v>22023002185</v>
      </c>
      <c r="E1827" s="47" t="s">
        <v>2458</v>
      </c>
      <c r="F1827" s="53">
        <v>18.940000000000001</v>
      </c>
      <c r="G1827" s="47" t="s">
        <v>98</v>
      </c>
      <c r="H1827" s="47" t="s">
        <v>3235</v>
      </c>
      <c r="I1827" s="46" t="s">
        <v>1517</v>
      </c>
      <c r="J1827" s="47" t="s">
        <v>519</v>
      </c>
      <c r="K1827" s="47" t="s">
        <v>519</v>
      </c>
      <c r="L1827" s="47" t="s">
        <v>552</v>
      </c>
      <c r="M1827" s="47" t="s">
        <v>514</v>
      </c>
      <c r="N1827" s="47" t="s">
        <v>515</v>
      </c>
      <c r="O1827" s="54" t="s">
        <v>382</v>
      </c>
      <c r="P1827" s="44" t="s">
        <v>309</v>
      </c>
      <c r="Q1827" s="59" t="str">
        <f>MID(Tabla1[[#This Row],[Aplicación]],14,1)</f>
        <v>2</v>
      </c>
      <c r="R1827" s="35" t="s">
        <v>298</v>
      </c>
      <c r="S1827" s="59" t="str">
        <f>MID(Tabla1[[#This Row],[Aplicación]],6,2)</f>
        <v>06</v>
      </c>
      <c r="T1827" s="35" t="str">
        <f>VLOOKUP(Tabla1[[#This Row],[AREA]],Hoja1!A:B,2,FALSE)</f>
        <v>06. Educación, infancia, juventud e igualdad</v>
      </c>
      <c r="U1827" s="35" t="str">
        <f>MID(Tabla1[[#This Row],[Aplicación]],9,4)</f>
        <v>3231</v>
      </c>
      <c r="V1827" s="35" t="str">
        <f>VLOOKUP(Tabla1[[#This Row],[PROGRAMA]],Hoja1!A:B,2,FALSE)</f>
        <v>3231. Escuelas infantiles</v>
      </c>
      <c r="W1827" s="56" t="str">
        <f>MID(Tabla1[[#This Row],[Aplicación]],14,2)</f>
        <v>21</v>
      </c>
      <c r="X1827" s="56" t="str">
        <f>MID(Tabla1[[#This Row],[Aplicación]],14,6)</f>
        <v>212</v>
      </c>
    </row>
    <row r="1828" spans="1:24" x14ac:dyDescent="0.25">
      <c r="A1828" s="55">
        <v>220230009401</v>
      </c>
      <c r="B1828" s="47" t="s">
        <v>1514</v>
      </c>
      <c r="C1828" s="52">
        <v>45006</v>
      </c>
      <c r="D1828" s="46">
        <v>22023002378</v>
      </c>
      <c r="E1828" s="47" t="s">
        <v>1362</v>
      </c>
      <c r="F1828" s="53">
        <v>105.26</v>
      </c>
      <c r="G1828" s="47" t="s">
        <v>98</v>
      </c>
      <c r="H1828" s="47" t="s">
        <v>3236</v>
      </c>
      <c r="I1828" s="46" t="s">
        <v>1517</v>
      </c>
      <c r="J1828" s="47" t="s">
        <v>519</v>
      </c>
      <c r="K1828" s="47" t="s">
        <v>519</v>
      </c>
      <c r="L1828" s="47" t="s">
        <v>552</v>
      </c>
      <c r="M1828" s="47" t="s">
        <v>514</v>
      </c>
      <c r="N1828" s="47" t="s">
        <v>515</v>
      </c>
      <c r="O1828" s="54" t="s">
        <v>382</v>
      </c>
      <c r="P1828" s="44" t="s">
        <v>309</v>
      </c>
      <c r="Q1828" s="59" t="str">
        <f>MID(Tabla1[[#This Row],[Aplicación]],14,1)</f>
        <v>2</v>
      </c>
      <c r="R1828" s="35" t="s">
        <v>298</v>
      </c>
      <c r="S1828" s="59" t="str">
        <f>MID(Tabla1[[#This Row],[Aplicación]],6,2)</f>
        <v>09</v>
      </c>
      <c r="T1828" s="35" t="str">
        <f>VLOOKUP(Tabla1[[#This Row],[AREA]],Hoja1!A:B,2,FALSE)</f>
        <v>09. Cultura y turismo</v>
      </c>
      <c r="U1828" s="35" t="str">
        <f>MID(Tabla1[[#This Row],[Aplicación]],9,4)</f>
        <v>3341</v>
      </c>
      <c r="V1828" s="35" t="str">
        <f>VLOOKUP(Tabla1[[#This Row],[PROGRAMA]],Hoja1!A:B,2,FALSE)</f>
        <v>3341. Coordinación de políticas culturales</v>
      </c>
      <c r="W1828" s="56" t="str">
        <f>MID(Tabla1[[#This Row],[Aplicación]],14,2)</f>
        <v>21</v>
      </c>
      <c r="X1828" s="56" t="str">
        <f>MID(Tabla1[[#This Row],[Aplicación]],14,6)</f>
        <v>213</v>
      </c>
    </row>
    <row r="1829" spans="1:24" x14ac:dyDescent="0.25">
      <c r="A1829" s="46">
        <v>220219000185</v>
      </c>
      <c r="B1829" s="47" t="s">
        <v>507</v>
      </c>
      <c r="C1829" s="52">
        <v>44927</v>
      </c>
      <c r="D1829" s="46">
        <v>22023003271</v>
      </c>
      <c r="E1829" s="47" t="s">
        <v>3237</v>
      </c>
      <c r="F1829" s="53">
        <v>0.01</v>
      </c>
      <c r="G1829" s="47" t="s">
        <v>3238</v>
      </c>
      <c r="H1829" s="47" t="s">
        <v>3239</v>
      </c>
      <c r="I1829" s="46" t="s">
        <v>511</v>
      </c>
      <c r="J1829" s="47" t="s">
        <v>512</v>
      </c>
      <c r="K1829" s="47" t="s">
        <v>512</v>
      </c>
      <c r="L1829" s="47" t="s">
        <v>520</v>
      </c>
      <c r="M1829" s="47" t="s">
        <v>838</v>
      </c>
      <c r="N1829" s="47" t="s">
        <v>839</v>
      </c>
      <c r="O1829" s="45" t="s">
        <v>373</v>
      </c>
      <c r="P1829" s="44" t="s">
        <v>309</v>
      </c>
      <c r="Q1829" s="59" t="str">
        <f>MID(Tabla1[[#This Row],[Aplicación]],14,1)</f>
        <v>2</v>
      </c>
      <c r="R1829" s="35" t="s">
        <v>298</v>
      </c>
      <c r="S1829" s="59" t="str">
        <f>MID(Tabla1[[#This Row],[Aplicación]],6,2)</f>
        <v>02</v>
      </c>
      <c r="T1829" s="35" t="str">
        <f>VLOOKUP(Tabla1[[#This Row],[AREA]],Hoja1!A:B,2,FALSE)</f>
        <v>02. Planeamiento urbanístico y vivienda</v>
      </c>
      <c r="U1829" s="35" t="str">
        <f>MID(Tabla1[[#This Row],[Aplicación]],9,4)</f>
        <v>1501</v>
      </c>
      <c r="V1829" s="35" t="str">
        <f>VLOOKUP(Tabla1[[#This Row],[PROGRAMA]],Hoja1!A:B,2,FALSE)</f>
        <v>1501. Dirección del área de urbanismo</v>
      </c>
      <c r="W1829" s="56" t="str">
        <f>MID(Tabla1[[#This Row],[Aplicación]],14,2)</f>
        <v>22</v>
      </c>
      <c r="X1829" s="56" t="str">
        <f>MID(Tabla1[[#This Row],[Aplicación]],14,6)</f>
        <v>224</v>
      </c>
    </row>
    <row r="1830" spans="1:24" x14ac:dyDescent="0.25">
      <c r="A1830" s="55">
        <v>220230012871</v>
      </c>
      <c r="B1830" s="47" t="s">
        <v>507</v>
      </c>
      <c r="C1830" s="52">
        <v>45016</v>
      </c>
      <c r="D1830" s="46">
        <v>22023003688</v>
      </c>
      <c r="E1830" s="47" t="s">
        <v>1506</v>
      </c>
      <c r="F1830" s="53">
        <v>247.66</v>
      </c>
      <c r="G1830" s="47" t="s">
        <v>46</v>
      </c>
      <c r="H1830" s="47" t="s">
        <v>3240</v>
      </c>
      <c r="I1830" s="46" t="s">
        <v>511</v>
      </c>
      <c r="J1830" s="47" t="s">
        <v>519</v>
      </c>
      <c r="K1830" s="47" t="s">
        <v>519</v>
      </c>
      <c r="L1830" s="47" t="s">
        <v>552</v>
      </c>
      <c r="M1830" s="47" t="s">
        <v>976</v>
      </c>
      <c r="N1830" s="47" t="s">
        <v>839</v>
      </c>
      <c r="O1830" s="54" t="s">
        <v>383</v>
      </c>
      <c r="P1830" s="44" t="s">
        <v>309</v>
      </c>
      <c r="Q1830" s="59" t="str">
        <f>MID(Tabla1[[#This Row],[Aplicación]],14,1)</f>
        <v>2</v>
      </c>
      <c r="R1830" s="35" t="s">
        <v>298</v>
      </c>
      <c r="S1830" s="59" t="str">
        <f>MID(Tabla1[[#This Row],[Aplicación]],6,2)</f>
        <v>03</v>
      </c>
      <c r="T1830" s="35" t="str">
        <f>VLOOKUP(Tabla1[[#This Row],[AREA]],Hoja1!A:B,2,FALSE)</f>
        <v>03. Participación ciudadana y deportes</v>
      </c>
      <c r="U1830" s="35" t="str">
        <f>MID(Tabla1[[#This Row],[Aplicación]],9,4)</f>
        <v>9241</v>
      </c>
      <c r="V1830" s="35" t="str">
        <f>VLOOKUP(Tabla1[[#This Row],[PROGRAMA]],Hoja1!A:B,2,FALSE)</f>
        <v>9241. Participación ciudadana</v>
      </c>
      <c r="W1830" s="56" t="str">
        <f>MID(Tabla1[[#This Row],[Aplicación]],14,2)</f>
        <v>21</v>
      </c>
      <c r="X1830" s="56" t="str">
        <f>MID(Tabla1[[#This Row],[Aplicación]],14,6)</f>
        <v>212</v>
      </c>
    </row>
    <row r="1831" spans="1:24" x14ac:dyDescent="0.25">
      <c r="A1831" s="46">
        <v>220229000743</v>
      </c>
      <c r="B1831" s="47" t="s">
        <v>507</v>
      </c>
      <c r="C1831" s="52">
        <v>44927</v>
      </c>
      <c r="D1831" s="46">
        <v>22023001313</v>
      </c>
      <c r="E1831" s="47" t="s">
        <v>817</v>
      </c>
      <c r="F1831" s="53">
        <v>4147.0600000000004</v>
      </c>
      <c r="G1831" s="47" t="s">
        <v>495</v>
      </c>
      <c r="H1831" s="47" t="s">
        <v>3241</v>
      </c>
      <c r="I1831" s="46" t="s">
        <v>511</v>
      </c>
      <c r="J1831" s="47" t="s">
        <v>519</v>
      </c>
      <c r="K1831" s="47" t="s">
        <v>519</v>
      </c>
      <c r="L1831" s="47" t="s">
        <v>520</v>
      </c>
      <c r="M1831" s="47" t="s">
        <v>976</v>
      </c>
      <c r="N1831" s="47" t="s">
        <v>839</v>
      </c>
      <c r="O1831" s="54" t="s">
        <v>383</v>
      </c>
      <c r="P1831" s="44" t="s">
        <v>309</v>
      </c>
      <c r="Q1831" s="59" t="str">
        <f>MID(Tabla1[[#This Row],[Aplicación]],14,1)</f>
        <v>6</v>
      </c>
      <c r="R1831" s="35" t="s">
        <v>299</v>
      </c>
      <c r="S1831" s="59" t="str">
        <f>MID(Tabla1[[#This Row],[Aplicación]],6,2)</f>
        <v>05</v>
      </c>
      <c r="T1831" s="35" t="str">
        <f>VLOOKUP(Tabla1[[#This Row],[AREA]],Hoja1!A:B,2,FALSE)</f>
        <v>05. Innovación, desarrollo económico, empleo y comercio</v>
      </c>
      <c r="U1831" s="35" t="str">
        <f>MID(Tabla1[[#This Row],[Aplicación]],9,4)</f>
        <v>4331</v>
      </c>
      <c r="V1831" s="35" t="str">
        <f>VLOOKUP(Tabla1[[#This Row],[PROGRAMA]],Hoja1!A:B,2,FALSE)</f>
        <v>4331. Desarrollo empresarial</v>
      </c>
      <c r="W1831" s="56" t="str">
        <f>MID(Tabla1[[#This Row],[Aplicación]],14,2)</f>
        <v>60</v>
      </c>
      <c r="X1831" s="56" t="str">
        <f>MID(Tabla1[[#This Row],[Aplicación]],14,6)</f>
        <v>609</v>
      </c>
    </row>
    <row r="1832" spans="1:24" x14ac:dyDescent="0.25">
      <c r="A1832" s="55">
        <v>220230009419</v>
      </c>
      <c r="B1832" s="47" t="s">
        <v>1514</v>
      </c>
      <c r="C1832" s="52">
        <v>45006</v>
      </c>
      <c r="D1832" s="46">
        <v>22023001476</v>
      </c>
      <c r="E1832" s="47" t="s">
        <v>2662</v>
      </c>
      <c r="F1832" s="53">
        <v>26.24</v>
      </c>
      <c r="G1832" s="47" t="s">
        <v>98</v>
      </c>
      <c r="H1832" s="47" t="s">
        <v>3242</v>
      </c>
      <c r="I1832" s="46" t="s">
        <v>1517</v>
      </c>
      <c r="J1832" s="47" t="s">
        <v>519</v>
      </c>
      <c r="K1832" s="47" t="s">
        <v>519</v>
      </c>
      <c r="L1832" s="47" t="s">
        <v>552</v>
      </c>
      <c r="M1832" s="47" t="s">
        <v>514</v>
      </c>
      <c r="N1832" s="47" t="s">
        <v>515</v>
      </c>
      <c r="O1832" s="54" t="s">
        <v>382</v>
      </c>
      <c r="P1832" s="44" t="s">
        <v>309</v>
      </c>
      <c r="Q1832" s="59" t="str">
        <f>MID(Tabla1[[#This Row],[Aplicación]],14,1)</f>
        <v>2</v>
      </c>
      <c r="R1832" s="35" t="s">
        <v>298</v>
      </c>
      <c r="S1832" s="59" t="str">
        <f>MID(Tabla1[[#This Row],[Aplicación]],6,2)</f>
        <v>11</v>
      </c>
      <c r="T1832" s="35" t="str">
        <f>VLOOKUP(Tabla1[[#This Row],[AREA]],Hoja1!A:B,2,FALSE)</f>
        <v>11. Salud pública y seguridad ciudadana</v>
      </c>
      <c r="U1832" s="35" t="str">
        <f>MID(Tabla1[[#This Row],[Aplicación]],9,4)</f>
        <v>1631</v>
      </c>
      <c r="V1832" s="35" t="str">
        <f>VLOOKUP(Tabla1[[#This Row],[PROGRAMA]],Hoja1!A:B,2,FALSE)</f>
        <v>1631. Limpieza viaria</v>
      </c>
      <c r="W1832" s="56" t="str">
        <f>MID(Tabla1[[#This Row],[Aplicación]],14,2)</f>
        <v>22</v>
      </c>
      <c r="X1832" s="56" t="str">
        <f>MID(Tabla1[[#This Row],[Aplicación]],14,6)</f>
        <v>22199</v>
      </c>
    </row>
    <row r="1833" spans="1:24" x14ac:dyDescent="0.25">
      <c r="A1833" s="46">
        <v>220230006730</v>
      </c>
      <c r="B1833" s="47" t="s">
        <v>507</v>
      </c>
      <c r="C1833" s="52">
        <v>44986</v>
      </c>
      <c r="D1833" s="46">
        <v>22023002762</v>
      </c>
      <c r="E1833" s="47" t="s">
        <v>1303</v>
      </c>
      <c r="F1833" s="53">
        <v>300</v>
      </c>
      <c r="G1833" s="47" t="s">
        <v>3243</v>
      </c>
      <c r="H1833" s="47" t="s">
        <v>3244</v>
      </c>
      <c r="I1833" s="46" t="s">
        <v>511</v>
      </c>
      <c r="J1833" s="47" t="s">
        <v>755</v>
      </c>
      <c r="K1833" s="47" t="s">
        <v>755</v>
      </c>
      <c r="L1833" s="47" t="s">
        <v>552</v>
      </c>
      <c r="M1833" s="47" t="s">
        <v>976</v>
      </c>
      <c r="N1833" s="47" t="s">
        <v>839</v>
      </c>
      <c r="O1833" s="45" t="s">
        <v>383</v>
      </c>
      <c r="P1833" s="44" t="s">
        <v>309</v>
      </c>
      <c r="Q1833" s="59" t="str">
        <f>MID(Tabla1[[#This Row],[Aplicación]],14,1)</f>
        <v>2</v>
      </c>
      <c r="R1833" s="35" t="s">
        <v>298</v>
      </c>
      <c r="S1833" s="59" t="str">
        <f>MID(Tabla1[[#This Row],[Aplicación]],6,2)</f>
        <v>11</v>
      </c>
      <c r="T1833" s="35" t="str">
        <f>VLOOKUP(Tabla1[[#This Row],[AREA]],Hoja1!A:B,2,FALSE)</f>
        <v>11. Salud pública y seguridad ciudadana</v>
      </c>
      <c r="U1833" s="35" t="str">
        <f>MID(Tabla1[[#This Row],[Aplicación]],9,4)</f>
        <v>1321</v>
      </c>
      <c r="V1833" s="35" t="str">
        <f>VLOOKUP(Tabla1[[#This Row],[PROGRAMA]],Hoja1!A:B,2,FALSE)</f>
        <v>1321. Policía municipal</v>
      </c>
      <c r="W1833" s="56" t="str">
        <f>MID(Tabla1[[#This Row],[Aplicación]],14,2)</f>
        <v>22</v>
      </c>
      <c r="X1833" s="56" t="str">
        <f>MID(Tabla1[[#This Row],[Aplicación]],14,6)</f>
        <v>22699</v>
      </c>
    </row>
    <row r="1834" spans="1:24" x14ac:dyDescent="0.25">
      <c r="A1834" s="46">
        <v>220230001924</v>
      </c>
      <c r="B1834" s="47" t="s">
        <v>507</v>
      </c>
      <c r="C1834" s="52">
        <v>44960</v>
      </c>
      <c r="D1834" s="46">
        <v>22023000561</v>
      </c>
      <c r="E1834" s="47" t="s">
        <v>598</v>
      </c>
      <c r="F1834" s="53">
        <v>1815</v>
      </c>
      <c r="G1834" s="47" t="s">
        <v>3245</v>
      </c>
      <c r="H1834" s="47" t="s">
        <v>3246</v>
      </c>
      <c r="I1834" s="46" t="s">
        <v>511</v>
      </c>
      <c r="J1834" s="47" t="s">
        <v>3247</v>
      </c>
      <c r="K1834" s="47" t="s">
        <v>519</v>
      </c>
      <c r="L1834" s="47" t="s">
        <v>520</v>
      </c>
      <c r="M1834" s="47" t="s">
        <v>976</v>
      </c>
      <c r="N1834" s="47" t="s">
        <v>839</v>
      </c>
      <c r="O1834" s="45" t="s">
        <v>383</v>
      </c>
      <c r="P1834" s="44" t="s">
        <v>309</v>
      </c>
      <c r="Q1834" s="59" t="str">
        <f>MID(Tabla1[[#This Row],[Aplicación]],14,1)</f>
        <v>2</v>
      </c>
      <c r="R1834" s="35" t="s">
        <v>298</v>
      </c>
      <c r="S1834" s="59" t="str">
        <f>MID(Tabla1[[#This Row],[Aplicación]],6,2)</f>
        <v>01</v>
      </c>
      <c r="T1834" s="35" t="str">
        <f>VLOOKUP(Tabla1[[#This Row],[AREA]],Hoja1!A:B,2,FALSE)</f>
        <v>01. Alcaldía</v>
      </c>
      <c r="U1834" s="35" t="str">
        <f>MID(Tabla1[[#This Row],[Aplicación]],9,4)</f>
        <v>9205</v>
      </c>
      <c r="V1834" s="35" t="str">
        <f>VLOOKUP(Tabla1[[#This Row],[PROGRAMA]],Hoja1!A:B,2,FALSE)</f>
        <v>9205. Imprenta municipal</v>
      </c>
      <c r="W1834" s="56" t="str">
        <f>MID(Tabla1[[#This Row],[Aplicación]],14,2)</f>
        <v>21</v>
      </c>
      <c r="X1834" s="56" t="str">
        <f>MID(Tabla1[[#This Row],[Aplicación]],14,6)</f>
        <v>213</v>
      </c>
    </row>
    <row r="1835" spans="1:24" x14ac:dyDescent="0.25">
      <c r="A1835" s="55">
        <v>220230009357</v>
      </c>
      <c r="B1835" s="47" t="s">
        <v>1514</v>
      </c>
      <c r="C1835" s="52">
        <v>45006</v>
      </c>
      <c r="D1835" s="46">
        <v>22023002181</v>
      </c>
      <c r="E1835" s="47" t="s">
        <v>1305</v>
      </c>
      <c r="F1835" s="53">
        <v>709.5</v>
      </c>
      <c r="G1835" s="47" t="s">
        <v>2823</v>
      </c>
      <c r="H1835" s="47" t="s">
        <v>3248</v>
      </c>
      <c r="I1835" s="46" t="s">
        <v>1517</v>
      </c>
      <c r="J1835" s="47" t="s">
        <v>519</v>
      </c>
      <c r="K1835" s="47" t="s">
        <v>519</v>
      </c>
      <c r="L1835" s="47" t="s">
        <v>552</v>
      </c>
      <c r="M1835" s="47" t="s">
        <v>514</v>
      </c>
      <c r="N1835" s="47" t="s">
        <v>515</v>
      </c>
      <c r="O1835" s="54" t="s">
        <v>382</v>
      </c>
      <c r="P1835" s="44" t="s">
        <v>309</v>
      </c>
      <c r="Q1835" s="59" t="str">
        <f>MID(Tabla1[[#This Row],[Aplicación]],14,1)</f>
        <v>2</v>
      </c>
      <c r="R1835" s="35" t="s">
        <v>298</v>
      </c>
      <c r="S1835" s="59" t="str">
        <f>MID(Tabla1[[#This Row],[Aplicación]],6,2)</f>
        <v>06</v>
      </c>
      <c r="T1835" s="35" t="str">
        <f>VLOOKUP(Tabla1[[#This Row],[AREA]],Hoja1!A:B,2,FALSE)</f>
        <v>06. Educación, infancia, juventud e igualdad</v>
      </c>
      <c r="U1835" s="35" t="str">
        <f>MID(Tabla1[[#This Row],[Aplicación]],9,4)</f>
        <v>3232</v>
      </c>
      <c r="V1835" s="35" t="str">
        <f>VLOOKUP(Tabla1[[#This Row],[PROGRAMA]],Hoja1!A:B,2,FALSE)</f>
        <v>3232. Conservación y mantenimiento centros educación infantil y primaria</v>
      </c>
      <c r="W1835" s="56" t="str">
        <f>MID(Tabla1[[#This Row],[Aplicación]],14,2)</f>
        <v>21</v>
      </c>
      <c r="X1835" s="56" t="str">
        <f>MID(Tabla1[[#This Row],[Aplicación]],14,6)</f>
        <v>212</v>
      </c>
    </row>
    <row r="1836" spans="1:24" x14ac:dyDescent="0.25">
      <c r="A1836" s="46">
        <v>220230002392</v>
      </c>
      <c r="B1836" s="47" t="s">
        <v>507</v>
      </c>
      <c r="C1836" s="52">
        <v>44964</v>
      </c>
      <c r="D1836" s="46">
        <v>22023001505</v>
      </c>
      <c r="E1836" s="47" t="s">
        <v>1728</v>
      </c>
      <c r="F1836" s="53">
        <v>11106.59</v>
      </c>
      <c r="G1836" s="47" t="s">
        <v>3249</v>
      </c>
      <c r="H1836" s="47" t="s">
        <v>3250</v>
      </c>
      <c r="I1836" s="46" t="s">
        <v>511</v>
      </c>
      <c r="J1836" s="47" t="s">
        <v>519</v>
      </c>
      <c r="K1836" s="47" t="s">
        <v>519</v>
      </c>
      <c r="L1836" s="47" t="s">
        <v>520</v>
      </c>
      <c r="M1836" s="47" t="s">
        <v>976</v>
      </c>
      <c r="N1836" s="47" t="s">
        <v>839</v>
      </c>
      <c r="O1836" s="45" t="s">
        <v>383</v>
      </c>
      <c r="P1836" s="44" t="s">
        <v>309</v>
      </c>
      <c r="Q1836" s="59" t="str">
        <f>MID(Tabla1[[#This Row],[Aplicación]],14,1)</f>
        <v>2</v>
      </c>
      <c r="R1836" s="35" t="s">
        <v>298</v>
      </c>
      <c r="S1836" s="59" t="str">
        <f>MID(Tabla1[[#This Row],[Aplicación]],6,2)</f>
        <v>08</v>
      </c>
      <c r="T1836" s="35" t="str">
        <f>VLOOKUP(Tabla1[[#This Row],[AREA]],Hoja1!A:B,2,FALSE)</f>
        <v>08. Movilidad y espacio urbano</v>
      </c>
      <c r="U1836" s="35" t="str">
        <f>MID(Tabla1[[#This Row],[Aplicación]],9,4)</f>
        <v>1532</v>
      </c>
      <c r="V1836" s="35" t="str">
        <f>VLOOKUP(Tabla1[[#This Row],[PROGRAMA]],Hoja1!A:B,2,FALSE)</f>
        <v>1532. Pavimentación vias públicas y otros servicios urbanísticos</v>
      </c>
      <c r="W1836" s="56" t="str">
        <f>MID(Tabla1[[#This Row],[Aplicación]],14,2)</f>
        <v>21</v>
      </c>
      <c r="X1836" s="56" t="str">
        <f>MID(Tabla1[[#This Row],[Aplicación]],14,6)</f>
        <v>214</v>
      </c>
    </row>
    <row r="1837" spans="1:24" x14ac:dyDescent="0.25">
      <c r="A1837" s="46">
        <v>220229000019</v>
      </c>
      <c r="B1837" s="47" t="s">
        <v>507</v>
      </c>
      <c r="C1837" s="52">
        <v>44927</v>
      </c>
      <c r="D1837" s="46">
        <v>22023000865</v>
      </c>
      <c r="E1837" s="47" t="s">
        <v>931</v>
      </c>
      <c r="F1837" s="53">
        <v>8873.33</v>
      </c>
      <c r="G1837" s="47" t="s">
        <v>3251</v>
      </c>
      <c r="H1837" s="47" t="s">
        <v>3252</v>
      </c>
      <c r="I1837" s="46" t="s">
        <v>511</v>
      </c>
      <c r="J1837" s="47" t="s">
        <v>1289</v>
      </c>
      <c r="K1837" s="47" t="s">
        <v>1289</v>
      </c>
      <c r="L1837" s="47" t="s">
        <v>520</v>
      </c>
      <c r="M1837" s="47" t="s">
        <v>514</v>
      </c>
      <c r="N1837" s="47" t="s">
        <v>515</v>
      </c>
      <c r="O1837" s="45" t="s">
        <v>371</v>
      </c>
      <c r="P1837" s="44" t="s">
        <v>309</v>
      </c>
      <c r="Q1837" s="59" t="str">
        <f>MID(Tabla1[[#This Row],[Aplicación]],14,1)</f>
        <v>2</v>
      </c>
      <c r="R1837" s="35" t="s">
        <v>298</v>
      </c>
      <c r="S1837" s="59" t="str">
        <f>MID(Tabla1[[#This Row],[Aplicación]],6,2)</f>
        <v>09</v>
      </c>
      <c r="T1837" s="35" t="str">
        <f>VLOOKUP(Tabla1[[#This Row],[AREA]],Hoja1!A:B,2,FALSE)</f>
        <v>09. Cultura y turismo</v>
      </c>
      <c r="U1837" s="35" t="str">
        <f>MID(Tabla1[[#This Row],[Aplicación]],9,4)</f>
        <v>3341</v>
      </c>
      <c r="V1837" s="35" t="str">
        <f>VLOOKUP(Tabla1[[#This Row],[PROGRAMA]],Hoja1!A:B,2,FALSE)</f>
        <v>3341. Coordinación de políticas culturales</v>
      </c>
      <c r="W1837" s="56" t="str">
        <f>MID(Tabla1[[#This Row],[Aplicación]],14,2)</f>
        <v>22</v>
      </c>
      <c r="X1837" s="56" t="str">
        <f>MID(Tabla1[[#This Row],[Aplicación]],14,6)</f>
        <v>22799</v>
      </c>
    </row>
    <row r="1838" spans="1:24" x14ac:dyDescent="0.25">
      <c r="A1838" s="55">
        <v>220230009117</v>
      </c>
      <c r="B1838" s="47" t="s">
        <v>1514</v>
      </c>
      <c r="C1838" s="52">
        <v>45006</v>
      </c>
      <c r="D1838" s="46">
        <v>22023002183</v>
      </c>
      <c r="E1838" s="47" t="s">
        <v>3253</v>
      </c>
      <c r="F1838" s="53">
        <v>13.41</v>
      </c>
      <c r="G1838" s="47" t="s">
        <v>97</v>
      </c>
      <c r="H1838" s="47" t="s">
        <v>3254</v>
      </c>
      <c r="I1838" s="46" t="s">
        <v>1517</v>
      </c>
      <c r="J1838" s="47" t="s">
        <v>519</v>
      </c>
      <c r="K1838" s="47" t="s">
        <v>519</v>
      </c>
      <c r="L1838" s="47" t="s">
        <v>520</v>
      </c>
      <c r="M1838" s="47" t="s">
        <v>514</v>
      </c>
      <c r="N1838" s="47" t="s">
        <v>515</v>
      </c>
      <c r="O1838" s="54" t="s">
        <v>382</v>
      </c>
      <c r="P1838" s="44" t="s">
        <v>309</v>
      </c>
      <c r="Q1838" s="59" t="str">
        <f>MID(Tabla1[[#This Row],[Aplicación]],14,1)</f>
        <v>2</v>
      </c>
      <c r="R1838" s="35" t="s">
        <v>298</v>
      </c>
      <c r="S1838" s="59" t="str">
        <f>MID(Tabla1[[#This Row],[Aplicación]],6,2)</f>
        <v>06</v>
      </c>
      <c r="T1838" s="35" t="str">
        <f>VLOOKUP(Tabla1[[#This Row],[AREA]],Hoja1!A:B,2,FALSE)</f>
        <v>06. Educación, infancia, juventud e igualdad</v>
      </c>
      <c r="U1838" s="35" t="str">
        <f>MID(Tabla1[[#This Row],[Aplicación]],9,4)</f>
        <v>2314</v>
      </c>
      <c r="V1838" s="35" t="str">
        <f>VLOOKUP(Tabla1[[#This Row],[PROGRAMA]],Hoja1!A:B,2,FALSE)</f>
        <v>2314. Centro de programas juveniles</v>
      </c>
      <c r="W1838" s="56" t="str">
        <f>MID(Tabla1[[#This Row],[Aplicación]],14,2)</f>
        <v>21</v>
      </c>
      <c r="X1838" s="56" t="str">
        <f>MID(Tabla1[[#This Row],[Aplicación]],14,6)</f>
        <v>212</v>
      </c>
    </row>
    <row r="1839" spans="1:24" x14ac:dyDescent="0.25">
      <c r="A1839" s="55">
        <v>220230009183</v>
      </c>
      <c r="B1839" s="47" t="s">
        <v>1514</v>
      </c>
      <c r="C1839" s="52">
        <v>45006</v>
      </c>
      <c r="D1839" s="46">
        <v>22023001514</v>
      </c>
      <c r="E1839" s="47" t="s">
        <v>1285</v>
      </c>
      <c r="F1839" s="53">
        <v>128.9</v>
      </c>
      <c r="G1839" s="47" t="s">
        <v>97</v>
      </c>
      <c r="H1839" s="47" t="s">
        <v>3255</v>
      </c>
      <c r="I1839" s="46" t="s">
        <v>1517</v>
      </c>
      <c r="J1839" s="47" t="s">
        <v>519</v>
      </c>
      <c r="K1839" s="47" t="s">
        <v>519</v>
      </c>
      <c r="L1839" s="47" t="s">
        <v>552</v>
      </c>
      <c r="M1839" s="47" t="s">
        <v>514</v>
      </c>
      <c r="N1839" s="47" t="s">
        <v>515</v>
      </c>
      <c r="O1839" s="54" t="s">
        <v>382</v>
      </c>
      <c r="P1839" s="44" t="s">
        <v>309</v>
      </c>
      <c r="Q1839" s="59" t="str">
        <f>MID(Tabla1[[#This Row],[Aplicación]],14,1)</f>
        <v>2</v>
      </c>
      <c r="R1839" s="35" t="s">
        <v>298</v>
      </c>
      <c r="S1839" s="59" t="str">
        <f>MID(Tabla1[[#This Row],[Aplicación]],6,2)</f>
        <v>11</v>
      </c>
      <c r="T1839" s="35" t="str">
        <f>VLOOKUP(Tabla1[[#This Row],[AREA]],Hoja1!A:B,2,FALSE)</f>
        <v>11. Salud pública y seguridad ciudadana</v>
      </c>
      <c r="U1839" s="35" t="str">
        <f>MID(Tabla1[[#This Row],[Aplicación]],9,4)</f>
        <v>1361</v>
      </c>
      <c r="V1839" s="35" t="str">
        <f>VLOOKUP(Tabla1[[#This Row],[PROGRAMA]],Hoja1!A:B,2,FALSE)</f>
        <v>1361. Prevención y extinción de incencios</v>
      </c>
      <c r="W1839" s="56" t="str">
        <f>MID(Tabla1[[#This Row],[Aplicación]],14,2)</f>
        <v>22</v>
      </c>
      <c r="X1839" s="56" t="str">
        <f>MID(Tabla1[[#This Row],[Aplicación]],14,6)</f>
        <v>22199</v>
      </c>
    </row>
    <row r="1840" spans="1:24" x14ac:dyDescent="0.25">
      <c r="A1840" s="55">
        <v>220230009189</v>
      </c>
      <c r="B1840" s="47" t="s">
        <v>1514</v>
      </c>
      <c r="C1840" s="52">
        <v>45006</v>
      </c>
      <c r="D1840" s="46">
        <v>22023001563</v>
      </c>
      <c r="E1840" s="47" t="s">
        <v>741</v>
      </c>
      <c r="F1840" s="53">
        <v>1346.26</v>
      </c>
      <c r="G1840" s="47" t="s">
        <v>97</v>
      </c>
      <c r="H1840" s="47" t="s">
        <v>2887</v>
      </c>
      <c r="I1840" s="46" t="s">
        <v>1517</v>
      </c>
      <c r="J1840" s="47" t="s">
        <v>519</v>
      </c>
      <c r="K1840" s="47" t="s">
        <v>519</v>
      </c>
      <c r="L1840" s="47" t="s">
        <v>552</v>
      </c>
      <c r="M1840" s="47" t="s">
        <v>514</v>
      </c>
      <c r="N1840" s="47" t="s">
        <v>515</v>
      </c>
      <c r="O1840" s="54" t="s">
        <v>382</v>
      </c>
      <c r="P1840" s="44" t="s">
        <v>309</v>
      </c>
      <c r="Q1840" s="59" t="str">
        <f>MID(Tabla1[[#This Row],[Aplicación]],14,1)</f>
        <v>6</v>
      </c>
      <c r="R1840" s="35" t="s">
        <v>299</v>
      </c>
      <c r="S1840" s="59" t="str">
        <f>MID(Tabla1[[#This Row],[Aplicación]],6,2)</f>
        <v>07</v>
      </c>
      <c r="T1840" s="35" t="str">
        <f>VLOOKUP(Tabla1[[#This Row],[AREA]],Hoja1!A:B,2,FALSE)</f>
        <v>07. Medio ambiente y desarrollo sostenible</v>
      </c>
      <c r="U1840" s="35" t="str">
        <f>MID(Tabla1[[#This Row],[Aplicación]],9,4)</f>
        <v>1711</v>
      </c>
      <c r="V1840" s="35" t="str">
        <f>VLOOKUP(Tabla1[[#This Row],[PROGRAMA]],Hoja1!A:B,2,FALSE)</f>
        <v>1711. Parques y jardines</v>
      </c>
      <c r="W1840" s="56" t="str">
        <f>MID(Tabla1[[#This Row],[Aplicación]],14,2)</f>
        <v>61</v>
      </c>
      <c r="X1840" s="56" t="str">
        <f>MID(Tabla1[[#This Row],[Aplicación]],14,6)</f>
        <v>619</v>
      </c>
    </row>
    <row r="1841" spans="1:24" x14ac:dyDescent="0.25">
      <c r="A1841" s="55">
        <v>220230009405</v>
      </c>
      <c r="B1841" s="47" t="s">
        <v>1514</v>
      </c>
      <c r="C1841" s="52">
        <v>45006</v>
      </c>
      <c r="D1841" s="46">
        <v>22023001607</v>
      </c>
      <c r="E1841" s="47" t="s">
        <v>1603</v>
      </c>
      <c r="F1841" s="53">
        <v>170.76</v>
      </c>
      <c r="G1841" s="47" t="s">
        <v>97</v>
      </c>
      <c r="H1841" s="47" t="s">
        <v>3256</v>
      </c>
      <c r="I1841" s="46" t="s">
        <v>1517</v>
      </c>
      <c r="J1841" s="47" t="s">
        <v>519</v>
      </c>
      <c r="K1841" s="47" t="s">
        <v>519</v>
      </c>
      <c r="L1841" s="47" t="s">
        <v>552</v>
      </c>
      <c r="M1841" s="47" t="s">
        <v>514</v>
      </c>
      <c r="N1841" s="47" t="s">
        <v>515</v>
      </c>
      <c r="O1841" s="54" t="s">
        <v>382</v>
      </c>
      <c r="P1841" s="44" t="s">
        <v>309</v>
      </c>
      <c r="Q1841" s="59" t="str">
        <f>MID(Tabla1[[#This Row],[Aplicación]],14,1)</f>
        <v>2</v>
      </c>
      <c r="R1841" s="35" t="s">
        <v>298</v>
      </c>
      <c r="S1841" s="59" t="str">
        <f>MID(Tabla1[[#This Row],[Aplicación]],6,2)</f>
        <v>08</v>
      </c>
      <c r="T1841" s="35" t="str">
        <f>VLOOKUP(Tabla1[[#This Row],[AREA]],Hoja1!A:B,2,FALSE)</f>
        <v>08. Movilidad y espacio urbano</v>
      </c>
      <c r="U1841" s="35" t="str">
        <f>MID(Tabla1[[#This Row],[Aplicación]],9,4)</f>
        <v>1532</v>
      </c>
      <c r="V1841" s="35" t="str">
        <f>VLOOKUP(Tabla1[[#This Row],[PROGRAMA]],Hoja1!A:B,2,FALSE)</f>
        <v>1532. Pavimentación vias públicas y otros servicios urbanísticos</v>
      </c>
      <c r="W1841" s="56" t="str">
        <f>MID(Tabla1[[#This Row],[Aplicación]],14,2)</f>
        <v>21</v>
      </c>
      <c r="X1841" s="56" t="str">
        <f>MID(Tabla1[[#This Row],[Aplicación]],14,6)</f>
        <v>210</v>
      </c>
    </row>
    <row r="1842" spans="1:24" x14ac:dyDescent="0.25">
      <c r="A1842" s="55">
        <v>220230009407</v>
      </c>
      <c r="B1842" s="47" t="s">
        <v>1514</v>
      </c>
      <c r="C1842" s="52">
        <v>45006</v>
      </c>
      <c r="D1842" s="46">
        <v>22023001608</v>
      </c>
      <c r="E1842" s="47" t="s">
        <v>1728</v>
      </c>
      <c r="F1842" s="53">
        <v>339.55</v>
      </c>
      <c r="G1842" s="47" t="s">
        <v>97</v>
      </c>
      <c r="H1842" s="47" t="s">
        <v>3257</v>
      </c>
      <c r="I1842" s="46" t="s">
        <v>1517</v>
      </c>
      <c r="J1842" s="47" t="s">
        <v>519</v>
      </c>
      <c r="K1842" s="47" t="s">
        <v>519</v>
      </c>
      <c r="L1842" s="47" t="s">
        <v>520</v>
      </c>
      <c r="M1842" s="47" t="s">
        <v>514</v>
      </c>
      <c r="N1842" s="47" t="s">
        <v>515</v>
      </c>
      <c r="O1842" s="54" t="s">
        <v>382</v>
      </c>
      <c r="P1842" s="44" t="s">
        <v>309</v>
      </c>
      <c r="Q1842" s="59" t="str">
        <f>MID(Tabla1[[#This Row],[Aplicación]],14,1)</f>
        <v>2</v>
      </c>
      <c r="R1842" s="35" t="s">
        <v>298</v>
      </c>
      <c r="S1842" s="59" t="str">
        <f>MID(Tabla1[[#This Row],[Aplicación]],6,2)</f>
        <v>08</v>
      </c>
      <c r="T1842" s="35" t="str">
        <f>VLOOKUP(Tabla1[[#This Row],[AREA]],Hoja1!A:B,2,FALSE)</f>
        <v>08. Movilidad y espacio urbano</v>
      </c>
      <c r="U1842" s="35" t="str">
        <f>MID(Tabla1[[#This Row],[Aplicación]],9,4)</f>
        <v>1532</v>
      </c>
      <c r="V1842" s="35" t="str">
        <f>VLOOKUP(Tabla1[[#This Row],[PROGRAMA]],Hoja1!A:B,2,FALSE)</f>
        <v>1532. Pavimentación vias públicas y otros servicios urbanísticos</v>
      </c>
      <c r="W1842" s="56" t="str">
        <f>MID(Tabla1[[#This Row],[Aplicación]],14,2)</f>
        <v>21</v>
      </c>
      <c r="X1842" s="56" t="str">
        <f>MID(Tabla1[[#This Row],[Aplicación]],14,6)</f>
        <v>214</v>
      </c>
    </row>
    <row r="1843" spans="1:24" x14ac:dyDescent="0.25">
      <c r="A1843" s="55">
        <v>220230009413</v>
      </c>
      <c r="B1843" s="47" t="s">
        <v>1514</v>
      </c>
      <c r="C1843" s="52">
        <v>45006</v>
      </c>
      <c r="D1843" s="46">
        <v>22023001608</v>
      </c>
      <c r="E1843" s="47" t="s">
        <v>1728</v>
      </c>
      <c r="F1843" s="53">
        <v>54.34</v>
      </c>
      <c r="G1843" s="47" t="s">
        <v>97</v>
      </c>
      <c r="H1843" s="47" t="s">
        <v>3258</v>
      </c>
      <c r="I1843" s="46" t="s">
        <v>1517</v>
      </c>
      <c r="J1843" s="47" t="s">
        <v>519</v>
      </c>
      <c r="K1843" s="47" t="s">
        <v>519</v>
      </c>
      <c r="L1843" s="47" t="s">
        <v>520</v>
      </c>
      <c r="M1843" s="47" t="s">
        <v>514</v>
      </c>
      <c r="N1843" s="47" t="s">
        <v>515</v>
      </c>
      <c r="O1843" s="54" t="s">
        <v>382</v>
      </c>
      <c r="P1843" s="44" t="s">
        <v>309</v>
      </c>
      <c r="Q1843" s="59" t="str">
        <f>MID(Tabla1[[#This Row],[Aplicación]],14,1)</f>
        <v>2</v>
      </c>
      <c r="R1843" s="35" t="s">
        <v>298</v>
      </c>
      <c r="S1843" s="59" t="str">
        <f>MID(Tabla1[[#This Row],[Aplicación]],6,2)</f>
        <v>08</v>
      </c>
      <c r="T1843" s="35" t="str">
        <f>VLOOKUP(Tabla1[[#This Row],[AREA]],Hoja1!A:B,2,FALSE)</f>
        <v>08. Movilidad y espacio urbano</v>
      </c>
      <c r="U1843" s="35" t="str">
        <f>MID(Tabla1[[#This Row],[Aplicación]],9,4)</f>
        <v>1532</v>
      </c>
      <c r="V1843" s="35" t="str">
        <f>VLOOKUP(Tabla1[[#This Row],[PROGRAMA]],Hoja1!A:B,2,FALSE)</f>
        <v>1532. Pavimentación vias públicas y otros servicios urbanísticos</v>
      </c>
      <c r="W1843" s="56" t="str">
        <f>MID(Tabla1[[#This Row],[Aplicación]],14,2)</f>
        <v>21</v>
      </c>
      <c r="X1843" s="56" t="str">
        <f>MID(Tabla1[[#This Row],[Aplicación]],14,6)</f>
        <v>214</v>
      </c>
    </row>
    <row r="1844" spans="1:24" x14ac:dyDescent="0.25">
      <c r="A1844" s="46">
        <v>220230002596</v>
      </c>
      <c r="B1844" s="47" t="s">
        <v>507</v>
      </c>
      <c r="C1844" s="52">
        <v>44965</v>
      </c>
      <c r="D1844" s="46">
        <v>22023002124</v>
      </c>
      <c r="E1844" s="47" t="s">
        <v>1558</v>
      </c>
      <c r="F1844" s="53">
        <v>500</v>
      </c>
      <c r="G1844" s="47" t="s">
        <v>462</v>
      </c>
      <c r="H1844" s="47" t="s">
        <v>3259</v>
      </c>
      <c r="I1844" s="46" t="s">
        <v>511</v>
      </c>
      <c r="J1844" s="47" t="s">
        <v>953</v>
      </c>
      <c r="K1844" s="47" t="s">
        <v>519</v>
      </c>
      <c r="L1844" s="47" t="s">
        <v>520</v>
      </c>
      <c r="M1844" s="47" t="s">
        <v>976</v>
      </c>
      <c r="N1844" s="47" t="s">
        <v>839</v>
      </c>
      <c r="O1844" s="45" t="s">
        <v>383</v>
      </c>
      <c r="P1844" s="44" t="s">
        <v>309</v>
      </c>
      <c r="Q1844" s="59" t="str">
        <f>MID(Tabla1[[#This Row],[Aplicación]],14,1)</f>
        <v>2</v>
      </c>
      <c r="R1844" s="35" t="s">
        <v>298</v>
      </c>
      <c r="S1844" s="59" t="str">
        <f>MID(Tabla1[[#This Row],[Aplicación]],6,2)</f>
        <v>11</v>
      </c>
      <c r="T1844" s="35" t="str">
        <f>VLOOKUP(Tabla1[[#This Row],[AREA]],Hoja1!A:B,2,FALSE)</f>
        <v>11. Salud pública y seguridad ciudadana</v>
      </c>
      <c r="U1844" s="35" t="str">
        <f>MID(Tabla1[[#This Row],[Aplicación]],9,4)</f>
        <v>3111</v>
      </c>
      <c r="V1844" s="35" t="str">
        <f>VLOOKUP(Tabla1[[#This Row],[PROGRAMA]],Hoja1!A:B,2,FALSE)</f>
        <v>3111. Protección de la salubridad pública</v>
      </c>
      <c r="W1844" s="56" t="str">
        <f>MID(Tabla1[[#This Row],[Aplicación]],14,2)</f>
        <v>21</v>
      </c>
      <c r="X1844" s="56" t="str">
        <f>MID(Tabla1[[#This Row],[Aplicación]],14,6)</f>
        <v>213</v>
      </c>
    </row>
    <row r="1845" spans="1:24" x14ac:dyDescent="0.25">
      <c r="A1845" s="46">
        <v>220230005393</v>
      </c>
      <c r="B1845" s="47" t="s">
        <v>507</v>
      </c>
      <c r="C1845" s="52">
        <v>44979</v>
      </c>
      <c r="D1845" s="46">
        <v>22023002645</v>
      </c>
      <c r="E1845" s="47" t="s">
        <v>1558</v>
      </c>
      <c r="F1845" s="53">
        <v>1644.45</v>
      </c>
      <c r="G1845" s="47" t="s">
        <v>462</v>
      </c>
      <c r="H1845" s="47" t="s">
        <v>3260</v>
      </c>
      <c r="I1845" s="46" t="s">
        <v>511</v>
      </c>
      <c r="J1845" s="47" t="s">
        <v>953</v>
      </c>
      <c r="K1845" s="47" t="s">
        <v>519</v>
      </c>
      <c r="L1845" s="47" t="s">
        <v>520</v>
      </c>
      <c r="M1845" s="47" t="s">
        <v>976</v>
      </c>
      <c r="N1845" s="47" t="s">
        <v>839</v>
      </c>
      <c r="O1845" s="45" t="s">
        <v>383</v>
      </c>
      <c r="P1845" s="44" t="s">
        <v>309</v>
      </c>
      <c r="Q1845" s="59" t="str">
        <f>MID(Tabla1[[#This Row],[Aplicación]],14,1)</f>
        <v>2</v>
      </c>
      <c r="R1845" s="35" t="s">
        <v>298</v>
      </c>
      <c r="S1845" s="59" t="str">
        <f>MID(Tabla1[[#This Row],[Aplicación]],6,2)</f>
        <v>11</v>
      </c>
      <c r="T1845" s="35" t="str">
        <f>VLOOKUP(Tabla1[[#This Row],[AREA]],Hoja1!A:B,2,FALSE)</f>
        <v>11. Salud pública y seguridad ciudadana</v>
      </c>
      <c r="U1845" s="35" t="str">
        <f>MID(Tabla1[[#This Row],[Aplicación]],9,4)</f>
        <v>3111</v>
      </c>
      <c r="V1845" s="35" t="str">
        <f>VLOOKUP(Tabla1[[#This Row],[PROGRAMA]],Hoja1!A:B,2,FALSE)</f>
        <v>3111. Protección de la salubridad pública</v>
      </c>
      <c r="W1845" s="56" t="str">
        <f>MID(Tabla1[[#This Row],[Aplicación]],14,2)</f>
        <v>21</v>
      </c>
      <c r="X1845" s="56" t="str">
        <f>MID(Tabla1[[#This Row],[Aplicación]],14,6)</f>
        <v>213</v>
      </c>
    </row>
    <row r="1846" spans="1:24" x14ac:dyDescent="0.25">
      <c r="A1846" s="46">
        <v>220230007175</v>
      </c>
      <c r="B1846" s="47" t="s">
        <v>507</v>
      </c>
      <c r="C1846" s="52">
        <v>44987</v>
      </c>
      <c r="D1846" s="46">
        <v>22023002907</v>
      </c>
      <c r="E1846" s="47" t="s">
        <v>1558</v>
      </c>
      <c r="F1846" s="53">
        <v>249.87</v>
      </c>
      <c r="G1846" s="47" t="s">
        <v>462</v>
      </c>
      <c r="H1846" s="47" t="s">
        <v>3261</v>
      </c>
      <c r="I1846" s="46" t="s">
        <v>511</v>
      </c>
      <c r="J1846" s="47" t="s">
        <v>953</v>
      </c>
      <c r="K1846" s="47" t="s">
        <v>519</v>
      </c>
      <c r="L1846" s="47" t="s">
        <v>520</v>
      </c>
      <c r="M1846" s="47" t="s">
        <v>976</v>
      </c>
      <c r="N1846" s="47" t="s">
        <v>839</v>
      </c>
      <c r="O1846" s="45" t="s">
        <v>383</v>
      </c>
      <c r="P1846" s="44" t="s">
        <v>309</v>
      </c>
      <c r="Q1846" s="59" t="str">
        <f>MID(Tabla1[[#This Row],[Aplicación]],14,1)</f>
        <v>2</v>
      </c>
      <c r="R1846" s="35" t="s">
        <v>298</v>
      </c>
      <c r="S1846" s="59" t="str">
        <f>MID(Tabla1[[#This Row],[Aplicación]],6,2)</f>
        <v>11</v>
      </c>
      <c r="T1846" s="35" t="str">
        <f>VLOOKUP(Tabla1[[#This Row],[AREA]],Hoja1!A:B,2,FALSE)</f>
        <v>11. Salud pública y seguridad ciudadana</v>
      </c>
      <c r="U1846" s="35" t="str">
        <f>MID(Tabla1[[#This Row],[Aplicación]],9,4)</f>
        <v>3111</v>
      </c>
      <c r="V1846" s="35" t="str">
        <f>VLOOKUP(Tabla1[[#This Row],[PROGRAMA]],Hoja1!A:B,2,FALSE)</f>
        <v>3111. Protección de la salubridad pública</v>
      </c>
      <c r="W1846" s="56" t="str">
        <f>MID(Tabla1[[#This Row],[Aplicación]],14,2)</f>
        <v>21</v>
      </c>
      <c r="X1846" s="56" t="str">
        <f>MID(Tabla1[[#This Row],[Aplicación]],14,6)</f>
        <v>213</v>
      </c>
    </row>
    <row r="1847" spans="1:24" x14ac:dyDescent="0.25">
      <c r="A1847" s="55">
        <v>220230009140</v>
      </c>
      <c r="B1847" s="47" t="s">
        <v>1514</v>
      </c>
      <c r="C1847" s="52">
        <v>45006</v>
      </c>
      <c r="D1847" s="46">
        <v>22023001344</v>
      </c>
      <c r="E1847" s="47" t="s">
        <v>1150</v>
      </c>
      <c r="F1847" s="53">
        <v>548.83000000000004</v>
      </c>
      <c r="G1847" s="47" t="s">
        <v>1481</v>
      </c>
      <c r="H1847" s="47" t="s">
        <v>3262</v>
      </c>
      <c r="I1847" s="46" t="s">
        <v>1517</v>
      </c>
      <c r="J1847" s="47" t="s">
        <v>837</v>
      </c>
      <c r="K1847" s="47" t="s">
        <v>837</v>
      </c>
      <c r="L1847" s="47" t="s">
        <v>552</v>
      </c>
      <c r="M1847" s="47" t="s">
        <v>514</v>
      </c>
      <c r="N1847" s="47" t="s">
        <v>604</v>
      </c>
      <c r="O1847" s="54" t="s">
        <v>382</v>
      </c>
      <c r="P1847" s="44" t="s">
        <v>309</v>
      </c>
      <c r="Q1847" s="59" t="str">
        <f>MID(Tabla1[[#This Row],[Aplicación]],14,1)</f>
        <v>2</v>
      </c>
      <c r="R1847" s="35" t="s">
        <v>298</v>
      </c>
      <c r="S1847" s="59" t="str">
        <f>MID(Tabla1[[#This Row],[Aplicación]],6,2)</f>
        <v>03</v>
      </c>
      <c r="T1847" s="35" t="str">
        <f>VLOOKUP(Tabla1[[#This Row],[AREA]],Hoja1!A:B,2,FALSE)</f>
        <v>03. Participación ciudadana y deportes</v>
      </c>
      <c r="U1847" s="35" t="str">
        <f>MID(Tabla1[[#This Row],[Aplicación]],9,4)</f>
        <v>9241</v>
      </c>
      <c r="V1847" s="35" t="str">
        <f>VLOOKUP(Tabla1[[#This Row],[PROGRAMA]],Hoja1!A:B,2,FALSE)</f>
        <v>9241. Participación ciudadana</v>
      </c>
      <c r="W1847" s="56" t="str">
        <f>MID(Tabla1[[#This Row],[Aplicación]],14,2)</f>
        <v>21</v>
      </c>
      <c r="X1847" s="56" t="str">
        <f>MID(Tabla1[[#This Row],[Aplicación]],14,6)</f>
        <v>213</v>
      </c>
    </row>
    <row r="1848" spans="1:24" x14ac:dyDescent="0.25">
      <c r="A1848" s="55">
        <v>220230009147</v>
      </c>
      <c r="B1848" s="47" t="s">
        <v>1514</v>
      </c>
      <c r="C1848" s="52">
        <v>45006</v>
      </c>
      <c r="D1848" s="46">
        <v>22023001578</v>
      </c>
      <c r="E1848" s="47" t="s">
        <v>2275</v>
      </c>
      <c r="F1848" s="53">
        <v>307.08999999999997</v>
      </c>
      <c r="G1848" s="47" t="s">
        <v>1481</v>
      </c>
      <c r="H1848" s="47" t="s">
        <v>3263</v>
      </c>
      <c r="I1848" s="46" t="s">
        <v>1517</v>
      </c>
      <c r="J1848" s="47" t="s">
        <v>837</v>
      </c>
      <c r="K1848" s="47" t="s">
        <v>837</v>
      </c>
      <c r="L1848" s="47" t="s">
        <v>552</v>
      </c>
      <c r="M1848" s="47" t="s">
        <v>514</v>
      </c>
      <c r="N1848" s="47" t="s">
        <v>515</v>
      </c>
      <c r="O1848" s="54" t="s">
        <v>382</v>
      </c>
      <c r="P1848" s="44" t="s">
        <v>309</v>
      </c>
      <c r="Q1848" s="59" t="str">
        <f>MID(Tabla1[[#This Row],[Aplicación]],14,1)</f>
        <v>2</v>
      </c>
      <c r="R1848" s="35" t="s">
        <v>298</v>
      </c>
      <c r="S1848" s="59" t="str">
        <f>MID(Tabla1[[#This Row],[Aplicación]],6,2)</f>
        <v>11</v>
      </c>
      <c r="T1848" s="35" t="str">
        <f>VLOOKUP(Tabla1[[#This Row],[AREA]],Hoja1!A:B,2,FALSE)</f>
        <v>11. Salud pública y seguridad ciudadana</v>
      </c>
      <c r="U1848" s="35" t="str">
        <f>MID(Tabla1[[#This Row],[Aplicación]],9,4)</f>
        <v>3111</v>
      </c>
      <c r="V1848" s="35" t="str">
        <f>VLOOKUP(Tabla1[[#This Row],[PROGRAMA]],Hoja1!A:B,2,FALSE)</f>
        <v>3111. Protección de la salubridad pública</v>
      </c>
      <c r="W1848" s="56" t="str">
        <f>MID(Tabla1[[#This Row],[Aplicación]],14,2)</f>
        <v>22</v>
      </c>
      <c r="X1848" s="56" t="str">
        <f>MID(Tabla1[[#This Row],[Aplicación]],14,6)</f>
        <v>22199</v>
      </c>
    </row>
    <row r="1849" spans="1:24" x14ac:dyDescent="0.25">
      <c r="A1849" s="55">
        <v>220230009240</v>
      </c>
      <c r="B1849" s="47" t="s">
        <v>1514</v>
      </c>
      <c r="C1849" s="52">
        <v>45006</v>
      </c>
      <c r="D1849" s="46">
        <v>22023002739</v>
      </c>
      <c r="E1849" s="47" t="s">
        <v>1551</v>
      </c>
      <c r="F1849" s="53">
        <v>138.16</v>
      </c>
      <c r="G1849" s="47" t="s">
        <v>1481</v>
      </c>
      <c r="H1849" s="47" t="s">
        <v>3264</v>
      </c>
      <c r="I1849" s="46" t="s">
        <v>1517</v>
      </c>
      <c r="J1849" s="47" t="s">
        <v>837</v>
      </c>
      <c r="K1849" s="47" t="s">
        <v>837</v>
      </c>
      <c r="L1849" s="47" t="s">
        <v>552</v>
      </c>
      <c r="M1849" s="47" t="s">
        <v>514</v>
      </c>
      <c r="N1849" s="47" t="s">
        <v>515</v>
      </c>
      <c r="O1849" s="54" t="s">
        <v>382</v>
      </c>
      <c r="P1849" s="44" t="s">
        <v>309</v>
      </c>
      <c r="Q1849" s="59" t="str">
        <f>MID(Tabla1[[#This Row],[Aplicación]],14,1)</f>
        <v>2</v>
      </c>
      <c r="R1849" s="35" t="s">
        <v>298</v>
      </c>
      <c r="S1849" s="59" t="str">
        <f>MID(Tabla1[[#This Row],[Aplicación]],6,2)</f>
        <v>02</v>
      </c>
      <c r="T1849" s="35" t="str">
        <f>VLOOKUP(Tabla1[[#This Row],[AREA]],Hoja1!A:B,2,FALSE)</f>
        <v>02. Planeamiento urbanístico y vivienda</v>
      </c>
      <c r="U1849" s="35" t="str">
        <f>MID(Tabla1[[#This Row],[Aplicación]],9,4)</f>
        <v>9332</v>
      </c>
      <c r="V1849" s="35" t="str">
        <f>VLOOKUP(Tabla1[[#This Row],[PROGRAMA]],Hoja1!A:B,2,FALSE)</f>
        <v>9332. Mantenimiento de edificios e instalaciones municipales</v>
      </c>
      <c r="W1849" s="56" t="str">
        <f>MID(Tabla1[[#This Row],[Aplicación]],14,2)</f>
        <v>21</v>
      </c>
      <c r="X1849" s="56" t="str">
        <f>MID(Tabla1[[#This Row],[Aplicación]],14,6)</f>
        <v>212</v>
      </c>
    </row>
    <row r="1850" spans="1:24" x14ac:dyDescent="0.25">
      <c r="A1850" s="55">
        <v>220230009242</v>
      </c>
      <c r="B1850" s="47" t="s">
        <v>1514</v>
      </c>
      <c r="C1850" s="52">
        <v>45006</v>
      </c>
      <c r="D1850" s="46">
        <v>22023002739</v>
      </c>
      <c r="E1850" s="47" t="s">
        <v>1551</v>
      </c>
      <c r="F1850" s="53">
        <v>282.45999999999998</v>
      </c>
      <c r="G1850" s="47" t="s">
        <v>1481</v>
      </c>
      <c r="H1850" s="47" t="s">
        <v>3265</v>
      </c>
      <c r="I1850" s="46" t="s">
        <v>1517</v>
      </c>
      <c r="J1850" s="47" t="s">
        <v>837</v>
      </c>
      <c r="K1850" s="47" t="s">
        <v>837</v>
      </c>
      <c r="L1850" s="47" t="s">
        <v>552</v>
      </c>
      <c r="M1850" s="47" t="s">
        <v>514</v>
      </c>
      <c r="N1850" s="47" t="s">
        <v>515</v>
      </c>
      <c r="O1850" s="54" t="s">
        <v>382</v>
      </c>
      <c r="P1850" s="44" t="s">
        <v>309</v>
      </c>
      <c r="Q1850" s="59" t="str">
        <f>MID(Tabla1[[#This Row],[Aplicación]],14,1)</f>
        <v>2</v>
      </c>
      <c r="R1850" s="35" t="s">
        <v>298</v>
      </c>
      <c r="S1850" s="59" t="str">
        <f>MID(Tabla1[[#This Row],[Aplicación]],6,2)</f>
        <v>02</v>
      </c>
      <c r="T1850" s="35" t="str">
        <f>VLOOKUP(Tabla1[[#This Row],[AREA]],Hoja1!A:B,2,FALSE)</f>
        <v>02. Planeamiento urbanístico y vivienda</v>
      </c>
      <c r="U1850" s="35" t="str">
        <f>MID(Tabla1[[#This Row],[Aplicación]],9,4)</f>
        <v>9332</v>
      </c>
      <c r="V1850" s="35" t="str">
        <f>VLOOKUP(Tabla1[[#This Row],[PROGRAMA]],Hoja1!A:B,2,FALSE)</f>
        <v>9332. Mantenimiento de edificios e instalaciones municipales</v>
      </c>
      <c r="W1850" s="56" t="str">
        <f>MID(Tabla1[[#This Row],[Aplicación]],14,2)</f>
        <v>21</v>
      </c>
      <c r="X1850" s="56" t="str">
        <f>MID(Tabla1[[#This Row],[Aplicación]],14,6)</f>
        <v>212</v>
      </c>
    </row>
    <row r="1851" spans="1:24" x14ac:dyDescent="0.25">
      <c r="A1851" s="55">
        <v>220230009244</v>
      </c>
      <c r="B1851" s="47" t="s">
        <v>1514</v>
      </c>
      <c r="C1851" s="52">
        <v>45006</v>
      </c>
      <c r="D1851" s="46">
        <v>22023002739</v>
      </c>
      <c r="E1851" s="47" t="s">
        <v>1551</v>
      </c>
      <c r="F1851" s="53">
        <v>18.59</v>
      </c>
      <c r="G1851" s="47" t="s">
        <v>1481</v>
      </c>
      <c r="H1851" s="47" t="s">
        <v>3266</v>
      </c>
      <c r="I1851" s="46" t="s">
        <v>1517</v>
      </c>
      <c r="J1851" s="47" t="s">
        <v>837</v>
      </c>
      <c r="K1851" s="47" t="s">
        <v>837</v>
      </c>
      <c r="L1851" s="47" t="s">
        <v>552</v>
      </c>
      <c r="M1851" s="47" t="s">
        <v>514</v>
      </c>
      <c r="N1851" s="47" t="s">
        <v>515</v>
      </c>
      <c r="O1851" s="54" t="s">
        <v>382</v>
      </c>
      <c r="P1851" s="44" t="s">
        <v>309</v>
      </c>
      <c r="Q1851" s="59" t="str">
        <f>MID(Tabla1[[#This Row],[Aplicación]],14,1)</f>
        <v>2</v>
      </c>
      <c r="R1851" s="35" t="s">
        <v>298</v>
      </c>
      <c r="S1851" s="59" t="str">
        <f>MID(Tabla1[[#This Row],[Aplicación]],6,2)</f>
        <v>02</v>
      </c>
      <c r="T1851" s="35" t="str">
        <f>VLOOKUP(Tabla1[[#This Row],[AREA]],Hoja1!A:B,2,FALSE)</f>
        <v>02. Planeamiento urbanístico y vivienda</v>
      </c>
      <c r="U1851" s="35" t="str">
        <f>MID(Tabla1[[#This Row],[Aplicación]],9,4)</f>
        <v>9332</v>
      </c>
      <c r="V1851" s="35" t="str">
        <f>VLOOKUP(Tabla1[[#This Row],[PROGRAMA]],Hoja1!A:B,2,FALSE)</f>
        <v>9332. Mantenimiento de edificios e instalaciones municipales</v>
      </c>
      <c r="W1851" s="56" t="str">
        <f>MID(Tabla1[[#This Row],[Aplicación]],14,2)</f>
        <v>21</v>
      </c>
      <c r="X1851" s="56" t="str">
        <f>MID(Tabla1[[#This Row],[Aplicación]],14,6)</f>
        <v>212</v>
      </c>
    </row>
    <row r="1852" spans="1:24" x14ac:dyDescent="0.25">
      <c r="A1852" s="55">
        <v>220230009342</v>
      </c>
      <c r="B1852" s="47" t="s">
        <v>1514</v>
      </c>
      <c r="C1852" s="52">
        <v>45006</v>
      </c>
      <c r="D1852" s="46">
        <v>22023001477</v>
      </c>
      <c r="E1852" s="47" t="s">
        <v>1657</v>
      </c>
      <c r="F1852" s="53">
        <v>266.68</v>
      </c>
      <c r="G1852" s="47" t="s">
        <v>1481</v>
      </c>
      <c r="H1852" s="47" t="s">
        <v>3267</v>
      </c>
      <c r="I1852" s="46" t="s">
        <v>1517</v>
      </c>
      <c r="J1852" s="47" t="s">
        <v>837</v>
      </c>
      <c r="K1852" s="47" t="s">
        <v>837</v>
      </c>
      <c r="L1852" s="47" t="s">
        <v>552</v>
      </c>
      <c r="M1852" s="47" t="s">
        <v>514</v>
      </c>
      <c r="N1852" s="47" t="s">
        <v>515</v>
      </c>
      <c r="O1852" s="54" t="s">
        <v>382</v>
      </c>
      <c r="P1852" s="44" t="s">
        <v>309</v>
      </c>
      <c r="Q1852" s="59" t="str">
        <f>MID(Tabla1[[#This Row],[Aplicación]],14,1)</f>
        <v>2</v>
      </c>
      <c r="R1852" s="35" t="s">
        <v>298</v>
      </c>
      <c r="S1852" s="59" t="str">
        <f>MID(Tabla1[[#This Row],[Aplicación]],6,2)</f>
        <v>10</v>
      </c>
      <c r="T1852" s="35" t="str">
        <f>VLOOKUP(Tabla1[[#This Row],[AREA]],Hoja1!A:B,2,FALSE)</f>
        <v>10. Servicios sociales y mediación comunitaria</v>
      </c>
      <c r="U1852" s="35" t="str">
        <f>MID(Tabla1[[#This Row],[Aplicación]],9,4)</f>
        <v>2412</v>
      </c>
      <c r="V1852" s="35" t="str">
        <f>VLOOKUP(Tabla1[[#This Row],[PROGRAMA]],Hoja1!A:B,2,FALSE)</f>
        <v>2412. Formación para el empleo</v>
      </c>
      <c r="W1852" s="56" t="str">
        <f>MID(Tabla1[[#This Row],[Aplicación]],14,2)</f>
        <v>21</v>
      </c>
      <c r="X1852" s="56" t="str">
        <f>MID(Tabla1[[#This Row],[Aplicación]],14,6)</f>
        <v>212</v>
      </c>
    </row>
    <row r="1853" spans="1:24" x14ac:dyDescent="0.25">
      <c r="A1853" s="55">
        <v>220230011734</v>
      </c>
      <c r="B1853" s="47" t="s">
        <v>507</v>
      </c>
      <c r="C1853" s="52">
        <v>45014</v>
      </c>
      <c r="D1853" s="46">
        <v>22023003588</v>
      </c>
      <c r="E1853" s="47" t="s">
        <v>1403</v>
      </c>
      <c r="F1853" s="53">
        <v>178.48</v>
      </c>
      <c r="G1853" s="47" t="s">
        <v>462</v>
      </c>
      <c r="H1853" s="47" t="s">
        <v>3268</v>
      </c>
      <c r="I1853" s="46" t="s">
        <v>511</v>
      </c>
      <c r="J1853" s="47" t="s">
        <v>953</v>
      </c>
      <c r="K1853" s="47" t="s">
        <v>519</v>
      </c>
      <c r="L1853" s="47" t="s">
        <v>520</v>
      </c>
      <c r="M1853" s="47" t="s">
        <v>976</v>
      </c>
      <c r="N1853" s="47" t="s">
        <v>839</v>
      </c>
      <c r="O1853" s="54" t="s">
        <v>383</v>
      </c>
      <c r="P1853" s="44" t="s">
        <v>309</v>
      </c>
      <c r="Q1853" s="59" t="str">
        <f>MID(Tabla1[[#This Row],[Aplicación]],14,1)</f>
        <v>2</v>
      </c>
      <c r="R1853" s="35" t="s">
        <v>298</v>
      </c>
      <c r="S1853" s="59" t="str">
        <f>MID(Tabla1[[#This Row],[Aplicación]],6,2)</f>
        <v>07</v>
      </c>
      <c r="T1853" s="35" t="str">
        <f>VLOOKUP(Tabla1[[#This Row],[AREA]],Hoja1!A:B,2,FALSE)</f>
        <v>07. Medio ambiente y desarrollo sostenible</v>
      </c>
      <c r="U1853" s="35" t="str">
        <f>MID(Tabla1[[#This Row],[Aplicación]],9,4)</f>
        <v>1721</v>
      </c>
      <c r="V1853" s="35" t="str">
        <f>VLOOKUP(Tabla1[[#This Row],[PROGRAMA]],Hoja1!A:B,2,FALSE)</f>
        <v>1721. Protección del medio ambiente</v>
      </c>
      <c r="W1853" s="56" t="str">
        <f>MID(Tabla1[[#This Row],[Aplicación]],14,2)</f>
        <v>21</v>
      </c>
      <c r="X1853" s="56" t="str">
        <f>MID(Tabla1[[#This Row],[Aplicación]],14,6)</f>
        <v>213</v>
      </c>
    </row>
    <row r="1854" spans="1:24" x14ac:dyDescent="0.25">
      <c r="A1854" s="55">
        <v>220230009399</v>
      </c>
      <c r="B1854" s="47" t="s">
        <v>1514</v>
      </c>
      <c r="C1854" s="52">
        <v>45006</v>
      </c>
      <c r="D1854" s="46">
        <v>22023001467</v>
      </c>
      <c r="E1854" s="47" t="s">
        <v>1512</v>
      </c>
      <c r="F1854" s="53">
        <v>35.51</v>
      </c>
      <c r="G1854" s="47" t="s">
        <v>1481</v>
      </c>
      <c r="H1854" s="47" t="s">
        <v>3269</v>
      </c>
      <c r="I1854" s="46" t="s">
        <v>1517</v>
      </c>
      <c r="J1854" s="47" t="s">
        <v>837</v>
      </c>
      <c r="K1854" s="47" t="s">
        <v>837</v>
      </c>
      <c r="L1854" s="47" t="s">
        <v>552</v>
      </c>
      <c r="M1854" s="47" t="s">
        <v>514</v>
      </c>
      <c r="N1854" s="47" t="s">
        <v>515</v>
      </c>
      <c r="O1854" s="54" t="s">
        <v>382</v>
      </c>
      <c r="P1854" s="44" t="s">
        <v>309</v>
      </c>
      <c r="Q1854" s="59" t="str">
        <f>MID(Tabla1[[#This Row],[Aplicación]],14,1)</f>
        <v>2</v>
      </c>
      <c r="R1854" s="35" t="s">
        <v>298</v>
      </c>
      <c r="S1854" s="59" t="str">
        <f>MID(Tabla1[[#This Row],[Aplicación]],6,2)</f>
        <v>10</v>
      </c>
      <c r="T1854" s="35" t="str">
        <f>VLOOKUP(Tabla1[[#This Row],[AREA]],Hoja1!A:B,2,FALSE)</f>
        <v>10. Servicios sociales y mediación comunitaria</v>
      </c>
      <c r="U1854" s="35" t="str">
        <f>MID(Tabla1[[#This Row],[Aplicación]],9,4)</f>
        <v>2312</v>
      </c>
      <c r="V1854" s="35" t="str">
        <f>VLOOKUP(Tabla1[[#This Row],[PROGRAMA]],Hoja1!A:B,2,FALSE)</f>
        <v>2312. Iniciativas sociales</v>
      </c>
      <c r="W1854" s="56" t="str">
        <f>MID(Tabla1[[#This Row],[Aplicación]],14,2)</f>
        <v>21</v>
      </c>
      <c r="X1854" s="56" t="str">
        <f>MID(Tabla1[[#This Row],[Aplicación]],14,6)</f>
        <v>212</v>
      </c>
    </row>
    <row r="1855" spans="1:24" x14ac:dyDescent="0.25">
      <c r="A1855" s="46">
        <v>220219000214</v>
      </c>
      <c r="B1855" s="47" t="s">
        <v>507</v>
      </c>
      <c r="C1855" s="52">
        <v>44927</v>
      </c>
      <c r="D1855" s="46">
        <v>22023003279</v>
      </c>
      <c r="E1855" s="47" t="s">
        <v>1150</v>
      </c>
      <c r="F1855" s="53">
        <v>9754.98</v>
      </c>
      <c r="G1855" s="47" t="s">
        <v>20</v>
      </c>
      <c r="H1855" s="47" t="s">
        <v>3270</v>
      </c>
      <c r="I1855" s="46" t="s">
        <v>511</v>
      </c>
      <c r="J1855" s="47" t="s">
        <v>519</v>
      </c>
      <c r="K1855" s="47" t="s">
        <v>519</v>
      </c>
      <c r="L1855" s="47" t="s">
        <v>520</v>
      </c>
      <c r="M1855" s="47" t="s">
        <v>514</v>
      </c>
      <c r="N1855" s="47" t="s">
        <v>604</v>
      </c>
      <c r="O1855" s="45" t="s">
        <v>371</v>
      </c>
      <c r="P1855" s="44" t="s">
        <v>309</v>
      </c>
      <c r="Q1855" s="59" t="str">
        <f>MID(Tabla1[[#This Row],[Aplicación]],14,1)</f>
        <v>2</v>
      </c>
      <c r="R1855" s="35" t="s">
        <v>298</v>
      </c>
      <c r="S1855" s="59" t="str">
        <f>MID(Tabla1[[#This Row],[Aplicación]],6,2)</f>
        <v>03</v>
      </c>
      <c r="T1855" s="35" t="str">
        <f>VLOOKUP(Tabla1[[#This Row],[AREA]],Hoja1!A:B,2,FALSE)</f>
        <v>03. Participación ciudadana y deportes</v>
      </c>
      <c r="U1855" s="35" t="str">
        <f>MID(Tabla1[[#This Row],[Aplicación]],9,4)</f>
        <v>9241</v>
      </c>
      <c r="V1855" s="35" t="str">
        <f>VLOOKUP(Tabla1[[#This Row],[PROGRAMA]],Hoja1!A:B,2,FALSE)</f>
        <v>9241. Participación ciudadana</v>
      </c>
      <c r="W1855" s="56" t="str">
        <f>MID(Tabla1[[#This Row],[Aplicación]],14,2)</f>
        <v>21</v>
      </c>
      <c r="X1855" s="56" t="str">
        <f>MID(Tabla1[[#This Row],[Aplicación]],14,6)</f>
        <v>213</v>
      </c>
    </row>
    <row r="1856" spans="1:24" x14ac:dyDescent="0.25">
      <c r="A1856" s="55">
        <v>220230009502</v>
      </c>
      <c r="B1856" s="47" t="s">
        <v>507</v>
      </c>
      <c r="C1856" s="52">
        <v>45006</v>
      </c>
      <c r="D1856" s="46">
        <v>22023003432</v>
      </c>
      <c r="E1856" s="47" t="s">
        <v>3271</v>
      </c>
      <c r="F1856" s="53">
        <v>157.30000000000001</v>
      </c>
      <c r="G1856" s="47" t="s">
        <v>22</v>
      </c>
      <c r="H1856" s="47" t="s">
        <v>3272</v>
      </c>
      <c r="I1856" s="46" t="s">
        <v>511</v>
      </c>
      <c r="J1856" s="47" t="s">
        <v>519</v>
      </c>
      <c r="K1856" s="47" t="s">
        <v>519</v>
      </c>
      <c r="L1856" s="47" t="s">
        <v>520</v>
      </c>
      <c r="M1856" s="47" t="s">
        <v>976</v>
      </c>
      <c r="N1856" s="47" t="s">
        <v>839</v>
      </c>
      <c r="O1856" s="54" t="s">
        <v>383</v>
      </c>
      <c r="P1856" s="44" t="s">
        <v>309</v>
      </c>
      <c r="Q1856" s="59" t="str">
        <f>MID(Tabla1[[#This Row],[Aplicación]],14,1)</f>
        <v>2</v>
      </c>
      <c r="R1856" s="35" t="s">
        <v>298</v>
      </c>
      <c r="S1856" s="59" t="str">
        <f>MID(Tabla1[[#This Row],[Aplicación]],6,2)</f>
        <v>03</v>
      </c>
      <c r="T1856" s="35" t="str">
        <f>VLOOKUP(Tabla1[[#This Row],[AREA]],Hoja1!A:B,2,FALSE)</f>
        <v>03. Participación ciudadana y deportes</v>
      </c>
      <c r="U1856" s="35" t="str">
        <f>MID(Tabla1[[#This Row],[Aplicación]],9,4)</f>
        <v>9241</v>
      </c>
      <c r="V1856" s="35" t="str">
        <f>VLOOKUP(Tabla1[[#This Row],[PROGRAMA]],Hoja1!A:B,2,FALSE)</f>
        <v>9241. Participación ciudadana</v>
      </c>
      <c r="W1856" s="56" t="str">
        <f>MID(Tabla1[[#This Row],[Aplicación]],14,2)</f>
        <v>22</v>
      </c>
      <c r="X1856" s="56" t="str">
        <f>MID(Tabla1[[#This Row],[Aplicación]],14,6)</f>
        <v>223</v>
      </c>
    </row>
    <row r="1857" spans="1:24" x14ac:dyDescent="0.25">
      <c r="A1857" s="55">
        <v>220230009222</v>
      </c>
      <c r="B1857" s="47" t="s">
        <v>1514</v>
      </c>
      <c r="C1857" s="52">
        <v>45006</v>
      </c>
      <c r="D1857" s="46">
        <v>22023001548</v>
      </c>
      <c r="E1857" s="47" t="s">
        <v>2509</v>
      </c>
      <c r="F1857" s="53">
        <v>1551</v>
      </c>
      <c r="G1857" s="47" t="s">
        <v>2510</v>
      </c>
      <c r="H1857" s="47" t="s">
        <v>3273</v>
      </c>
      <c r="I1857" s="46" t="s">
        <v>1517</v>
      </c>
      <c r="J1857" s="47" t="s">
        <v>2512</v>
      </c>
      <c r="K1857" s="47" t="s">
        <v>519</v>
      </c>
      <c r="L1857" s="47" t="s">
        <v>552</v>
      </c>
      <c r="M1857" s="47" t="s">
        <v>514</v>
      </c>
      <c r="N1857" s="47" t="s">
        <v>515</v>
      </c>
      <c r="O1857" s="54" t="s">
        <v>382</v>
      </c>
      <c r="P1857" s="44" t="s">
        <v>309</v>
      </c>
      <c r="Q1857" s="59" t="str">
        <f>MID(Tabla1[[#This Row],[Aplicación]],14,1)</f>
        <v>2</v>
      </c>
      <c r="R1857" s="35" t="s">
        <v>298</v>
      </c>
      <c r="S1857" s="59" t="str">
        <f>MID(Tabla1[[#This Row],[Aplicación]],6,2)</f>
        <v>07</v>
      </c>
      <c r="T1857" s="35" t="str">
        <f>VLOOKUP(Tabla1[[#This Row],[AREA]],Hoja1!A:B,2,FALSE)</f>
        <v>07. Medio ambiente y desarrollo sostenible</v>
      </c>
      <c r="U1857" s="35" t="str">
        <f>MID(Tabla1[[#This Row],[Aplicación]],9,4)</f>
        <v>1711</v>
      </c>
      <c r="V1857" s="35" t="str">
        <f>VLOOKUP(Tabla1[[#This Row],[PROGRAMA]],Hoja1!A:B,2,FALSE)</f>
        <v>1711. Parques y jardines</v>
      </c>
      <c r="W1857" s="56" t="str">
        <f>MID(Tabla1[[#This Row],[Aplicación]],14,2)</f>
        <v>22</v>
      </c>
      <c r="X1857" s="56" t="str">
        <f>MID(Tabla1[[#This Row],[Aplicación]],14,6)</f>
        <v>22106</v>
      </c>
    </row>
    <row r="1858" spans="1:24" x14ac:dyDescent="0.25">
      <c r="A1858" s="55">
        <v>220230009191</v>
      </c>
      <c r="B1858" s="47" t="s">
        <v>1514</v>
      </c>
      <c r="C1858" s="52">
        <v>45006</v>
      </c>
      <c r="D1858" s="46">
        <v>22023001565</v>
      </c>
      <c r="E1858" s="47" t="s">
        <v>741</v>
      </c>
      <c r="F1858" s="53">
        <v>231</v>
      </c>
      <c r="G1858" s="47" t="s">
        <v>3016</v>
      </c>
      <c r="H1858" s="47" t="s">
        <v>3274</v>
      </c>
      <c r="I1858" s="46" t="s">
        <v>1517</v>
      </c>
      <c r="J1858" s="47" t="s">
        <v>519</v>
      </c>
      <c r="K1858" s="47" t="s">
        <v>519</v>
      </c>
      <c r="L1858" s="47" t="s">
        <v>552</v>
      </c>
      <c r="M1858" s="47" t="s">
        <v>514</v>
      </c>
      <c r="N1858" s="47" t="s">
        <v>515</v>
      </c>
      <c r="O1858" s="54" t="s">
        <v>382</v>
      </c>
      <c r="P1858" s="44" t="s">
        <v>309</v>
      </c>
      <c r="Q1858" s="59" t="str">
        <f>MID(Tabla1[[#This Row],[Aplicación]],14,1)</f>
        <v>6</v>
      </c>
      <c r="R1858" s="35" t="s">
        <v>299</v>
      </c>
      <c r="S1858" s="59" t="str">
        <f>MID(Tabla1[[#This Row],[Aplicación]],6,2)</f>
        <v>07</v>
      </c>
      <c r="T1858" s="35" t="str">
        <f>VLOOKUP(Tabla1[[#This Row],[AREA]],Hoja1!A:B,2,FALSE)</f>
        <v>07. Medio ambiente y desarrollo sostenible</v>
      </c>
      <c r="U1858" s="35" t="str">
        <f>MID(Tabla1[[#This Row],[Aplicación]],9,4)</f>
        <v>1711</v>
      </c>
      <c r="V1858" s="35" t="str">
        <f>VLOOKUP(Tabla1[[#This Row],[PROGRAMA]],Hoja1!A:B,2,FALSE)</f>
        <v>1711. Parques y jardines</v>
      </c>
      <c r="W1858" s="56" t="str">
        <f>MID(Tabla1[[#This Row],[Aplicación]],14,2)</f>
        <v>61</v>
      </c>
      <c r="X1858" s="56" t="str">
        <f>MID(Tabla1[[#This Row],[Aplicación]],14,6)</f>
        <v>619</v>
      </c>
    </row>
    <row r="1859" spans="1:24" x14ac:dyDescent="0.25">
      <c r="A1859" s="46">
        <v>220229000738</v>
      </c>
      <c r="B1859" s="47" t="s">
        <v>507</v>
      </c>
      <c r="C1859" s="52">
        <v>44927</v>
      </c>
      <c r="D1859" s="46">
        <v>22023000741</v>
      </c>
      <c r="E1859" s="47" t="s">
        <v>539</v>
      </c>
      <c r="F1859" s="53">
        <v>18570.240000000002</v>
      </c>
      <c r="G1859" s="47" t="s">
        <v>570</v>
      </c>
      <c r="H1859" s="47" t="s">
        <v>3275</v>
      </c>
      <c r="I1859" s="46" t="s">
        <v>511</v>
      </c>
      <c r="J1859" s="47" t="s">
        <v>572</v>
      </c>
      <c r="K1859" s="47" t="s">
        <v>573</v>
      </c>
      <c r="L1859" s="47" t="s">
        <v>520</v>
      </c>
      <c r="M1859" s="47" t="s">
        <v>514</v>
      </c>
      <c r="N1859" s="47" t="s">
        <v>515</v>
      </c>
      <c r="O1859" s="45" t="s">
        <v>371</v>
      </c>
      <c r="P1859" s="44" t="s">
        <v>309</v>
      </c>
      <c r="Q1859" s="59" t="str">
        <f>MID(Tabla1[[#This Row],[Aplicación]],14,1)</f>
        <v>2</v>
      </c>
      <c r="R1859" s="35" t="s">
        <v>298</v>
      </c>
      <c r="S1859" s="59" t="str">
        <f>MID(Tabla1[[#This Row],[Aplicación]],6,2)</f>
        <v>10</v>
      </c>
      <c r="T1859" s="35" t="str">
        <f>VLOOKUP(Tabla1[[#This Row],[AREA]],Hoja1!A:B,2,FALSE)</f>
        <v>10. Servicios sociales y mediación comunitaria</v>
      </c>
      <c r="U1859" s="35" t="str">
        <f>MID(Tabla1[[#This Row],[Aplicación]],9,4)</f>
        <v>2312</v>
      </c>
      <c r="V1859" s="35" t="str">
        <f>VLOOKUP(Tabla1[[#This Row],[PROGRAMA]],Hoja1!A:B,2,FALSE)</f>
        <v>2312. Iniciativas sociales</v>
      </c>
      <c r="W1859" s="56" t="str">
        <f>MID(Tabla1[[#This Row],[Aplicación]],14,2)</f>
        <v>22</v>
      </c>
      <c r="X1859" s="56" t="str">
        <f>MID(Tabla1[[#This Row],[Aplicación]],14,6)</f>
        <v>22799</v>
      </c>
    </row>
    <row r="1860" spans="1:24" x14ac:dyDescent="0.25">
      <c r="A1860" s="55">
        <v>220230009329</v>
      </c>
      <c r="B1860" s="47" t="s">
        <v>1514</v>
      </c>
      <c r="C1860" s="52">
        <v>45006</v>
      </c>
      <c r="D1860" s="46">
        <v>22023000273</v>
      </c>
      <c r="E1860" s="47" t="s">
        <v>2310</v>
      </c>
      <c r="F1860" s="53">
        <v>205.49</v>
      </c>
      <c r="G1860" s="47" t="s">
        <v>2351</v>
      </c>
      <c r="H1860" s="47" t="s">
        <v>3276</v>
      </c>
      <c r="I1860" s="46" t="s">
        <v>1517</v>
      </c>
      <c r="J1860" s="47" t="s">
        <v>519</v>
      </c>
      <c r="K1860" s="47" t="s">
        <v>519</v>
      </c>
      <c r="L1860" s="47" t="s">
        <v>552</v>
      </c>
      <c r="M1860" s="47" t="s">
        <v>514</v>
      </c>
      <c r="N1860" s="47" t="s">
        <v>515</v>
      </c>
      <c r="O1860" s="54" t="s">
        <v>382</v>
      </c>
      <c r="P1860" s="44" t="s">
        <v>309</v>
      </c>
      <c r="Q1860" s="59" t="str">
        <f>MID(Tabla1[[#This Row],[Aplicación]],14,1)</f>
        <v>2</v>
      </c>
      <c r="R1860" s="35" t="s">
        <v>298</v>
      </c>
      <c r="S1860" s="59" t="str">
        <f>MID(Tabla1[[#This Row],[Aplicación]],6,2)</f>
        <v>11</v>
      </c>
      <c r="T1860" s="35" t="str">
        <f>VLOOKUP(Tabla1[[#This Row],[AREA]],Hoja1!A:B,2,FALSE)</f>
        <v>11. Salud pública y seguridad ciudadana</v>
      </c>
      <c r="U1860" s="35" t="str">
        <f>MID(Tabla1[[#This Row],[Aplicación]],9,4)</f>
        <v>1321</v>
      </c>
      <c r="V1860" s="35" t="str">
        <f>VLOOKUP(Tabla1[[#This Row],[PROGRAMA]],Hoja1!A:B,2,FALSE)</f>
        <v>1321. Policía municipal</v>
      </c>
      <c r="W1860" s="56" t="str">
        <f>MID(Tabla1[[#This Row],[Aplicación]],14,2)</f>
        <v>22</v>
      </c>
      <c r="X1860" s="56" t="str">
        <f>MID(Tabla1[[#This Row],[Aplicación]],14,6)</f>
        <v>22199</v>
      </c>
    </row>
    <row r="1861" spans="1:24" x14ac:dyDescent="0.25">
      <c r="A1861" s="55">
        <v>220230009363</v>
      </c>
      <c r="B1861" s="47" t="s">
        <v>1514</v>
      </c>
      <c r="C1861" s="52">
        <v>45006</v>
      </c>
      <c r="D1861" s="46">
        <v>22023000270</v>
      </c>
      <c r="E1861" s="47" t="s">
        <v>1694</v>
      </c>
      <c r="F1861" s="53">
        <v>604.27</v>
      </c>
      <c r="G1861" s="47" t="s">
        <v>2427</v>
      </c>
      <c r="H1861" s="47" t="s">
        <v>3277</v>
      </c>
      <c r="I1861" s="46" t="s">
        <v>1517</v>
      </c>
      <c r="J1861" s="47" t="s">
        <v>519</v>
      </c>
      <c r="K1861" s="47" t="s">
        <v>519</v>
      </c>
      <c r="L1861" s="47" t="s">
        <v>552</v>
      </c>
      <c r="M1861" s="47" t="s">
        <v>514</v>
      </c>
      <c r="N1861" s="47" t="s">
        <v>515</v>
      </c>
      <c r="O1861" s="54" t="s">
        <v>382</v>
      </c>
      <c r="P1861" s="44" t="s">
        <v>309</v>
      </c>
      <c r="Q1861" s="59" t="str">
        <f>MID(Tabla1[[#This Row],[Aplicación]],14,1)</f>
        <v>2</v>
      </c>
      <c r="R1861" s="35" t="s">
        <v>298</v>
      </c>
      <c r="S1861" s="59" t="str">
        <f>MID(Tabla1[[#This Row],[Aplicación]],6,2)</f>
        <v>11</v>
      </c>
      <c r="T1861" s="35" t="str">
        <f>VLOOKUP(Tabla1[[#This Row],[AREA]],Hoja1!A:B,2,FALSE)</f>
        <v>11. Salud pública y seguridad ciudadana</v>
      </c>
      <c r="U1861" s="35" t="str">
        <f>MID(Tabla1[[#This Row],[Aplicación]],9,4)</f>
        <v>1321</v>
      </c>
      <c r="V1861" s="35" t="str">
        <f>VLOOKUP(Tabla1[[#This Row],[PROGRAMA]],Hoja1!A:B,2,FALSE)</f>
        <v>1321. Policía municipal</v>
      </c>
      <c r="W1861" s="56" t="str">
        <f>MID(Tabla1[[#This Row],[Aplicación]],14,2)</f>
        <v>21</v>
      </c>
      <c r="X1861" s="56" t="str">
        <f>MID(Tabla1[[#This Row],[Aplicación]],14,6)</f>
        <v>214</v>
      </c>
    </row>
    <row r="1862" spans="1:24" x14ac:dyDescent="0.25">
      <c r="A1862" s="55">
        <v>220230009397</v>
      </c>
      <c r="B1862" s="47" t="s">
        <v>1514</v>
      </c>
      <c r="C1862" s="52">
        <v>45006</v>
      </c>
      <c r="D1862" s="46">
        <v>22023000273</v>
      </c>
      <c r="E1862" s="47" t="s">
        <v>2310</v>
      </c>
      <c r="F1862" s="53">
        <v>8.17</v>
      </c>
      <c r="G1862" s="47" t="s">
        <v>2432</v>
      </c>
      <c r="H1862" s="47" t="s">
        <v>3278</v>
      </c>
      <c r="I1862" s="46" t="s">
        <v>1517</v>
      </c>
      <c r="J1862" s="47" t="s">
        <v>519</v>
      </c>
      <c r="K1862" s="47" t="s">
        <v>519</v>
      </c>
      <c r="L1862" s="47" t="s">
        <v>552</v>
      </c>
      <c r="M1862" s="47" t="s">
        <v>514</v>
      </c>
      <c r="N1862" s="47" t="s">
        <v>515</v>
      </c>
      <c r="O1862" s="54" t="s">
        <v>382</v>
      </c>
      <c r="P1862" s="44" t="s">
        <v>309</v>
      </c>
      <c r="Q1862" s="59" t="str">
        <f>MID(Tabla1[[#This Row],[Aplicación]],14,1)</f>
        <v>2</v>
      </c>
      <c r="R1862" s="35" t="s">
        <v>298</v>
      </c>
      <c r="S1862" s="59" t="str">
        <f>MID(Tabla1[[#This Row],[Aplicación]],6,2)</f>
        <v>11</v>
      </c>
      <c r="T1862" s="35" t="str">
        <f>VLOOKUP(Tabla1[[#This Row],[AREA]],Hoja1!A:B,2,FALSE)</f>
        <v>11. Salud pública y seguridad ciudadana</v>
      </c>
      <c r="U1862" s="35" t="str">
        <f>MID(Tabla1[[#This Row],[Aplicación]],9,4)</f>
        <v>1321</v>
      </c>
      <c r="V1862" s="35" t="str">
        <f>VLOOKUP(Tabla1[[#This Row],[PROGRAMA]],Hoja1!A:B,2,FALSE)</f>
        <v>1321. Policía municipal</v>
      </c>
      <c r="W1862" s="56" t="str">
        <f>MID(Tabla1[[#This Row],[Aplicación]],14,2)</f>
        <v>22</v>
      </c>
      <c r="X1862" s="56" t="str">
        <f>MID(Tabla1[[#This Row],[Aplicación]],14,6)</f>
        <v>22199</v>
      </c>
    </row>
    <row r="1863" spans="1:24" x14ac:dyDescent="0.25">
      <c r="A1863" s="55">
        <v>220230009108</v>
      </c>
      <c r="B1863" s="47" t="s">
        <v>1514</v>
      </c>
      <c r="C1863" s="52">
        <v>45006</v>
      </c>
      <c r="D1863" s="46">
        <v>22023001956</v>
      </c>
      <c r="E1863" s="47" t="s">
        <v>1982</v>
      </c>
      <c r="F1863" s="53">
        <v>120.32</v>
      </c>
      <c r="G1863" s="47" t="s">
        <v>2025</v>
      </c>
      <c r="H1863" s="47" t="s">
        <v>3279</v>
      </c>
      <c r="I1863" s="46" t="s">
        <v>1517</v>
      </c>
      <c r="J1863" s="47" t="s">
        <v>519</v>
      </c>
      <c r="K1863" s="47" t="s">
        <v>519</v>
      </c>
      <c r="L1863" s="47" t="s">
        <v>520</v>
      </c>
      <c r="M1863" s="47" t="s">
        <v>514</v>
      </c>
      <c r="N1863" s="47" t="s">
        <v>515</v>
      </c>
      <c r="O1863" s="54" t="s">
        <v>382</v>
      </c>
      <c r="P1863" s="44" t="s">
        <v>309</v>
      </c>
      <c r="Q1863" s="59" t="str">
        <f>MID(Tabla1[[#This Row],[Aplicación]],14,1)</f>
        <v>2</v>
      </c>
      <c r="R1863" s="35" t="s">
        <v>298</v>
      </c>
      <c r="S1863" s="59" t="str">
        <f>MID(Tabla1[[#This Row],[Aplicación]],6,2)</f>
        <v>07</v>
      </c>
      <c r="T1863" s="35" t="str">
        <f>VLOOKUP(Tabla1[[#This Row],[AREA]],Hoja1!A:B,2,FALSE)</f>
        <v>07. Medio ambiente y desarrollo sostenible</v>
      </c>
      <c r="U1863" s="35" t="str">
        <f>MID(Tabla1[[#This Row],[Aplicación]],9,4)</f>
        <v>1711</v>
      </c>
      <c r="V1863" s="35" t="str">
        <f>VLOOKUP(Tabla1[[#This Row],[PROGRAMA]],Hoja1!A:B,2,FALSE)</f>
        <v>1711. Parques y jardines</v>
      </c>
      <c r="W1863" s="56" t="str">
        <f>MID(Tabla1[[#This Row],[Aplicación]],14,2)</f>
        <v>21</v>
      </c>
      <c r="X1863" s="56" t="str">
        <f>MID(Tabla1[[#This Row],[Aplicación]],14,6)</f>
        <v>214</v>
      </c>
    </row>
    <row r="1864" spans="1:24" x14ac:dyDescent="0.25">
      <c r="A1864" s="55">
        <v>220230009383</v>
      </c>
      <c r="B1864" s="47" t="s">
        <v>1514</v>
      </c>
      <c r="C1864" s="52">
        <v>45006</v>
      </c>
      <c r="D1864" s="46">
        <v>22023000270</v>
      </c>
      <c r="E1864" s="47" t="s">
        <v>1694</v>
      </c>
      <c r="F1864" s="53">
        <v>722.04</v>
      </c>
      <c r="G1864" s="47" t="s">
        <v>2434</v>
      </c>
      <c r="H1864" s="47" t="s">
        <v>2431</v>
      </c>
      <c r="I1864" s="46" t="s">
        <v>1517</v>
      </c>
      <c r="J1864" s="47" t="s">
        <v>519</v>
      </c>
      <c r="K1864" s="47" t="s">
        <v>519</v>
      </c>
      <c r="L1864" s="47" t="s">
        <v>552</v>
      </c>
      <c r="M1864" s="47" t="s">
        <v>514</v>
      </c>
      <c r="N1864" s="47" t="s">
        <v>515</v>
      </c>
      <c r="O1864" s="54" t="s">
        <v>382</v>
      </c>
      <c r="P1864" s="44" t="s">
        <v>309</v>
      </c>
      <c r="Q1864" s="59" t="str">
        <f>MID(Tabla1[[#This Row],[Aplicación]],14,1)</f>
        <v>2</v>
      </c>
      <c r="R1864" s="35" t="s">
        <v>298</v>
      </c>
      <c r="S1864" s="59" t="str">
        <f>MID(Tabla1[[#This Row],[Aplicación]],6,2)</f>
        <v>11</v>
      </c>
      <c r="T1864" s="35" t="str">
        <f>VLOOKUP(Tabla1[[#This Row],[AREA]],Hoja1!A:B,2,FALSE)</f>
        <v>11. Salud pública y seguridad ciudadana</v>
      </c>
      <c r="U1864" s="35" t="str">
        <f>MID(Tabla1[[#This Row],[Aplicación]],9,4)</f>
        <v>1321</v>
      </c>
      <c r="V1864" s="35" t="str">
        <f>VLOOKUP(Tabla1[[#This Row],[PROGRAMA]],Hoja1!A:B,2,FALSE)</f>
        <v>1321. Policía municipal</v>
      </c>
      <c r="W1864" s="56" t="str">
        <f>MID(Tabla1[[#This Row],[Aplicación]],14,2)</f>
        <v>21</v>
      </c>
      <c r="X1864" s="56" t="str">
        <f>MID(Tabla1[[#This Row],[Aplicación]],14,6)</f>
        <v>214</v>
      </c>
    </row>
    <row r="1865" spans="1:24" x14ac:dyDescent="0.25">
      <c r="A1865" s="55">
        <v>220230009204</v>
      </c>
      <c r="B1865" s="47" t="s">
        <v>1514</v>
      </c>
      <c r="C1865" s="52">
        <v>45006</v>
      </c>
      <c r="D1865" s="46">
        <v>22023002181</v>
      </c>
      <c r="E1865" s="47" t="s">
        <v>1305</v>
      </c>
      <c r="F1865" s="53">
        <v>103.52</v>
      </c>
      <c r="G1865" s="47" t="s">
        <v>3280</v>
      </c>
      <c r="H1865" s="47" t="s">
        <v>3281</v>
      </c>
      <c r="I1865" s="46" t="s">
        <v>1517</v>
      </c>
      <c r="J1865" s="47" t="s">
        <v>519</v>
      </c>
      <c r="K1865" s="47" t="s">
        <v>519</v>
      </c>
      <c r="L1865" s="47" t="s">
        <v>552</v>
      </c>
      <c r="M1865" s="47" t="s">
        <v>514</v>
      </c>
      <c r="N1865" s="47" t="s">
        <v>515</v>
      </c>
      <c r="O1865" s="54" t="s">
        <v>382</v>
      </c>
      <c r="P1865" s="44" t="s">
        <v>309</v>
      </c>
      <c r="Q1865" s="59" t="str">
        <f>MID(Tabla1[[#This Row],[Aplicación]],14,1)</f>
        <v>2</v>
      </c>
      <c r="R1865" s="35" t="s">
        <v>298</v>
      </c>
      <c r="S1865" s="59" t="str">
        <f>MID(Tabla1[[#This Row],[Aplicación]],6,2)</f>
        <v>06</v>
      </c>
      <c r="T1865" s="35" t="str">
        <f>VLOOKUP(Tabla1[[#This Row],[AREA]],Hoja1!A:B,2,FALSE)</f>
        <v>06. Educación, infancia, juventud e igualdad</v>
      </c>
      <c r="U1865" s="35" t="str">
        <f>MID(Tabla1[[#This Row],[Aplicación]],9,4)</f>
        <v>3232</v>
      </c>
      <c r="V1865" s="35" t="str">
        <f>VLOOKUP(Tabla1[[#This Row],[PROGRAMA]],Hoja1!A:B,2,FALSE)</f>
        <v>3232. Conservación y mantenimiento centros educación infantil y primaria</v>
      </c>
      <c r="W1865" s="56" t="str">
        <f>MID(Tabla1[[#This Row],[Aplicación]],14,2)</f>
        <v>21</v>
      </c>
      <c r="X1865" s="56" t="str">
        <f>MID(Tabla1[[#This Row],[Aplicación]],14,6)</f>
        <v>212</v>
      </c>
    </row>
    <row r="1866" spans="1:24" x14ac:dyDescent="0.25">
      <c r="A1866" s="55">
        <v>220230009403</v>
      </c>
      <c r="B1866" s="47" t="s">
        <v>1514</v>
      </c>
      <c r="C1866" s="52">
        <v>45006</v>
      </c>
      <c r="D1866" s="46">
        <v>22023001607</v>
      </c>
      <c r="E1866" s="47" t="s">
        <v>1603</v>
      </c>
      <c r="F1866" s="53">
        <v>2258.09</v>
      </c>
      <c r="G1866" s="47" t="s">
        <v>3280</v>
      </c>
      <c r="H1866" s="47" t="s">
        <v>3282</v>
      </c>
      <c r="I1866" s="46" t="s">
        <v>1517</v>
      </c>
      <c r="J1866" s="47" t="s">
        <v>519</v>
      </c>
      <c r="K1866" s="47" t="s">
        <v>519</v>
      </c>
      <c r="L1866" s="47" t="s">
        <v>552</v>
      </c>
      <c r="M1866" s="47" t="s">
        <v>514</v>
      </c>
      <c r="N1866" s="47" t="s">
        <v>515</v>
      </c>
      <c r="O1866" s="54" t="s">
        <v>382</v>
      </c>
      <c r="P1866" s="44" t="s">
        <v>309</v>
      </c>
      <c r="Q1866" s="59" t="str">
        <f>MID(Tabla1[[#This Row],[Aplicación]],14,1)</f>
        <v>2</v>
      </c>
      <c r="R1866" s="35" t="s">
        <v>298</v>
      </c>
      <c r="S1866" s="59" t="str">
        <f>MID(Tabla1[[#This Row],[Aplicación]],6,2)</f>
        <v>08</v>
      </c>
      <c r="T1866" s="35" t="str">
        <f>VLOOKUP(Tabla1[[#This Row],[AREA]],Hoja1!A:B,2,FALSE)</f>
        <v>08. Movilidad y espacio urbano</v>
      </c>
      <c r="U1866" s="35" t="str">
        <f>MID(Tabla1[[#This Row],[Aplicación]],9,4)</f>
        <v>1532</v>
      </c>
      <c r="V1866" s="35" t="str">
        <f>VLOOKUP(Tabla1[[#This Row],[PROGRAMA]],Hoja1!A:B,2,FALSE)</f>
        <v>1532. Pavimentación vias públicas y otros servicios urbanísticos</v>
      </c>
      <c r="W1866" s="56" t="str">
        <f>MID(Tabla1[[#This Row],[Aplicación]],14,2)</f>
        <v>21</v>
      </c>
      <c r="X1866" s="56" t="str">
        <f>MID(Tabla1[[#This Row],[Aplicación]],14,6)</f>
        <v>210</v>
      </c>
    </row>
    <row r="1867" spans="1:24" x14ac:dyDescent="0.25">
      <c r="A1867" s="55">
        <v>220230009496</v>
      </c>
      <c r="B1867" s="47" t="s">
        <v>507</v>
      </c>
      <c r="C1867" s="52">
        <v>45006</v>
      </c>
      <c r="D1867" s="46">
        <v>22023003462</v>
      </c>
      <c r="E1867" s="47" t="s">
        <v>1341</v>
      </c>
      <c r="F1867" s="53">
        <v>2613.6</v>
      </c>
      <c r="G1867" s="47" t="s">
        <v>341</v>
      </c>
      <c r="H1867" s="47" t="s">
        <v>3283</v>
      </c>
      <c r="I1867" s="46" t="s">
        <v>511</v>
      </c>
      <c r="J1867" s="47" t="s">
        <v>519</v>
      </c>
      <c r="K1867" s="47" t="s">
        <v>519</v>
      </c>
      <c r="L1867" s="47" t="s">
        <v>520</v>
      </c>
      <c r="M1867" s="47" t="s">
        <v>514</v>
      </c>
      <c r="N1867" s="47" t="s">
        <v>515</v>
      </c>
      <c r="O1867" s="54" t="s">
        <v>382</v>
      </c>
      <c r="P1867" s="44" t="s">
        <v>309</v>
      </c>
      <c r="Q1867" s="59" t="str">
        <f>MID(Tabla1[[#This Row],[Aplicación]],14,1)</f>
        <v>2</v>
      </c>
      <c r="R1867" s="35" t="s">
        <v>298</v>
      </c>
      <c r="S1867" s="59" t="str">
        <f>MID(Tabla1[[#This Row],[Aplicación]],6,2)</f>
        <v>05</v>
      </c>
      <c r="T1867" s="35" t="str">
        <f>VLOOKUP(Tabla1[[#This Row],[AREA]],Hoja1!A:B,2,FALSE)</f>
        <v>05. Innovación, desarrollo económico, empleo y comercio</v>
      </c>
      <c r="U1867" s="35" t="str">
        <f>MID(Tabla1[[#This Row],[Aplicación]],9,4)</f>
        <v>4331</v>
      </c>
      <c r="V1867" s="35" t="str">
        <f>VLOOKUP(Tabla1[[#This Row],[PROGRAMA]],Hoja1!A:B,2,FALSE)</f>
        <v>4331. Desarrollo empresarial</v>
      </c>
      <c r="W1867" s="56" t="str">
        <f>MID(Tabla1[[#This Row],[Aplicación]],14,2)</f>
        <v>22</v>
      </c>
      <c r="X1867" s="56" t="str">
        <f>MID(Tabla1[[#This Row],[Aplicación]],14,6)</f>
        <v>22602</v>
      </c>
    </row>
    <row r="1868" spans="1:24" x14ac:dyDescent="0.25">
      <c r="A1868" s="55">
        <v>220230012962</v>
      </c>
      <c r="B1868" s="47" t="s">
        <v>3284</v>
      </c>
      <c r="C1868" s="52">
        <v>45016</v>
      </c>
      <c r="D1868" s="46">
        <v>22023000742</v>
      </c>
      <c r="E1868" s="47" t="s">
        <v>539</v>
      </c>
      <c r="F1868" s="53">
        <v>-302.66000000000003</v>
      </c>
      <c r="G1868" s="47" t="s">
        <v>570</v>
      </c>
      <c r="H1868" s="47" t="s">
        <v>3285</v>
      </c>
      <c r="I1868" s="46" t="s">
        <v>3286</v>
      </c>
      <c r="J1868" s="47" t="s">
        <v>572</v>
      </c>
      <c r="K1868" s="47" t="s">
        <v>573</v>
      </c>
      <c r="L1868" s="47" t="s">
        <v>520</v>
      </c>
      <c r="M1868" s="47" t="s">
        <v>514</v>
      </c>
      <c r="N1868" s="47" t="s">
        <v>515</v>
      </c>
      <c r="O1868" s="54" t="s">
        <v>371</v>
      </c>
      <c r="P1868" s="44" t="s">
        <v>309</v>
      </c>
      <c r="Q1868" s="59" t="str">
        <f>MID(Tabla1[[#This Row],[Aplicación]],14,1)</f>
        <v>2</v>
      </c>
      <c r="R1868" s="35" t="s">
        <v>298</v>
      </c>
      <c r="S1868" s="59" t="str">
        <f>MID(Tabla1[[#This Row],[Aplicación]],6,2)</f>
        <v>10</v>
      </c>
      <c r="T1868" s="35" t="str">
        <f>VLOOKUP(Tabla1[[#This Row],[AREA]],Hoja1!A:B,2,FALSE)</f>
        <v>10. Servicios sociales y mediación comunitaria</v>
      </c>
      <c r="U1868" s="35" t="str">
        <f>MID(Tabla1[[#This Row],[Aplicación]],9,4)</f>
        <v>2312</v>
      </c>
      <c r="V1868" s="35" t="str">
        <f>VLOOKUP(Tabla1[[#This Row],[PROGRAMA]],Hoja1!A:B,2,FALSE)</f>
        <v>2312. Iniciativas sociales</v>
      </c>
      <c r="W1868" s="56" t="str">
        <f>MID(Tabla1[[#This Row],[Aplicación]],14,2)</f>
        <v>22</v>
      </c>
      <c r="X1868" s="56" t="str">
        <f>MID(Tabla1[[#This Row],[Aplicación]],14,6)</f>
        <v>22799</v>
      </c>
    </row>
    <row r="1869" spans="1:24" x14ac:dyDescent="0.25">
      <c r="A1869" s="55">
        <v>220230011702</v>
      </c>
      <c r="B1869" s="47" t="s">
        <v>507</v>
      </c>
      <c r="C1869" s="52">
        <v>45014</v>
      </c>
      <c r="D1869" s="46">
        <v>22023003610</v>
      </c>
      <c r="E1869" s="47" t="s">
        <v>1150</v>
      </c>
      <c r="F1869" s="53">
        <v>78.650000000000006</v>
      </c>
      <c r="G1869" s="47" t="s">
        <v>398</v>
      </c>
      <c r="H1869" s="47" t="s">
        <v>3287</v>
      </c>
      <c r="I1869" s="46" t="s">
        <v>511</v>
      </c>
      <c r="J1869" s="47" t="s">
        <v>1049</v>
      </c>
      <c r="K1869" s="47" t="s">
        <v>519</v>
      </c>
      <c r="L1869" s="47" t="s">
        <v>520</v>
      </c>
      <c r="M1869" s="47" t="s">
        <v>976</v>
      </c>
      <c r="N1869" s="47" t="s">
        <v>839</v>
      </c>
      <c r="O1869" s="54" t="s">
        <v>383</v>
      </c>
      <c r="P1869" s="44" t="s">
        <v>309</v>
      </c>
      <c r="Q1869" s="59" t="str">
        <f>MID(Tabla1[[#This Row],[Aplicación]],14,1)</f>
        <v>2</v>
      </c>
      <c r="R1869" s="35" t="s">
        <v>298</v>
      </c>
      <c r="S1869" s="59" t="str">
        <f>MID(Tabla1[[#This Row],[Aplicación]],6,2)</f>
        <v>03</v>
      </c>
      <c r="T1869" s="35" t="str">
        <f>VLOOKUP(Tabla1[[#This Row],[AREA]],Hoja1!A:B,2,FALSE)</f>
        <v>03. Participación ciudadana y deportes</v>
      </c>
      <c r="U1869" s="35" t="str">
        <f>MID(Tabla1[[#This Row],[Aplicación]],9,4)</f>
        <v>9241</v>
      </c>
      <c r="V1869" s="35" t="str">
        <f>VLOOKUP(Tabla1[[#This Row],[PROGRAMA]],Hoja1!A:B,2,FALSE)</f>
        <v>9241. Participación ciudadana</v>
      </c>
      <c r="W1869" s="56" t="str">
        <f>MID(Tabla1[[#This Row],[Aplicación]],14,2)</f>
        <v>21</v>
      </c>
      <c r="X1869" s="56" t="str">
        <f>MID(Tabla1[[#This Row],[Aplicación]],14,6)</f>
        <v>213</v>
      </c>
    </row>
    <row r="1870" spans="1:24" x14ac:dyDescent="0.25">
      <c r="A1870" s="46">
        <v>220230005413</v>
      </c>
      <c r="B1870" s="47" t="s">
        <v>507</v>
      </c>
      <c r="C1870" s="52">
        <v>44979</v>
      </c>
      <c r="D1870" s="46">
        <v>22023002634</v>
      </c>
      <c r="E1870" s="47" t="s">
        <v>1318</v>
      </c>
      <c r="F1870" s="53">
        <v>217.8</v>
      </c>
      <c r="G1870" s="47" t="s">
        <v>3288</v>
      </c>
      <c r="H1870" s="47" t="s">
        <v>3289</v>
      </c>
      <c r="I1870" s="46" t="s">
        <v>511</v>
      </c>
      <c r="J1870" s="47" t="s">
        <v>519</v>
      </c>
      <c r="K1870" s="47" t="s">
        <v>519</v>
      </c>
      <c r="L1870" s="47" t="s">
        <v>520</v>
      </c>
      <c r="M1870" s="47" t="s">
        <v>976</v>
      </c>
      <c r="N1870" s="47" t="s">
        <v>839</v>
      </c>
      <c r="O1870" s="45" t="s">
        <v>383</v>
      </c>
      <c r="P1870" s="44" t="s">
        <v>309</v>
      </c>
      <c r="Q1870" s="59" t="str">
        <f>MID(Tabla1[[#This Row],[Aplicación]],14,1)</f>
        <v>2</v>
      </c>
      <c r="R1870" s="35" t="s">
        <v>298</v>
      </c>
      <c r="S1870" s="59" t="str">
        <f>MID(Tabla1[[#This Row],[Aplicación]],6,2)</f>
        <v>05</v>
      </c>
      <c r="T1870" s="35" t="str">
        <f>VLOOKUP(Tabla1[[#This Row],[AREA]],Hoja1!A:B,2,FALSE)</f>
        <v>05. Innovación, desarrollo económico, empleo y comercio</v>
      </c>
      <c r="U1870" s="35" t="str">
        <f>MID(Tabla1[[#This Row],[Aplicación]],9,4)</f>
        <v>4331</v>
      </c>
      <c r="V1870" s="35" t="str">
        <f>VLOOKUP(Tabla1[[#This Row],[PROGRAMA]],Hoja1!A:B,2,FALSE)</f>
        <v>4331. Desarrollo empresarial</v>
      </c>
      <c r="W1870" s="56" t="str">
        <f>MID(Tabla1[[#This Row],[Aplicación]],14,2)</f>
        <v>22</v>
      </c>
      <c r="X1870" s="56" t="str">
        <f>MID(Tabla1[[#This Row],[Aplicación]],14,6)</f>
        <v>22699</v>
      </c>
    </row>
    <row r="1871" spans="1:24" x14ac:dyDescent="0.25">
      <c r="A1871" s="46">
        <v>220229000193</v>
      </c>
      <c r="B1871" s="47" t="s">
        <v>507</v>
      </c>
      <c r="C1871" s="52">
        <v>44927</v>
      </c>
      <c r="D1871" s="46">
        <v>22023000925</v>
      </c>
      <c r="E1871" s="47" t="s">
        <v>1544</v>
      </c>
      <c r="F1871" s="53">
        <v>15000</v>
      </c>
      <c r="G1871" s="47" t="s">
        <v>941</v>
      </c>
      <c r="H1871" s="47" t="s">
        <v>3290</v>
      </c>
      <c r="I1871" s="46" t="s">
        <v>511</v>
      </c>
      <c r="J1871" s="47" t="s">
        <v>519</v>
      </c>
      <c r="K1871" s="47" t="s">
        <v>519</v>
      </c>
      <c r="L1871" s="47" t="s">
        <v>520</v>
      </c>
      <c r="M1871" s="47" t="s">
        <v>514</v>
      </c>
      <c r="N1871" s="47" t="s">
        <v>515</v>
      </c>
      <c r="O1871" s="45" t="s">
        <v>371</v>
      </c>
      <c r="P1871" s="44" t="s">
        <v>309</v>
      </c>
      <c r="Q1871" s="59" t="str">
        <f>MID(Tabla1[[#This Row],[Aplicación]],14,1)</f>
        <v>2</v>
      </c>
      <c r="R1871" s="35" t="s">
        <v>298</v>
      </c>
      <c r="S1871" s="59" t="str">
        <f>MID(Tabla1[[#This Row],[Aplicación]],6,2)</f>
        <v>10</v>
      </c>
      <c r="T1871" s="35" t="str">
        <f>VLOOKUP(Tabla1[[#This Row],[AREA]],Hoja1!A:B,2,FALSE)</f>
        <v>10. Servicios sociales y mediación comunitaria</v>
      </c>
      <c r="U1871" s="35" t="str">
        <f>MID(Tabla1[[#This Row],[Aplicación]],9,4)</f>
        <v>2412</v>
      </c>
      <c r="V1871" s="35" t="str">
        <f>VLOOKUP(Tabla1[[#This Row],[PROGRAMA]],Hoja1!A:B,2,FALSE)</f>
        <v>2412. Formación para el empleo</v>
      </c>
      <c r="W1871" s="56" t="str">
        <f>MID(Tabla1[[#This Row],[Aplicación]],14,2)</f>
        <v>22</v>
      </c>
      <c r="X1871" s="56" t="str">
        <f>MID(Tabla1[[#This Row],[Aplicación]],14,6)</f>
        <v>22799</v>
      </c>
    </row>
    <row r="1872" spans="1:24" x14ac:dyDescent="0.25">
      <c r="A1872" s="46">
        <v>220230007167</v>
      </c>
      <c r="B1872" s="47" t="s">
        <v>507</v>
      </c>
      <c r="C1872" s="52">
        <v>44987</v>
      </c>
      <c r="D1872" s="46">
        <v>22023002844</v>
      </c>
      <c r="E1872" s="47" t="s">
        <v>1544</v>
      </c>
      <c r="F1872" s="53">
        <v>4000</v>
      </c>
      <c r="G1872" s="47" t="s">
        <v>941</v>
      </c>
      <c r="H1872" s="47" t="s">
        <v>3291</v>
      </c>
      <c r="I1872" s="46" t="s">
        <v>511</v>
      </c>
      <c r="J1872" s="47" t="s">
        <v>519</v>
      </c>
      <c r="K1872" s="47" t="s">
        <v>519</v>
      </c>
      <c r="L1872" s="47" t="s">
        <v>520</v>
      </c>
      <c r="M1872" s="47" t="s">
        <v>514</v>
      </c>
      <c r="N1872" s="47" t="s">
        <v>515</v>
      </c>
      <c r="O1872" s="45" t="s">
        <v>371</v>
      </c>
      <c r="P1872" s="44" t="s">
        <v>309</v>
      </c>
      <c r="Q1872" s="59" t="str">
        <f>MID(Tabla1[[#This Row],[Aplicación]],14,1)</f>
        <v>2</v>
      </c>
      <c r="R1872" s="35" t="s">
        <v>298</v>
      </c>
      <c r="S1872" s="59" t="str">
        <f>MID(Tabla1[[#This Row],[Aplicación]],6,2)</f>
        <v>10</v>
      </c>
      <c r="T1872" s="35" t="str">
        <f>VLOOKUP(Tabla1[[#This Row],[AREA]],Hoja1!A:B,2,FALSE)</f>
        <v>10. Servicios sociales y mediación comunitaria</v>
      </c>
      <c r="U1872" s="35" t="str">
        <f>MID(Tabla1[[#This Row],[Aplicación]],9,4)</f>
        <v>2412</v>
      </c>
      <c r="V1872" s="35" t="str">
        <f>VLOOKUP(Tabla1[[#This Row],[PROGRAMA]],Hoja1!A:B,2,FALSE)</f>
        <v>2412. Formación para el empleo</v>
      </c>
      <c r="W1872" s="56" t="str">
        <f>MID(Tabla1[[#This Row],[Aplicación]],14,2)</f>
        <v>22</v>
      </c>
      <c r="X1872" s="56" t="str">
        <f>MID(Tabla1[[#This Row],[Aplicación]],14,6)</f>
        <v>22799</v>
      </c>
    </row>
    <row r="1873" spans="1:24" x14ac:dyDescent="0.25">
      <c r="A1873" s="46">
        <v>220230007167</v>
      </c>
      <c r="B1873" s="47" t="s">
        <v>507</v>
      </c>
      <c r="C1873" s="52">
        <v>44987</v>
      </c>
      <c r="D1873" s="46">
        <v>22023002846</v>
      </c>
      <c r="E1873" s="47" t="s">
        <v>1544</v>
      </c>
      <c r="F1873" s="53">
        <v>4000</v>
      </c>
      <c r="G1873" s="47" t="s">
        <v>941</v>
      </c>
      <c r="H1873" s="47" t="s">
        <v>3291</v>
      </c>
      <c r="I1873" s="46" t="s">
        <v>511</v>
      </c>
      <c r="J1873" s="47" t="s">
        <v>519</v>
      </c>
      <c r="K1873" s="47" t="s">
        <v>519</v>
      </c>
      <c r="L1873" s="47" t="s">
        <v>520</v>
      </c>
      <c r="M1873" s="47" t="s">
        <v>514</v>
      </c>
      <c r="N1873" s="47" t="s">
        <v>515</v>
      </c>
      <c r="O1873" s="45" t="s">
        <v>371</v>
      </c>
      <c r="P1873" s="44" t="s">
        <v>309</v>
      </c>
      <c r="Q1873" s="59" t="str">
        <f>MID(Tabla1[[#This Row],[Aplicación]],14,1)</f>
        <v>2</v>
      </c>
      <c r="R1873" s="35" t="s">
        <v>298</v>
      </c>
      <c r="S1873" s="59" t="str">
        <f>MID(Tabla1[[#This Row],[Aplicación]],6,2)</f>
        <v>10</v>
      </c>
      <c r="T1873" s="35" t="str">
        <f>VLOOKUP(Tabla1[[#This Row],[AREA]],Hoja1!A:B,2,FALSE)</f>
        <v>10. Servicios sociales y mediación comunitaria</v>
      </c>
      <c r="U1873" s="35" t="str">
        <f>MID(Tabla1[[#This Row],[Aplicación]],9,4)</f>
        <v>2412</v>
      </c>
      <c r="V1873" s="35" t="str">
        <f>VLOOKUP(Tabla1[[#This Row],[PROGRAMA]],Hoja1!A:B,2,FALSE)</f>
        <v>2412. Formación para el empleo</v>
      </c>
      <c r="W1873" s="56" t="str">
        <f>MID(Tabla1[[#This Row],[Aplicación]],14,2)</f>
        <v>22</v>
      </c>
      <c r="X1873" s="56" t="str">
        <f>MID(Tabla1[[#This Row],[Aplicación]],14,6)</f>
        <v>22799</v>
      </c>
    </row>
    <row r="1874" spans="1:24" x14ac:dyDescent="0.25">
      <c r="A1874" s="55">
        <v>220230009226</v>
      </c>
      <c r="B1874" s="47" t="s">
        <v>1514</v>
      </c>
      <c r="C1874" s="52">
        <v>45006</v>
      </c>
      <c r="D1874" s="46">
        <v>22023002739</v>
      </c>
      <c r="E1874" s="47" t="s">
        <v>1551</v>
      </c>
      <c r="F1874" s="53">
        <v>40.869999999999997</v>
      </c>
      <c r="G1874" s="47" t="s">
        <v>2436</v>
      </c>
      <c r="H1874" s="47" t="s">
        <v>3292</v>
      </c>
      <c r="I1874" s="46" t="s">
        <v>1517</v>
      </c>
      <c r="J1874" s="47" t="s">
        <v>2438</v>
      </c>
      <c r="K1874" s="47" t="s">
        <v>1359</v>
      </c>
      <c r="L1874" s="47" t="s">
        <v>552</v>
      </c>
      <c r="M1874" s="47" t="s">
        <v>514</v>
      </c>
      <c r="N1874" s="47" t="s">
        <v>515</v>
      </c>
      <c r="O1874" s="54" t="s">
        <v>382</v>
      </c>
      <c r="P1874" s="44" t="s">
        <v>309</v>
      </c>
      <c r="Q1874" s="59" t="str">
        <f>MID(Tabla1[[#This Row],[Aplicación]],14,1)</f>
        <v>2</v>
      </c>
      <c r="R1874" s="35" t="s">
        <v>298</v>
      </c>
      <c r="S1874" s="59" t="str">
        <f>MID(Tabla1[[#This Row],[Aplicación]],6,2)</f>
        <v>02</v>
      </c>
      <c r="T1874" s="35" t="str">
        <f>VLOOKUP(Tabla1[[#This Row],[AREA]],Hoja1!A:B,2,FALSE)</f>
        <v>02. Planeamiento urbanístico y vivienda</v>
      </c>
      <c r="U1874" s="35" t="str">
        <f>MID(Tabla1[[#This Row],[Aplicación]],9,4)</f>
        <v>9332</v>
      </c>
      <c r="V1874" s="35" t="str">
        <f>VLOOKUP(Tabla1[[#This Row],[PROGRAMA]],Hoja1!A:B,2,FALSE)</f>
        <v>9332. Mantenimiento de edificios e instalaciones municipales</v>
      </c>
      <c r="W1874" s="56" t="str">
        <f>MID(Tabla1[[#This Row],[Aplicación]],14,2)</f>
        <v>21</v>
      </c>
      <c r="X1874" s="56" t="str">
        <f>MID(Tabla1[[#This Row],[Aplicación]],14,6)</f>
        <v>212</v>
      </c>
    </row>
    <row r="1875" spans="1:24" x14ac:dyDescent="0.25">
      <c r="A1875" s="55">
        <v>220230009285</v>
      </c>
      <c r="B1875" s="47" t="s">
        <v>1514</v>
      </c>
      <c r="C1875" s="52">
        <v>45006</v>
      </c>
      <c r="D1875" s="46">
        <v>22023000213</v>
      </c>
      <c r="E1875" s="47" t="s">
        <v>1694</v>
      </c>
      <c r="F1875" s="53">
        <v>2196.2800000000002</v>
      </c>
      <c r="G1875" s="47" t="s">
        <v>3293</v>
      </c>
      <c r="H1875" s="47" t="s">
        <v>3294</v>
      </c>
      <c r="I1875" s="46" t="s">
        <v>1517</v>
      </c>
      <c r="J1875" s="47" t="s">
        <v>3295</v>
      </c>
      <c r="K1875" s="47" t="s">
        <v>3296</v>
      </c>
      <c r="L1875" s="47" t="s">
        <v>520</v>
      </c>
      <c r="M1875" s="47" t="s">
        <v>514</v>
      </c>
      <c r="N1875" s="47" t="s">
        <v>515</v>
      </c>
      <c r="O1875" s="54" t="s">
        <v>382</v>
      </c>
      <c r="P1875" s="44" t="s">
        <v>309</v>
      </c>
      <c r="Q1875" s="59" t="str">
        <f>MID(Tabla1[[#This Row],[Aplicación]],14,1)</f>
        <v>2</v>
      </c>
      <c r="R1875" s="35" t="s">
        <v>298</v>
      </c>
      <c r="S1875" s="59" t="str">
        <f>MID(Tabla1[[#This Row],[Aplicación]],6,2)</f>
        <v>11</v>
      </c>
      <c r="T1875" s="35" t="str">
        <f>VLOOKUP(Tabla1[[#This Row],[AREA]],Hoja1!A:B,2,FALSE)</f>
        <v>11. Salud pública y seguridad ciudadana</v>
      </c>
      <c r="U1875" s="35" t="str">
        <f>MID(Tabla1[[#This Row],[Aplicación]],9,4)</f>
        <v>1321</v>
      </c>
      <c r="V1875" s="35" t="str">
        <f>VLOOKUP(Tabla1[[#This Row],[PROGRAMA]],Hoja1!A:B,2,FALSE)</f>
        <v>1321. Policía municipal</v>
      </c>
      <c r="W1875" s="56" t="str">
        <f>MID(Tabla1[[#This Row],[Aplicación]],14,2)</f>
        <v>21</v>
      </c>
      <c r="X1875" s="56" t="str">
        <f>MID(Tabla1[[#This Row],[Aplicación]],14,6)</f>
        <v>214</v>
      </c>
    </row>
    <row r="1876" spans="1:24" x14ac:dyDescent="0.25">
      <c r="A1876" s="55">
        <v>220230009385</v>
      </c>
      <c r="B1876" s="47" t="s">
        <v>1514</v>
      </c>
      <c r="C1876" s="52">
        <v>45006</v>
      </c>
      <c r="D1876" s="46">
        <v>22023000213</v>
      </c>
      <c r="E1876" s="47" t="s">
        <v>1694</v>
      </c>
      <c r="F1876" s="53">
        <v>2719.6</v>
      </c>
      <c r="G1876" s="47" t="s">
        <v>2424</v>
      </c>
      <c r="H1876" s="47" t="s">
        <v>3297</v>
      </c>
      <c r="I1876" s="46" t="s">
        <v>1517</v>
      </c>
      <c r="J1876" s="47" t="s">
        <v>519</v>
      </c>
      <c r="K1876" s="47" t="s">
        <v>519</v>
      </c>
      <c r="L1876" s="47" t="s">
        <v>520</v>
      </c>
      <c r="M1876" s="47" t="s">
        <v>514</v>
      </c>
      <c r="N1876" s="47" t="s">
        <v>515</v>
      </c>
      <c r="O1876" s="54" t="s">
        <v>382</v>
      </c>
      <c r="P1876" s="44" t="s">
        <v>309</v>
      </c>
      <c r="Q1876" s="59" t="str">
        <f>MID(Tabla1[[#This Row],[Aplicación]],14,1)</f>
        <v>2</v>
      </c>
      <c r="R1876" s="35" t="s">
        <v>298</v>
      </c>
      <c r="S1876" s="59" t="str">
        <f>MID(Tabla1[[#This Row],[Aplicación]],6,2)</f>
        <v>11</v>
      </c>
      <c r="T1876" s="35" t="str">
        <f>VLOOKUP(Tabla1[[#This Row],[AREA]],Hoja1!A:B,2,FALSE)</f>
        <v>11. Salud pública y seguridad ciudadana</v>
      </c>
      <c r="U1876" s="35" t="str">
        <f>MID(Tabla1[[#This Row],[Aplicación]],9,4)</f>
        <v>1321</v>
      </c>
      <c r="V1876" s="35" t="str">
        <f>VLOOKUP(Tabla1[[#This Row],[PROGRAMA]],Hoja1!A:B,2,FALSE)</f>
        <v>1321. Policía municipal</v>
      </c>
      <c r="W1876" s="56" t="str">
        <f>MID(Tabla1[[#This Row],[Aplicación]],14,2)</f>
        <v>21</v>
      </c>
      <c r="X1876" s="56" t="str">
        <f>MID(Tabla1[[#This Row],[Aplicación]],14,6)</f>
        <v>214</v>
      </c>
    </row>
    <row r="1877" spans="1:24" x14ac:dyDescent="0.25">
      <c r="A1877" s="55">
        <v>220230009290</v>
      </c>
      <c r="B1877" s="47" t="s">
        <v>1514</v>
      </c>
      <c r="C1877" s="52">
        <v>45006</v>
      </c>
      <c r="D1877" s="46">
        <v>22023000268</v>
      </c>
      <c r="E1877" s="47" t="s">
        <v>659</v>
      </c>
      <c r="F1877" s="53">
        <v>84.7</v>
      </c>
      <c r="G1877" s="47" t="s">
        <v>1857</v>
      </c>
      <c r="H1877" s="47" t="s">
        <v>3298</v>
      </c>
      <c r="I1877" s="46" t="s">
        <v>1517</v>
      </c>
      <c r="J1877" s="47" t="s">
        <v>519</v>
      </c>
      <c r="K1877" s="47" t="s">
        <v>519</v>
      </c>
      <c r="L1877" s="47" t="s">
        <v>520</v>
      </c>
      <c r="M1877" s="47" t="s">
        <v>514</v>
      </c>
      <c r="N1877" s="47" t="s">
        <v>515</v>
      </c>
      <c r="O1877" s="54" t="s">
        <v>382</v>
      </c>
      <c r="P1877" s="44" t="s">
        <v>309</v>
      </c>
      <c r="Q1877" s="59" t="str">
        <f>MID(Tabla1[[#This Row],[Aplicación]],14,1)</f>
        <v>2</v>
      </c>
      <c r="R1877" s="35" t="s">
        <v>298</v>
      </c>
      <c r="S1877" s="59" t="str">
        <f>MID(Tabla1[[#This Row],[Aplicación]],6,2)</f>
        <v>11</v>
      </c>
      <c r="T1877" s="35" t="str">
        <f>VLOOKUP(Tabla1[[#This Row],[AREA]],Hoja1!A:B,2,FALSE)</f>
        <v>11. Salud pública y seguridad ciudadana</v>
      </c>
      <c r="U1877" s="35" t="str">
        <f>MID(Tabla1[[#This Row],[Aplicación]],9,4)</f>
        <v>1321</v>
      </c>
      <c r="V1877" s="35" t="str">
        <f>VLOOKUP(Tabla1[[#This Row],[PROGRAMA]],Hoja1!A:B,2,FALSE)</f>
        <v>1321. Policía municipal</v>
      </c>
      <c r="W1877" s="56" t="str">
        <f>MID(Tabla1[[#This Row],[Aplicación]],14,2)</f>
        <v>21</v>
      </c>
      <c r="X1877" s="56" t="str">
        <f>MID(Tabla1[[#This Row],[Aplicación]],14,6)</f>
        <v>213</v>
      </c>
    </row>
    <row r="1878" spans="1:24" x14ac:dyDescent="0.25">
      <c r="A1878" s="55">
        <v>220230009359</v>
      </c>
      <c r="B1878" s="47" t="s">
        <v>1514</v>
      </c>
      <c r="C1878" s="52">
        <v>45006</v>
      </c>
      <c r="D1878" s="46">
        <v>22023000213</v>
      </c>
      <c r="E1878" s="47" t="s">
        <v>1694</v>
      </c>
      <c r="F1878" s="53">
        <v>219.84</v>
      </c>
      <c r="G1878" s="47" t="s">
        <v>1857</v>
      </c>
      <c r="H1878" s="47" t="s">
        <v>3299</v>
      </c>
      <c r="I1878" s="46" t="s">
        <v>1517</v>
      </c>
      <c r="J1878" s="47" t="s">
        <v>519</v>
      </c>
      <c r="K1878" s="47" t="s">
        <v>519</v>
      </c>
      <c r="L1878" s="47" t="s">
        <v>520</v>
      </c>
      <c r="M1878" s="47" t="s">
        <v>514</v>
      </c>
      <c r="N1878" s="47" t="s">
        <v>515</v>
      </c>
      <c r="O1878" s="54" t="s">
        <v>382</v>
      </c>
      <c r="P1878" s="44" t="s">
        <v>309</v>
      </c>
      <c r="Q1878" s="59" t="str">
        <f>MID(Tabla1[[#This Row],[Aplicación]],14,1)</f>
        <v>2</v>
      </c>
      <c r="R1878" s="35" t="s">
        <v>298</v>
      </c>
      <c r="S1878" s="59" t="str">
        <f>MID(Tabla1[[#This Row],[Aplicación]],6,2)</f>
        <v>11</v>
      </c>
      <c r="T1878" s="35" t="str">
        <f>VLOOKUP(Tabla1[[#This Row],[AREA]],Hoja1!A:B,2,FALSE)</f>
        <v>11. Salud pública y seguridad ciudadana</v>
      </c>
      <c r="U1878" s="35" t="str">
        <f>MID(Tabla1[[#This Row],[Aplicación]],9,4)</f>
        <v>1321</v>
      </c>
      <c r="V1878" s="35" t="str">
        <f>VLOOKUP(Tabla1[[#This Row],[PROGRAMA]],Hoja1!A:B,2,FALSE)</f>
        <v>1321. Policía municipal</v>
      </c>
      <c r="W1878" s="56" t="str">
        <f>MID(Tabla1[[#This Row],[Aplicación]],14,2)</f>
        <v>21</v>
      </c>
      <c r="X1878" s="56" t="str">
        <f>MID(Tabla1[[#This Row],[Aplicación]],14,6)</f>
        <v>214</v>
      </c>
    </row>
    <row r="1879" spans="1:24" x14ac:dyDescent="0.25">
      <c r="A1879" s="55">
        <v>220230009361</v>
      </c>
      <c r="B1879" s="47" t="s">
        <v>1514</v>
      </c>
      <c r="C1879" s="52">
        <v>45006</v>
      </c>
      <c r="D1879" s="46">
        <v>22023000213</v>
      </c>
      <c r="E1879" s="47" t="s">
        <v>1694</v>
      </c>
      <c r="F1879" s="53">
        <v>251</v>
      </c>
      <c r="G1879" s="47" t="s">
        <v>1857</v>
      </c>
      <c r="H1879" s="47" t="s">
        <v>3300</v>
      </c>
      <c r="I1879" s="46" t="s">
        <v>1517</v>
      </c>
      <c r="J1879" s="47" t="s">
        <v>519</v>
      </c>
      <c r="K1879" s="47" t="s">
        <v>519</v>
      </c>
      <c r="L1879" s="47" t="s">
        <v>520</v>
      </c>
      <c r="M1879" s="47" t="s">
        <v>514</v>
      </c>
      <c r="N1879" s="47" t="s">
        <v>515</v>
      </c>
      <c r="O1879" s="54" t="s">
        <v>382</v>
      </c>
      <c r="P1879" s="44" t="s">
        <v>309</v>
      </c>
      <c r="Q1879" s="59" t="str">
        <f>MID(Tabla1[[#This Row],[Aplicación]],14,1)</f>
        <v>2</v>
      </c>
      <c r="R1879" s="35" t="s">
        <v>298</v>
      </c>
      <c r="S1879" s="59" t="str">
        <f>MID(Tabla1[[#This Row],[Aplicación]],6,2)</f>
        <v>11</v>
      </c>
      <c r="T1879" s="35" t="str">
        <f>VLOOKUP(Tabla1[[#This Row],[AREA]],Hoja1!A:B,2,FALSE)</f>
        <v>11. Salud pública y seguridad ciudadana</v>
      </c>
      <c r="U1879" s="35" t="str">
        <f>MID(Tabla1[[#This Row],[Aplicación]],9,4)</f>
        <v>1321</v>
      </c>
      <c r="V1879" s="35" t="str">
        <f>VLOOKUP(Tabla1[[#This Row],[PROGRAMA]],Hoja1!A:B,2,FALSE)</f>
        <v>1321. Policía municipal</v>
      </c>
      <c r="W1879" s="56" t="str">
        <f>MID(Tabla1[[#This Row],[Aplicación]],14,2)</f>
        <v>21</v>
      </c>
      <c r="X1879" s="56" t="str">
        <f>MID(Tabla1[[#This Row],[Aplicación]],14,6)</f>
        <v>214</v>
      </c>
    </row>
    <row r="1880" spans="1:24" x14ac:dyDescent="0.25">
      <c r="A1880" s="55">
        <v>220230009417</v>
      </c>
      <c r="B1880" s="47" t="s">
        <v>1514</v>
      </c>
      <c r="C1880" s="52">
        <v>45006</v>
      </c>
      <c r="D1880" s="46">
        <v>22023001459</v>
      </c>
      <c r="E1880" s="47" t="s">
        <v>1290</v>
      </c>
      <c r="F1880" s="53">
        <v>520.29999999999995</v>
      </c>
      <c r="G1880" s="47" t="s">
        <v>3301</v>
      </c>
      <c r="H1880" s="47" t="s">
        <v>3302</v>
      </c>
      <c r="I1880" s="46" t="s">
        <v>1517</v>
      </c>
      <c r="J1880" s="47" t="s">
        <v>519</v>
      </c>
      <c r="K1880" s="47" t="s">
        <v>519</v>
      </c>
      <c r="L1880" s="47" t="s">
        <v>520</v>
      </c>
      <c r="M1880" s="47" t="s">
        <v>514</v>
      </c>
      <c r="N1880" s="47" t="s">
        <v>515</v>
      </c>
      <c r="O1880" s="54" t="s">
        <v>382</v>
      </c>
      <c r="P1880" s="44" t="s">
        <v>309</v>
      </c>
      <c r="Q1880" s="59" t="str">
        <f>MID(Tabla1[[#This Row],[Aplicación]],14,1)</f>
        <v>2</v>
      </c>
      <c r="R1880" s="35" t="s">
        <v>298</v>
      </c>
      <c r="S1880" s="59" t="str">
        <f>MID(Tabla1[[#This Row],[Aplicación]],6,2)</f>
        <v>11</v>
      </c>
      <c r="T1880" s="35" t="str">
        <f>VLOOKUP(Tabla1[[#This Row],[AREA]],Hoja1!A:B,2,FALSE)</f>
        <v>11. Salud pública y seguridad ciudadana</v>
      </c>
      <c r="U1880" s="35" t="str">
        <f>MID(Tabla1[[#This Row],[Aplicación]],9,4)</f>
        <v>1621</v>
      </c>
      <c r="V1880" s="35" t="str">
        <f>VLOOKUP(Tabla1[[#This Row],[PROGRAMA]],Hoja1!A:B,2,FALSE)</f>
        <v>1621. Servicio de limpieza</v>
      </c>
      <c r="W1880" s="56" t="str">
        <f>MID(Tabla1[[#This Row],[Aplicación]],14,2)</f>
        <v>21</v>
      </c>
      <c r="X1880" s="56" t="str">
        <f>MID(Tabla1[[#This Row],[Aplicación]],14,6)</f>
        <v>214</v>
      </c>
    </row>
    <row r="1881" spans="1:24" x14ac:dyDescent="0.25">
      <c r="A1881" s="46">
        <v>220230007167</v>
      </c>
      <c r="B1881" s="47" t="s">
        <v>507</v>
      </c>
      <c r="C1881" s="52">
        <v>44987</v>
      </c>
      <c r="D1881" s="46">
        <v>22023002847</v>
      </c>
      <c r="E1881" s="47" t="s">
        <v>1544</v>
      </c>
      <c r="F1881" s="53">
        <v>4000</v>
      </c>
      <c r="G1881" s="47" t="s">
        <v>941</v>
      </c>
      <c r="H1881" s="47" t="s">
        <v>3291</v>
      </c>
      <c r="I1881" s="46" t="s">
        <v>511</v>
      </c>
      <c r="J1881" s="47" t="s">
        <v>519</v>
      </c>
      <c r="K1881" s="47" t="s">
        <v>519</v>
      </c>
      <c r="L1881" s="47" t="s">
        <v>520</v>
      </c>
      <c r="M1881" s="47" t="s">
        <v>514</v>
      </c>
      <c r="N1881" s="47" t="s">
        <v>515</v>
      </c>
      <c r="O1881" s="45" t="s">
        <v>371</v>
      </c>
      <c r="P1881" s="44" t="s">
        <v>309</v>
      </c>
      <c r="Q1881" s="59" t="str">
        <f>MID(Tabla1[[#This Row],[Aplicación]],14,1)</f>
        <v>2</v>
      </c>
      <c r="R1881" s="35" t="s">
        <v>298</v>
      </c>
      <c r="S1881" s="59" t="str">
        <f>MID(Tabla1[[#This Row],[Aplicación]],6,2)</f>
        <v>10</v>
      </c>
      <c r="T1881" s="35" t="str">
        <f>VLOOKUP(Tabla1[[#This Row],[AREA]],Hoja1!A:B,2,FALSE)</f>
        <v>10. Servicios sociales y mediación comunitaria</v>
      </c>
      <c r="U1881" s="35" t="str">
        <f>MID(Tabla1[[#This Row],[Aplicación]],9,4)</f>
        <v>2412</v>
      </c>
      <c r="V1881" s="35" t="str">
        <f>VLOOKUP(Tabla1[[#This Row],[PROGRAMA]],Hoja1!A:B,2,FALSE)</f>
        <v>2412. Formación para el empleo</v>
      </c>
      <c r="W1881" s="56" t="str">
        <f>MID(Tabla1[[#This Row],[Aplicación]],14,2)</f>
        <v>22</v>
      </c>
      <c r="X1881" s="56" t="str">
        <f>MID(Tabla1[[#This Row],[Aplicación]],14,6)</f>
        <v>22799</v>
      </c>
    </row>
    <row r="1882" spans="1:24" x14ac:dyDescent="0.25">
      <c r="A1882" s="46">
        <v>220230007167</v>
      </c>
      <c r="B1882" s="47" t="s">
        <v>507</v>
      </c>
      <c r="C1882" s="52">
        <v>44987</v>
      </c>
      <c r="D1882" s="46">
        <v>22023002845</v>
      </c>
      <c r="E1882" s="47" t="s">
        <v>1544</v>
      </c>
      <c r="F1882" s="53">
        <v>3000</v>
      </c>
      <c r="G1882" s="47" t="s">
        <v>941</v>
      </c>
      <c r="H1882" s="47" t="s">
        <v>3291</v>
      </c>
      <c r="I1882" s="46" t="s">
        <v>511</v>
      </c>
      <c r="J1882" s="47" t="s">
        <v>519</v>
      </c>
      <c r="K1882" s="47" t="s">
        <v>519</v>
      </c>
      <c r="L1882" s="47" t="s">
        <v>520</v>
      </c>
      <c r="M1882" s="47" t="s">
        <v>514</v>
      </c>
      <c r="N1882" s="47" t="s">
        <v>515</v>
      </c>
      <c r="O1882" s="45" t="s">
        <v>371</v>
      </c>
      <c r="P1882" s="44" t="s">
        <v>309</v>
      </c>
      <c r="Q1882" s="59" t="str">
        <f>MID(Tabla1[[#This Row],[Aplicación]],14,1)</f>
        <v>2</v>
      </c>
      <c r="R1882" s="35" t="s">
        <v>298</v>
      </c>
      <c r="S1882" s="59" t="str">
        <f>MID(Tabla1[[#This Row],[Aplicación]],6,2)</f>
        <v>10</v>
      </c>
      <c r="T1882" s="35" t="str">
        <f>VLOOKUP(Tabla1[[#This Row],[AREA]],Hoja1!A:B,2,FALSE)</f>
        <v>10. Servicios sociales y mediación comunitaria</v>
      </c>
      <c r="U1882" s="35" t="str">
        <f>MID(Tabla1[[#This Row],[Aplicación]],9,4)</f>
        <v>2412</v>
      </c>
      <c r="V1882" s="35" t="str">
        <f>VLOOKUP(Tabla1[[#This Row],[PROGRAMA]],Hoja1!A:B,2,FALSE)</f>
        <v>2412. Formación para el empleo</v>
      </c>
      <c r="W1882" s="56" t="str">
        <f>MID(Tabla1[[#This Row],[Aplicación]],14,2)</f>
        <v>22</v>
      </c>
      <c r="X1882" s="56" t="str">
        <f>MID(Tabla1[[#This Row],[Aplicación]],14,6)</f>
        <v>22799</v>
      </c>
    </row>
    <row r="1883" spans="1:24" x14ac:dyDescent="0.25">
      <c r="A1883" s="46">
        <v>220230007166</v>
      </c>
      <c r="B1883" s="47" t="s">
        <v>1337</v>
      </c>
      <c r="C1883" s="52">
        <v>44987</v>
      </c>
      <c r="D1883" s="46">
        <v>22023000925</v>
      </c>
      <c r="E1883" s="47" t="s">
        <v>1544</v>
      </c>
      <c r="F1883" s="53">
        <v>-15000</v>
      </c>
      <c r="G1883" s="47" t="s">
        <v>941</v>
      </c>
      <c r="H1883" s="47" t="s">
        <v>3303</v>
      </c>
      <c r="I1883" s="46" t="s">
        <v>511</v>
      </c>
      <c r="J1883" s="47" t="s">
        <v>519</v>
      </c>
      <c r="K1883" s="47" t="s">
        <v>519</v>
      </c>
      <c r="L1883" s="47" t="s">
        <v>520</v>
      </c>
      <c r="M1883" s="47" t="s">
        <v>514</v>
      </c>
      <c r="N1883" s="47" t="s">
        <v>515</v>
      </c>
      <c r="O1883" s="54" t="s">
        <v>371</v>
      </c>
      <c r="P1883" s="44" t="s">
        <v>309</v>
      </c>
      <c r="Q1883" s="59" t="str">
        <f>MID(Tabla1[[#This Row],[Aplicación]],14,1)</f>
        <v>2</v>
      </c>
      <c r="R1883" s="35" t="s">
        <v>298</v>
      </c>
      <c r="S1883" s="59" t="str">
        <f>MID(Tabla1[[#This Row],[Aplicación]],6,2)</f>
        <v>10</v>
      </c>
      <c r="T1883" s="35" t="str">
        <f>VLOOKUP(Tabla1[[#This Row],[AREA]],Hoja1!A:B,2,FALSE)</f>
        <v>10. Servicios sociales y mediación comunitaria</v>
      </c>
      <c r="U1883" s="35" t="str">
        <f>MID(Tabla1[[#This Row],[Aplicación]],9,4)</f>
        <v>2412</v>
      </c>
      <c r="V1883" s="35" t="str">
        <f>VLOOKUP(Tabla1[[#This Row],[PROGRAMA]],Hoja1!A:B,2,FALSE)</f>
        <v>2412. Formación para el empleo</v>
      </c>
      <c r="W1883" s="56" t="str">
        <f>MID(Tabla1[[#This Row],[Aplicación]],14,2)</f>
        <v>22</v>
      </c>
      <c r="X1883" s="56" t="str">
        <f>MID(Tabla1[[#This Row],[Aplicación]],14,6)</f>
        <v>22799</v>
      </c>
    </row>
    <row r="1884" spans="1:24" x14ac:dyDescent="0.25">
      <c r="A1884" s="55">
        <v>220230009307</v>
      </c>
      <c r="B1884" s="47" t="s">
        <v>1514</v>
      </c>
      <c r="C1884" s="52">
        <v>45006</v>
      </c>
      <c r="D1884" s="46">
        <v>22023002053</v>
      </c>
      <c r="E1884" s="47" t="s">
        <v>2107</v>
      </c>
      <c r="F1884" s="53">
        <v>978.89</v>
      </c>
      <c r="G1884" s="47" t="s">
        <v>2120</v>
      </c>
      <c r="H1884" s="47" t="s">
        <v>3304</v>
      </c>
      <c r="I1884" s="46" t="s">
        <v>1517</v>
      </c>
      <c r="J1884" s="47" t="s">
        <v>519</v>
      </c>
      <c r="K1884" s="47" t="s">
        <v>519</v>
      </c>
      <c r="L1884" s="47" t="s">
        <v>520</v>
      </c>
      <c r="M1884" s="47" t="s">
        <v>514</v>
      </c>
      <c r="N1884" s="47" t="s">
        <v>515</v>
      </c>
      <c r="O1884" s="54" t="s">
        <v>382</v>
      </c>
      <c r="P1884" s="44" t="s">
        <v>309</v>
      </c>
      <c r="Q1884" s="59" t="str">
        <f>MID(Tabla1[[#This Row],[Aplicación]],14,1)</f>
        <v>2</v>
      </c>
      <c r="R1884" s="35" t="s">
        <v>298</v>
      </c>
      <c r="S1884" s="59" t="str">
        <f>MID(Tabla1[[#This Row],[Aplicación]],6,2)</f>
        <v>07</v>
      </c>
      <c r="T1884" s="35" t="str">
        <f>VLOOKUP(Tabla1[[#This Row],[AREA]],Hoja1!A:B,2,FALSE)</f>
        <v>07. Medio ambiente y desarrollo sostenible</v>
      </c>
      <c r="U1884" s="35" t="str">
        <f>MID(Tabla1[[#This Row],[Aplicación]],9,4)</f>
        <v>1711</v>
      </c>
      <c r="V1884" s="35" t="str">
        <f>VLOOKUP(Tabla1[[#This Row],[PROGRAMA]],Hoja1!A:B,2,FALSE)</f>
        <v>1711. Parques y jardines</v>
      </c>
      <c r="W1884" s="56" t="str">
        <f>MID(Tabla1[[#This Row],[Aplicación]],14,2)</f>
        <v>21</v>
      </c>
      <c r="X1884" s="56" t="str">
        <f>MID(Tabla1[[#This Row],[Aplicación]],14,6)</f>
        <v>213</v>
      </c>
    </row>
    <row r="1885" spans="1:24" x14ac:dyDescent="0.25">
      <c r="A1885" s="55">
        <v>220230009375</v>
      </c>
      <c r="B1885" s="47" t="s">
        <v>1514</v>
      </c>
      <c r="C1885" s="52">
        <v>45006</v>
      </c>
      <c r="D1885" s="46">
        <v>22023000213</v>
      </c>
      <c r="E1885" s="47" t="s">
        <v>1694</v>
      </c>
      <c r="F1885" s="53">
        <v>172.13</v>
      </c>
      <c r="G1885" s="47" t="s">
        <v>317</v>
      </c>
      <c r="H1885" s="47" t="s">
        <v>3305</v>
      </c>
      <c r="I1885" s="46" t="s">
        <v>1517</v>
      </c>
      <c r="J1885" s="47" t="s">
        <v>519</v>
      </c>
      <c r="K1885" s="47" t="s">
        <v>519</v>
      </c>
      <c r="L1885" s="47" t="s">
        <v>520</v>
      </c>
      <c r="M1885" s="47" t="s">
        <v>514</v>
      </c>
      <c r="N1885" s="47" t="s">
        <v>515</v>
      </c>
      <c r="O1885" s="54" t="s">
        <v>382</v>
      </c>
      <c r="P1885" s="44" t="s">
        <v>309</v>
      </c>
      <c r="Q1885" s="59" t="str">
        <f>MID(Tabla1[[#This Row],[Aplicación]],14,1)</f>
        <v>2</v>
      </c>
      <c r="R1885" s="35" t="s">
        <v>298</v>
      </c>
      <c r="S1885" s="59" t="str">
        <f>MID(Tabla1[[#This Row],[Aplicación]],6,2)</f>
        <v>11</v>
      </c>
      <c r="T1885" s="35" t="str">
        <f>VLOOKUP(Tabla1[[#This Row],[AREA]],Hoja1!A:B,2,FALSE)</f>
        <v>11. Salud pública y seguridad ciudadana</v>
      </c>
      <c r="U1885" s="35" t="str">
        <f>MID(Tabla1[[#This Row],[Aplicación]],9,4)</f>
        <v>1321</v>
      </c>
      <c r="V1885" s="35" t="str">
        <f>VLOOKUP(Tabla1[[#This Row],[PROGRAMA]],Hoja1!A:B,2,FALSE)</f>
        <v>1321. Policía municipal</v>
      </c>
      <c r="W1885" s="56" t="str">
        <f>MID(Tabla1[[#This Row],[Aplicación]],14,2)</f>
        <v>21</v>
      </c>
      <c r="X1885" s="56" t="str">
        <f>MID(Tabla1[[#This Row],[Aplicación]],14,6)</f>
        <v>214</v>
      </c>
    </row>
    <row r="1886" spans="1:24" x14ac:dyDescent="0.25">
      <c r="A1886" s="55">
        <v>220230009377</v>
      </c>
      <c r="B1886" s="47" t="s">
        <v>1514</v>
      </c>
      <c r="C1886" s="52">
        <v>45006</v>
      </c>
      <c r="D1886" s="46">
        <v>22023000213</v>
      </c>
      <c r="E1886" s="47" t="s">
        <v>1694</v>
      </c>
      <c r="F1886" s="53">
        <v>34.07</v>
      </c>
      <c r="G1886" s="47" t="s">
        <v>317</v>
      </c>
      <c r="H1886" s="47" t="s">
        <v>3306</v>
      </c>
      <c r="I1886" s="46" t="s">
        <v>1517</v>
      </c>
      <c r="J1886" s="47" t="s">
        <v>519</v>
      </c>
      <c r="K1886" s="47" t="s">
        <v>519</v>
      </c>
      <c r="L1886" s="47" t="s">
        <v>520</v>
      </c>
      <c r="M1886" s="47" t="s">
        <v>514</v>
      </c>
      <c r="N1886" s="47" t="s">
        <v>515</v>
      </c>
      <c r="O1886" s="54" t="s">
        <v>382</v>
      </c>
      <c r="P1886" s="44" t="s">
        <v>309</v>
      </c>
      <c r="Q1886" s="59" t="str">
        <f>MID(Tabla1[[#This Row],[Aplicación]],14,1)</f>
        <v>2</v>
      </c>
      <c r="R1886" s="35" t="s">
        <v>298</v>
      </c>
      <c r="S1886" s="59" t="str">
        <f>MID(Tabla1[[#This Row],[Aplicación]],6,2)</f>
        <v>11</v>
      </c>
      <c r="T1886" s="35" t="str">
        <f>VLOOKUP(Tabla1[[#This Row],[AREA]],Hoja1!A:B,2,FALSE)</f>
        <v>11. Salud pública y seguridad ciudadana</v>
      </c>
      <c r="U1886" s="35" t="str">
        <f>MID(Tabla1[[#This Row],[Aplicación]],9,4)</f>
        <v>1321</v>
      </c>
      <c r="V1886" s="35" t="str">
        <f>VLOOKUP(Tabla1[[#This Row],[PROGRAMA]],Hoja1!A:B,2,FALSE)</f>
        <v>1321. Policía municipal</v>
      </c>
      <c r="W1886" s="56" t="str">
        <f>MID(Tabla1[[#This Row],[Aplicación]],14,2)</f>
        <v>21</v>
      </c>
      <c r="X1886" s="56" t="str">
        <f>MID(Tabla1[[#This Row],[Aplicación]],14,6)</f>
        <v>214</v>
      </c>
    </row>
    <row r="1887" spans="1:24" x14ac:dyDescent="0.25">
      <c r="A1887" s="55">
        <v>220230009379</v>
      </c>
      <c r="B1887" s="47" t="s">
        <v>1514</v>
      </c>
      <c r="C1887" s="52">
        <v>45006</v>
      </c>
      <c r="D1887" s="46">
        <v>22023000213</v>
      </c>
      <c r="E1887" s="47" t="s">
        <v>1694</v>
      </c>
      <c r="F1887" s="53">
        <v>9.4</v>
      </c>
      <c r="G1887" s="47" t="s">
        <v>317</v>
      </c>
      <c r="H1887" s="47" t="s">
        <v>3307</v>
      </c>
      <c r="I1887" s="46" t="s">
        <v>1517</v>
      </c>
      <c r="J1887" s="47" t="s">
        <v>519</v>
      </c>
      <c r="K1887" s="47" t="s">
        <v>519</v>
      </c>
      <c r="L1887" s="47" t="s">
        <v>520</v>
      </c>
      <c r="M1887" s="47" t="s">
        <v>514</v>
      </c>
      <c r="N1887" s="47" t="s">
        <v>515</v>
      </c>
      <c r="O1887" s="54" t="s">
        <v>382</v>
      </c>
      <c r="P1887" s="44" t="s">
        <v>309</v>
      </c>
      <c r="Q1887" s="59" t="str">
        <f>MID(Tabla1[[#This Row],[Aplicación]],14,1)</f>
        <v>2</v>
      </c>
      <c r="R1887" s="35" t="s">
        <v>298</v>
      </c>
      <c r="S1887" s="59" t="str">
        <f>MID(Tabla1[[#This Row],[Aplicación]],6,2)</f>
        <v>11</v>
      </c>
      <c r="T1887" s="35" t="str">
        <f>VLOOKUP(Tabla1[[#This Row],[AREA]],Hoja1!A:B,2,FALSE)</f>
        <v>11. Salud pública y seguridad ciudadana</v>
      </c>
      <c r="U1887" s="35" t="str">
        <f>MID(Tabla1[[#This Row],[Aplicación]],9,4)</f>
        <v>1321</v>
      </c>
      <c r="V1887" s="35" t="str">
        <f>VLOOKUP(Tabla1[[#This Row],[PROGRAMA]],Hoja1!A:B,2,FALSE)</f>
        <v>1321. Policía municipal</v>
      </c>
      <c r="W1887" s="56" t="str">
        <f>MID(Tabla1[[#This Row],[Aplicación]],14,2)</f>
        <v>21</v>
      </c>
      <c r="X1887" s="56" t="str">
        <f>MID(Tabla1[[#This Row],[Aplicación]],14,6)</f>
        <v>214</v>
      </c>
    </row>
    <row r="1888" spans="1:24" x14ac:dyDescent="0.25">
      <c r="A1888" s="55">
        <v>220230009331</v>
      </c>
      <c r="B1888" s="47" t="s">
        <v>1514</v>
      </c>
      <c r="C1888" s="52">
        <v>45006</v>
      </c>
      <c r="D1888" s="46">
        <v>22023000213</v>
      </c>
      <c r="E1888" s="47" t="s">
        <v>1694</v>
      </c>
      <c r="F1888" s="53">
        <v>1053.79</v>
      </c>
      <c r="G1888" s="47" t="s">
        <v>2705</v>
      </c>
      <c r="H1888" s="47" t="s">
        <v>3308</v>
      </c>
      <c r="I1888" s="46" t="s">
        <v>1517</v>
      </c>
      <c r="J1888" s="47" t="s">
        <v>519</v>
      </c>
      <c r="K1888" s="47" t="s">
        <v>519</v>
      </c>
      <c r="L1888" s="47" t="s">
        <v>520</v>
      </c>
      <c r="M1888" s="47" t="s">
        <v>514</v>
      </c>
      <c r="N1888" s="47" t="s">
        <v>515</v>
      </c>
      <c r="O1888" s="54" t="s">
        <v>382</v>
      </c>
      <c r="P1888" s="44" t="s">
        <v>309</v>
      </c>
      <c r="Q1888" s="59" t="str">
        <f>MID(Tabla1[[#This Row],[Aplicación]],14,1)</f>
        <v>2</v>
      </c>
      <c r="R1888" s="35" t="s">
        <v>298</v>
      </c>
      <c r="S1888" s="59" t="str">
        <f>MID(Tabla1[[#This Row],[Aplicación]],6,2)</f>
        <v>11</v>
      </c>
      <c r="T1888" s="35" t="str">
        <f>VLOOKUP(Tabla1[[#This Row],[AREA]],Hoja1!A:B,2,FALSE)</f>
        <v>11. Salud pública y seguridad ciudadana</v>
      </c>
      <c r="U1888" s="35" t="str">
        <f>MID(Tabla1[[#This Row],[Aplicación]],9,4)</f>
        <v>1321</v>
      </c>
      <c r="V1888" s="35" t="str">
        <f>VLOOKUP(Tabla1[[#This Row],[PROGRAMA]],Hoja1!A:B,2,FALSE)</f>
        <v>1321. Policía municipal</v>
      </c>
      <c r="W1888" s="56" t="str">
        <f>MID(Tabla1[[#This Row],[Aplicación]],14,2)</f>
        <v>21</v>
      </c>
      <c r="X1888" s="56" t="str">
        <f>MID(Tabla1[[#This Row],[Aplicación]],14,6)</f>
        <v>214</v>
      </c>
    </row>
    <row r="1889" spans="1:24" x14ac:dyDescent="0.25">
      <c r="A1889" s="46">
        <v>220230002589</v>
      </c>
      <c r="B1889" s="47" t="s">
        <v>507</v>
      </c>
      <c r="C1889" s="52">
        <v>44965</v>
      </c>
      <c r="D1889" s="46">
        <v>22023002160</v>
      </c>
      <c r="E1889" s="47" t="s">
        <v>772</v>
      </c>
      <c r="F1889" s="53">
        <v>411.4</v>
      </c>
      <c r="G1889" s="47" t="s">
        <v>3309</v>
      </c>
      <c r="H1889" s="47" t="s">
        <v>3310</v>
      </c>
      <c r="I1889" s="46" t="s">
        <v>511</v>
      </c>
      <c r="J1889" s="47" t="s">
        <v>3311</v>
      </c>
      <c r="K1889" s="47" t="s">
        <v>512</v>
      </c>
      <c r="L1889" s="47" t="s">
        <v>520</v>
      </c>
      <c r="M1889" s="47" t="s">
        <v>976</v>
      </c>
      <c r="N1889" s="47" t="s">
        <v>839</v>
      </c>
      <c r="O1889" s="45" t="s">
        <v>383</v>
      </c>
      <c r="P1889" s="44" t="s">
        <v>309</v>
      </c>
      <c r="Q1889" s="59" t="str">
        <f>MID(Tabla1[[#This Row],[Aplicación]],14,1)</f>
        <v>2</v>
      </c>
      <c r="R1889" s="35" t="s">
        <v>298</v>
      </c>
      <c r="S1889" s="59" t="str">
        <f>MID(Tabla1[[#This Row],[Aplicación]],6,2)</f>
        <v>06</v>
      </c>
      <c r="T1889" s="35" t="str">
        <f>VLOOKUP(Tabla1[[#This Row],[AREA]],Hoja1!A:B,2,FALSE)</f>
        <v>06. Educación, infancia, juventud e igualdad</v>
      </c>
      <c r="U1889" s="35" t="str">
        <f>MID(Tabla1[[#This Row],[Aplicación]],9,4)</f>
        <v>2314</v>
      </c>
      <c r="V1889" s="35" t="str">
        <f>VLOOKUP(Tabla1[[#This Row],[PROGRAMA]],Hoja1!A:B,2,FALSE)</f>
        <v>2314. Centro de programas juveniles</v>
      </c>
      <c r="W1889" s="56" t="str">
        <f>MID(Tabla1[[#This Row],[Aplicación]],14,2)</f>
        <v>22</v>
      </c>
      <c r="X1889" s="56" t="str">
        <f>MID(Tabla1[[#This Row],[Aplicación]],14,6)</f>
        <v>22799</v>
      </c>
    </row>
    <row r="1890" spans="1:24" x14ac:dyDescent="0.25">
      <c r="A1890" s="46">
        <v>220229000288</v>
      </c>
      <c r="B1890" s="47" t="s">
        <v>507</v>
      </c>
      <c r="C1890" s="52">
        <v>44927</v>
      </c>
      <c r="D1890" s="46">
        <v>22023000942</v>
      </c>
      <c r="E1890" s="47" t="s">
        <v>931</v>
      </c>
      <c r="F1890" s="53">
        <v>4192.6499999999996</v>
      </c>
      <c r="G1890" s="47" t="s">
        <v>3312</v>
      </c>
      <c r="H1890" s="47" t="s">
        <v>3313</v>
      </c>
      <c r="I1890" s="46" t="s">
        <v>511</v>
      </c>
      <c r="J1890" s="47" t="s">
        <v>519</v>
      </c>
      <c r="K1890" s="47" t="s">
        <v>519</v>
      </c>
      <c r="L1890" s="47" t="s">
        <v>520</v>
      </c>
      <c r="M1890" s="47" t="s">
        <v>976</v>
      </c>
      <c r="N1890" s="47" t="s">
        <v>839</v>
      </c>
      <c r="O1890" s="45" t="s">
        <v>383</v>
      </c>
      <c r="P1890" s="44" t="s">
        <v>309</v>
      </c>
      <c r="Q1890" s="59" t="str">
        <f>MID(Tabla1[[#This Row],[Aplicación]],14,1)</f>
        <v>2</v>
      </c>
      <c r="R1890" s="35" t="s">
        <v>298</v>
      </c>
      <c r="S1890" s="59" t="str">
        <f>MID(Tabla1[[#This Row],[Aplicación]],6,2)</f>
        <v>09</v>
      </c>
      <c r="T1890" s="35" t="str">
        <f>VLOOKUP(Tabla1[[#This Row],[AREA]],Hoja1!A:B,2,FALSE)</f>
        <v>09. Cultura y turismo</v>
      </c>
      <c r="U1890" s="35" t="str">
        <f>MID(Tabla1[[#This Row],[Aplicación]],9,4)</f>
        <v>3341</v>
      </c>
      <c r="V1890" s="35" t="str">
        <f>VLOOKUP(Tabla1[[#This Row],[PROGRAMA]],Hoja1!A:B,2,FALSE)</f>
        <v>3341. Coordinación de políticas culturales</v>
      </c>
      <c r="W1890" s="56" t="str">
        <f>MID(Tabla1[[#This Row],[Aplicación]],14,2)</f>
        <v>22</v>
      </c>
      <c r="X1890" s="56" t="str">
        <f>MID(Tabla1[[#This Row],[Aplicación]],14,6)</f>
        <v>22799</v>
      </c>
    </row>
    <row r="1891" spans="1:24" x14ac:dyDescent="0.25">
      <c r="A1891" s="55">
        <v>220230009409</v>
      </c>
      <c r="B1891" s="47" t="s">
        <v>1514</v>
      </c>
      <c r="C1891" s="52">
        <v>45006</v>
      </c>
      <c r="D1891" s="46">
        <v>22023001608</v>
      </c>
      <c r="E1891" s="47" t="s">
        <v>1728</v>
      </c>
      <c r="F1891" s="53">
        <v>54.06</v>
      </c>
      <c r="G1891" s="47" t="s">
        <v>2707</v>
      </c>
      <c r="H1891" s="47" t="s">
        <v>3314</v>
      </c>
      <c r="I1891" s="46" t="s">
        <v>1517</v>
      </c>
      <c r="J1891" s="47" t="s">
        <v>988</v>
      </c>
      <c r="K1891" s="47" t="s">
        <v>519</v>
      </c>
      <c r="L1891" s="47" t="s">
        <v>520</v>
      </c>
      <c r="M1891" s="47" t="s">
        <v>514</v>
      </c>
      <c r="N1891" s="47" t="s">
        <v>515</v>
      </c>
      <c r="O1891" s="54" t="s">
        <v>382</v>
      </c>
      <c r="P1891" s="44" t="s">
        <v>309</v>
      </c>
      <c r="Q1891" s="59" t="str">
        <f>MID(Tabla1[[#This Row],[Aplicación]],14,1)</f>
        <v>2</v>
      </c>
      <c r="R1891" s="35" t="s">
        <v>298</v>
      </c>
      <c r="S1891" s="59" t="str">
        <f>MID(Tabla1[[#This Row],[Aplicación]],6,2)</f>
        <v>08</v>
      </c>
      <c r="T1891" s="35" t="str">
        <f>VLOOKUP(Tabla1[[#This Row],[AREA]],Hoja1!A:B,2,FALSE)</f>
        <v>08. Movilidad y espacio urbano</v>
      </c>
      <c r="U1891" s="35" t="str">
        <f>MID(Tabla1[[#This Row],[Aplicación]],9,4)</f>
        <v>1532</v>
      </c>
      <c r="V1891" s="35" t="str">
        <f>VLOOKUP(Tabla1[[#This Row],[PROGRAMA]],Hoja1!A:B,2,FALSE)</f>
        <v>1532. Pavimentación vias públicas y otros servicios urbanísticos</v>
      </c>
      <c r="W1891" s="56" t="str">
        <f>MID(Tabla1[[#This Row],[Aplicación]],14,2)</f>
        <v>21</v>
      </c>
      <c r="X1891" s="56" t="str">
        <f>MID(Tabla1[[#This Row],[Aplicación]],14,6)</f>
        <v>214</v>
      </c>
    </row>
    <row r="1892" spans="1:24" x14ac:dyDescent="0.25">
      <c r="A1892" s="55">
        <v>220230010336</v>
      </c>
      <c r="B1892" s="47" t="s">
        <v>507</v>
      </c>
      <c r="C1892" s="52">
        <v>45008</v>
      </c>
      <c r="D1892" s="46">
        <v>22023003078</v>
      </c>
      <c r="E1892" s="47" t="s">
        <v>835</v>
      </c>
      <c r="F1892" s="53">
        <v>1066.95</v>
      </c>
      <c r="G1892" s="47" t="s">
        <v>419</v>
      </c>
      <c r="H1892" s="47" t="s">
        <v>3315</v>
      </c>
      <c r="I1892" s="46" t="s">
        <v>2168</v>
      </c>
      <c r="J1892" s="47" t="s">
        <v>519</v>
      </c>
      <c r="K1892" s="47" t="s">
        <v>519</v>
      </c>
      <c r="L1892" s="47" t="s">
        <v>520</v>
      </c>
      <c r="M1892" s="47" t="s">
        <v>976</v>
      </c>
      <c r="N1892" s="47" t="s">
        <v>839</v>
      </c>
      <c r="O1892" s="54" t="s">
        <v>383</v>
      </c>
      <c r="P1892" s="44" t="s">
        <v>309</v>
      </c>
      <c r="Q1892" s="59" t="str">
        <f>MID(Tabla1[[#This Row],[Aplicación]],14,1)</f>
        <v>2</v>
      </c>
      <c r="R1892" s="35" t="s">
        <v>298</v>
      </c>
      <c r="S1892" s="59" t="str">
        <f>MID(Tabla1[[#This Row],[Aplicación]],6,2)</f>
        <v>05</v>
      </c>
      <c r="T1892" s="35" t="str">
        <f>VLOOKUP(Tabla1[[#This Row],[AREA]],Hoja1!A:B,2,FALSE)</f>
        <v>05. Innovación, desarrollo económico, empleo y comercio</v>
      </c>
      <c r="U1892" s="35" t="str">
        <f>MID(Tabla1[[#This Row],[Aplicación]],9,4)</f>
        <v>4331</v>
      </c>
      <c r="V1892" s="35" t="str">
        <f>VLOOKUP(Tabla1[[#This Row],[PROGRAMA]],Hoja1!A:B,2,FALSE)</f>
        <v>4331. Desarrollo empresarial</v>
      </c>
      <c r="W1892" s="56" t="str">
        <f>MID(Tabla1[[#This Row],[Aplicación]],14,2)</f>
        <v>22</v>
      </c>
      <c r="X1892" s="56" t="str">
        <f>MID(Tabla1[[#This Row],[Aplicación]],14,6)</f>
        <v>22799</v>
      </c>
    </row>
    <row r="1893" spans="1:24" x14ac:dyDescent="0.25">
      <c r="A1893" s="55">
        <v>220230010304</v>
      </c>
      <c r="B1893" s="47" t="s">
        <v>507</v>
      </c>
      <c r="C1893" s="52">
        <v>45008</v>
      </c>
      <c r="D1893" s="46">
        <v>22023002368</v>
      </c>
      <c r="E1893" s="47" t="s">
        <v>1436</v>
      </c>
      <c r="F1893" s="53">
        <v>575</v>
      </c>
      <c r="G1893" s="47" t="s">
        <v>416</v>
      </c>
      <c r="H1893" s="47" t="s">
        <v>3316</v>
      </c>
      <c r="I1893" s="46" t="s">
        <v>511</v>
      </c>
      <c r="J1893" s="47" t="s">
        <v>573</v>
      </c>
      <c r="K1893" s="47" t="s">
        <v>573</v>
      </c>
      <c r="L1893" s="47" t="s">
        <v>652</v>
      </c>
      <c r="M1893" s="47" t="s">
        <v>976</v>
      </c>
      <c r="N1893" s="47" t="s">
        <v>839</v>
      </c>
      <c r="O1893" s="54" t="s">
        <v>383</v>
      </c>
      <c r="P1893" s="44" t="s">
        <v>309</v>
      </c>
      <c r="Q1893" s="59" t="str">
        <f>MID(Tabla1[[#This Row],[Aplicación]],14,1)</f>
        <v>2</v>
      </c>
      <c r="R1893" s="35" t="s">
        <v>298</v>
      </c>
      <c r="S1893" s="59" t="str">
        <f>MID(Tabla1[[#This Row],[Aplicación]],6,2)</f>
        <v>04</v>
      </c>
      <c r="T1893" s="35" t="str">
        <f>VLOOKUP(Tabla1[[#This Row],[AREA]],Hoja1!A:B,2,FALSE)</f>
        <v>04. Planificación y recursos</v>
      </c>
      <c r="U1893" s="35" t="str">
        <f>MID(Tabla1[[#This Row],[Aplicación]],9,4)</f>
        <v>9202</v>
      </c>
      <c r="V1893" s="35" t="str">
        <f>VLOOKUP(Tabla1[[#This Row],[PROGRAMA]],Hoja1!A:B,2,FALSE)</f>
        <v>9202. Gestión de recursos humanos</v>
      </c>
      <c r="W1893" s="56" t="str">
        <f>MID(Tabla1[[#This Row],[Aplicación]],14,2)</f>
        <v>22</v>
      </c>
      <c r="X1893" s="56" t="str">
        <f>MID(Tabla1[[#This Row],[Aplicación]],14,6)</f>
        <v>22607</v>
      </c>
    </row>
    <row r="1894" spans="1:24" x14ac:dyDescent="0.25">
      <c r="A1894" s="55">
        <v>220230010305</v>
      </c>
      <c r="B1894" s="47" t="s">
        <v>507</v>
      </c>
      <c r="C1894" s="52">
        <v>45008</v>
      </c>
      <c r="D1894" s="46">
        <v>22023002916</v>
      </c>
      <c r="E1894" s="47" t="s">
        <v>1436</v>
      </c>
      <c r="F1894" s="53">
        <v>1950</v>
      </c>
      <c r="G1894" s="47" t="s">
        <v>416</v>
      </c>
      <c r="H1894" s="47" t="s">
        <v>3317</v>
      </c>
      <c r="I1894" s="46" t="s">
        <v>511</v>
      </c>
      <c r="J1894" s="47" t="s">
        <v>573</v>
      </c>
      <c r="K1894" s="47" t="s">
        <v>573</v>
      </c>
      <c r="L1894" s="47" t="s">
        <v>652</v>
      </c>
      <c r="M1894" s="47" t="s">
        <v>976</v>
      </c>
      <c r="N1894" s="47" t="s">
        <v>839</v>
      </c>
      <c r="O1894" s="54" t="s">
        <v>383</v>
      </c>
      <c r="P1894" s="44" t="s">
        <v>309</v>
      </c>
      <c r="Q1894" s="59" t="str">
        <f>MID(Tabla1[[#This Row],[Aplicación]],14,1)</f>
        <v>2</v>
      </c>
      <c r="R1894" s="35" t="s">
        <v>298</v>
      </c>
      <c r="S1894" s="59" t="str">
        <f>MID(Tabla1[[#This Row],[Aplicación]],6,2)</f>
        <v>04</v>
      </c>
      <c r="T1894" s="35" t="str">
        <f>VLOOKUP(Tabla1[[#This Row],[AREA]],Hoja1!A:B,2,FALSE)</f>
        <v>04. Planificación y recursos</v>
      </c>
      <c r="U1894" s="35" t="str">
        <f>MID(Tabla1[[#This Row],[Aplicación]],9,4)</f>
        <v>9202</v>
      </c>
      <c r="V1894" s="35" t="str">
        <f>VLOOKUP(Tabla1[[#This Row],[PROGRAMA]],Hoja1!A:B,2,FALSE)</f>
        <v>9202. Gestión de recursos humanos</v>
      </c>
      <c r="W1894" s="56" t="str">
        <f>MID(Tabla1[[#This Row],[Aplicación]],14,2)</f>
        <v>22</v>
      </c>
      <c r="X1894" s="56" t="str">
        <f>MID(Tabla1[[#This Row],[Aplicación]],14,6)</f>
        <v>22607</v>
      </c>
    </row>
    <row r="1895" spans="1:24" x14ac:dyDescent="0.25">
      <c r="A1895" s="55">
        <v>220230010345</v>
      </c>
      <c r="B1895" s="47" t="s">
        <v>507</v>
      </c>
      <c r="C1895" s="52">
        <v>45008</v>
      </c>
      <c r="D1895" s="46">
        <v>22023003414</v>
      </c>
      <c r="E1895" s="47" t="s">
        <v>3318</v>
      </c>
      <c r="F1895" s="53">
        <v>1065.77</v>
      </c>
      <c r="G1895" s="47" t="s">
        <v>17</v>
      </c>
      <c r="H1895" s="47" t="s">
        <v>3319</v>
      </c>
      <c r="I1895" s="46" t="s">
        <v>511</v>
      </c>
      <c r="J1895" s="47" t="s">
        <v>519</v>
      </c>
      <c r="K1895" s="47" t="s">
        <v>519</v>
      </c>
      <c r="L1895" s="47" t="s">
        <v>552</v>
      </c>
      <c r="M1895" s="47" t="s">
        <v>976</v>
      </c>
      <c r="N1895" s="47" t="s">
        <v>839</v>
      </c>
      <c r="O1895" s="54" t="s">
        <v>383</v>
      </c>
      <c r="P1895" s="44" t="s">
        <v>309</v>
      </c>
      <c r="Q1895" s="59" t="str">
        <f>MID(Tabla1[[#This Row],[Aplicación]],14,1)</f>
        <v>2</v>
      </c>
      <c r="R1895" s="35" t="s">
        <v>298</v>
      </c>
      <c r="S1895" s="59" t="str">
        <f>MID(Tabla1[[#This Row],[Aplicación]],6,2)</f>
        <v>01</v>
      </c>
      <c r="T1895" s="35" t="str">
        <f>VLOOKUP(Tabla1[[#This Row],[AREA]],Hoja1!A:B,2,FALSE)</f>
        <v>01. Alcaldía</v>
      </c>
      <c r="U1895" s="35" t="str">
        <f>MID(Tabla1[[#This Row],[Aplicación]],9,4)</f>
        <v>9205</v>
      </c>
      <c r="V1895" s="35" t="str">
        <f>VLOOKUP(Tabla1[[#This Row],[PROGRAMA]],Hoja1!A:B,2,FALSE)</f>
        <v>9205. Imprenta municipal</v>
      </c>
      <c r="W1895" s="56" t="str">
        <f>MID(Tabla1[[#This Row],[Aplicación]],14,2)</f>
        <v>22</v>
      </c>
      <c r="X1895" s="56" t="str">
        <f>MID(Tabla1[[#This Row],[Aplicación]],14,6)</f>
        <v>22104</v>
      </c>
    </row>
    <row r="1896" spans="1:24" x14ac:dyDescent="0.25">
      <c r="A1896" s="55">
        <v>220230010332</v>
      </c>
      <c r="B1896" s="47" t="s">
        <v>507</v>
      </c>
      <c r="C1896" s="52">
        <v>45008</v>
      </c>
      <c r="D1896" s="46">
        <v>22023003080</v>
      </c>
      <c r="E1896" s="47" t="s">
        <v>2233</v>
      </c>
      <c r="F1896" s="53">
        <v>605</v>
      </c>
      <c r="G1896" s="47" t="s">
        <v>3320</v>
      </c>
      <c r="H1896" s="47" t="s">
        <v>3321</v>
      </c>
      <c r="I1896" s="46" t="s">
        <v>2168</v>
      </c>
      <c r="J1896" s="47" t="s">
        <v>519</v>
      </c>
      <c r="K1896" s="47" t="s">
        <v>519</v>
      </c>
      <c r="L1896" s="47" t="s">
        <v>520</v>
      </c>
      <c r="M1896" s="47" t="s">
        <v>976</v>
      </c>
      <c r="N1896" s="47" t="s">
        <v>839</v>
      </c>
      <c r="O1896" s="54" t="s">
        <v>383</v>
      </c>
      <c r="P1896" s="44" t="s">
        <v>309</v>
      </c>
      <c r="Q1896" s="59" t="str">
        <f>MID(Tabla1[[#This Row],[Aplicación]],14,1)</f>
        <v>2</v>
      </c>
      <c r="R1896" s="35" t="s">
        <v>298</v>
      </c>
      <c r="S1896" s="59" t="str">
        <f>MID(Tabla1[[#This Row],[Aplicación]],6,2)</f>
        <v>05</v>
      </c>
      <c r="T1896" s="35" t="str">
        <f>VLOOKUP(Tabla1[[#This Row],[AREA]],Hoja1!A:B,2,FALSE)</f>
        <v>05. Innovación, desarrollo económico, empleo y comercio</v>
      </c>
      <c r="U1896" s="35" t="str">
        <f>MID(Tabla1[[#This Row],[Aplicación]],9,4)</f>
        <v>4331</v>
      </c>
      <c r="V1896" s="35" t="str">
        <f>VLOOKUP(Tabla1[[#This Row],[PROGRAMA]],Hoja1!A:B,2,FALSE)</f>
        <v>4331. Desarrollo empresarial</v>
      </c>
      <c r="W1896" s="56" t="str">
        <f>MID(Tabla1[[#This Row],[Aplicación]],14,2)</f>
        <v>22</v>
      </c>
      <c r="X1896" s="56" t="str">
        <f>MID(Tabla1[[#This Row],[Aplicación]],14,6)</f>
        <v>22609</v>
      </c>
    </row>
    <row r="1897" spans="1:24" x14ac:dyDescent="0.25">
      <c r="A1897" s="55">
        <v>220230010379</v>
      </c>
      <c r="B1897" s="47" t="s">
        <v>507</v>
      </c>
      <c r="C1897" s="52">
        <v>45008</v>
      </c>
      <c r="D1897" s="46">
        <v>22023003431</v>
      </c>
      <c r="E1897" s="47" t="s">
        <v>1490</v>
      </c>
      <c r="F1897" s="53">
        <v>14750</v>
      </c>
      <c r="G1897" s="47" t="s">
        <v>393</v>
      </c>
      <c r="H1897" s="47" t="s">
        <v>3322</v>
      </c>
      <c r="I1897" s="46" t="s">
        <v>511</v>
      </c>
      <c r="J1897" s="47" t="s">
        <v>519</v>
      </c>
      <c r="K1897" s="47" t="s">
        <v>519</v>
      </c>
      <c r="L1897" s="47" t="s">
        <v>520</v>
      </c>
      <c r="M1897" s="47" t="s">
        <v>976</v>
      </c>
      <c r="N1897" s="47" t="s">
        <v>839</v>
      </c>
      <c r="O1897" s="54" t="s">
        <v>383</v>
      </c>
      <c r="P1897" s="44" t="s">
        <v>309</v>
      </c>
      <c r="Q1897" s="59" t="str">
        <f>MID(Tabla1[[#This Row],[Aplicación]],14,1)</f>
        <v>2</v>
      </c>
      <c r="R1897" s="35" t="s">
        <v>298</v>
      </c>
      <c r="S1897" s="59" t="str">
        <f>MID(Tabla1[[#This Row],[Aplicación]],6,2)</f>
        <v>06</v>
      </c>
      <c r="T1897" s="35" t="str">
        <f>VLOOKUP(Tabla1[[#This Row],[AREA]],Hoja1!A:B,2,FALSE)</f>
        <v>06. Educación, infancia, juventud e igualdad</v>
      </c>
      <c r="U1897" s="35" t="str">
        <f>MID(Tabla1[[#This Row],[Aplicación]],9,4)</f>
        <v>2314</v>
      </c>
      <c r="V1897" s="35" t="str">
        <f>VLOOKUP(Tabla1[[#This Row],[PROGRAMA]],Hoja1!A:B,2,FALSE)</f>
        <v>2314. Centro de programas juveniles</v>
      </c>
      <c r="W1897" s="56" t="str">
        <f>MID(Tabla1[[#This Row],[Aplicación]],14,2)</f>
        <v>22</v>
      </c>
      <c r="X1897" s="56" t="str">
        <f>MID(Tabla1[[#This Row],[Aplicación]],14,6)</f>
        <v>22613</v>
      </c>
    </row>
    <row r="1898" spans="1:24" x14ac:dyDescent="0.25">
      <c r="A1898" s="55">
        <v>220230010311</v>
      </c>
      <c r="B1898" s="47" t="s">
        <v>507</v>
      </c>
      <c r="C1898" s="52">
        <v>45008</v>
      </c>
      <c r="D1898" s="46">
        <v>22023003480</v>
      </c>
      <c r="E1898" s="47" t="s">
        <v>2393</v>
      </c>
      <c r="F1898" s="53">
        <v>200</v>
      </c>
      <c r="G1898" s="47" t="s">
        <v>394</v>
      </c>
      <c r="H1898" s="47" t="s">
        <v>3323</v>
      </c>
      <c r="I1898" s="46" t="s">
        <v>511</v>
      </c>
      <c r="J1898" s="47" t="s">
        <v>519</v>
      </c>
      <c r="K1898" s="47" t="s">
        <v>519</v>
      </c>
      <c r="L1898" s="47" t="s">
        <v>552</v>
      </c>
      <c r="M1898" s="47" t="s">
        <v>976</v>
      </c>
      <c r="N1898" s="47" t="s">
        <v>839</v>
      </c>
      <c r="O1898" s="54" t="s">
        <v>383</v>
      </c>
      <c r="P1898" s="44" t="s">
        <v>309</v>
      </c>
      <c r="Q1898" s="59" t="str">
        <f>MID(Tabla1[[#This Row],[Aplicación]],14,1)</f>
        <v>2</v>
      </c>
      <c r="R1898" s="35" t="s">
        <v>298</v>
      </c>
      <c r="S1898" s="59" t="str">
        <f>MID(Tabla1[[#This Row],[Aplicación]],6,2)</f>
        <v>06</v>
      </c>
      <c r="T1898" s="35" t="str">
        <f>VLOOKUP(Tabla1[[#This Row],[AREA]],Hoja1!A:B,2,FALSE)</f>
        <v>06. Educación, infancia, juventud e igualdad</v>
      </c>
      <c r="U1898" s="35" t="str">
        <f>MID(Tabla1[[#This Row],[Aplicación]],9,4)</f>
        <v>3321</v>
      </c>
      <c r="V1898" s="35" t="str">
        <f>VLOOKUP(Tabla1[[#This Row],[PROGRAMA]],Hoja1!A:B,2,FALSE)</f>
        <v>3321. Bibliotecas públicas</v>
      </c>
      <c r="W1898" s="56" t="str">
        <f>MID(Tabla1[[#This Row],[Aplicación]],14,2)</f>
        <v>22</v>
      </c>
      <c r="X1898" s="56" t="str">
        <f>MID(Tabla1[[#This Row],[Aplicación]],14,6)</f>
        <v>22699</v>
      </c>
    </row>
    <row r="1899" spans="1:24" x14ac:dyDescent="0.25">
      <c r="A1899" s="55">
        <v>220230008970</v>
      </c>
      <c r="B1899" s="47" t="s">
        <v>507</v>
      </c>
      <c r="C1899" s="52">
        <v>45002</v>
      </c>
      <c r="D1899" s="46">
        <v>22023003132</v>
      </c>
      <c r="E1899" s="47" t="s">
        <v>1618</v>
      </c>
      <c r="F1899" s="53">
        <v>3531.99</v>
      </c>
      <c r="G1899" s="47" t="s">
        <v>3312</v>
      </c>
      <c r="H1899" s="47" t="s">
        <v>3324</v>
      </c>
      <c r="I1899" s="46" t="s">
        <v>511</v>
      </c>
      <c r="J1899" s="47" t="s">
        <v>519</v>
      </c>
      <c r="K1899" s="47" t="s">
        <v>519</v>
      </c>
      <c r="L1899" s="47" t="s">
        <v>520</v>
      </c>
      <c r="M1899" s="47" t="s">
        <v>976</v>
      </c>
      <c r="N1899" s="47" t="s">
        <v>839</v>
      </c>
      <c r="O1899" s="54" t="s">
        <v>383</v>
      </c>
      <c r="P1899" s="44" t="s">
        <v>309</v>
      </c>
      <c r="Q1899" s="59" t="str">
        <f>MID(Tabla1[[#This Row],[Aplicación]],14,1)</f>
        <v>2</v>
      </c>
      <c r="R1899" s="35" t="s">
        <v>298</v>
      </c>
      <c r="S1899" s="59" t="str">
        <f>MID(Tabla1[[#This Row],[Aplicación]],6,2)</f>
        <v>09</v>
      </c>
      <c r="T1899" s="35" t="str">
        <f>VLOOKUP(Tabla1[[#This Row],[AREA]],Hoja1!A:B,2,FALSE)</f>
        <v>09. Cultura y turismo</v>
      </c>
      <c r="U1899" s="35" t="str">
        <f>MID(Tabla1[[#This Row],[Aplicación]],9,4)</f>
        <v>3341</v>
      </c>
      <c r="V1899" s="35" t="str">
        <f>VLOOKUP(Tabla1[[#This Row],[PROGRAMA]],Hoja1!A:B,2,FALSE)</f>
        <v>3341. Coordinación de políticas culturales</v>
      </c>
      <c r="W1899" s="56" t="str">
        <f>MID(Tabla1[[#This Row],[Aplicación]],14,2)</f>
        <v>22</v>
      </c>
      <c r="X1899" s="56" t="str">
        <f>MID(Tabla1[[#This Row],[Aplicación]],14,6)</f>
        <v>22700</v>
      </c>
    </row>
    <row r="1900" spans="1:24" x14ac:dyDescent="0.25">
      <c r="A1900" s="46">
        <v>220229000129</v>
      </c>
      <c r="B1900" s="47" t="s">
        <v>507</v>
      </c>
      <c r="C1900" s="52">
        <v>44927</v>
      </c>
      <c r="D1900" s="46">
        <v>22023000304</v>
      </c>
      <c r="E1900" s="47" t="s">
        <v>2030</v>
      </c>
      <c r="F1900" s="53">
        <v>12347.1</v>
      </c>
      <c r="G1900" s="47" t="s">
        <v>3325</v>
      </c>
      <c r="H1900" s="47" t="s">
        <v>3326</v>
      </c>
      <c r="I1900" s="46" t="s">
        <v>511</v>
      </c>
      <c r="J1900" s="47" t="s">
        <v>519</v>
      </c>
      <c r="K1900" s="47" t="s">
        <v>519</v>
      </c>
      <c r="L1900" s="47" t="s">
        <v>520</v>
      </c>
      <c r="M1900" s="47" t="s">
        <v>514</v>
      </c>
      <c r="N1900" s="47" t="s">
        <v>515</v>
      </c>
      <c r="O1900" s="45" t="s">
        <v>371</v>
      </c>
      <c r="P1900" s="44" t="s">
        <v>309</v>
      </c>
      <c r="Q1900" s="59" t="str">
        <f>MID(Tabla1[[#This Row],[Aplicación]],14,1)</f>
        <v>2</v>
      </c>
      <c r="R1900" s="35" t="s">
        <v>298</v>
      </c>
      <c r="S1900" s="59" t="str">
        <f>MID(Tabla1[[#This Row],[Aplicación]],6,2)</f>
        <v>09</v>
      </c>
      <c r="T1900" s="35" t="str">
        <f>VLOOKUP(Tabla1[[#This Row],[AREA]],Hoja1!A:B,2,FALSE)</f>
        <v>09. Cultura y turismo</v>
      </c>
      <c r="U1900" s="35" t="str">
        <f>MID(Tabla1[[#This Row],[Aplicación]],9,4)</f>
        <v>3341</v>
      </c>
      <c r="V1900" s="35" t="str">
        <f>VLOOKUP(Tabla1[[#This Row],[PROGRAMA]],Hoja1!A:B,2,FALSE)</f>
        <v>3341. Coordinación de políticas culturales</v>
      </c>
      <c r="W1900" s="56" t="str">
        <f>MID(Tabla1[[#This Row],[Aplicación]],14,2)</f>
        <v>22</v>
      </c>
      <c r="X1900" s="56" t="str">
        <f>MID(Tabla1[[#This Row],[Aplicación]],14,6)</f>
        <v>22701</v>
      </c>
    </row>
    <row r="1901" spans="1:24" x14ac:dyDescent="0.25">
      <c r="A1901" s="46">
        <v>220230001801</v>
      </c>
      <c r="B1901" s="47" t="s">
        <v>507</v>
      </c>
      <c r="C1901" s="52">
        <v>44960</v>
      </c>
      <c r="D1901" s="46">
        <v>22023000287</v>
      </c>
      <c r="E1901" s="47" t="s">
        <v>2310</v>
      </c>
      <c r="F1901" s="53">
        <v>346.76</v>
      </c>
      <c r="G1901" s="47" t="s">
        <v>3327</v>
      </c>
      <c r="H1901" s="47" t="s">
        <v>3328</v>
      </c>
      <c r="I1901" s="46" t="s">
        <v>511</v>
      </c>
      <c r="J1901" s="47" t="s">
        <v>519</v>
      </c>
      <c r="K1901" s="47" t="s">
        <v>519</v>
      </c>
      <c r="L1901" s="47" t="s">
        <v>552</v>
      </c>
      <c r="M1901" s="47" t="s">
        <v>976</v>
      </c>
      <c r="N1901" s="47" t="s">
        <v>839</v>
      </c>
      <c r="O1901" s="45" t="s">
        <v>383</v>
      </c>
      <c r="P1901" s="44" t="s">
        <v>309</v>
      </c>
      <c r="Q1901" s="59" t="str">
        <f>MID(Tabla1[[#This Row],[Aplicación]],14,1)</f>
        <v>2</v>
      </c>
      <c r="R1901" s="35" t="s">
        <v>298</v>
      </c>
      <c r="S1901" s="59" t="str">
        <f>MID(Tabla1[[#This Row],[Aplicación]],6,2)</f>
        <v>11</v>
      </c>
      <c r="T1901" s="35" t="str">
        <f>VLOOKUP(Tabla1[[#This Row],[AREA]],Hoja1!A:B,2,FALSE)</f>
        <v>11. Salud pública y seguridad ciudadana</v>
      </c>
      <c r="U1901" s="35" t="str">
        <f>MID(Tabla1[[#This Row],[Aplicación]],9,4)</f>
        <v>1321</v>
      </c>
      <c r="V1901" s="35" t="str">
        <f>VLOOKUP(Tabla1[[#This Row],[PROGRAMA]],Hoja1!A:B,2,FALSE)</f>
        <v>1321. Policía municipal</v>
      </c>
      <c r="W1901" s="56" t="str">
        <f>MID(Tabla1[[#This Row],[Aplicación]],14,2)</f>
        <v>22</v>
      </c>
      <c r="X1901" s="56" t="str">
        <f>MID(Tabla1[[#This Row],[Aplicación]],14,6)</f>
        <v>22199</v>
      </c>
    </row>
    <row r="1902" spans="1:24" x14ac:dyDescent="0.25">
      <c r="A1902" s="55">
        <v>220230008955</v>
      </c>
      <c r="B1902" s="47" t="s">
        <v>507</v>
      </c>
      <c r="C1902" s="52">
        <v>45002</v>
      </c>
      <c r="D1902" s="46">
        <v>22023003150</v>
      </c>
      <c r="E1902" s="47" t="s">
        <v>3329</v>
      </c>
      <c r="F1902" s="53">
        <v>1062.3800000000001</v>
      </c>
      <c r="G1902" s="47" t="s">
        <v>3330</v>
      </c>
      <c r="H1902" s="47" t="s">
        <v>3331</v>
      </c>
      <c r="I1902" s="46" t="s">
        <v>511</v>
      </c>
      <c r="J1902" s="47" t="s">
        <v>545</v>
      </c>
      <c r="K1902" s="47" t="s">
        <v>545</v>
      </c>
      <c r="L1902" s="47" t="s">
        <v>520</v>
      </c>
      <c r="M1902" s="47" t="s">
        <v>976</v>
      </c>
      <c r="N1902" s="47" t="s">
        <v>839</v>
      </c>
      <c r="O1902" s="54" t="s">
        <v>383</v>
      </c>
      <c r="P1902" s="44" t="s">
        <v>309</v>
      </c>
      <c r="Q1902" s="59" t="str">
        <f>MID(Tabla1[[#This Row],[Aplicación]],14,1)</f>
        <v>2</v>
      </c>
      <c r="R1902" s="35" t="s">
        <v>298</v>
      </c>
      <c r="S1902" s="59" t="str">
        <f>MID(Tabla1[[#This Row],[Aplicación]],6,2)</f>
        <v>10</v>
      </c>
      <c r="T1902" s="35" t="str">
        <f>VLOOKUP(Tabla1[[#This Row],[AREA]],Hoja1!A:B,2,FALSE)</f>
        <v>10. Servicios sociales y mediación comunitaria</v>
      </c>
      <c r="U1902" s="35" t="str">
        <f>MID(Tabla1[[#This Row],[Aplicación]],9,4)</f>
        <v>2412</v>
      </c>
      <c r="V1902" s="35" t="str">
        <f>VLOOKUP(Tabla1[[#This Row],[PROGRAMA]],Hoja1!A:B,2,FALSE)</f>
        <v>2412. Formación para el empleo</v>
      </c>
      <c r="W1902" s="56" t="str">
        <f>MID(Tabla1[[#This Row],[Aplicación]],14,2)</f>
        <v>22</v>
      </c>
      <c r="X1902" s="56" t="str">
        <f>MID(Tabla1[[#This Row],[Aplicación]],14,6)</f>
        <v>22706</v>
      </c>
    </row>
    <row r="1903" spans="1:24" x14ac:dyDescent="0.25">
      <c r="A1903" s="55">
        <v>220230010339</v>
      </c>
      <c r="B1903" s="47" t="s">
        <v>507</v>
      </c>
      <c r="C1903" s="52">
        <v>45008</v>
      </c>
      <c r="D1903" s="46">
        <v>22023003079</v>
      </c>
      <c r="E1903" s="47" t="s">
        <v>1341</v>
      </c>
      <c r="F1903" s="53">
        <v>2116.29</v>
      </c>
      <c r="G1903" s="47" t="s">
        <v>2714</v>
      </c>
      <c r="H1903" s="47" t="s">
        <v>3332</v>
      </c>
      <c r="I1903" s="46" t="s">
        <v>2168</v>
      </c>
      <c r="J1903" s="47" t="s">
        <v>519</v>
      </c>
      <c r="K1903" s="47" t="s">
        <v>519</v>
      </c>
      <c r="L1903" s="47" t="s">
        <v>520</v>
      </c>
      <c r="M1903" s="47" t="s">
        <v>514</v>
      </c>
      <c r="N1903" s="47" t="s">
        <v>515</v>
      </c>
      <c r="O1903" s="54" t="s">
        <v>382</v>
      </c>
      <c r="P1903" s="44" t="s">
        <v>309</v>
      </c>
      <c r="Q1903" s="59" t="str">
        <f>MID(Tabla1[[#This Row],[Aplicación]],14,1)</f>
        <v>2</v>
      </c>
      <c r="R1903" s="35" t="s">
        <v>298</v>
      </c>
      <c r="S1903" s="59" t="str">
        <f>MID(Tabla1[[#This Row],[Aplicación]],6,2)</f>
        <v>05</v>
      </c>
      <c r="T1903" s="35" t="str">
        <f>VLOOKUP(Tabla1[[#This Row],[AREA]],Hoja1!A:B,2,FALSE)</f>
        <v>05. Innovación, desarrollo económico, empleo y comercio</v>
      </c>
      <c r="U1903" s="35" t="str">
        <f>MID(Tabla1[[#This Row],[Aplicación]],9,4)</f>
        <v>4331</v>
      </c>
      <c r="V1903" s="35" t="str">
        <f>VLOOKUP(Tabla1[[#This Row],[PROGRAMA]],Hoja1!A:B,2,FALSE)</f>
        <v>4331. Desarrollo empresarial</v>
      </c>
      <c r="W1903" s="56" t="str">
        <f>MID(Tabla1[[#This Row],[Aplicación]],14,2)</f>
        <v>22</v>
      </c>
      <c r="X1903" s="56" t="str">
        <f>MID(Tabla1[[#This Row],[Aplicación]],14,6)</f>
        <v>22602</v>
      </c>
    </row>
    <row r="1904" spans="1:24" x14ac:dyDescent="0.25">
      <c r="A1904" s="55">
        <v>220230008955</v>
      </c>
      <c r="B1904" s="47" t="s">
        <v>507</v>
      </c>
      <c r="C1904" s="52">
        <v>45002</v>
      </c>
      <c r="D1904" s="46">
        <v>22023003151</v>
      </c>
      <c r="E1904" s="47" t="s">
        <v>3329</v>
      </c>
      <c r="F1904" s="53">
        <v>1512.5</v>
      </c>
      <c r="G1904" s="47" t="s">
        <v>3330</v>
      </c>
      <c r="H1904" s="47" t="s">
        <v>3331</v>
      </c>
      <c r="I1904" s="46" t="s">
        <v>511</v>
      </c>
      <c r="J1904" s="47" t="s">
        <v>545</v>
      </c>
      <c r="K1904" s="47" t="s">
        <v>545</v>
      </c>
      <c r="L1904" s="47" t="s">
        <v>520</v>
      </c>
      <c r="M1904" s="47" t="s">
        <v>976</v>
      </c>
      <c r="N1904" s="47" t="s">
        <v>839</v>
      </c>
      <c r="O1904" s="54" t="s">
        <v>383</v>
      </c>
      <c r="P1904" s="44" t="s">
        <v>309</v>
      </c>
      <c r="Q1904" s="59" t="str">
        <f>MID(Tabla1[[#This Row],[Aplicación]],14,1)</f>
        <v>2</v>
      </c>
      <c r="R1904" s="35" t="s">
        <v>298</v>
      </c>
      <c r="S1904" s="59" t="str">
        <f>MID(Tabla1[[#This Row],[Aplicación]],6,2)</f>
        <v>10</v>
      </c>
      <c r="T1904" s="35" t="str">
        <f>VLOOKUP(Tabla1[[#This Row],[AREA]],Hoja1!A:B,2,FALSE)</f>
        <v>10. Servicios sociales y mediación comunitaria</v>
      </c>
      <c r="U1904" s="35" t="str">
        <f>MID(Tabla1[[#This Row],[Aplicación]],9,4)</f>
        <v>2412</v>
      </c>
      <c r="V1904" s="35" t="str">
        <f>VLOOKUP(Tabla1[[#This Row],[PROGRAMA]],Hoja1!A:B,2,FALSE)</f>
        <v>2412. Formación para el empleo</v>
      </c>
      <c r="W1904" s="56" t="str">
        <f>MID(Tabla1[[#This Row],[Aplicación]],14,2)</f>
        <v>22</v>
      </c>
      <c r="X1904" s="56" t="str">
        <f>MID(Tabla1[[#This Row],[Aplicación]],14,6)</f>
        <v>22706</v>
      </c>
    </row>
    <row r="1905" spans="1:24" x14ac:dyDescent="0.25">
      <c r="A1905" s="55">
        <v>220230009469</v>
      </c>
      <c r="B1905" s="47" t="s">
        <v>507</v>
      </c>
      <c r="C1905" s="52">
        <v>45006</v>
      </c>
      <c r="D1905" s="46">
        <v>22023003212</v>
      </c>
      <c r="E1905" s="47" t="s">
        <v>835</v>
      </c>
      <c r="F1905" s="53">
        <v>1815</v>
      </c>
      <c r="G1905" s="47" t="s">
        <v>3333</v>
      </c>
      <c r="H1905" s="47" t="s">
        <v>3334</v>
      </c>
      <c r="I1905" s="46" t="s">
        <v>511</v>
      </c>
      <c r="J1905" s="47" t="s">
        <v>1637</v>
      </c>
      <c r="K1905" s="47" t="s">
        <v>1637</v>
      </c>
      <c r="L1905" s="47" t="s">
        <v>520</v>
      </c>
      <c r="M1905" s="47" t="s">
        <v>976</v>
      </c>
      <c r="N1905" s="47" t="s">
        <v>839</v>
      </c>
      <c r="O1905" s="54" t="s">
        <v>383</v>
      </c>
      <c r="P1905" s="44" t="s">
        <v>309</v>
      </c>
      <c r="Q1905" s="59" t="str">
        <f>MID(Tabla1[[#This Row],[Aplicación]],14,1)</f>
        <v>2</v>
      </c>
      <c r="R1905" s="35" t="s">
        <v>298</v>
      </c>
      <c r="S1905" s="59" t="str">
        <f>MID(Tabla1[[#This Row],[Aplicación]],6,2)</f>
        <v>05</v>
      </c>
      <c r="T1905" s="35" t="str">
        <f>VLOOKUP(Tabla1[[#This Row],[AREA]],Hoja1!A:B,2,FALSE)</f>
        <v>05. Innovación, desarrollo económico, empleo y comercio</v>
      </c>
      <c r="U1905" s="35" t="str">
        <f>MID(Tabla1[[#This Row],[Aplicación]],9,4)</f>
        <v>4331</v>
      </c>
      <c r="V1905" s="35" t="str">
        <f>VLOOKUP(Tabla1[[#This Row],[PROGRAMA]],Hoja1!A:B,2,FALSE)</f>
        <v>4331. Desarrollo empresarial</v>
      </c>
      <c r="W1905" s="56" t="str">
        <f>MID(Tabla1[[#This Row],[Aplicación]],14,2)</f>
        <v>22</v>
      </c>
      <c r="X1905" s="56" t="str">
        <f>MID(Tabla1[[#This Row],[Aplicación]],14,6)</f>
        <v>22799</v>
      </c>
    </row>
    <row r="1906" spans="1:24" x14ac:dyDescent="0.25">
      <c r="A1906" s="46">
        <v>220229000848</v>
      </c>
      <c r="B1906" s="47" t="s">
        <v>507</v>
      </c>
      <c r="C1906" s="52">
        <v>44927</v>
      </c>
      <c r="D1906" s="46">
        <v>22023001948</v>
      </c>
      <c r="E1906" s="47" t="s">
        <v>1187</v>
      </c>
      <c r="F1906" s="53">
        <v>22022</v>
      </c>
      <c r="G1906" s="47" t="s">
        <v>3335</v>
      </c>
      <c r="H1906" s="47" t="s">
        <v>3336</v>
      </c>
      <c r="I1906" s="46" t="s">
        <v>511</v>
      </c>
      <c r="J1906" s="47" t="s">
        <v>947</v>
      </c>
      <c r="K1906" s="47" t="s">
        <v>947</v>
      </c>
      <c r="L1906" s="47" t="s">
        <v>520</v>
      </c>
      <c r="M1906" s="47" t="s">
        <v>514</v>
      </c>
      <c r="N1906" s="47" t="s">
        <v>515</v>
      </c>
      <c r="O1906" s="45" t="s">
        <v>371</v>
      </c>
      <c r="P1906" s="44" t="s">
        <v>309</v>
      </c>
      <c r="Q1906" s="59" t="str">
        <f>MID(Tabla1[[#This Row],[Aplicación]],14,1)</f>
        <v>2</v>
      </c>
      <c r="R1906" s="35" t="s">
        <v>298</v>
      </c>
      <c r="S1906" s="59" t="str">
        <f>MID(Tabla1[[#This Row],[Aplicación]],6,2)</f>
        <v>01</v>
      </c>
      <c r="T1906" s="35" t="str">
        <f>VLOOKUP(Tabla1[[#This Row],[AREA]],Hoja1!A:B,2,FALSE)</f>
        <v>01. Alcaldía</v>
      </c>
      <c r="U1906" s="35" t="str">
        <f>MID(Tabla1[[#This Row],[Aplicación]],9,4)</f>
        <v>9312</v>
      </c>
      <c r="V1906" s="35" t="str">
        <f>VLOOKUP(Tabla1[[#This Row],[PROGRAMA]],Hoja1!A:B,2,FALSE)</f>
        <v>9312. Intervención general</v>
      </c>
      <c r="W1906" s="56" t="str">
        <f>MID(Tabla1[[#This Row],[Aplicación]],14,2)</f>
        <v>22</v>
      </c>
      <c r="X1906" s="56" t="str">
        <f>MID(Tabla1[[#This Row],[Aplicación]],14,6)</f>
        <v>22706</v>
      </c>
    </row>
    <row r="1907" spans="1:24" x14ac:dyDescent="0.25">
      <c r="A1907" s="46">
        <v>220230001966</v>
      </c>
      <c r="B1907" s="47" t="s">
        <v>507</v>
      </c>
      <c r="C1907" s="52">
        <v>44960</v>
      </c>
      <c r="D1907" s="46">
        <v>22023001457</v>
      </c>
      <c r="E1907" s="47" t="s">
        <v>607</v>
      </c>
      <c r="F1907" s="53">
        <v>1179.75</v>
      </c>
      <c r="G1907" s="47" t="s">
        <v>3337</v>
      </c>
      <c r="H1907" s="47" t="s">
        <v>3338</v>
      </c>
      <c r="I1907" s="46" t="s">
        <v>511</v>
      </c>
      <c r="J1907" s="47" t="s">
        <v>1771</v>
      </c>
      <c r="K1907" s="47" t="s">
        <v>519</v>
      </c>
      <c r="L1907" s="47" t="s">
        <v>520</v>
      </c>
      <c r="M1907" s="47" t="s">
        <v>976</v>
      </c>
      <c r="N1907" s="47" t="s">
        <v>839</v>
      </c>
      <c r="O1907" s="45" t="s">
        <v>383</v>
      </c>
      <c r="P1907" s="44" t="s">
        <v>309</v>
      </c>
      <c r="Q1907" s="59" t="str">
        <f>MID(Tabla1[[#This Row],[Aplicación]],14,1)</f>
        <v>2</v>
      </c>
      <c r="R1907" s="35" t="s">
        <v>298</v>
      </c>
      <c r="S1907" s="59" t="str">
        <f>MID(Tabla1[[#This Row],[Aplicación]],6,2)</f>
        <v>11</v>
      </c>
      <c r="T1907" s="35" t="str">
        <f>VLOOKUP(Tabla1[[#This Row],[AREA]],Hoja1!A:B,2,FALSE)</f>
        <v>11. Salud pública y seguridad ciudadana</v>
      </c>
      <c r="U1907" s="35" t="str">
        <f>MID(Tabla1[[#This Row],[Aplicación]],9,4)</f>
        <v>1621</v>
      </c>
      <c r="V1907" s="35" t="str">
        <f>VLOOKUP(Tabla1[[#This Row],[PROGRAMA]],Hoja1!A:B,2,FALSE)</f>
        <v>1621. Servicio de limpieza</v>
      </c>
      <c r="W1907" s="56" t="str">
        <f>MID(Tabla1[[#This Row],[Aplicación]],14,2)</f>
        <v>21</v>
      </c>
      <c r="X1907" s="56" t="str">
        <f>MID(Tabla1[[#This Row],[Aplicación]],14,6)</f>
        <v>213</v>
      </c>
    </row>
    <row r="1908" spans="1:24" x14ac:dyDescent="0.25">
      <c r="A1908" s="55">
        <v>220230010340</v>
      </c>
      <c r="B1908" s="47" t="s">
        <v>507</v>
      </c>
      <c r="C1908" s="52">
        <v>45008</v>
      </c>
      <c r="D1908" s="46">
        <v>22023003079</v>
      </c>
      <c r="E1908" s="47" t="s">
        <v>1341</v>
      </c>
      <c r="F1908" s="53">
        <v>2420</v>
      </c>
      <c r="G1908" s="47" t="s">
        <v>29</v>
      </c>
      <c r="H1908" s="47" t="s">
        <v>3339</v>
      </c>
      <c r="I1908" s="46" t="s">
        <v>2168</v>
      </c>
      <c r="J1908" s="47" t="s">
        <v>519</v>
      </c>
      <c r="K1908" s="47" t="s">
        <v>519</v>
      </c>
      <c r="L1908" s="47" t="s">
        <v>520</v>
      </c>
      <c r="M1908" s="47" t="s">
        <v>514</v>
      </c>
      <c r="N1908" s="47" t="s">
        <v>515</v>
      </c>
      <c r="O1908" s="54" t="s">
        <v>382</v>
      </c>
      <c r="P1908" s="44" t="s">
        <v>309</v>
      </c>
      <c r="Q1908" s="59" t="str">
        <f>MID(Tabla1[[#This Row],[Aplicación]],14,1)</f>
        <v>2</v>
      </c>
      <c r="R1908" s="35" t="s">
        <v>298</v>
      </c>
      <c r="S1908" s="59" t="str">
        <f>MID(Tabla1[[#This Row],[Aplicación]],6,2)</f>
        <v>05</v>
      </c>
      <c r="T1908" s="35" t="str">
        <f>VLOOKUP(Tabla1[[#This Row],[AREA]],Hoja1!A:B,2,FALSE)</f>
        <v>05. Innovación, desarrollo económico, empleo y comercio</v>
      </c>
      <c r="U1908" s="35" t="str">
        <f>MID(Tabla1[[#This Row],[Aplicación]],9,4)</f>
        <v>4331</v>
      </c>
      <c r="V1908" s="35" t="str">
        <f>VLOOKUP(Tabla1[[#This Row],[PROGRAMA]],Hoja1!A:B,2,FALSE)</f>
        <v>4331. Desarrollo empresarial</v>
      </c>
      <c r="W1908" s="56" t="str">
        <f>MID(Tabla1[[#This Row],[Aplicación]],14,2)</f>
        <v>22</v>
      </c>
      <c r="X1908" s="56" t="str">
        <f>MID(Tabla1[[#This Row],[Aplicación]],14,6)</f>
        <v>22602</v>
      </c>
    </row>
    <row r="1909" spans="1:24" x14ac:dyDescent="0.25">
      <c r="A1909" s="55">
        <v>220230010341</v>
      </c>
      <c r="B1909" s="47" t="s">
        <v>507</v>
      </c>
      <c r="C1909" s="52">
        <v>45008</v>
      </c>
      <c r="D1909" s="46">
        <v>22023003079</v>
      </c>
      <c r="E1909" s="47" t="s">
        <v>1341</v>
      </c>
      <c r="F1909" s="53">
        <v>3025</v>
      </c>
      <c r="G1909" s="47" t="s">
        <v>29</v>
      </c>
      <c r="H1909" s="47" t="s">
        <v>3340</v>
      </c>
      <c r="I1909" s="46" t="s">
        <v>2168</v>
      </c>
      <c r="J1909" s="47" t="s">
        <v>519</v>
      </c>
      <c r="K1909" s="47" t="s">
        <v>519</v>
      </c>
      <c r="L1909" s="47" t="s">
        <v>520</v>
      </c>
      <c r="M1909" s="47" t="s">
        <v>514</v>
      </c>
      <c r="N1909" s="47" t="s">
        <v>515</v>
      </c>
      <c r="O1909" s="54" t="s">
        <v>382</v>
      </c>
      <c r="P1909" s="44" t="s">
        <v>309</v>
      </c>
      <c r="Q1909" s="59" t="str">
        <f>MID(Tabla1[[#This Row],[Aplicación]],14,1)</f>
        <v>2</v>
      </c>
      <c r="R1909" s="35" t="s">
        <v>298</v>
      </c>
      <c r="S1909" s="59" t="str">
        <f>MID(Tabla1[[#This Row],[Aplicación]],6,2)</f>
        <v>05</v>
      </c>
      <c r="T1909" s="35" t="str">
        <f>VLOOKUP(Tabla1[[#This Row],[AREA]],Hoja1!A:B,2,FALSE)</f>
        <v>05. Innovación, desarrollo económico, empleo y comercio</v>
      </c>
      <c r="U1909" s="35" t="str">
        <f>MID(Tabla1[[#This Row],[Aplicación]],9,4)</f>
        <v>4331</v>
      </c>
      <c r="V1909" s="35" t="str">
        <f>VLOOKUP(Tabla1[[#This Row],[PROGRAMA]],Hoja1!A:B,2,FALSE)</f>
        <v>4331. Desarrollo empresarial</v>
      </c>
      <c r="W1909" s="56" t="str">
        <f>MID(Tabla1[[#This Row],[Aplicación]],14,2)</f>
        <v>22</v>
      </c>
      <c r="X1909" s="56" t="str">
        <f>MID(Tabla1[[#This Row],[Aplicación]],14,6)</f>
        <v>22602</v>
      </c>
    </row>
    <row r="1910" spans="1:24" x14ac:dyDescent="0.25">
      <c r="A1910" s="55">
        <v>220230008985</v>
      </c>
      <c r="B1910" s="47" t="s">
        <v>507</v>
      </c>
      <c r="C1910" s="52">
        <v>45002</v>
      </c>
      <c r="D1910" s="46">
        <v>22023002848</v>
      </c>
      <c r="E1910" s="47" t="s">
        <v>1191</v>
      </c>
      <c r="F1910" s="53">
        <v>4235</v>
      </c>
      <c r="G1910" s="47" t="s">
        <v>349</v>
      </c>
      <c r="H1910" s="47" t="s">
        <v>3341</v>
      </c>
      <c r="I1910" s="46" t="s">
        <v>511</v>
      </c>
      <c r="J1910" s="47" t="s">
        <v>1405</v>
      </c>
      <c r="K1910" s="47" t="s">
        <v>519</v>
      </c>
      <c r="L1910" s="47" t="s">
        <v>520</v>
      </c>
      <c r="M1910" s="47" t="s">
        <v>976</v>
      </c>
      <c r="N1910" s="47" t="s">
        <v>839</v>
      </c>
      <c r="O1910" s="54" t="s">
        <v>383</v>
      </c>
      <c r="P1910" s="44" t="s">
        <v>309</v>
      </c>
      <c r="Q1910" s="59" t="str">
        <f>MID(Tabla1[[#This Row],[Aplicación]],14,1)</f>
        <v>2</v>
      </c>
      <c r="R1910" s="35" t="s">
        <v>298</v>
      </c>
      <c r="S1910" s="59" t="str">
        <f>MID(Tabla1[[#This Row],[Aplicación]],6,2)</f>
        <v>06</v>
      </c>
      <c r="T1910" s="35" t="str">
        <f>VLOOKUP(Tabla1[[#This Row],[AREA]],Hoja1!A:B,2,FALSE)</f>
        <v>06. Educación, infancia, juventud e igualdad</v>
      </c>
      <c r="U1910" s="35" t="str">
        <f>MID(Tabla1[[#This Row],[Aplicación]],9,4)</f>
        <v>2315</v>
      </c>
      <c r="V1910" s="35" t="str">
        <f>VLOOKUP(Tabla1[[#This Row],[PROGRAMA]],Hoja1!A:B,2,FALSE)</f>
        <v>2315. Políticas de Igualdad e infancia</v>
      </c>
      <c r="W1910" s="56" t="str">
        <f>MID(Tabla1[[#This Row],[Aplicación]],14,2)</f>
        <v>22</v>
      </c>
      <c r="X1910" s="56" t="str">
        <f>MID(Tabla1[[#This Row],[Aplicación]],14,6)</f>
        <v>22611</v>
      </c>
    </row>
    <row r="1911" spans="1:24" x14ac:dyDescent="0.25">
      <c r="A1911" s="46">
        <v>220229000132</v>
      </c>
      <c r="B1911" s="47" t="s">
        <v>507</v>
      </c>
      <c r="C1911" s="52">
        <v>44927</v>
      </c>
      <c r="D1911" s="46">
        <v>22023000897</v>
      </c>
      <c r="E1911" s="47" t="s">
        <v>3342</v>
      </c>
      <c r="F1911" s="53">
        <v>20158.330000000002</v>
      </c>
      <c r="G1911" s="47" t="s">
        <v>3343</v>
      </c>
      <c r="H1911" s="47" t="s">
        <v>3344</v>
      </c>
      <c r="I1911" s="46" t="s">
        <v>511</v>
      </c>
      <c r="J1911" s="47" t="s">
        <v>837</v>
      </c>
      <c r="K1911" s="47" t="s">
        <v>837</v>
      </c>
      <c r="L1911" s="47" t="s">
        <v>520</v>
      </c>
      <c r="M1911" s="47" t="s">
        <v>514</v>
      </c>
      <c r="N1911" s="47" t="s">
        <v>515</v>
      </c>
      <c r="O1911" s="45" t="s">
        <v>371</v>
      </c>
      <c r="P1911" s="44" t="s">
        <v>309</v>
      </c>
      <c r="Q1911" s="59" t="str">
        <f>MID(Tabla1[[#This Row],[Aplicación]],14,1)</f>
        <v>2</v>
      </c>
      <c r="R1911" s="35" t="s">
        <v>298</v>
      </c>
      <c r="S1911" s="59" t="str">
        <f>MID(Tabla1[[#This Row],[Aplicación]],6,2)</f>
        <v>07</v>
      </c>
      <c r="T1911" s="35" t="str">
        <f>VLOOKUP(Tabla1[[#This Row],[AREA]],Hoja1!A:B,2,FALSE)</f>
        <v>07. Medio ambiente y desarrollo sostenible</v>
      </c>
      <c r="U1911" s="35" t="str">
        <f>MID(Tabla1[[#This Row],[Aplicación]],9,4)</f>
        <v>1701</v>
      </c>
      <c r="V1911" s="35" t="str">
        <f>VLOOKUP(Tabla1[[#This Row],[PROGRAMA]],Hoja1!A:B,2,FALSE)</f>
        <v>1701. Dirección del área de medio ambiente</v>
      </c>
      <c r="W1911" s="56" t="str">
        <f>MID(Tabla1[[#This Row],[Aplicación]],14,2)</f>
        <v>22</v>
      </c>
      <c r="X1911" s="56" t="str">
        <f>MID(Tabla1[[#This Row],[Aplicación]],14,6)</f>
        <v>22706</v>
      </c>
    </row>
    <row r="1912" spans="1:24" x14ac:dyDescent="0.25">
      <c r="A1912" s="46">
        <v>220219001167</v>
      </c>
      <c r="B1912" s="47" t="s">
        <v>507</v>
      </c>
      <c r="C1912" s="52">
        <v>44927</v>
      </c>
      <c r="D1912" s="46">
        <v>22023003378</v>
      </c>
      <c r="E1912" s="47" t="s">
        <v>722</v>
      </c>
      <c r="F1912" s="53">
        <v>4546.4399999999996</v>
      </c>
      <c r="G1912" s="47" t="s">
        <v>59</v>
      </c>
      <c r="H1912" s="47" t="s">
        <v>3345</v>
      </c>
      <c r="I1912" s="46" t="s">
        <v>511</v>
      </c>
      <c r="J1912" s="47" t="s">
        <v>519</v>
      </c>
      <c r="K1912" s="47" t="s">
        <v>519</v>
      </c>
      <c r="L1912" s="47" t="s">
        <v>520</v>
      </c>
      <c r="M1912" s="47" t="s">
        <v>514</v>
      </c>
      <c r="N1912" s="47" t="s">
        <v>515</v>
      </c>
      <c r="O1912" s="45" t="s">
        <v>371</v>
      </c>
      <c r="P1912" s="44" t="s">
        <v>309</v>
      </c>
      <c r="Q1912" s="59" t="str">
        <f>MID(Tabla1[[#This Row],[Aplicación]],14,1)</f>
        <v>2</v>
      </c>
      <c r="R1912" s="35" t="s">
        <v>298</v>
      </c>
      <c r="S1912" s="59" t="str">
        <f>MID(Tabla1[[#This Row],[Aplicación]],6,2)</f>
        <v>11</v>
      </c>
      <c r="T1912" s="35" t="str">
        <f>VLOOKUP(Tabla1[[#This Row],[AREA]],Hoja1!A:B,2,FALSE)</f>
        <v>11. Salud pública y seguridad ciudadana</v>
      </c>
      <c r="U1912" s="35" t="str">
        <f>MID(Tabla1[[#This Row],[Aplicación]],9,4)</f>
        <v>1621</v>
      </c>
      <c r="V1912" s="35" t="str">
        <f>VLOOKUP(Tabla1[[#This Row],[PROGRAMA]],Hoja1!A:B,2,FALSE)</f>
        <v>1621. Servicio de limpieza</v>
      </c>
      <c r="W1912" s="56" t="str">
        <f>MID(Tabla1[[#This Row],[Aplicación]],14,2)</f>
        <v>22</v>
      </c>
      <c r="X1912" s="56" t="str">
        <f>MID(Tabla1[[#This Row],[Aplicación]],14,6)</f>
        <v>22799</v>
      </c>
    </row>
    <row r="1913" spans="1:24" x14ac:dyDescent="0.25">
      <c r="A1913" s="46">
        <v>220230003240</v>
      </c>
      <c r="B1913" s="47" t="s">
        <v>507</v>
      </c>
      <c r="C1913" s="52">
        <v>44971</v>
      </c>
      <c r="D1913" s="46">
        <v>22023002415</v>
      </c>
      <c r="E1913" s="47" t="s">
        <v>574</v>
      </c>
      <c r="F1913" s="53">
        <v>5989.5</v>
      </c>
      <c r="G1913" s="47" t="s">
        <v>59</v>
      </c>
      <c r="H1913" s="47" t="s">
        <v>3346</v>
      </c>
      <c r="I1913" s="46" t="s">
        <v>511</v>
      </c>
      <c r="J1913" s="47" t="s">
        <v>519</v>
      </c>
      <c r="K1913" s="47" t="s">
        <v>519</v>
      </c>
      <c r="L1913" s="47" t="s">
        <v>520</v>
      </c>
      <c r="M1913" s="47" t="s">
        <v>976</v>
      </c>
      <c r="N1913" s="47" t="s">
        <v>839</v>
      </c>
      <c r="O1913" s="45" t="s">
        <v>383</v>
      </c>
      <c r="P1913" s="44" t="s">
        <v>309</v>
      </c>
      <c r="Q1913" s="59" t="str">
        <f>MID(Tabla1[[#This Row],[Aplicación]],14,1)</f>
        <v>2</v>
      </c>
      <c r="R1913" s="35" t="s">
        <v>298</v>
      </c>
      <c r="S1913" s="59" t="str">
        <f>MID(Tabla1[[#This Row],[Aplicación]],6,2)</f>
        <v>11</v>
      </c>
      <c r="T1913" s="35" t="str">
        <f>VLOOKUP(Tabla1[[#This Row],[AREA]],Hoja1!A:B,2,FALSE)</f>
        <v>11. Salud pública y seguridad ciudadana</v>
      </c>
      <c r="U1913" s="35" t="str">
        <f>MID(Tabla1[[#This Row],[Aplicación]],9,4)</f>
        <v>1621</v>
      </c>
      <c r="V1913" s="35" t="str">
        <f>VLOOKUP(Tabla1[[#This Row],[PROGRAMA]],Hoja1!A:B,2,FALSE)</f>
        <v>1621. Servicio de limpieza</v>
      </c>
      <c r="W1913" s="56" t="str">
        <f>MID(Tabla1[[#This Row],[Aplicación]],14,2)</f>
        <v>22</v>
      </c>
      <c r="X1913" s="56" t="str">
        <f>MID(Tabla1[[#This Row],[Aplicación]],14,6)</f>
        <v>22700</v>
      </c>
    </row>
    <row r="1914" spans="1:24" x14ac:dyDescent="0.25">
      <c r="A1914" s="55">
        <v>220230008939</v>
      </c>
      <c r="B1914" s="47" t="s">
        <v>507</v>
      </c>
      <c r="C1914" s="52">
        <v>45002</v>
      </c>
      <c r="D1914" s="46">
        <v>22023003120</v>
      </c>
      <c r="E1914" s="47" t="s">
        <v>1512</v>
      </c>
      <c r="F1914" s="53">
        <v>266.2</v>
      </c>
      <c r="G1914" s="47" t="s">
        <v>3347</v>
      </c>
      <c r="H1914" s="47" t="s">
        <v>3348</v>
      </c>
      <c r="I1914" s="46" t="s">
        <v>511</v>
      </c>
      <c r="J1914" s="47" t="s">
        <v>519</v>
      </c>
      <c r="K1914" s="47" t="s">
        <v>519</v>
      </c>
      <c r="L1914" s="47" t="s">
        <v>552</v>
      </c>
      <c r="M1914" s="47" t="s">
        <v>976</v>
      </c>
      <c r="N1914" s="47" t="s">
        <v>839</v>
      </c>
      <c r="O1914" s="54" t="s">
        <v>383</v>
      </c>
      <c r="P1914" s="44" t="s">
        <v>309</v>
      </c>
      <c r="Q1914" s="59" t="str">
        <f>MID(Tabla1[[#This Row],[Aplicación]],14,1)</f>
        <v>2</v>
      </c>
      <c r="R1914" s="35" t="s">
        <v>298</v>
      </c>
      <c r="S1914" s="59" t="str">
        <f>MID(Tabla1[[#This Row],[Aplicación]],6,2)</f>
        <v>10</v>
      </c>
      <c r="T1914" s="35" t="str">
        <f>VLOOKUP(Tabla1[[#This Row],[AREA]],Hoja1!A:B,2,FALSE)</f>
        <v>10. Servicios sociales y mediación comunitaria</v>
      </c>
      <c r="U1914" s="35" t="str">
        <f>MID(Tabla1[[#This Row],[Aplicación]],9,4)</f>
        <v>2312</v>
      </c>
      <c r="V1914" s="35" t="str">
        <f>VLOOKUP(Tabla1[[#This Row],[PROGRAMA]],Hoja1!A:B,2,FALSE)</f>
        <v>2312. Iniciativas sociales</v>
      </c>
      <c r="W1914" s="56" t="str">
        <f>MID(Tabla1[[#This Row],[Aplicación]],14,2)</f>
        <v>21</v>
      </c>
      <c r="X1914" s="56" t="str">
        <f>MID(Tabla1[[#This Row],[Aplicación]],14,6)</f>
        <v>212</v>
      </c>
    </row>
    <row r="1915" spans="1:24" x14ac:dyDescent="0.25">
      <c r="A1915" s="46">
        <v>220229000593</v>
      </c>
      <c r="B1915" s="47" t="s">
        <v>507</v>
      </c>
      <c r="C1915" s="52">
        <v>44927</v>
      </c>
      <c r="D1915" s="46">
        <v>22023001226</v>
      </c>
      <c r="E1915" s="47" t="s">
        <v>1688</v>
      </c>
      <c r="F1915" s="53">
        <v>980</v>
      </c>
      <c r="G1915" s="47" t="s">
        <v>455</v>
      </c>
      <c r="H1915" s="47" t="s">
        <v>3349</v>
      </c>
      <c r="I1915" s="46" t="s">
        <v>511</v>
      </c>
      <c r="J1915" s="47" t="s">
        <v>519</v>
      </c>
      <c r="K1915" s="47" t="s">
        <v>519</v>
      </c>
      <c r="L1915" s="47" t="s">
        <v>520</v>
      </c>
      <c r="M1915" s="47" t="s">
        <v>976</v>
      </c>
      <c r="N1915" s="47" t="s">
        <v>839</v>
      </c>
      <c r="O1915" s="45" t="s">
        <v>383</v>
      </c>
      <c r="P1915" s="44" t="s">
        <v>309</v>
      </c>
      <c r="Q1915" s="59" t="str">
        <f>MID(Tabla1[[#This Row],[Aplicación]],14,1)</f>
        <v>2</v>
      </c>
      <c r="R1915" s="35" t="s">
        <v>298</v>
      </c>
      <c r="S1915" s="59" t="str">
        <f>MID(Tabla1[[#This Row],[Aplicación]],6,2)</f>
        <v>06</v>
      </c>
      <c r="T1915" s="35" t="str">
        <f>VLOOKUP(Tabla1[[#This Row],[AREA]],Hoja1!A:B,2,FALSE)</f>
        <v>06. Educación, infancia, juventud e igualdad</v>
      </c>
      <c r="U1915" s="35" t="str">
        <f>MID(Tabla1[[#This Row],[Aplicación]],9,4)</f>
        <v>3261</v>
      </c>
      <c r="V1915" s="35" t="str">
        <f>VLOOKUP(Tabla1[[#This Row],[PROGRAMA]],Hoja1!A:B,2,FALSE)</f>
        <v>3261. Servicios complementarios de educación</v>
      </c>
      <c r="W1915" s="56" t="str">
        <f>MID(Tabla1[[#This Row],[Aplicación]],14,2)</f>
        <v>22</v>
      </c>
      <c r="X1915" s="56" t="str">
        <f>MID(Tabla1[[#This Row],[Aplicación]],14,6)</f>
        <v>22699</v>
      </c>
    </row>
    <row r="1916" spans="1:24" x14ac:dyDescent="0.25">
      <c r="A1916" s="46">
        <v>220230001192</v>
      </c>
      <c r="B1916" s="47" t="s">
        <v>1249</v>
      </c>
      <c r="C1916" s="52">
        <v>44959</v>
      </c>
      <c r="D1916" s="46">
        <v>22023001612</v>
      </c>
      <c r="E1916" s="47" t="s">
        <v>1688</v>
      </c>
      <c r="F1916" s="53">
        <v>280</v>
      </c>
      <c r="G1916" s="47" t="s">
        <v>455</v>
      </c>
      <c r="H1916" s="47" t="s">
        <v>3350</v>
      </c>
      <c r="I1916" s="46" t="s">
        <v>1251</v>
      </c>
      <c r="J1916" s="47" t="s">
        <v>519</v>
      </c>
      <c r="K1916" s="47" t="s">
        <v>519</v>
      </c>
      <c r="L1916" s="47" t="s">
        <v>520</v>
      </c>
      <c r="M1916" s="47" t="s">
        <v>976</v>
      </c>
      <c r="N1916" s="47" t="s">
        <v>839</v>
      </c>
      <c r="O1916" s="45" t="s">
        <v>383</v>
      </c>
      <c r="P1916" s="44" t="s">
        <v>309</v>
      </c>
      <c r="Q1916" s="59" t="str">
        <f>MID(Tabla1[[#This Row],[Aplicación]],14,1)</f>
        <v>2</v>
      </c>
      <c r="R1916" s="35" t="s">
        <v>298</v>
      </c>
      <c r="S1916" s="59" t="str">
        <f>MID(Tabla1[[#This Row],[Aplicación]],6,2)</f>
        <v>06</v>
      </c>
      <c r="T1916" s="35" t="str">
        <f>VLOOKUP(Tabla1[[#This Row],[AREA]],Hoja1!A:B,2,FALSE)</f>
        <v>06. Educación, infancia, juventud e igualdad</v>
      </c>
      <c r="U1916" s="35" t="str">
        <f>MID(Tabla1[[#This Row],[Aplicación]],9,4)</f>
        <v>3261</v>
      </c>
      <c r="V1916" s="35" t="str">
        <f>VLOOKUP(Tabla1[[#This Row],[PROGRAMA]],Hoja1!A:B,2,FALSE)</f>
        <v>3261. Servicios complementarios de educación</v>
      </c>
      <c r="W1916" s="56" t="str">
        <f>MID(Tabla1[[#This Row],[Aplicación]],14,2)</f>
        <v>22</v>
      </c>
      <c r="X1916" s="56" t="str">
        <f>MID(Tabla1[[#This Row],[Aplicación]],14,6)</f>
        <v>22699</v>
      </c>
    </row>
    <row r="1917" spans="1:24" x14ac:dyDescent="0.25">
      <c r="A1917" s="55">
        <v>220220005217</v>
      </c>
      <c r="B1917" s="47" t="s">
        <v>507</v>
      </c>
      <c r="C1917" s="52">
        <v>45014</v>
      </c>
      <c r="D1917" s="46">
        <v>22022002305</v>
      </c>
      <c r="E1917" s="47" t="s">
        <v>3351</v>
      </c>
      <c r="F1917" s="53">
        <v>1597.2</v>
      </c>
      <c r="G1917" s="47" t="s">
        <v>441</v>
      </c>
      <c r="H1917" s="47" t="s">
        <v>3352</v>
      </c>
      <c r="I1917" s="46" t="s">
        <v>511</v>
      </c>
      <c r="J1917" s="47" t="s">
        <v>3353</v>
      </c>
      <c r="K1917" s="47" t="s">
        <v>3354</v>
      </c>
      <c r="L1917" s="47" t="s">
        <v>520</v>
      </c>
      <c r="M1917" s="47" t="s">
        <v>976</v>
      </c>
      <c r="N1917" s="47" t="s">
        <v>839</v>
      </c>
      <c r="O1917" s="54" t="s">
        <v>383</v>
      </c>
      <c r="P1917" s="44" t="s">
        <v>309</v>
      </c>
      <c r="Q1917" s="59" t="str">
        <f>MID(Tabla1[[#This Row],[Aplicación]],14,1)</f>
        <v>6</v>
      </c>
      <c r="R1917" s="35" t="s">
        <v>299</v>
      </c>
      <c r="S1917" s="59" t="str">
        <f>MID(Tabla1[[#This Row],[Aplicación]],6,2)</f>
        <v>02</v>
      </c>
      <c r="T1917" s="35" t="str">
        <f>VLOOKUP(Tabla1[[#This Row],[AREA]],Hoja1!A:B,2,FALSE)</f>
        <v>02. Planeamiento urbanístico y vivienda</v>
      </c>
      <c r="U1917" s="35" t="str">
        <f>MID(Tabla1[[#This Row],[Aplicación]],9,4)</f>
        <v>1511</v>
      </c>
      <c r="V1917" s="35" t="str">
        <f>VLOOKUP(Tabla1[[#This Row],[PROGRAMA]],Hoja1!A:B,2,FALSE)</f>
        <v>1511. Planficación y gestión del urbanismo</v>
      </c>
      <c r="W1917" s="56" t="str">
        <f>MID(Tabla1[[#This Row],[Aplicación]],14,2)</f>
        <v>64</v>
      </c>
      <c r="X1917" s="56" t="str">
        <f>MID(Tabla1[[#This Row],[Aplicación]],14,6)</f>
        <v>641</v>
      </c>
    </row>
    <row r="1918" spans="1:24" x14ac:dyDescent="0.25">
      <c r="A1918" s="46">
        <v>220229000363</v>
      </c>
      <c r="B1918" s="47" t="s">
        <v>507</v>
      </c>
      <c r="C1918" s="52">
        <v>44927</v>
      </c>
      <c r="D1918" s="46">
        <v>22023001158</v>
      </c>
      <c r="E1918" s="47" t="s">
        <v>2934</v>
      </c>
      <c r="F1918" s="53">
        <v>20000</v>
      </c>
      <c r="G1918" s="47" t="s">
        <v>12</v>
      </c>
      <c r="H1918" s="47" t="s">
        <v>3355</v>
      </c>
      <c r="I1918" s="46" t="s">
        <v>511</v>
      </c>
      <c r="J1918" s="47" t="s">
        <v>512</v>
      </c>
      <c r="K1918" s="47" t="s">
        <v>512</v>
      </c>
      <c r="L1918" s="47" t="s">
        <v>552</v>
      </c>
      <c r="M1918" s="47" t="s">
        <v>514</v>
      </c>
      <c r="N1918" s="47" t="s">
        <v>515</v>
      </c>
      <c r="O1918" s="45" t="s">
        <v>371</v>
      </c>
      <c r="P1918" s="44" t="s">
        <v>309</v>
      </c>
      <c r="Q1918" s="59" t="str">
        <f>MID(Tabla1[[#This Row],[Aplicación]],14,1)</f>
        <v>2</v>
      </c>
      <c r="R1918" s="35" t="s">
        <v>298</v>
      </c>
      <c r="S1918" s="59" t="str">
        <f>MID(Tabla1[[#This Row],[Aplicación]],6,2)</f>
        <v>02</v>
      </c>
      <c r="T1918" s="35" t="str">
        <f>VLOOKUP(Tabla1[[#This Row],[AREA]],Hoja1!A:B,2,FALSE)</f>
        <v>02. Planeamiento urbanístico y vivienda</v>
      </c>
      <c r="U1918" s="35" t="str">
        <f>MID(Tabla1[[#This Row],[Aplicación]],9,4)</f>
        <v>9332</v>
      </c>
      <c r="V1918" s="35" t="str">
        <f>VLOOKUP(Tabla1[[#This Row],[PROGRAMA]],Hoja1!A:B,2,FALSE)</f>
        <v>9332. Mantenimiento de edificios e instalaciones municipales</v>
      </c>
      <c r="W1918" s="56" t="str">
        <f>MID(Tabla1[[#This Row],[Aplicación]],14,2)</f>
        <v>22</v>
      </c>
      <c r="X1918" s="56" t="str">
        <f>MID(Tabla1[[#This Row],[Aplicación]],14,6)</f>
        <v>22103</v>
      </c>
    </row>
    <row r="1919" spans="1:24" x14ac:dyDescent="0.25">
      <c r="A1919" s="46">
        <v>220229000370</v>
      </c>
      <c r="B1919" s="47" t="s">
        <v>507</v>
      </c>
      <c r="C1919" s="52">
        <v>44927</v>
      </c>
      <c r="D1919" s="46">
        <v>22023001164</v>
      </c>
      <c r="E1919" s="47" t="s">
        <v>2975</v>
      </c>
      <c r="F1919" s="53">
        <v>4000</v>
      </c>
      <c r="G1919" s="47" t="s">
        <v>12</v>
      </c>
      <c r="H1919" s="47" t="s">
        <v>3356</v>
      </c>
      <c r="I1919" s="46" t="s">
        <v>511</v>
      </c>
      <c r="J1919" s="47" t="s">
        <v>512</v>
      </c>
      <c r="K1919" s="47" t="s">
        <v>512</v>
      </c>
      <c r="L1919" s="47" t="s">
        <v>552</v>
      </c>
      <c r="M1919" s="47" t="s">
        <v>514</v>
      </c>
      <c r="N1919" s="47" t="s">
        <v>515</v>
      </c>
      <c r="O1919" s="45" t="s">
        <v>371</v>
      </c>
      <c r="P1919" s="44" t="s">
        <v>309</v>
      </c>
      <c r="Q1919" s="59" t="str">
        <f>MID(Tabla1[[#This Row],[Aplicación]],14,1)</f>
        <v>2</v>
      </c>
      <c r="R1919" s="35" t="s">
        <v>298</v>
      </c>
      <c r="S1919" s="59" t="str">
        <f>MID(Tabla1[[#This Row],[Aplicación]],6,2)</f>
        <v>10</v>
      </c>
      <c r="T1919" s="35" t="str">
        <f>VLOOKUP(Tabla1[[#This Row],[AREA]],Hoja1!A:B,2,FALSE)</f>
        <v>10. Servicios sociales y mediación comunitaria</v>
      </c>
      <c r="U1919" s="35" t="str">
        <f>MID(Tabla1[[#This Row],[Aplicación]],9,4)</f>
        <v>2412</v>
      </c>
      <c r="V1919" s="35" t="str">
        <f>VLOOKUP(Tabla1[[#This Row],[PROGRAMA]],Hoja1!A:B,2,FALSE)</f>
        <v>2412. Formación para el empleo</v>
      </c>
      <c r="W1919" s="56" t="str">
        <f>MID(Tabla1[[#This Row],[Aplicación]],14,2)</f>
        <v>22</v>
      </c>
      <c r="X1919" s="56" t="str">
        <f>MID(Tabla1[[#This Row],[Aplicación]],14,6)</f>
        <v>22103</v>
      </c>
    </row>
    <row r="1920" spans="1:24" x14ac:dyDescent="0.25">
      <c r="A1920" s="46">
        <v>220229000364</v>
      </c>
      <c r="B1920" s="47" t="s">
        <v>507</v>
      </c>
      <c r="C1920" s="52">
        <v>44927</v>
      </c>
      <c r="D1920" s="46">
        <v>22023001159</v>
      </c>
      <c r="E1920" s="47" t="s">
        <v>3357</v>
      </c>
      <c r="F1920" s="53">
        <v>3500</v>
      </c>
      <c r="G1920" s="47" t="s">
        <v>12</v>
      </c>
      <c r="H1920" s="47" t="s">
        <v>3358</v>
      </c>
      <c r="I1920" s="46" t="s">
        <v>511</v>
      </c>
      <c r="J1920" s="47" t="s">
        <v>512</v>
      </c>
      <c r="K1920" s="47" t="s">
        <v>512</v>
      </c>
      <c r="L1920" s="47" t="s">
        <v>552</v>
      </c>
      <c r="M1920" s="47" t="s">
        <v>514</v>
      </c>
      <c r="N1920" s="47" t="s">
        <v>604</v>
      </c>
      <c r="O1920" s="45" t="s">
        <v>371</v>
      </c>
      <c r="P1920" s="44" t="s">
        <v>309</v>
      </c>
      <c r="Q1920" s="59" t="str">
        <f>MID(Tabla1[[#This Row],[Aplicación]],14,1)</f>
        <v>2</v>
      </c>
      <c r="R1920" s="35" t="s">
        <v>298</v>
      </c>
      <c r="S1920" s="59" t="str">
        <f>MID(Tabla1[[#This Row],[Aplicación]],6,2)</f>
        <v>06</v>
      </c>
      <c r="T1920" s="35" t="str">
        <f>VLOOKUP(Tabla1[[#This Row],[AREA]],Hoja1!A:B,2,FALSE)</f>
        <v>06. Educación, infancia, juventud e igualdad</v>
      </c>
      <c r="U1920" s="35" t="str">
        <f>MID(Tabla1[[#This Row],[Aplicación]],9,4)</f>
        <v>3261</v>
      </c>
      <c r="V1920" s="35" t="str">
        <f>VLOOKUP(Tabla1[[#This Row],[PROGRAMA]],Hoja1!A:B,2,FALSE)</f>
        <v>3261. Servicios complementarios de educación</v>
      </c>
      <c r="W1920" s="56" t="str">
        <f>MID(Tabla1[[#This Row],[Aplicación]],14,2)</f>
        <v>22</v>
      </c>
      <c r="X1920" s="56" t="str">
        <f>MID(Tabla1[[#This Row],[Aplicación]],14,6)</f>
        <v>22103</v>
      </c>
    </row>
    <row r="1921" spans="1:24" x14ac:dyDescent="0.25">
      <c r="A1921" s="46">
        <v>220229000366</v>
      </c>
      <c r="B1921" s="47" t="s">
        <v>507</v>
      </c>
      <c r="C1921" s="52">
        <v>44927</v>
      </c>
      <c r="D1921" s="46">
        <v>22023001161</v>
      </c>
      <c r="E1921" s="47" t="s">
        <v>1899</v>
      </c>
      <c r="F1921" s="53">
        <v>3000</v>
      </c>
      <c r="G1921" s="47" t="s">
        <v>12</v>
      </c>
      <c r="H1921" s="47" t="s">
        <v>3359</v>
      </c>
      <c r="I1921" s="46" t="s">
        <v>511</v>
      </c>
      <c r="J1921" s="47" t="s">
        <v>512</v>
      </c>
      <c r="K1921" s="47" t="s">
        <v>512</v>
      </c>
      <c r="L1921" s="47" t="s">
        <v>552</v>
      </c>
      <c r="M1921" s="47" t="s">
        <v>514</v>
      </c>
      <c r="N1921" s="47" t="s">
        <v>604</v>
      </c>
      <c r="O1921" s="45" t="s">
        <v>371</v>
      </c>
      <c r="P1921" s="44" t="s">
        <v>309</v>
      </c>
      <c r="Q1921" s="59" t="str">
        <f>MID(Tabla1[[#This Row],[Aplicación]],14,1)</f>
        <v>2</v>
      </c>
      <c r="R1921" s="35" t="s">
        <v>298</v>
      </c>
      <c r="S1921" s="59" t="str">
        <f>MID(Tabla1[[#This Row],[Aplicación]],6,2)</f>
        <v>11</v>
      </c>
      <c r="T1921" s="35" t="str">
        <f>VLOOKUP(Tabla1[[#This Row],[AREA]],Hoja1!A:B,2,FALSE)</f>
        <v>11. Salud pública y seguridad ciudadana</v>
      </c>
      <c r="U1921" s="35" t="str">
        <f>MID(Tabla1[[#This Row],[Aplicación]],9,4)</f>
        <v>3111</v>
      </c>
      <c r="V1921" s="35" t="str">
        <f>VLOOKUP(Tabla1[[#This Row],[PROGRAMA]],Hoja1!A:B,2,FALSE)</f>
        <v>3111. Protección de la salubridad pública</v>
      </c>
      <c r="W1921" s="56" t="str">
        <f>MID(Tabla1[[#This Row],[Aplicación]],14,2)</f>
        <v>22</v>
      </c>
      <c r="X1921" s="56" t="str">
        <f>MID(Tabla1[[#This Row],[Aplicación]],14,6)</f>
        <v>22103</v>
      </c>
    </row>
    <row r="1922" spans="1:24" x14ac:dyDescent="0.25">
      <c r="A1922" s="46">
        <v>220229000372</v>
      </c>
      <c r="B1922" s="47" t="s">
        <v>507</v>
      </c>
      <c r="C1922" s="52">
        <v>44927</v>
      </c>
      <c r="D1922" s="46">
        <v>22023001166</v>
      </c>
      <c r="E1922" s="47" t="s">
        <v>2977</v>
      </c>
      <c r="F1922" s="53">
        <v>3600</v>
      </c>
      <c r="G1922" s="47" t="s">
        <v>12</v>
      </c>
      <c r="H1922" s="47" t="s">
        <v>3360</v>
      </c>
      <c r="I1922" s="46" t="s">
        <v>511</v>
      </c>
      <c r="J1922" s="47" t="s">
        <v>512</v>
      </c>
      <c r="K1922" s="47" t="s">
        <v>512</v>
      </c>
      <c r="L1922" s="47" t="s">
        <v>552</v>
      </c>
      <c r="M1922" s="47" t="s">
        <v>514</v>
      </c>
      <c r="N1922" s="47" t="s">
        <v>515</v>
      </c>
      <c r="O1922" s="45" t="s">
        <v>371</v>
      </c>
      <c r="P1922" s="44" t="s">
        <v>309</v>
      </c>
      <c r="Q1922" s="59" t="str">
        <f>MID(Tabla1[[#This Row],[Aplicación]],14,1)</f>
        <v>2</v>
      </c>
      <c r="R1922" s="35" t="s">
        <v>298</v>
      </c>
      <c r="S1922" s="59" t="str">
        <f>MID(Tabla1[[#This Row],[Aplicación]],6,2)</f>
        <v>01</v>
      </c>
      <c r="T1922" s="35" t="str">
        <f>VLOOKUP(Tabla1[[#This Row],[AREA]],Hoja1!A:B,2,FALSE)</f>
        <v>01. Alcaldía</v>
      </c>
      <c r="U1922" s="35" t="str">
        <f>MID(Tabla1[[#This Row],[Aplicación]],9,4)</f>
        <v>9203</v>
      </c>
      <c r="V1922" s="35" t="str">
        <f>VLOOKUP(Tabla1[[#This Row],[PROGRAMA]],Hoja1!A:B,2,FALSE)</f>
        <v>9203. Unidad de régimen interior</v>
      </c>
      <c r="W1922" s="56" t="str">
        <f>MID(Tabla1[[#This Row],[Aplicación]],14,2)</f>
        <v>22</v>
      </c>
      <c r="X1922" s="56" t="str">
        <f>MID(Tabla1[[#This Row],[Aplicación]],14,6)</f>
        <v>22103</v>
      </c>
    </row>
    <row r="1923" spans="1:24" x14ac:dyDescent="0.25">
      <c r="A1923" s="46">
        <v>220230001995</v>
      </c>
      <c r="B1923" s="47" t="s">
        <v>507</v>
      </c>
      <c r="C1923" s="52">
        <v>44960</v>
      </c>
      <c r="D1923" s="46">
        <v>22023001619</v>
      </c>
      <c r="E1923" s="47" t="s">
        <v>1899</v>
      </c>
      <c r="F1923" s="53">
        <v>250</v>
      </c>
      <c r="G1923" s="47" t="s">
        <v>12</v>
      </c>
      <c r="H1923" s="47" t="s">
        <v>3361</v>
      </c>
      <c r="I1923" s="46" t="s">
        <v>511</v>
      </c>
      <c r="J1923" s="47" t="s">
        <v>512</v>
      </c>
      <c r="K1923" s="47" t="s">
        <v>512</v>
      </c>
      <c r="L1923" s="47" t="s">
        <v>552</v>
      </c>
      <c r="M1923" s="47" t="s">
        <v>976</v>
      </c>
      <c r="N1923" s="47" t="s">
        <v>839</v>
      </c>
      <c r="O1923" s="45" t="s">
        <v>383</v>
      </c>
      <c r="P1923" s="44" t="s">
        <v>309</v>
      </c>
      <c r="Q1923" s="59" t="str">
        <f>MID(Tabla1[[#This Row],[Aplicación]],14,1)</f>
        <v>2</v>
      </c>
      <c r="R1923" s="35" t="s">
        <v>298</v>
      </c>
      <c r="S1923" s="59" t="str">
        <f>MID(Tabla1[[#This Row],[Aplicación]],6,2)</f>
        <v>11</v>
      </c>
      <c r="T1923" s="35" t="str">
        <f>VLOOKUP(Tabla1[[#This Row],[AREA]],Hoja1!A:B,2,FALSE)</f>
        <v>11. Salud pública y seguridad ciudadana</v>
      </c>
      <c r="U1923" s="35" t="str">
        <f>MID(Tabla1[[#This Row],[Aplicación]],9,4)</f>
        <v>3111</v>
      </c>
      <c r="V1923" s="35" t="str">
        <f>VLOOKUP(Tabla1[[#This Row],[PROGRAMA]],Hoja1!A:B,2,FALSE)</f>
        <v>3111. Protección de la salubridad pública</v>
      </c>
      <c r="W1923" s="56" t="str">
        <f>MID(Tabla1[[#This Row],[Aplicación]],14,2)</f>
        <v>22</v>
      </c>
      <c r="X1923" s="56" t="str">
        <f>MID(Tabla1[[#This Row],[Aplicación]],14,6)</f>
        <v>22103</v>
      </c>
    </row>
    <row r="1924" spans="1:24" x14ac:dyDescent="0.25">
      <c r="A1924" s="46">
        <v>220230001998</v>
      </c>
      <c r="B1924" s="47" t="s">
        <v>507</v>
      </c>
      <c r="C1924" s="52">
        <v>44960</v>
      </c>
      <c r="D1924" s="46">
        <v>22023001689</v>
      </c>
      <c r="E1924" s="47" t="s">
        <v>958</v>
      </c>
      <c r="F1924" s="53">
        <v>3000</v>
      </c>
      <c r="G1924" s="47" t="s">
        <v>12</v>
      </c>
      <c r="H1924" s="47" t="s">
        <v>3362</v>
      </c>
      <c r="I1924" s="46" t="s">
        <v>511</v>
      </c>
      <c r="J1924" s="47" t="s">
        <v>512</v>
      </c>
      <c r="K1924" s="47" t="s">
        <v>512</v>
      </c>
      <c r="L1924" s="47" t="s">
        <v>552</v>
      </c>
      <c r="M1924" s="47" t="s">
        <v>514</v>
      </c>
      <c r="N1924" s="47" t="s">
        <v>515</v>
      </c>
      <c r="O1924" s="45" t="s">
        <v>371</v>
      </c>
      <c r="P1924" s="44" t="s">
        <v>309</v>
      </c>
      <c r="Q1924" s="59" t="str">
        <f>MID(Tabla1[[#This Row],[Aplicación]],14,1)</f>
        <v>2</v>
      </c>
      <c r="R1924" s="35" t="s">
        <v>298</v>
      </c>
      <c r="S1924" s="59" t="str">
        <f>MID(Tabla1[[#This Row],[Aplicación]],6,2)</f>
        <v>08</v>
      </c>
      <c r="T1924" s="35" t="str">
        <f>VLOOKUP(Tabla1[[#This Row],[AREA]],Hoja1!A:B,2,FALSE)</f>
        <v>08. Movilidad y espacio urbano</v>
      </c>
      <c r="U1924" s="35" t="str">
        <f>MID(Tabla1[[#This Row],[Aplicación]],9,4)</f>
        <v>1532</v>
      </c>
      <c r="V1924" s="35" t="str">
        <f>VLOOKUP(Tabla1[[#This Row],[PROGRAMA]],Hoja1!A:B,2,FALSE)</f>
        <v>1532. Pavimentación vias públicas y otros servicios urbanísticos</v>
      </c>
      <c r="W1924" s="56" t="str">
        <f>MID(Tabla1[[#This Row],[Aplicación]],14,2)</f>
        <v>22</v>
      </c>
      <c r="X1924" s="56" t="str">
        <f>MID(Tabla1[[#This Row],[Aplicación]],14,6)</f>
        <v>22103</v>
      </c>
    </row>
    <row r="1925" spans="1:24" x14ac:dyDescent="0.25">
      <c r="A1925" s="55">
        <v>220230008957</v>
      </c>
      <c r="B1925" s="47" t="s">
        <v>507</v>
      </c>
      <c r="C1925" s="52">
        <v>45002</v>
      </c>
      <c r="D1925" s="46">
        <v>22023003157</v>
      </c>
      <c r="E1925" s="47" t="s">
        <v>2975</v>
      </c>
      <c r="F1925" s="53">
        <v>1600</v>
      </c>
      <c r="G1925" s="47" t="s">
        <v>12</v>
      </c>
      <c r="H1925" s="47" t="s">
        <v>3363</v>
      </c>
      <c r="I1925" s="46" t="s">
        <v>511</v>
      </c>
      <c r="J1925" s="47" t="s">
        <v>512</v>
      </c>
      <c r="K1925" s="47" t="s">
        <v>512</v>
      </c>
      <c r="L1925" s="47" t="s">
        <v>552</v>
      </c>
      <c r="M1925" s="47" t="s">
        <v>514</v>
      </c>
      <c r="N1925" s="47" t="s">
        <v>515</v>
      </c>
      <c r="O1925" s="54" t="s">
        <v>371</v>
      </c>
      <c r="P1925" s="44" t="s">
        <v>309</v>
      </c>
      <c r="Q1925" s="59" t="str">
        <f>MID(Tabla1[[#This Row],[Aplicación]],14,1)</f>
        <v>2</v>
      </c>
      <c r="R1925" s="35" t="s">
        <v>298</v>
      </c>
      <c r="S1925" s="59" t="str">
        <f>MID(Tabla1[[#This Row],[Aplicación]],6,2)</f>
        <v>10</v>
      </c>
      <c r="T1925" s="35" t="str">
        <f>VLOOKUP(Tabla1[[#This Row],[AREA]],Hoja1!A:B,2,FALSE)</f>
        <v>10. Servicios sociales y mediación comunitaria</v>
      </c>
      <c r="U1925" s="35" t="str">
        <f>MID(Tabla1[[#This Row],[Aplicación]],9,4)</f>
        <v>2412</v>
      </c>
      <c r="V1925" s="35" t="str">
        <f>VLOOKUP(Tabla1[[#This Row],[PROGRAMA]],Hoja1!A:B,2,FALSE)</f>
        <v>2412. Formación para el empleo</v>
      </c>
      <c r="W1925" s="56" t="str">
        <f>MID(Tabla1[[#This Row],[Aplicación]],14,2)</f>
        <v>22</v>
      </c>
      <c r="X1925" s="56" t="str">
        <f>MID(Tabla1[[#This Row],[Aplicación]],14,6)</f>
        <v>22103</v>
      </c>
    </row>
    <row r="1926" spans="1:24" x14ac:dyDescent="0.25">
      <c r="A1926" s="55">
        <v>220230008957</v>
      </c>
      <c r="B1926" s="47" t="s">
        <v>507</v>
      </c>
      <c r="C1926" s="52">
        <v>45002</v>
      </c>
      <c r="D1926" s="46">
        <v>22023003159</v>
      </c>
      <c r="E1926" s="47" t="s">
        <v>2975</v>
      </c>
      <c r="F1926" s="53">
        <v>1000</v>
      </c>
      <c r="G1926" s="47" t="s">
        <v>12</v>
      </c>
      <c r="H1926" s="47" t="s">
        <v>3363</v>
      </c>
      <c r="I1926" s="46" t="s">
        <v>511</v>
      </c>
      <c r="J1926" s="47" t="s">
        <v>512</v>
      </c>
      <c r="K1926" s="47" t="s">
        <v>512</v>
      </c>
      <c r="L1926" s="47" t="s">
        <v>552</v>
      </c>
      <c r="M1926" s="47" t="s">
        <v>514</v>
      </c>
      <c r="N1926" s="47" t="s">
        <v>515</v>
      </c>
      <c r="O1926" s="54" t="s">
        <v>371</v>
      </c>
      <c r="P1926" s="44" t="s">
        <v>309</v>
      </c>
      <c r="Q1926" s="59" t="str">
        <f>MID(Tabla1[[#This Row],[Aplicación]],14,1)</f>
        <v>2</v>
      </c>
      <c r="R1926" s="35" t="s">
        <v>298</v>
      </c>
      <c r="S1926" s="59" t="str">
        <f>MID(Tabla1[[#This Row],[Aplicación]],6,2)</f>
        <v>10</v>
      </c>
      <c r="T1926" s="35" t="str">
        <f>VLOOKUP(Tabla1[[#This Row],[AREA]],Hoja1!A:B,2,FALSE)</f>
        <v>10. Servicios sociales y mediación comunitaria</v>
      </c>
      <c r="U1926" s="35" t="str">
        <f>MID(Tabla1[[#This Row],[Aplicación]],9,4)</f>
        <v>2412</v>
      </c>
      <c r="V1926" s="35" t="str">
        <f>VLOOKUP(Tabla1[[#This Row],[PROGRAMA]],Hoja1!A:B,2,FALSE)</f>
        <v>2412. Formación para el empleo</v>
      </c>
      <c r="W1926" s="56" t="str">
        <f>MID(Tabla1[[#This Row],[Aplicación]],14,2)</f>
        <v>22</v>
      </c>
      <c r="X1926" s="56" t="str">
        <f>MID(Tabla1[[#This Row],[Aplicación]],14,6)</f>
        <v>22103</v>
      </c>
    </row>
    <row r="1927" spans="1:24" x14ac:dyDescent="0.25">
      <c r="A1927" s="55">
        <v>220230010346</v>
      </c>
      <c r="B1927" s="47" t="s">
        <v>507</v>
      </c>
      <c r="C1927" s="52">
        <v>45008</v>
      </c>
      <c r="D1927" s="46">
        <v>22023003424</v>
      </c>
      <c r="E1927" s="47" t="s">
        <v>1386</v>
      </c>
      <c r="F1927" s="53">
        <v>108.16</v>
      </c>
      <c r="G1927" s="47" t="s">
        <v>341</v>
      </c>
      <c r="H1927" s="47" t="s">
        <v>3364</v>
      </c>
      <c r="I1927" s="46" t="s">
        <v>511</v>
      </c>
      <c r="J1927" s="47" t="s">
        <v>519</v>
      </c>
      <c r="K1927" s="47" t="s">
        <v>519</v>
      </c>
      <c r="L1927" s="47" t="s">
        <v>552</v>
      </c>
      <c r="M1927" s="47" t="s">
        <v>976</v>
      </c>
      <c r="N1927" s="47" t="s">
        <v>839</v>
      </c>
      <c r="O1927" s="54" t="s">
        <v>383</v>
      </c>
      <c r="P1927" s="44" t="s">
        <v>309</v>
      </c>
      <c r="Q1927" s="59" t="str">
        <f>MID(Tabla1[[#This Row],[Aplicación]],14,1)</f>
        <v>2</v>
      </c>
      <c r="R1927" s="35" t="s">
        <v>298</v>
      </c>
      <c r="S1927" s="59" t="str">
        <f>MID(Tabla1[[#This Row],[Aplicación]],6,2)</f>
        <v>01</v>
      </c>
      <c r="T1927" s="35" t="str">
        <f>VLOOKUP(Tabla1[[#This Row],[AREA]],Hoja1!A:B,2,FALSE)</f>
        <v>01. Alcaldía</v>
      </c>
      <c r="U1927" s="35" t="str">
        <f>MID(Tabla1[[#This Row],[Aplicación]],9,4)</f>
        <v>9207</v>
      </c>
      <c r="V1927" s="35" t="str">
        <f>VLOOKUP(Tabla1[[#This Row],[PROGRAMA]],Hoja1!A:B,2,FALSE)</f>
        <v>9207. Gobierno y relaciones</v>
      </c>
      <c r="W1927" s="56" t="str">
        <f>MID(Tabla1[[#This Row],[Aplicación]],14,2)</f>
        <v>22</v>
      </c>
      <c r="X1927" s="56" t="str">
        <f>MID(Tabla1[[#This Row],[Aplicación]],14,6)</f>
        <v>22001</v>
      </c>
    </row>
    <row r="1928" spans="1:24" x14ac:dyDescent="0.25">
      <c r="A1928" s="55">
        <v>220230008957</v>
      </c>
      <c r="B1928" s="47" t="s">
        <v>507</v>
      </c>
      <c r="C1928" s="52">
        <v>45002</v>
      </c>
      <c r="D1928" s="46">
        <v>22023003156</v>
      </c>
      <c r="E1928" s="47" t="s">
        <v>2975</v>
      </c>
      <c r="F1928" s="53">
        <v>900</v>
      </c>
      <c r="G1928" s="47" t="s">
        <v>12</v>
      </c>
      <c r="H1928" s="47" t="s">
        <v>3363</v>
      </c>
      <c r="I1928" s="46" t="s">
        <v>511</v>
      </c>
      <c r="J1928" s="47" t="s">
        <v>512</v>
      </c>
      <c r="K1928" s="47" t="s">
        <v>512</v>
      </c>
      <c r="L1928" s="47" t="s">
        <v>552</v>
      </c>
      <c r="M1928" s="47" t="s">
        <v>514</v>
      </c>
      <c r="N1928" s="47" t="s">
        <v>515</v>
      </c>
      <c r="O1928" s="54" t="s">
        <v>371</v>
      </c>
      <c r="P1928" s="44" t="s">
        <v>309</v>
      </c>
      <c r="Q1928" s="59" t="str">
        <f>MID(Tabla1[[#This Row],[Aplicación]],14,1)</f>
        <v>2</v>
      </c>
      <c r="R1928" s="35" t="s">
        <v>298</v>
      </c>
      <c r="S1928" s="59" t="str">
        <f>MID(Tabla1[[#This Row],[Aplicación]],6,2)</f>
        <v>10</v>
      </c>
      <c r="T1928" s="35" t="str">
        <f>VLOOKUP(Tabla1[[#This Row],[AREA]],Hoja1!A:B,2,FALSE)</f>
        <v>10. Servicios sociales y mediación comunitaria</v>
      </c>
      <c r="U1928" s="35" t="str">
        <f>MID(Tabla1[[#This Row],[Aplicación]],9,4)</f>
        <v>2412</v>
      </c>
      <c r="V1928" s="35" t="str">
        <f>VLOOKUP(Tabla1[[#This Row],[PROGRAMA]],Hoja1!A:B,2,FALSE)</f>
        <v>2412. Formación para el empleo</v>
      </c>
      <c r="W1928" s="56" t="str">
        <f>MID(Tabla1[[#This Row],[Aplicación]],14,2)</f>
        <v>22</v>
      </c>
      <c r="X1928" s="56" t="str">
        <f>MID(Tabla1[[#This Row],[Aplicación]],14,6)</f>
        <v>22103</v>
      </c>
    </row>
    <row r="1929" spans="1:24" x14ac:dyDescent="0.25">
      <c r="A1929" s="55">
        <v>220230008957</v>
      </c>
      <c r="B1929" s="47" t="s">
        <v>507</v>
      </c>
      <c r="C1929" s="52">
        <v>45002</v>
      </c>
      <c r="D1929" s="46">
        <v>22023003158</v>
      </c>
      <c r="E1929" s="47" t="s">
        <v>2975</v>
      </c>
      <c r="F1929" s="53">
        <v>500</v>
      </c>
      <c r="G1929" s="47" t="s">
        <v>12</v>
      </c>
      <c r="H1929" s="47" t="s">
        <v>3363</v>
      </c>
      <c r="I1929" s="46" t="s">
        <v>511</v>
      </c>
      <c r="J1929" s="47" t="s">
        <v>512</v>
      </c>
      <c r="K1929" s="47" t="s">
        <v>512</v>
      </c>
      <c r="L1929" s="47" t="s">
        <v>552</v>
      </c>
      <c r="M1929" s="47" t="s">
        <v>514</v>
      </c>
      <c r="N1929" s="47" t="s">
        <v>515</v>
      </c>
      <c r="O1929" s="54" t="s">
        <v>371</v>
      </c>
      <c r="P1929" s="44" t="s">
        <v>309</v>
      </c>
      <c r="Q1929" s="59" t="str">
        <f>MID(Tabla1[[#This Row],[Aplicación]],14,1)</f>
        <v>2</v>
      </c>
      <c r="R1929" s="35" t="s">
        <v>298</v>
      </c>
      <c r="S1929" s="59" t="str">
        <f>MID(Tabla1[[#This Row],[Aplicación]],6,2)</f>
        <v>10</v>
      </c>
      <c r="T1929" s="35" t="str">
        <f>VLOOKUP(Tabla1[[#This Row],[AREA]],Hoja1!A:B,2,FALSE)</f>
        <v>10. Servicios sociales y mediación comunitaria</v>
      </c>
      <c r="U1929" s="35" t="str">
        <f>MID(Tabla1[[#This Row],[Aplicación]],9,4)</f>
        <v>2412</v>
      </c>
      <c r="V1929" s="35" t="str">
        <f>VLOOKUP(Tabla1[[#This Row],[PROGRAMA]],Hoja1!A:B,2,FALSE)</f>
        <v>2412. Formación para el empleo</v>
      </c>
      <c r="W1929" s="56" t="str">
        <f>MID(Tabla1[[#This Row],[Aplicación]],14,2)</f>
        <v>22</v>
      </c>
      <c r="X1929" s="56" t="str">
        <f>MID(Tabla1[[#This Row],[Aplicación]],14,6)</f>
        <v>22103</v>
      </c>
    </row>
    <row r="1930" spans="1:24" x14ac:dyDescent="0.25">
      <c r="A1930" s="55">
        <v>220230008956</v>
      </c>
      <c r="B1930" s="47" t="s">
        <v>1337</v>
      </c>
      <c r="C1930" s="52">
        <v>45002</v>
      </c>
      <c r="D1930" s="46">
        <v>22023001164</v>
      </c>
      <c r="E1930" s="47" t="s">
        <v>2975</v>
      </c>
      <c r="F1930" s="53">
        <v>-4000</v>
      </c>
      <c r="G1930" s="47" t="s">
        <v>12</v>
      </c>
      <c r="H1930" s="47" t="s">
        <v>3356</v>
      </c>
      <c r="I1930" s="46" t="s">
        <v>511</v>
      </c>
      <c r="J1930" s="47" t="s">
        <v>512</v>
      </c>
      <c r="K1930" s="47" t="s">
        <v>512</v>
      </c>
      <c r="L1930" s="47" t="s">
        <v>552</v>
      </c>
      <c r="M1930" s="47" t="s">
        <v>514</v>
      </c>
      <c r="N1930" s="47" t="s">
        <v>515</v>
      </c>
      <c r="O1930" s="54" t="s">
        <v>371</v>
      </c>
      <c r="P1930" s="44" t="s">
        <v>309</v>
      </c>
      <c r="Q1930" s="59" t="str">
        <f>MID(Tabla1[[#This Row],[Aplicación]],14,1)</f>
        <v>2</v>
      </c>
      <c r="R1930" s="35" t="s">
        <v>298</v>
      </c>
      <c r="S1930" s="59" t="str">
        <f>MID(Tabla1[[#This Row],[Aplicación]],6,2)</f>
        <v>10</v>
      </c>
      <c r="T1930" s="35" t="str">
        <f>VLOOKUP(Tabla1[[#This Row],[AREA]],Hoja1!A:B,2,FALSE)</f>
        <v>10. Servicios sociales y mediación comunitaria</v>
      </c>
      <c r="U1930" s="35" t="str">
        <f>MID(Tabla1[[#This Row],[Aplicación]],9,4)</f>
        <v>2412</v>
      </c>
      <c r="V1930" s="35" t="str">
        <f>VLOOKUP(Tabla1[[#This Row],[PROGRAMA]],Hoja1!A:B,2,FALSE)</f>
        <v>2412. Formación para el empleo</v>
      </c>
      <c r="W1930" s="56" t="str">
        <f>MID(Tabla1[[#This Row],[Aplicación]],14,2)</f>
        <v>22</v>
      </c>
      <c r="X1930" s="56" t="str">
        <f>MID(Tabla1[[#This Row],[Aplicación]],14,6)</f>
        <v>22103</v>
      </c>
    </row>
    <row r="1931" spans="1:24" x14ac:dyDescent="0.25">
      <c r="A1931" s="55">
        <v>220230010923</v>
      </c>
      <c r="B1931" s="47" t="s">
        <v>1514</v>
      </c>
      <c r="C1931" s="52">
        <v>45009</v>
      </c>
      <c r="D1931" s="46">
        <v>22023001459</v>
      </c>
      <c r="E1931" s="47" t="s">
        <v>1290</v>
      </c>
      <c r="F1931" s="53">
        <v>71.5</v>
      </c>
      <c r="G1931" s="47" t="s">
        <v>3365</v>
      </c>
      <c r="H1931" s="47" t="s">
        <v>3366</v>
      </c>
      <c r="I1931" s="46" t="s">
        <v>1517</v>
      </c>
      <c r="J1931" s="47" t="s">
        <v>519</v>
      </c>
      <c r="K1931" s="47" t="s">
        <v>519</v>
      </c>
      <c r="L1931" s="47" t="s">
        <v>520</v>
      </c>
      <c r="M1931" s="47" t="s">
        <v>514</v>
      </c>
      <c r="N1931" s="47" t="s">
        <v>515</v>
      </c>
      <c r="O1931" s="54" t="s">
        <v>382</v>
      </c>
      <c r="P1931" s="44" t="s">
        <v>309</v>
      </c>
      <c r="Q1931" s="59" t="str">
        <f>MID(Tabla1[[#This Row],[Aplicación]],14,1)</f>
        <v>2</v>
      </c>
      <c r="R1931" s="35" t="s">
        <v>298</v>
      </c>
      <c r="S1931" s="59" t="str">
        <f>MID(Tabla1[[#This Row],[Aplicación]],6,2)</f>
        <v>11</v>
      </c>
      <c r="T1931" s="35" t="str">
        <f>VLOOKUP(Tabla1[[#This Row],[AREA]],Hoja1!A:B,2,FALSE)</f>
        <v>11. Salud pública y seguridad ciudadana</v>
      </c>
      <c r="U1931" s="35" t="str">
        <f>MID(Tabla1[[#This Row],[Aplicación]],9,4)</f>
        <v>1621</v>
      </c>
      <c r="V1931" s="35" t="str">
        <f>VLOOKUP(Tabla1[[#This Row],[PROGRAMA]],Hoja1!A:B,2,FALSE)</f>
        <v>1621. Servicio de limpieza</v>
      </c>
      <c r="W1931" s="56" t="str">
        <f>MID(Tabla1[[#This Row],[Aplicación]],14,2)</f>
        <v>21</v>
      </c>
      <c r="X1931" s="56" t="str">
        <f>MID(Tabla1[[#This Row],[Aplicación]],14,6)</f>
        <v>214</v>
      </c>
    </row>
    <row r="1932" spans="1:24" x14ac:dyDescent="0.25">
      <c r="A1932" s="55">
        <v>220230010925</v>
      </c>
      <c r="B1932" s="47" t="s">
        <v>1514</v>
      </c>
      <c r="C1932" s="52">
        <v>45009</v>
      </c>
      <c r="D1932" s="46">
        <v>22023001462</v>
      </c>
      <c r="E1932" s="47" t="s">
        <v>1290</v>
      </c>
      <c r="F1932" s="53">
        <v>1272.8699999999999</v>
      </c>
      <c r="G1932" s="47" t="s">
        <v>2257</v>
      </c>
      <c r="H1932" s="47" t="s">
        <v>3367</v>
      </c>
      <c r="I1932" s="46" t="s">
        <v>1517</v>
      </c>
      <c r="J1932" s="47" t="s">
        <v>519</v>
      </c>
      <c r="K1932" s="47" t="s">
        <v>519</v>
      </c>
      <c r="L1932" s="47" t="s">
        <v>552</v>
      </c>
      <c r="M1932" s="47" t="s">
        <v>514</v>
      </c>
      <c r="N1932" s="47" t="s">
        <v>515</v>
      </c>
      <c r="O1932" s="54" t="s">
        <v>382</v>
      </c>
      <c r="P1932" s="44" t="s">
        <v>309</v>
      </c>
      <c r="Q1932" s="59" t="str">
        <f>MID(Tabla1[[#This Row],[Aplicación]],14,1)</f>
        <v>2</v>
      </c>
      <c r="R1932" s="35" t="s">
        <v>298</v>
      </c>
      <c r="S1932" s="59" t="str">
        <f>MID(Tabla1[[#This Row],[Aplicación]],6,2)</f>
        <v>11</v>
      </c>
      <c r="T1932" s="35" t="str">
        <f>VLOOKUP(Tabla1[[#This Row],[AREA]],Hoja1!A:B,2,FALSE)</f>
        <v>11. Salud pública y seguridad ciudadana</v>
      </c>
      <c r="U1932" s="35" t="str">
        <f>MID(Tabla1[[#This Row],[Aplicación]],9,4)</f>
        <v>1621</v>
      </c>
      <c r="V1932" s="35" t="str">
        <f>VLOOKUP(Tabla1[[#This Row],[PROGRAMA]],Hoja1!A:B,2,FALSE)</f>
        <v>1621. Servicio de limpieza</v>
      </c>
      <c r="W1932" s="56" t="str">
        <f>MID(Tabla1[[#This Row],[Aplicación]],14,2)</f>
        <v>21</v>
      </c>
      <c r="X1932" s="56" t="str">
        <f>MID(Tabla1[[#This Row],[Aplicación]],14,6)</f>
        <v>214</v>
      </c>
    </row>
    <row r="1933" spans="1:24" x14ac:dyDescent="0.25">
      <c r="A1933" s="46">
        <v>220219001206</v>
      </c>
      <c r="B1933" s="47" t="s">
        <v>507</v>
      </c>
      <c r="C1933" s="52">
        <v>44927</v>
      </c>
      <c r="D1933" s="46">
        <v>22023003294</v>
      </c>
      <c r="E1933" s="47" t="s">
        <v>591</v>
      </c>
      <c r="F1933" s="53">
        <v>1040.5999999999999</v>
      </c>
      <c r="G1933" s="47" t="s">
        <v>18</v>
      </c>
      <c r="H1933" s="47" t="s">
        <v>3368</v>
      </c>
      <c r="I1933" s="46" t="s">
        <v>511</v>
      </c>
      <c r="J1933" s="47" t="s">
        <v>519</v>
      </c>
      <c r="K1933" s="47" t="s">
        <v>519</v>
      </c>
      <c r="L1933" s="47" t="s">
        <v>520</v>
      </c>
      <c r="M1933" s="47" t="s">
        <v>514</v>
      </c>
      <c r="N1933" s="47" t="s">
        <v>515</v>
      </c>
      <c r="O1933" s="45" t="s">
        <v>371</v>
      </c>
      <c r="P1933" s="44" t="s">
        <v>309</v>
      </c>
      <c r="Q1933" s="59" t="str">
        <f>MID(Tabla1[[#This Row],[Aplicación]],14,1)</f>
        <v>2</v>
      </c>
      <c r="R1933" s="35" t="s">
        <v>298</v>
      </c>
      <c r="S1933" s="59" t="str">
        <f>MID(Tabla1[[#This Row],[Aplicación]],6,2)</f>
        <v>04</v>
      </c>
      <c r="T1933" s="35" t="str">
        <f>VLOOKUP(Tabla1[[#This Row],[AREA]],Hoja1!A:B,2,FALSE)</f>
        <v>04. Planificación y recursos</v>
      </c>
      <c r="U1933" s="35" t="str">
        <f>MID(Tabla1[[#This Row],[Aplicación]],9,4)</f>
        <v>9204</v>
      </c>
      <c r="V1933" s="35" t="str">
        <f>VLOOKUP(Tabla1[[#This Row],[PROGRAMA]],Hoja1!A:B,2,FALSE)</f>
        <v>9204. Tecnologías de la información y comunicación</v>
      </c>
      <c r="W1933" s="56" t="str">
        <f>MID(Tabla1[[#This Row],[Aplicación]],14,2)</f>
        <v>21</v>
      </c>
      <c r="X1933" s="56" t="str">
        <f>MID(Tabla1[[#This Row],[Aplicación]],14,6)</f>
        <v>213</v>
      </c>
    </row>
    <row r="1934" spans="1:24" x14ac:dyDescent="0.25">
      <c r="A1934" s="55">
        <v>220230010642</v>
      </c>
      <c r="B1934" s="47" t="s">
        <v>1514</v>
      </c>
      <c r="C1934" s="52">
        <v>45009</v>
      </c>
      <c r="D1934" s="46">
        <v>22023001412</v>
      </c>
      <c r="E1934" s="47" t="s">
        <v>1510</v>
      </c>
      <c r="F1934" s="53">
        <v>22.11</v>
      </c>
      <c r="G1934" s="47" t="s">
        <v>1979</v>
      </c>
      <c r="H1934" s="47" t="s">
        <v>3369</v>
      </c>
      <c r="I1934" s="46" t="s">
        <v>1517</v>
      </c>
      <c r="J1934" s="47" t="s">
        <v>519</v>
      </c>
      <c r="K1934" s="47" t="s">
        <v>519</v>
      </c>
      <c r="L1934" s="47" t="s">
        <v>552</v>
      </c>
      <c r="M1934" s="47" t="s">
        <v>514</v>
      </c>
      <c r="N1934" s="47" t="s">
        <v>515</v>
      </c>
      <c r="O1934" s="54" t="s">
        <v>382</v>
      </c>
      <c r="P1934" s="44" t="s">
        <v>309</v>
      </c>
      <c r="Q1934" s="59" t="str">
        <f>MID(Tabla1[[#This Row],[Aplicación]],14,1)</f>
        <v>2</v>
      </c>
      <c r="R1934" s="35" t="s">
        <v>298</v>
      </c>
      <c r="S1934" s="59" t="str">
        <f>MID(Tabla1[[#This Row],[Aplicación]],6,2)</f>
        <v>10</v>
      </c>
      <c r="T1934" s="35" t="str">
        <f>VLOOKUP(Tabla1[[#This Row],[AREA]],Hoja1!A:B,2,FALSE)</f>
        <v>10. Servicios sociales y mediación comunitaria</v>
      </c>
      <c r="U1934" s="35" t="str">
        <f>MID(Tabla1[[#This Row],[Aplicación]],9,4)</f>
        <v>2311</v>
      </c>
      <c r="V1934" s="35" t="str">
        <f>VLOOKUP(Tabla1[[#This Row],[PROGRAMA]],Hoja1!A:B,2,FALSE)</f>
        <v>2311. Intervención social</v>
      </c>
      <c r="W1934" s="56" t="str">
        <f>MID(Tabla1[[#This Row],[Aplicación]],14,2)</f>
        <v>21</v>
      </c>
      <c r="X1934" s="56" t="str">
        <f>MID(Tabla1[[#This Row],[Aplicación]],14,6)</f>
        <v>212</v>
      </c>
    </row>
    <row r="1935" spans="1:24" x14ac:dyDescent="0.25">
      <c r="A1935" s="55">
        <v>220230010929</v>
      </c>
      <c r="B1935" s="47" t="s">
        <v>1514</v>
      </c>
      <c r="C1935" s="52">
        <v>45009</v>
      </c>
      <c r="D1935" s="46">
        <v>22023001468</v>
      </c>
      <c r="E1935" s="47" t="s">
        <v>1512</v>
      </c>
      <c r="F1935" s="53">
        <v>15.91</v>
      </c>
      <c r="G1935" s="47" t="s">
        <v>1979</v>
      </c>
      <c r="H1935" s="47" t="s">
        <v>3370</v>
      </c>
      <c r="I1935" s="46" t="s">
        <v>1517</v>
      </c>
      <c r="J1935" s="47" t="s">
        <v>519</v>
      </c>
      <c r="K1935" s="47" t="s">
        <v>519</v>
      </c>
      <c r="L1935" s="47" t="s">
        <v>552</v>
      </c>
      <c r="M1935" s="47" t="s">
        <v>514</v>
      </c>
      <c r="N1935" s="47" t="s">
        <v>515</v>
      </c>
      <c r="O1935" s="54" t="s">
        <v>382</v>
      </c>
      <c r="P1935" s="44" t="s">
        <v>309</v>
      </c>
      <c r="Q1935" s="59" t="str">
        <f>MID(Tabla1[[#This Row],[Aplicación]],14,1)</f>
        <v>2</v>
      </c>
      <c r="R1935" s="35" t="s">
        <v>298</v>
      </c>
      <c r="S1935" s="59" t="str">
        <f>MID(Tabla1[[#This Row],[Aplicación]],6,2)</f>
        <v>10</v>
      </c>
      <c r="T1935" s="35" t="str">
        <f>VLOOKUP(Tabla1[[#This Row],[AREA]],Hoja1!A:B,2,FALSE)</f>
        <v>10. Servicios sociales y mediación comunitaria</v>
      </c>
      <c r="U1935" s="35" t="str">
        <f>MID(Tabla1[[#This Row],[Aplicación]],9,4)</f>
        <v>2312</v>
      </c>
      <c r="V1935" s="35" t="str">
        <f>VLOOKUP(Tabla1[[#This Row],[PROGRAMA]],Hoja1!A:B,2,FALSE)</f>
        <v>2312. Iniciativas sociales</v>
      </c>
      <c r="W1935" s="56" t="str">
        <f>MID(Tabla1[[#This Row],[Aplicación]],14,2)</f>
        <v>21</v>
      </c>
      <c r="X1935" s="56" t="str">
        <f>MID(Tabla1[[#This Row],[Aplicación]],14,6)</f>
        <v>212</v>
      </c>
    </row>
    <row r="1936" spans="1:24" x14ac:dyDescent="0.25">
      <c r="A1936" s="55">
        <v>220230010870</v>
      </c>
      <c r="B1936" s="47" t="s">
        <v>1514</v>
      </c>
      <c r="C1936" s="52">
        <v>45009</v>
      </c>
      <c r="D1936" s="46">
        <v>22023001459</v>
      </c>
      <c r="E1936" s="47" t="s">
        <v>1290</v>
      </c>
      <c r="F1936" s="53">
        <v>2104.92</v>
      </c>
      <c r="G1936" s="47" t="s">
        <v>1983</v>
      </c>
      <c r="H1936" s="47" t="s">
        <v>3371</v>
      </c>
      <c r="I1936" s="46" t="s">
        <v>1517</v>
      </c>
      <c r="J1936" s="47" t="s">
        <v>519</v>
      </c>
      <c r="K1936" s="47" t="s">
        <v>519</v>
      </c>
      <c r="L1936" s="47" t="s">
        <v>520</v>
      </c>
      <c r="M1936" s="47" t="s">
        <v>514</v>
      </c>
      <c r="N1936" s="47" t="s">
        <v>515</v>
      </c>
      <c r="O1936" s="54" t="s">
        <v>382</v>
      </c>
      <c r="P1936" s="44" t="s">
        <v>309</v>
      </c>
      <c r="Q1936" s="59" t="str">
        <f>MID(Tabla1[[#This Row],[Aplicación]],14,1)</f>
        <v>2</v>
      </c>
      <c r="R1936" s="35" t="s">
        <v>298</v>
      </c>
      <c r="S1936" s="59" t="str">
        <f>MID(Tabla1[[#This Row],[Aplicación]],6,2)</f>
        <v>11</v>
      </c>
      <c r="T1936" s="35" t="str">
        <f>VLOOKUP(Tabla1[[#This Row],[AREA]],Hoja1!A:B,2,FALSE)</f>
        <v>11. Salud pública y seguridad ciudadana</v>
      </c>
      <c r="U1936" s="35" t="str">
        <f>MID(Tabla1[[#This Row],[Aplicación]],9,4)</f>
        <v>1621</v>
      </c>
      <c r="V1936" s="35" t="str">
        <f>VLOOKUP(Tabla1[[#This Row],[PROGRAMA]],Hoja1!A:B,2,FALSE)</f>
        <v>1621. Servicio de limpieza</v>
      </c>
      <c r="W1936" s="56" t="str">
        <f>MID(Tabla1[[#This Row],[Aplicación]],14,2)</f>
        <v>21</v>
      </c>
      <c r="X1936" s="56" t="str">
        <f>MID(Tabla1[[#This Row],[Aplicación]],14,6)</f>
        <v>214</v>
      </c>
    </row>
    <row r="1937" spans="1:24" x14ac:dyDescent="0.25">
      <c r="A1937" s="55">
        <v>220230010872</v>
      </c>
      <c r="B1937" s="47" t="s">
        <v>1514</v>
      </c>
      <c r="C1937" s="52">
        <v>45009</v>
      </c>
      <c r="D1937" s="46">
        <v>22023001459</v>
      </c>
      <c r="E1937" s="47" t="s">
        <v>1290</v>
      </c>
      <c r="F1937" s="53">
        <v>364.65</v>
      </c>
      <c r="G1937" s="47" t="s">
        <v>1983</v>
      </c>
      <c r="H1937" s="47" t="s">
        <v>3372</v>
      </c>
      <c r="I1937" s="46" t="s">
        <v>1517</v>
      </c>
      <c r="J1937" s="47" t="s">
        <v>519</v>
      </c>
      <c r="K1937" s="47" t="s">
        <v>519</v>
      </c>
      <c r="L1937" s="47" t="s">
        <v>520</v>
      </c>
      <c r="M1937" s="47" t="s">
        <v>514</v>
      </c>
      <c r="N1937" s="47" t="s">
        <v>515</v>
      </c>
      <c r="O1937" s="54" t="s">
        <v>382</v>
      </c>
      <c r="P1937" s="44" t="s">
        <v>309</v>
      </c>
      <c r="Q1937" s="59" t="str">
        <f>MID(Tabla1[[#This Row],[Aplicación]],14,1)</f>
        <v>2</v>
      </c>
      <c r="R1937" s="35" t="s">
        <v>298</v>
      </c>
      <c r="S1937" s="59" t="str">
        <f>MID(Tabla1[[#This Row],[Aplicación]],6,2)</f>
        <v>11</v>
      </c>
      <c r="T1937" s="35" t="str">
        <f>VLOOKUP(Tabla1[[#This Row],[AREA]],Hoja1!A:B,2,FALSE)</f>
        <v>11. Salud pública y seguridad ciudadana</v>
      </c>
      <c r="U1937" s="35" t="str">
        <f>MID(Tabla1[[#This Row],[Aplicación]],9,4)</f>
        <v>1621</v>
      </c>
      <c r="V1937" s="35" t="str">
        <f>VLOOKUP(Tabla1[[#This Row],[PROGRAMA]],Hoja1!A:B,2,FALSE)</f>
        <v>1621. Servicio de limpieza</v>
      </c>
      <c r="W1937" s="56" t="str">
        <f>MID(Tabla1[[#This Row],[Aplicación]],14,2)</f>
        <v>21</v>
      </c>
      <c r="X1937" s="56" t="str">
        <f>MID(Tabla1[[#This Row],[Aplicación]],14,6)</f>
        <v>214</v>
      </c>
    </row>
    <row r="1938" spans="1:24" x14ac:dyDescent="0.25">
      <c r="A1938" s="55">
        <v>220230010896</v>
      </c>
      <c r="B1938" s="47" t="s">
        <v>1514</v>
      </c>
      <c r="C1938" s="52">
        <v>45009</v>
      </c>
      <c r="D1938" s="46">
        <v>22023000213</v>
      </c>
      <c r="E1938" s="47" t="s">
        <v>1694</v>
      </c>
      <c r="F1938" s="53">
        <v>1460.7</v>
      </c>
      <c r="G1938" s="47" t="s">
        <v>1983</v>
      </c>
      <c r="H1938" s="47" t="s">
        <v>3373</v>
      </c>
      <c r="I1938" s="46" t="s">
        <v>1517</v>
      </c>
      <c r="J1938" s="47" t="s">
        <v>519</v>
      </c>
      <c r="K1938" s="47" t="s">
        <v>519</v>
      </c>
      <c r="L1938" s="47" t="s">
        <v>520</v>
      </c>
      <c r="M1938" s="47" t="s">
        <v>514</v>
      </c>
      <c r="N1938" s="47" t="s">
        <v>515</v>
      </c>
      <c r="O1938" s="54" t="s">
        <v>382</v>
      </c>
      <c r="P1938" s="44" t="s">
        <v>309</v>
      </c>
      <c r="Q1938" s="59" t="str">
        <f>MID(Tabla1[[#This Row],[Aplicación]],14,1)</f>
        <v>2</v>
      </c>
      <c r="R1938" s="35" t="s">
        <v>298</v>
      </c>
      <c r="S1938" s="59" t="str">
        <f>MID(Tabla1[[#This Row],[Aplicación]],6,2)</f>
        <v>11</v>
      </c>
      <c r="T1938" s="35" t="str">
        <f>VLOOKUP(Tabla1[[#This Row],[AREA]],Hoja1!A:B,2,FALSE)</f>
        <v>11. Salud pública y seguridad ciudadana</v>
      </c>
      <c r="U1938" s="35" t="str">
        <f>MID(Tabla1[[#This Row],[Aplicación]],9,4)</f>
        <v>1321</v>
      </c>
      <c r="V1938" s="35" t="str">
        <f>VLOOKUP(Tabla1[[#This Row],[PROGRAMA]],Hoja1!A:B,2,FALSE)</f>
        <v>1321. Policía municipal</v>
      </c>
      <c r="W1938" s="56" t="str">
        <f>MID(Tabla1[[#This Row],[Aplicación]],14,2)</f>
        <v>21</v>
      </c>
      <c r="X1938" s="56" t="str">
        <f>MID(Tabla1[[#This Row],[Aplicación]],14,6)</f>
        <v>214</v>
      </c>
    </row>
    <row r="1939" spans="1:24" x14ac:dyDescent="0.25">
      <c r="A1939" s="55">
        <v>220230010840</v>
      </c>
      <c r="B1939" s="47" t="s">
        <v>1514</v>
      </c>
      <c r="C1939" s="52">
        <v>45009</v>
      </c>
      <c r="D1939" s="46">
        <v>22023001549</v>
      </c>
      <c r="E1939" s="47" t="s">
        <v>1515</v>
      </c>
      <c r="F1939" s="53">
        <v>253.35</v>
      </c>
      <c r="G1939" s="47" t="s">
        <v>2477</v>
      </c>
      <c r="H1939" s="47" t="s">
        <v>3374</v>
      </c>
      <c r="I1939" s="46" t="s">
        <v>1517</v>
      </c>
      <c r="J1939" s="47" t="s">
        <v>519</v>
      </c>
      <c r="K1939" s="47" t="s">
        <v>519</v>
      </c>
      <c r="L1939" s="47" t="s">
        <v>552</v>
      </c>
      <c r="M1939" s="47" t="s">
        <v>514</v>
      </c>
      <c r="N1939" s="47" t="s">
        <v>515</v>
      </c>
      <c r="O1939" s="54" t="s">
        <v>382</v>
      </c>
      <c r="P1939" s="44" t="s">
        <v>309</v>
      </c>
      <c r="Q1939" s="59" t="str">
        <f>MID(Tabla1[[#This Row],[Aplicación]],14,1)</f>
        <v>2</v>
      </c>
      <c r="R1939" s="35" t="s">
        <v>298</v>
      </c>
      <c r="S1939" s="59" t="str">
        <f>MID(Tabla1[[#This Row],[Aplicación]],6,2)</f>
        <v>07</v>
      </c>
      <c r="T1939" s="35" t="str">
        <f>VLOOKUP(Tabla1[[#This Row],[AREA]],Hoja1!A:B,2,FALSE)</f>
        <v>07. Medio ambiente y desarrollo sostenible</v>
      </c>
      <c r="U1939" s="35" t="str">
        <f>MID(Tabla1[[#This Row],[Aplicación]],9,4)</f>
        <v>1711</v>
      </c>
      <c r="V1939" s="35" t="str">
        <f>VLOOKUP(Tabla1[[#This Row],[PROGRAMA]],Hoja1!A:B,2,FALSE)</f>
        <v>1711. Parques y jardines</v>
      </c>
      <c r="W1939" s="56" t="str">
        <f>MID(Tabla1[[#This Row],[Aplicación]],14,2)</f>
        <v>22</v>
      </c>
      <c r="X1939" s="56" t="str">
        <f>MID(Tabla1[[#This Row],[Aplicación]],14,6)</f>
        <v>22199</v>
      </c>
    </row>
    <row r="1940" spans="1:24" x14ac:dyDescent="0.25">
      <c r="A1940" s="55">
        <v>220230010933</v>
      </c>
      <c r="B1940" s="47" t="s">
        <v>1514</v>
      </c>
      <c r="C1940" s="52">
        <v>45009</v>
      </c>
      <c r="D1940" s="46">
        <v>22023001468</v>
      </c>
      <c r="E1940" s="47" t="s">
        <v>1512</v>
      </c>
      <c r="F1940" s="53">
        <v>44.83</v>
      </c>
      <c r="G1940" s="47" t="s">
        <v>1372</v>
      </c>
      <c r="H1940" s="47" t="s">
        <v>3375</v>
      </c>
      <c r="I1940" s="46" t="s">
        <v>1517</v>
      </c>
      <c r="J1940" s="47" t="s">
        <v>519</v>
      </c>
      <c r="K1940" s="47" t="s">
        <v>519</v>
      </c>
      <c r="L1940" s="47" t="s">
        <v>552</v>
      </c>
      <c r="M1940" s="47" t="s">
        <v>514</v>
      </c>
      <c r="N1940" s="47" t="s">
        <v>515</v>
      </c>
      <c r="O1940" s="54" t="s">
        <v>382</v>
      </c>
      <c r="P1940" s="44" t="s">
        <v>309</v>
      </c>
      <c r="Q1940" s="59" t="str">
        <f>MID(Tabla1[[#This Row],[Aplicación]],14,1)</f>
        <v>2</v>
      </c>
      <c r="R1940" s="35" t="s">
        <v>298</v>
      </c>
      <c r="S1940" s="59" t="str">
        <f>MID(Tabla1[[#This Row],[Aplicación]],6,2)</f>
        <v>10</v>
      </c>
      <c r="T1940" s="35" t="str">
        <f>VLOOKUP(Tabla1[[#This Row],[AREA]],Hoja1!A:B,2,FALSE)</f>
        <v>10. Servicios sociales y mediación comunitaria</v>
      </c>
      <c r="U1940" s="35" t="str">
        <f>MID(Tabla1[[#This Row],[Aplicación]],9,4)</f>
        <v>2312</v>
      </c>
      <c r="V1940" s="35" t="str">
        <f>VLOOKUP(Tabla1[[#This Row],[PROGRAMA]],Hoja1!A:B,2,FALSE)</f>
        <v>2312. Iniciativas sociales</v>
      </c>
      <c r="W1940" s="56" t="str">
        <f>MID(Tabla1[[#This Row],[Aplicación]],14,2)</f>
        <v>21</v>
      </c>
      <c r="X1940" s="56" t="str">
        <f>MID(Tabla1[[#This Row],[Aplicación]],14,6)</f>
        <v>212</v>
      </c>
    </row>
    <row r="1941" spans="1:24" x14ac:dyDescent="0.25">
      <c r="A1941" s="55">
        <v>220230010927</v>
      </c>
      <c r="B1941" s="47" t="s">
        <v>1514</v>
      </c>
      <c r="C1941" s="52">
        <v>45009</v>
      </c>
      <c r="D1941" s="46">
        <v>22023001468</v>
      </c>
      <c r="E1941" s="47" t="s">
        <v>1512</v>
      </c>
      <c r="F1941" s="53">
        <v>1043.8800000000001</v>
      </c>
      <c r="G1941" s="47" t="s">
        <v>1351</v>
      </c>
      <c r="H1941" s="47" t="s">
        <v>3376</v>
      </c>
      <c r="I1941" s="46" t="s">
        <v>1517</v>
      </c>
      <c r="J1941" s="47" t="s">
        <v>519</v>
      </c>
      <c r="K1941" s="47" t="s">
        <v>519</v>
      </c>
      <c r="L1941" s="47" t="s">
        <v>552</v>
      </c>
      <c r="M1941" s="47" t="s">
        <v>514</v>
      </c>
      <c r="N1941" s="47" t="s">
        <v>515</v>
      </c>
      <c r="O1941" s="54" t="s">
        <v>382</v>
      </c>
      <c r="P1941" s="44" t="s">
        <v>309</v>
      </c>
      <c r="Q1941" s="59" t="str">
        <f>MID(Tabla1[[#This Row],[Aplicación]],14,1)</f>
        <v>2</v>
      </c>
      <c r="R1941" s="35" t="s">
        <v>298</v>
      </c>
      <c r="S1941" s="59" t="str">
        <f>MID(Tabla1[[#This Row],[Aplicación]],6,2)</f>
        <v>10</v>
      </c>
      <c r="T1941" s="35" t="str">
        <f>VLOOKUP(Tabla1[[#This Row],[AREA]],Hoja1!A:B,2,FALSE)</f>
        <v>10. Servicios sociales y mediación comunitaria</v>
      </c>
      <c r="U1941" s="35" t="str">
        <f>MID(Tabla1[[#This Row],[Aplicación]],9,4)</f>
        <v>2312</v>
      </c>
      <c r="V1941" s="35" t="str">
        <f>VLOOKUP(Tabla1[[#This Row],[PROGRAMA]],Hoja1!A:B,2,FALSE)</f>
        <v>2312. Iniciativas sociales</v>
      </c>
      <c r="W1941" s="56" t="str">
        <f>MID(Tabla1[[#This Row],[Aplicación]],14,2)</f>
        <v>21</v>
      </c>
      <c r="X1941" s="56" t="str">
        <f>MID(Tabla1[[#This Row],[Aplicación]],14,6)</f>
        <v>212</v>
      </c>
    </row>
    <row r="1942" spans="1:24" x14ac:dyDescent="0.25">
      <c r="A1942" s="55">
        <v>220230010931</v>
      </c>
      <c r="B1942" s="47" t="s">
        <v>1514</v>
      </c>
      <c r="C1942" s="52">
        <v>45009</v>
      </c>
      <c r="D1942" s="46">
        <v>22023001467</v>
      </c>
      <c r="E1942" s="47" t="s">
        <v>1512</v>
      </c>
      <c r="F1942" s="53">
        <v>280.89999999999998</v>
      </c>
      <c r="G1942" s="47" t="s">
        <v>2115</v>
      </c>
      <c r="H1942" s="47" t="s">
        <v>3377</v>
      </c>
      <c r="I1942" s="46" t="s">
        <v>1517</v>
      </c>
      <c r="J1942" s="47" t="s">
        <v>519</v>
      </c>
      <c r="K1942" s="47" t="s">
        <v>519</v>
      </c>
      <c r="L1942" s="47" t="s">
        <v>552</v>
      </c>
      <c r="M1942" s="47" t="s">
        <v>514</v>
      </c>
      <c r="N1942" s="47" t="s">
        <v>515</v>
      </c>
      <c r="O1942" s="54" t="s">
        <v>382</v>
      </c>
      <c r="P1942" s="44" t="s">
        <v>309</v>
      </c>
      <c r="Q1942" s="59" t="str">
        <f>MID(Tabla1[[#This Row],[Aplicación]],14,1)</f>
        <v>2</v>
      </c>
      <c r="R1942" s="35" t="s">
        <v>298</v>
      </c>
      <c r="S1942" s="59" t="str">
        <f>MID(Tabla1[[#This Row],[Aplicación]],6,2)</f>
        <v>10</v>
      </c>
      <c r="T1942" s="35" t="str">
        <f>VLOOKUP(Tabla1[[#This Row],[AREA]],Hoja1!A:B,2,FALSE)</f>
        <v>10. Servicios sociales y mediación comunitaria</v>
      </c>
      <c r="U1942" s="35" t="str">
        <f>MID(Tabla1[[#This Row],[Aplicación]],9,4)</f>
        <v>2312</v>
      </c>
      <c r="V1942" s="35" t="str">
        <f>VLOOKUP(Tabla1[[#This Row],[PROGRAMA]],Hoja1!A:B,2,FALSE)</f>
        <v>2312. Iniciativas sociales</v>
      </c>
      <c r="W1942" s="56" t="str">
        <f>MID(Tabla1[[#This Row],[Aplicación]],14,2)</f>
        <v>21</v>
      </c>
      <c r="X1942" s="56" t="str">
        <f>MID(Tabla1[[#This Row],[Aplicación]],14,6)</f>
        <v>212</v>
      </c>
    </row>
    <row r="1943" spans="1:24" x14ac:dyDescent="0.25">
      <c r="A1943" s="55">
        <v>220230010877</v>
      </c>
      <c r="B1943" s="47" t="s">
        <v>1514</v>
      </c>
      <c r="C1943" s="52">
        <v>45009</v>
      </c>
      <c r="D1943" s="46">
        <v>22023001469</v>
      </c>
      <c r="E1943" s="47" t="s">
        <v>1683</v>
      </c>
      <c r="F1943" s="53">
        <v>1056.02</v>
      </c>
      <c r="G1943" s="47" t="s">
        <v>2343</v>
      </c>
      <c r="H1943" s="47" t="s">
        <v>3378</v>
      </c>
      <c r="I1943" s="46" t="s">
        <v>1517</v>
      </c>
      <c r="J1943" s="47" t="s">
        <v>519</v>
      </c>
      <c r="K1943" s="47" t="s">
        <v>519</v>
      </c>
      <c r="L1943" s="47" t="s">
        <v>520</v>
      </c>
      <c r="M1943" s="47" t="s">
        <v>514</v>
      </c>
      <c r="N1943" s="47" t="s">
        <v>515</v>
      </c>
      <c r="O1943" s="54" t="s">
        <v>382</v>
      </c>
      <c r="P1943" s="44" t="s">
        <v>309</v>
      </c>
      <c r="Q1943" s="59" t="str">
        <f>MID(Tabla1[[#This Row],[Aplicación]],14,1)</f>
        <v>2</v>
      </c>
      <c r="R1943" s="35" t="s">
        <v>298</v>
      </c>
      <c r="S1943" s="59" t="str">
        <f>MID(Tabla1[[#This Row],[Aplicación]],6,2)</f>
        <v>11</v>
      </c>
      <c r="T1943" s="35" t="str">
        <f>VLOOKUP(Tabla1[[#This Row],[AREA]],Hoja1!A:B,2,FALSE)</f>
        <v>11. Salud pública y seguridad ciudadana</v>
      </c>
      <c r="U1943" s="35" t="str">
        <f>MID(Tabla1[[#This Row],[Aplicación]],9,4)</f>
        <v>1631</v>
      </c>
      <c r="V1943" s="35" t="str">
        <f>VLOOKUP(Tabla1[[#This Row],[PROGRAMA]],Hoja1!A:B,2,FALSE)</f>
        <v>1631. Limpieza viaria</v>
      </c>
      <c r="W1943" s="56" t="str">
        <f>MID(Tabla1[[#This Row],[Aplicación]],14,2)</f>
        <v>21</v>
      </c>
      <c r="X1943" s="56" t="str">
        <f>MID(Tabla1[[#This Row],[Aplicación]],14,6)</f>
        <v>214</v>
      </c>
    </row>
    <row r="1944" spans="1:24" x14ac:dyDescent="0.25">
      <c r="A1944" s="55">
        <v>220230010845</v>
      </c>
      <c r="B1944" s="47" t="s">
        <v>1514</v>
      </c>
      <c r="C1944" s="52">
        <v>45009</v>
      </c>
      <c r="D1944" s="46">
        <v>22023001549</v>
      </c>
      <c r="E1944" s="47" t="s">
        <v>1515</v>
      </c>
      <c r="F1944" s="53">
        <v>5.49</v>
      </c>
      <c r="G1944" s="47" t="s">
        <v>2351</v>
      </c>
      <c r="H1944" s="47" t="s">
        <v>3379</v>
      </c>
      <c r="I1944" s="46" t="s">
        <v>1517</v>
      </c>
      <c r="J1944" s="47" t="s">
        <v>519</v>
      </c>
      <c r="K1944" s="47" t="s">
        <v>519</v>
      </c>
      <c r="L1944" s="47" t="s">
        <v>552</v>
      </c>
      <c r="M1944" s="47" t="s">
        <v>514</v>
      </c>
      <c r="N1944" s="47" t="s">
        <v>515</v>
      </c>
      <c r="O1944" s="54" t="s">
        <v>382</v>
      </c>
      <c r="P1944" s="44" t="s">
        <v>309</v>
      </c>
      <c r="Q1944" s="59" t="str">
        <f>MID(Tabla1[[#This Row],[Aplicación]],14,1)</f>
        <v>2</v>
      </c>
      <c r="R1944" s="35" t="s">
        <v>298</v>
      </c>
      <c r="S1944" s="59" t="str">
        <f>MID(Tabla1[[#This Row],[Aplicación]],6,2)</f>
        <v>07</v>
      </c>
      <c r="T1944" s="35" t="str">
        <f>VLOOKUP(Tabla1[[#This Row],[AREA]],Hoja1!A:B,2,FALSE)</f>
        <v>07. Medio ambiente y desarrollo sostenible</v>
      </c>
      <c r="U1944" s="35" t="str">
        <f>MID(Tabla1[[#This Row],[Aplicación]],9,4)</f>
        <v>1711</v>
      </c>
      <c r="V1944" s="35" t="str">
        <f>VLOOKUP(Tabla1[[#This Row],[PROGRAMA]],Hoja1!A:B,2,FALSE)</f>
        <v>1711. Parques y jardines</v>
      </c>
      <c r="W1944" s="56" t="str">
        <f>MID(Tabla1[[#This Row],[Aplicación]],14,2)</f>
        <v>22</v>
      </c>
      <c r="X1944" s="56" t="str">
        <f>MID(Tabla1[[#This Row],[Aplicación]],14,6)</f>
        <v>22199</v>
      </c>
    </row>
    <row r="1945" spans="1:24" x14ac:dyDescent="0.25">
      <c r="A1945" s="55">
        <v>220230010875</v>
      </c>
      <c r="B1945" s="47" t="s">
        <v>1514</v>
      </c>
      <c r="C1945" s="52">
        <v>45009</v>
      </c>
      <c r="D1945" s="46">
        <v>22023001466</v>
      </c>
      <c r="E1945" s="47" t="s">
        <v>2624</v>
      </c>
      <c r="F1945" s="53">
        <v>1270.92</v>
      </c>
      <c r="G1945" s="47" t="s">
        <v>2351</v>
      </c>
      <c r="H1945" s="47" t="s">
        <v>3380</v>
      </c>
      <c r="I1945" s="46" t="s">
        <v>1517</v>
      </c>
      <c r="J1945" s="47" t="s">
        <v>519</v>
      </c>
      <c r="K1945" s="47" t="s">
        <v>519</v>
      </c>
      <c r="L1945" s="47" t="s">
        <v>552</v>
      </c>
      <c r="M1945" s="47" t="s">
        <v>514</v>
      </c>
      <c r="N1945" s="47" t="s">
        <v>515</v>
      </c>
      <c r="O1945" s="54" t="s">
        <v>382</v>
      </c>
      <c r="P1945" s="44" t="s">
        <v>309</v>
      </c>
      <c r="Q1945" s="59" t="str">
        <f>MID(Tabla1[[#This Row],[Aplicación]],14,1)</f>
        <v>2</v>
      </c>
      <c r="R1945" s="35" t="s">
        <v>298</v>
      </c>
      <c r="S1945" s="59" t="str">
        <f>MID(Tabla1[[#This Row],[Aplicación]],6,2)</f>
        <v>11</v>
      </c>
      <c r="T1945" s="35" t="str">
        <f>VLOOKUP(Tabla1[[#This Row],[AREA]],Hoja1!A:B,2,FALSE)</f>
        <v>11. Salud pública y seguridad ciudadana</v>
      </c>
      <c r="U1945" s="35" t="str">
        <f>MID(Tabla1[[#This Row],[Aplicación]],9,4)</f>
        <v>1621</v>
      </c>
      <c r="V1945" s="35" t="str">
        <f>VLOOKUP(Tabla1[[#This Row],[PROGRAMA]],Hoja1!A:B,2,FALSE)</f>
        <v>1621. Servicio de limpieza</v>
      </c>
      <c r="W1945" s="56" t="str">
        <f>MID(Tabla1[[#This Row],[Aplicación]],14,2)</f>
        <v>22</v>
      </c>
      <c r="X1945" s="56" t="str">
        <f>MID(Tabla1[[#This Row],[Aplicación]],14,6)</f>
        <v>22199</v>
      </c>
    </row>
    <row r="1946" spans="1:24" x14ac:dyDescent="0.25">
      <c r="A1946" s="55">
        <v>220230010883</v>
      </c>
      <c r="B1946" s="47" t="s">
        <v>1514</v>
      </c>
      <c r="C1946" s="52">
        <v>45009</v>
      </c>
      <c r="D1946" s="46">
        <v>22023001475</v>
      </c>
      <c r="E1946" s="47" t="s">
        <v>2693</v>
      </c>
      <c r="F1946" s="53">
        <v>514.73</v>
      </c>
      <c r="G1946" s="47" t="s">
        <v>2351</v>
      </c>
      <c r="H1946" s="47" t="s">
        <v>3381</v>
      </c>
      <c r="I1946" s="46" t="s">
        <v>1517</v>
      </c>
      <c r="J1946" s="47" t="s">
        <v>519</v>
      </c>
      <c r="K1946" s="47" t="s">
        <v>519</v>
      </c>
      <c r="L1946" s="47" t="s">
        <v>552</v>
      </c>
      <c r="M1946" s="47" t="s">
        <v>514</v>
      </c>
      <c r="N1946" s="47" t="s">
        <v>515</v>
      </c>
      <c r="O1946" s="54" t="s">
        <v>382</v>
      </c>
      <c r="P1946" s="44" t="s">
        <v>309</v>
      </c>
      <c r="Q1946" s="59" t="str">
        <f>MID(Tabla1[[#This Row],[Aplicación]],14,1)</f>
        <v>2</v>
      </c>
      <c r="R1946" s="35" t="s">
        <v>298</v>
      </c>
      <c r="S1946" s="59" t="str">
        <f>MID(Tabla1[[#This Row],[Aplicación]],6,2)</f>
        <v>11</v>
      </c>
      <c r="T1946" s="35" t="str">
        <f>VLOOKUP(Tabla1[[#This Row],[AREA]],Hoja1!A:B,2,FALSE)</f>
        <v>11. Salud pública y seguridad ciudadana</v>
      </c>
      <c r="U1946" s="35" t="str">
        <f>MID(Tabla1[[#This Row],[Aplicación]],9,4)</f>
        <v>1631</v>
      </c>
      <c r="V1946" s="35" t="str">
        <f>VLOOKUP(Tabla1[[#This Row],[PROGRAMA]],Hoja1!A:B,2,FALSE)</f>
        <v>1631. Limpieza viaria</v>
      </c>
      <c r="W1946" s="56" t="str">
        <f>MID(Tabla1[[#This Row],[Aplicación]],14,2)</f>
        <v>22</v>
      </c>
      <c r="X1946" s="56" t="str">
        <f>MID(Tabla1[[#This Row],[Aplicación]],14,6)</f>
        <v>22110</v>
      </c>
    </row>
    <row r="1947" spans="1:24" x14ac:dyDescent="0.25">
      <c r="A1947" s="55">
        <v>220230010917</v>
      </c>
      <c r="B1947" s="47" t="s">
        <v>1514</v>
      </c>
      <c r="C1947" s="52">
        <v>45009</v>
      </c>
      <c r="D1947" s="46">
        <v>22023001466</v>
      </c>
      <c r="E1947" s="47" t="s">
        <v>2624</v>
      </c>
      <c r="F1947" s="53">
        <v>3489.48</v>
      </c>
      <c r="G1947" s="47" t="s">
        <v>101</v>
      </c>
      <c r="H1947" s="47" t="s">
        <v>3382</v>
      </c>
      <c r="I1947" s="46" t="s">
        <v>1517</v>
      </c>
      <c r="J1947" s="47" t="s">
        <v>519</v>
      </c>
      <c r="K1947" s="47" t="s">
        <v>519</v>
      </c>
      <c r="L1947" s="47" t="s">
        <v>552</v>
      </c>
      <c r="M1947" s="47" t="s">
        <v>514</v>
      </c>
      <c r="N1947" s="47" t="s">
        <v>515</v>
      </c>
      <c r="O1947" s="54" t="s">
        <v>382</v>
      </c>
      <c r="P1947" s="44" t="s">
        <v>309</v>
      </c>
      <c r="Q1947" s="59" t="str">
        <f>MID(Tabla1[[#This Row],[Aplicación]],14,1)</f>
        <v>2</v>
      </c>
      <c r="R1947" s="35" t="s">
        <v>298</v>
      </c>
      <c r="S1947" s="59" t="str">
        <f>MID(Tabla1[[#This Row],[Aplicación]],6,2)</f>
        <v>11</v>
      </c>
      <c r="T1947" s="35" t="str">
        <f>VLOOKUP(Tabla1[[#This Row],[AREA]],Hoja1!A:B,2,FALSE)</f>
        <v>11. Salud pública y seguridad ciudadana</v>
      </c>
      <c r="U1947" s="35" t="str">
        <f>MID(Tabla1[[#This Row],[Aplicación]],9,4)</f>
        <v>1621</v>
      </c>
      <c r="V1947" s="35" t="str">
        <f>VLOOKUP(Tabla1[[#This Row],[PROGRAMA]],Hoja1!A:B,2,FALSE)</f>
        <v>1621. Servicio de limpieza</v>
      </c>
      <c r="W1947" s="56" t="str">
        <f>MID(Tabla1[[#This Row],[Aplicación]],14,2)</f>
        <v>22</v>
      </c>
      <c r="X1947" s="56" t="str">
        <f>MID(Tabla1[[#This Row],[Aplicación]],14,6)</f>
        <v>22199</v>
      </c>
    </row>
    <row r="1948" spans="1:24" x14ac:dyDescent="0.25">
      <c r="A1948" s="55">
        <v>220230010890</v>
      </c>
      <c r="B1948" s="47" t="s">
        <v>1514</v>
      </c>
      <c r="C1948" s="52">
        <v>45009</v>
      </c>
      <c r="D1948" s="46">
        <v>22023001462</v>
      </c>
      <c r="E1948" s="47" t="s">
        <v>1290</v>
      </c>
      <c r="F1948" s="53">
        <v>1517.95</v>
      </c>
      <c r="G1948" s="47" t="s">
        <v>101</v>
      </c>
      <c r="H1948" s="47" t="s">
        <v>3383</v>
      </c>
      <c r="I1948" s="46" t="s">
        <v>1517</v>
      </c>
      <c r="J1948" s="47" t="s">
        <v>519</v>
      </c>
      <c r="K1948" s="47" t="s">
        <v>519</v>
      </c>
      <c r="L1948" s="47" t="s">
        <v>552</v>
      </c>
      <c r="M1948" s="47" t="s">
        <v>514</v>
      </c>
      <c r="N1948" s="47" t="s">
        <v>515</v>
      </c>
      <c r="O1948" s="54" t="s">
        <v>382</v>
      </c>
      <c r="P1948" s="44" t="s">
        <v>309</v>
      </c>
      <c r="Q1948" s="59" t="str">
        <f>MID(Tabla1[[#This Row],[Aplicación]],14,1)</f>
        <v>2</v>
      </c>
      <c r="R1948" s="35" t="s">
        <v>298</v>
      </c>
      <c r="S1948" s="59" t="str">
        <f>MID(Tabla1[[#This Row],[Aplicación]],6,2)</f>
        <v>11</v>
      </c>
      <c r="T1948" s="35" t="str">
        <f>VLOOKUP(Tabla1[[#This Row],[AREA]],Hoja1!A:B,2,FALSE)</f>
        <v>11. Salud pública y seguridad ciudadana</v>
      </c>
      <c r="U1948" s="35" t="str">
        <f>MID(Tabla1[[#This Row],[Aplicación]],9,4)</f>
        <v>1621</v>
      </c>
      <c r="V1948" s="35" t="str">
        <f>VLOOKUP(Tabla1[[#This Row],[PROGRAMA]],Hoja1!A:B,2,FALSE)</f>
        <v>1621. Servicio de limpieza</v>
      </c>
      <c r="W1948" s="56" t="str">
        <f>MID(Tabla1[[#This Row],[Aplicación]],14,2)</f>
        <v>21</v>
      </c>
      <c r="X1948" s="56" t="str">
        <f>MID(Tabla1[[#This Row],[Aplicación]],14,6)</f>
        <v>214</v>
      </c>
    </row>
    <row r="1949" spans="1:24" x14ac:dyDescent="0.25">
      <c r="A1949" s="55">
        <v>220230010885</v>
      </c>
      <c r="B1949" s="47" t="s">
        <v>1514</v>
      </c>
      <c r="C1949" s="52">
        <v>45009</v>
      </c>
      <c r="D1949" s="46">
        <v>22023001462</v>
      </c>
      <c r="E1949" s="47" t="s">
        <v>1290</v>
      </c>
      <c r="F1949" s="53">
        <v>774.4</v>
      </c>
      <c r="G1949" s="47" t="s">
        <v>2430</v>
      </c>
      <c r="H1949" s="47" t="s">
        <v>3384</v>
      </c>
      <c r="I1949" s="46" t="s">
        <v>1517</v>
      </c>
      <c r="J1949" s="47" t="s">
        <v>573</v>
      </c>
      <c r="K1949" s="47" t="s">
        <v>573</v>
      </c>
      <c r="L1949" s="47" t="s">
        <v>552</v>
      </c>
      <c r="M1949" s="47" t="s">
        <v>514</v>
      </c>
      <c r="N1949" s="47" t="s">
        <v>515</v>
      </c>
      <c r="O1949" s="54" t="s">
        <v>382</v>
      </c>
      <c r="P1949" s="44" t="s">
        <v>309</v>
      </c>
      <c r="Q1949" s="59" t="str">
        <f>MID(Tabla1[[#This Row],[Aplicación]],14,1)</f>
        <v>2</v>
      </c>
      <c r="R1949" s="35" t="s">
        <v>298</v>
      </c>
      <c r="S1949" s="59" t="str">
        <f>MID(Tabla1[[#This Row],[Aplicación]],6,2)</f>
        <v>11</v>
      </c>
      <c r="T1949" s="35" t="str">
        <f>VLOOKUP(Tabla1[[#This Row],[AREA]],Hoja1!A:B,2,FALSE)</f>
        <v>11. Salud pública y seguridad ciudadana</v>
      </c>
      <c r="U1949" s="35" t="str">
        <f>MID(Tabla1[[#This Row],[Aplicación]],9,4)</f>
        <v>1621</v>
      </c>
      <c r="V1949" s="35" t="str">
        <f>VLOOKUP(Tabla1[[#This Row],[PROGRAMA]],Hoja1!A:B,2,FALSE)</f>
        <v>1621. Servicio de limpieza</v>
      </c>
      <c r="W1949" s="56" t="str">
        <f>MID(Tabla1[[#This Row],[Aplicación]],14,2)</f>
        <v>21</v>
      </c>
      <c r="X1949" s="56" t="str">
        <f>MID(Tabla1[[#This Row],[Aplicación]],14,6)</f>
        <v>214</v>
      </c>
    </row>
    <row r="1950" spans="1:24" x14ac:dyDescent="0.25">
      <c r="A1950" s="55">
        <v>220230010849</v>
      </c>
      <c r="B1950" s="47" t="s">
        <v>1514</v>
      </c>
      <c r="C1950" s="52">
        <v>45009</v>
      </c>
      <c r="D1950" s="46">
        <v>22023001547</v>
      </c>
      <c r="E1950" s="47" t="s">
        <v>1982</v>
      </c>
      <c r="F1950" s="53">
        <v>417.63</v>
      </c>
      <c r="G1950" s="47" t="s">
        <v>2434</v>
      </c>
      <c r="H1950" s="47" t="s">
        <v>3385</v>
      </c>
      <c r="I1950" s="46" t="s">
        <v>1517</v>
      </c>
      <c r="J1950" s="47" t="s">
        <v>519</v>
      </c>
      <c r="K1950" s="47" t="s">
        <v>519</v>
      </c>
      <c r="L1950" s="47" t="s">
        <v>552</v>
      </c>
      <c r="M1950" s="47" t="s">
        <v>514</v>
      </c>
      <c r="N1950" s="47" t="s">
        <v>515</v>
      </c>
      <c r="O1950" s="54" t="s">
        <v>382</v>
      </c>
      <c r="P1950" s="44" t="s">
        <v>309</v>
      </c>
      <c r="Q1950" s="59" t="str">
        <f>MID(Tabla1[[#This Row],[Aplicación]],14,1)</f>
        <v>2</v>
      </c>
      <c r="R1950" s="35" t="s">
        <v>298</v>
      </c>
      <c r="S1950" s="59" t="str">
        <f>MID(Tabla1[[#This Row],[Aplicación]],6,2)</f>
        <v>07</v>
      </c>
      <c r="T1950" s="35" t="str">
        <f>VLOOKUP(Tabla1[[#This Row],[AREA]],Hoja1!A:B,2,FALSE)</f>
        <v>07. Medio ambiente y desarrollo sostenible</v>
      </c>
      <c r="U1950" s="35" t="str">
        <f>MID(Tabla1[[#This Row],[Aplicación]],9,4)</f>
        <v>1711</v>
      </c>
      <c r="V1950" s="35" t="str">
        <f>VLOOKUP(Tabla1[[#This Row],[PROGRAMA]],Hoja1!A:B,2,FALSE)</f>
        <v>1711. Parques y jardines</v>
      </c>
      <c r="W1950" s="56" t="str">
        <f>MID(Tabla1[[#This Row],[Aplicación]],14,2)</f>
        <v>21</v>
      </c>
      <c r="X1950" s="56" t="str">
        <f>MID(Tabla1[[#This Row],[Aplicación]],14,6)</f>
        <v>214</v>
      </c>
    </row>
    <row r="1951" spans="1:24" x14ac:dyDescent="0.25">
      <c r="A1951" s="55">
        <v>220230010879</v>
      </c>
      <c r="B1951" s="47" t="s">
        <v>1514</v>
      </c>
      <c r="C1951" s="52">
        <v>45009</v>
      </c>
      <c r="D1951" s="46">
        <v>22023001473</v>
      </c>
      <c r="E1951" s="47" t="s">
        <v>1683</v>
      </c>
      <c r="F1951" s="53">
        <v>647.35</v>
      </c>
      <c r="G1951" s="47" t="s">
        <v>2434</v>
      </c>
      <c r="H1951" s="47" t="s">
        <v>3386</v>
      </c>
      <c r="I1951" s="46" t="s">
        <v>1517</v>
      </c>
      <c r="J1951" s="47" t="s">
        <v>519</v>
      </c>
      <c r="K1951" s="47" t="s">
        <v>519</v>
      </c>
      <c r="L1951" s="47" t="s">
        <v>552</v>
      </c>
      <c r="M1951" s="47" t="s">
        <v>514</v>
      </c>
      <c r="N1951" s="47" t="s">
        <v>515</v>
      </c>
      <c r="O1951" s="54" t="s">
        <v>382</v>
      </c>
      <c r="P1951" s="44" t="s">
        <v>309</v>
      </c>
      <c r="Q1951" s="59" t="str">
        <f>MID(Tabla1[[#This Row],[Aplicación]],14,1)</f>
        <v>2</v>
      </c>
      <c r="R1951" s="35" t="s">
        <v>298</v>
      </c>
      <c r="S1951" s="59" t="str">
        <f>MID(Tabla1[[#This Row],[Aplicación]],6,2)</f>
        <v>11</v>
      </c>
      <c r="T1951" s="35" t="str">
        <f>VLOOKUP(Tabla1[[#This Row],[AREA]],Hoja1!A:B,2,FALSE)</f>
        <v>11. Salud pública y seguridad ciudadana</v>
      </c>
      <c r="U1951" s="35" t="str">
        <f>MID(Tabla1[[#This Row],[Aplicación]],9,4)</f>
        <v>1631</v>
      </c>
      <c r="V1951" s="35" t="str">
        <f>VLOOKUP(Tabla1[[#This Row],[PROGRAMA]],Hoja1!A:B,2,FALSE)</f>
        <v>1631. Limpieza viaria</v>
      </c>
      <c r="W1951" s="56" t="str">
        <f>MID(Tabla1[[#This Row],[Aplicación]],14,2)</f>
        <v>21</v>
      </c>
      <c r="X1951" s="56" t="str">
        <f>MID(Tabla1[[#This Row],[Aplicación]],14,6)</f>
        <v>214</v>
      </c>
    </row>
    <row r="1952" spans="1:24" x14ac:dyDescent="0.25">
      <c r="A1952" s="55">
        <v>220230010881</v>
      </c>
      <c r="B1952" s="47" t="s">
        <v>1514</v>
      </c>
      <c r="C1952" s="52">
        <v>45009</v>
      </c>
      <c r="D1952" s="46">
        <v>22023001462</v>
      </c>
      <c r="E1952" s="47" t="s">
        <v>1290</v>
      </c>
      <c r="F1952" s="53">
        <v>1313.04</v>
      </c>
      <c r="G1952" s="47" t="s">
        <v>2434</v>
      </c>
      <c r="H1952" s="47" t="s">
        <v>3387</v>
      </c>
      <c r="I1952" s="46" t="s">
        <v>1517</v>
      </c>
      <c r="J1952" s="47" t="s">
        <v>519</v>
      </c>
      <c r="K1952" s="47" t="s">
        <v>519</v>
      </c>
      <c r="L1952" s="47" t="s">
        <v>552</v>
      </c>
      <c r="M1952" s="47" t="s">
        <v>514</v>
      </c>
      <c r="N1952" s="47" t="s">
        <v>515</v>
      </c>
      <c r="O1952" s="54" t="s">
        <v>382</v>
      </c>
      <c r="P1952" s="44" t="s">
        <v>309</v>
      </c>
      <c r="Q1952" s="59" t="str">
        <f>MID(Tabla1[[#This Row],[Aplicación]],14,1)</f>
        <v>2</v>
      </c>
      <c r="R1952" s="35" t="s">
        <v>298</v>
      </c>
      <c r="S1952" s="59" t="str">
        <f>MID(Tabla1[[#This Row],[Aplicación]],6,2)</f>
        <v>11</v>
      </c>
      <c r="T1952" s="35" t="str">
        <f>VLOOKUP(Tabla1[[#This Row],[AREA]],Hoja1!A:B,2,FALSE)</f>
        <v>11. Salud pública y seguridad ciudadana</v>
      </c>
      <c r="U1952" s="35" t="str">
        <f>MID(Tabla1[[#This Row],[Aplicación]],9,4)</f>
        <v>1621</v>
      </c>
      <c r="V1952" s="35" t="str">
        <f>VLOOKUP(Tabla1[[#This Row],[PROGRAMA]],Hoja1!A:B,2,FALSE)</f>
        <v>1621. Servicio de limpieza</v>
      </c>
      <c r="W1952" s="56" t="str">
        <f>MID(Tabla1[[#This Row],[Aplicación]],14,2)</f>
        <v>21</v>
      </c>
      <c r="X1952" s="56" t="str">
        <f>MID(Tabla1[[#This Row],[Aplicación]],14,6)</f>
        <v>214</v>
      </c>
    </row>
    <row r="1953" spans="1:24" x14ac:dyDescent="0.25">
      <c r="A1953" s="55">
        <v>220230010919</v>
      </c>
      <c r="B1953" s="47" t="s">
        <v>1514</v>
      </c>
      <c r="C1953" s="52">
        <v>45009</v>
      </c>
      <c r="D1953" s="46">
        <v>22023001466</v>
      </c>
      <c r="E1953" s="47" t="s">
        <v>2624</v>
      </c>
      <c r="F1953" s="53">
        <v>581.08000000000004</v>
      </c>
      <c r="G1953" s="47" t="s">
        <v>2687</v>
      </c>
      <c r="H1953" s="47" t="s">
        <v>3388</v>
      </c>
      <c r="I1953" s="46" t="s">
        <v>1517</v>
      </c>
      <c r="J1953" s="47" t="s">
        <v>519</v>
      </c>
      <c r="K1953" s="47" t="s">
        <v>519</v>
      </c>
      <c r="L1953" s="47" t="s">
        <v>552</v>
      </c>
      <c r="M1953" s="47" t="s">
        <v>514</v>
      </c>
      <c r="N1953" s="47" t="s">
        <v>515</v>
      </c>
      <c r="O1953" s="54" t="s">
        <v>382</v>
      </c>
      <c r="P1953" s="44" t="s">
        <v>309</v>
      </c>
      <c r="Q1953" s="59" t="str">
        <f>MID(Tabla1[[#This Row],[Aplicación]],14,1)</f>
        <v>2</v>
      </c>
      <c r="R1953" s="35" t="s">
        <v>298</v>
      </c>
      <c r="S1953" s="59" t="str">
        <f>MID(Tabla1[[#This Row],[Aplicación]],6,2)</f>
        <v>11</v>
      </c>
      <c r="T1953" s="35" t="str">
        <f>VLOOKUP(Tabla1[[#This Row],[AREA]],Hoja1!A:B,2,FALSE)</f>
        <v>11. Salud pública y seguridad ciudadana</v>
      </c>
      <c r="U1953" s="35" t="str">
        <f>MID(Tabla1[[#This Row],[Aplicación]],9,4)</f>
        <v>1621</v>
      </c>
      <c r="V1953" s="35" t="str">
        <f>VLOOKUP(Tabla1[[#This Row],[PROGRAMA]],Hoja1!A:B,2,FALSE)</f>
        <v>1621. Servicio de limpieza</v>
      </c>
      <c r="W1953" s="56" t="str">
        <f>MID(Tabla1[[#This Row],[Aplicación]],14,2)</f>
        <v>22</v>
      </c>
      <c r="X1953" s="56" t="str">
        <f>MID(Tabla1[[#This Row],[Aplicación]],14,6)</f>
        <v>22199</v>
      </c>
    </row>
    <row r="1954" spans="1:24" x14ac:dyDescent="0.25">
      <c r="A1954" s="55">
        <v>220230010921</v>
      </c>
      <c r="B1954" s="47" t="s">
        <v>1514</v>
      </c>
      <c r="C1954" s="52">
        <v>45009</v>
      </c>
      <c r="D1954" s="46">
        <v>22023001476</v>
      </c>
      <c r="E1954" s="47" t="s">
        <v>2662</v>
      </c>
      <c r="F1954" s="53">
        <v>452.35</v>
      </c>
      <c r="G1954" s="47" t="s">
        <v>2687</v>
      </c>
      <c r="H1954" s="47" t="s">
        <v>3389</v>
      </c>
      <c r="I1954" s="46" t="s">
        <v>1517</v>
      </c>
      <c r="J1954" s="47" t="s">
        <v>519</v>
      </c>
      <c r="K1954" s="47" t="s">
        <v>519</v>
      </c>
      <c r="L1954" s="47" t="s">
        <v>552</v>
      </c>
      <c r="M1954" s="47" t="s">
        <v>514</v>
      </c>
      <c r="N1954" s="47" t="s">
        <v>515</v>
      </c>
      <c r="O1954" s="54" t="s">
        <v>382</v>
      </c>
      <c r="P1954" s="44" t="s">
        <v>309</v>
      </c>
      <c r="Q1954" s="59" t="str">
        <f>MID(Tabla1[[#This Row],[Aplicación]],14,1)</f>
        <v>2</v>
      </c>
      <c r="R1954" s="35" t="s">
        <v>298</v>
      </c>
      <c r="S1954" s="59" t="str">
        <f>MID(Tabla1[[#This Row],[Aplicación]],6,2)</f>
        <v>11</v>
      </c>
      <c r="T1954" s="35" t="str">
        <f>VLOOKUP(Tabla1[[#This Row],[AREA]],Hoja1!A:B,2,FALSE)</f>
        <v>11. Salud pública y seguridad ciudadana</v>
      </c>
      <c r="U1954" s="35" t="str">
        <f>MID(Tabla1[[#This Row],[Aplicación]],9,4)</f>
        <v>1631</v>
      </c>
      <c r="V1954" s="35" t="str">
        <f>VLOOKUP(Tabla1[[#This Row],[PROGRAMA]],Hoja1!A:B,2,FALSE)</f>
        <v>1631. Limpieza viaria</v>
      </c>
      <c r="W1954" s="56" t="str">
        <f>MID(Tabla1[[#This Row],[Aplicación]],14,2)</f>
        <v>22</v>
      </c>
      <c r="X1954" s="56" t="str">
        <f>MID(Tabla1[[#This Row],[Aplicación]],14,6)</f>
        <v>22199</v>
      </c>
    </row>
    <row r="1955" spans="1:24" x14ac:dyDescent="0.25">
      <c r="A1955" s="55">
        <v>220230010640</v>
      </c>
      <c r="B1955" s="47" t="s">
        <v>1514</v>
      </c>
      <c r="C1955" s="52">
        <v>45009</v>
      </c>
      <c r="D1955" s="46">
        <v>22023001412</v>
      </c>
      <c r="E1955" s="47" t="s">
        <v>1510</v>
      </c>
      <c r="F1955" s="53">
        <v>463.43</v>
      </c>
      <c r="G1955" s="47" t="s">
        <v>23</v>
      </c>
      <c r="H1955" s="47" t="s">
        <v>3390</v>
      </c>
      <c r="I1955" s="46" t="s">
        <v>1517</v>
      </c>
      <c r="J1955" s="47" t="s">
        <v>519</v>
      </c>
      <c r="K1955" s="47" t="s">
        <v>519</v>
      </c>
      <c r="L1955" s="47" t="s">
        <v>552</v>
      </c>
      <c r="M1955" s="47" t="s">
        <v>514</v>
      </c>
      <c r="N1955" s="47" t="s">
        <v>515</v>
      </c>
      <c r="O1955" s="54" t="s">
        <v>382</v>
      </c>
      <c r="P1955" s="44" t="s">
        <v>309</v>
      </c>
      <c r="Q1955" s="59" t="str">
        <f>MID(Tabla1[[#This Row],[Aplicación]],14,1)</f>
        <v>2</v>
      </c>
      <c r="R1955" s="35" t="s">
        <v>298</v>
      </c>
      <c r="S1955" s="59" t="str">
        <f>MID(Tabla1[[#This Row],[Aplicación]],6,2)</f>
        <v>10</v>
      </c>
      <c r="T1955" s="35" t="str">
        <f>VLOOKUP(Tabla1[[#This Row],[AREA]],Hoja1!A:B,2,FALSE)</f>
        <v>10. Servicios sociales y mediación comunitaria</v>
      </c>
      <c r="U1955" s="35" t="str">
        <f>MID(Tabla1[[#This Row],[Aplicación]],9,4)</f>
        <v>2311</v>
      </c>
      <c r="V1955" s="35" t="str">
        <f>VLOOKUP(Tabla1[[#This Row],[PROGRAMA]],Hoja1!A:B,2,FALSE)</f>
        <v>2311. Intervención social</v>
      </c>
      <c r="W1955" s="56" t="str">
        <f>MID(Tabla1[[#This Row],[Aplicación]],14,2)</f>
        <v>21</v>
      </c>
      <c r="X1955" s="56" t="str">
        <f>MID(Tabla1[[#This Row],[Aplicación]],14,6)</f>
        <v>212</v>
      </c>
    </row>
    <row r="1956" spans="1:24" x14ac:dyDescent="0.25">
      <c r="A1956" s="55">
        <v>220230010936</v>
      </c>
      <c r="B1956" s="47" t="s">
        <v>1249</v>
      </c>
      <c r="C1956" s="52">
        <v>45009</v>
      </c>
      <c r="D1956" s="46">
        <v>22023003428</v>
      </c>
      <c r="E1956" s="47" t="s">
        <v>1315</v>
      </c>
      <c r="F1956" s="53">
        <v>2413.9499999999998</v>
      </c>
      <c r="G1956" s="47" t="s">
        <v>1879</v>
      </c>
      <c r="H1956" s="47" t="s">
        <v>3391</v>
      </c>
      <c r="I1956" s="46" t="s">
        <v>1251</v>
      </c>
      <c r="J1956" s="47" t="s">
        <v>545</v>
      </c>
      <c r="K1956" s="47" t="s">
        <v>545</v>
      </c>
      <c r="L1956" s="47" t="s">
        <v>520</v>
      </c>
      <c r="M1956" s="47" t="s">
        <v>514</v>
      </c>
      <c r="N1956" s="47" t="s">
        <v>515</v>
      </c>
      <c r="O1956" s="54" t="s">
        <v>382</v>
      </c>
      <c r="P1956" s="44" t="s">
        <v>309</v>
      </c>
      <c r="Q1956" s="59" t="str">
        <f>MID(Tabla1[[#This Row],[Aplicación]],14,1)</f>
        <v>2</v>
      </c>
      <c r="R1956" s="35" t="s">
        <v>298</v>
      </c>
      <c r="S1956" s="59" t="str">
        <f>MID(Tabla1[[#This Row],[Aplicación]],6,2)</f>
        <v>01</v>
      </c>
      <c r="T1956" s="35" t="str">
        <f>VLOOKUP(Tabla1[[#This Row],[AREA]],Hoja1!A:B,2,FALSE)</f>
        <v>01. Alcaldía</v>
      </c>
      <c r="U1956" s="35" t="str">
        <f>MID(Tabla1[[#This Row],[Aplicación]],9,4)</f>
        <v>9207</v>
      </c>
      <c r="V1956" s="35" t="str">
        <f>VLOOKUP(Tabla1[[#This Row],[PROGRAMA]],Hoja1!A:B,2,FALSE)</f>
        <v>9207. Gobierno y relaciones</v>
      </c>
      <c r="W1956" s="56" t="str">
        <f>MID(Tabla1[[#This Row],[Aplicación]],14,2)</f>
        <v>22</v>
      </c>
      <c r="X1956" s="56" t="str">
        <f>MID(Tabla1[[#This Row],[Aplicación]],14,6)</f>
        <v>22602</v>
      </c>
    </row>
    <row r="1957" spans="1:24" x14ac:dyDescent="0.25">
      <c r="A1957" s="55">
        <v>220230010899</v>
      </c>
      <c r="B1957" s="47" t="s">
        <v>1514</v>
      </c>
      <c r="C1957" s="52">
        <v>45009</v>
      </c>
      <c r="D1957" s="46">
        <v>22023000213</v>
      </c>
      <c r="E1957" s="47" t="s">
        <v>1694</v>
      </c>
      <c r="F1957" s="53">
        <v>33.5</v>
      </c>
      <c r="G1957" s="47" t="s">
        <v>317</v>
      </c>
      <c r="H1957" s="47" t="s">
        <v>3392</v>
      </c>
      <c r="I1957" s="46" t="s">
        <v>1517</v>
      </c>
      <c r="J1957" s="47" t="s">
        <v>519</v>
      </c>
      <c r="K1957" s="47" t="s">
        <v>519</v>
      </c>
      <c r="L1957" s="47" t="s">
        <v>520</v>
      </c>
      <c r="M1957" s="47" t="s">
        <v>514</v>
      </c>
      <c r="N1957" s="47" t="s">
        <v>515</v>
      </c>
      <c r="O1957" s="54" t="s">
        <v>382</v>
      </c>
      <c r="P1957" s="44" t="s">
        <v>309</v>
      </c>
      <c r="Q1957" s="59" t="str">
        <f>MID(Tabla1[[#This Row],[Aplicación]],14,1)</f>
        <v>2</v>
      </c>
      <c r="R1957" s="35" t="s">
        <v>298</v>
      </c>
      <c r="S1957" s="59" t="str">
        <f>MID(Tabla1[[#This Row],[Aplicación]],6,2)</f>
        <v>11</v>
      </c>
      <c r="T1957" s="35" t="str">
        <f>VLOOKUP(Tabla1[[#This Row],[AREA]],Hoja1!A:B,2,FALSE)</f>
        <v>11. Salud pública y seguridad ciudadana</v>
      </c>
      <c r="U1957" s="35" t="str">
        <f>MID(Tabla1[[#This Row],[Aplicación]],9,4)</f>
        <v>1321</v>
      </c>
      <c r="V1957" s="35" t="str">
        <f>VLOOKUP(Tabla1[[#This Row],[PROGRAMA]],Hoja1!A:B,2,FALSE)</f>
        <v>1321. Policía municipal</v>
      </c>
      <c r="W1957" s="56" t="str">
        <f>MID(Tabla1[[#This Row],[Aplicación]],14,2)</f>
        <v>21</v>
      </c>
      <c r="X1957" s="56" t="str">
        <f>MID(Tabla1[[#This Row],[Aplicación]],14,6)</f>
        <v>214</v>
      </c>
    </row>
    <row r="1958" spans="1:24" x14ac:dyDescent="0.25">
      <c r="A1958" s="55">
        <v>220230011686</v>
      </c>
      <c r="B1958" s="47" t="s">
        <v>507</v>
      </c>
      <c r="C1958" s="52">
        <v>45013</v>
      </c>
      <c r="D1958" s="46">
        <v>22023003405</v>
      </c>
      <c r="E1958" s="47" t="s">
        <v>1305</v>
      </c>
      <c r="F1958" s="53">
        <v>4000</v>
      </c>
      <c r="G1958" s="47" t="s">
        <v>488</v>
      </c>
      <c r="H1958" s="47" t="s">
        <v>3393</v>
      </c>
      <c r="I1958" s="46" t="s">
        <v>511</v>
      </c>
      <c r="J1958" s="47" t="s">
        <v>2242</v>
      </c>
      <c r="K1958" s="47" t="s">
        <v>519</v>
      </c>
      <c r="L1958" s="47" t="s">
        <v>552</v>
      </c>
      <c r="M1958" s="47" t="s">
        <v>976</v>
      </c>
      <c r="N1958" s="47" t="s">
        <v>839</v>
      </c>
      <c r="O1958" s="54" t="s">
        <v>383</v>
      </c>
      <c r="P1958" s="44" t="s">
        <v>309</v>
      </c>
      <c r="Q1958" s="59" t="str">
        <f>MID(Tabla1[[#This Row],[Aplicación]],14,1)</f>
        <v>2</v>
      </c>
      <c r="R1958" s="35" t="s">
        <v>298</v>
      </c>
      <c r="S1958" s="59" t="str">
        <f>MID(Tabla1[[#This Row],[Aplicación]],6,2)</f>
        <v>06</v>
      </c>
      <c r="T1958" s="35" t="str">
        <f>VLOOKUP(Tabla1[[#This Row],[AREA]],Hoja1!A:B,2,FALSE)</f>
        <v>06. Educación, infancia, juventud e igualdad</v>
      </c>
      <c r="U1958" s="35" t="str">
        <f>MID(Tabla1[[#This Row],[Aplicación]],9,4)</f>
        <v>3232</v>
      </c>
      <c r="V1958" s="35" t="str">
        <f>VLOOKUP(Tabla1[[#This Row],[PROGRAMA]],Hoja1!A:B,2,FALSE)</f>
        <v>3232. Conservación y mantenimiento centros educación infantil y primaria</v>
      </c>
      <c r="W1958" s="56" t="str">
        <f>MID(Tabla1[[#This Row],[Aplicación]],14,2)</f>
        <v>21</v>
      </c>
      <c r="X1958" s="56" t="str">
        <f>MID(Tabla1[[#This Row],[Aplicación]],14,6)</f>
        <v>212</v>
      </c>
    </row>
    <row r="1959" spans="1:24" x14ac:dyDescent="0.25">
      <c r="A1959" s="55">
        <v>220230011674</v>
      </c>
      <c r="B1959" s="47" t="s">
        <v>507</v>
      </c>
      <c r="C1959" s="52">
        <v>45013</v>
      </c>
      <c r="D1959" s="46">
        <v>22023003559</v>
      </c>
      <c r="E1959" s="47" t="s">
        <v>2795</v>
      </c>
      <c r="F1959" s="53">
        <v>2005.5</v>
      </c>
      <c r="G1959" s="47" t="s">
        <v>3394</v>
      </c>
      <c r="H1959" s="47" t="s">
        <v>3395</v>
      </c>
      <c r="I1959" s="46" t="s">
        <v>511</v>
      </c>
      <c r="J1959" s="47" t="s">
        <v>519</v>
      </c>
      <c r="K1959" s="47" t="s">
        <v>519</v>
      </c>
      <c r="L1959" s="47" t="s">
        <v>552</v>
      </c>
      <c r="M1959" s="47" t="s">
        <v>976</v>
      </c>
      <c r="N1959" s="47" t="s">
        <v>839</v>
      </c>
      <c r="O1959" s="54" t="s">
        <v>383</v>
      </c>
      <c r="P1959" s="44" t="s">
        <v>309</v>
      </c>
      <c r="Q1959" s="59" t="str">
        <f>MID(Tabla1[[#This Row],[Aplicación]],14,1)</f>
        <v>2</v>
      </c>
      <c r="R1959" s="35" t="s">
        <v>298</v>
      </c>
      <c r="S1959" s="59" t="str">
        <f>MID(Tabla1[[#This Row],[Aplicación]],6,2)</f>
        <v>08</v>
      </c>
      <c r="T1959" s="35" t="str">
        <f>VLOOKUP(Tabla1[[#This Row],[AREA]],Hoja1!A:B,2,FALSE)</f>
        <v>08. Movilidad y espacio urbano</v>
      </c>
      <c r="U1959" s="56" t="str">
        <f>MID(Tabla1[[#This Row],[Aplicación]],9,4)</f>
        <v>1341</v>
      </c>
      <c r="V1959" s="35" t="str">
        <f>VLOOKUP(Tabla1[[#This Row],[PROGRAMA]],Hoja1!A:B,2,FALSE)</f>
        <v>1341. Movilidad</v>
      </c>
      <c r="W1959" s="56" t="str">
        <f>MID(Tabla1[[#This Row],[Aplicación]],14,2)</f>
        <v>22</v>
      </c>
      <c r="X1959" s="56" t="str">
        <f>MID(Tabla1[[#This Row],[Aplicación]],14,6)</f>
        <v>22699</v>
      </c>
    </row>
    <row r="1960" spans="1:24" x14ac:dyDescent="0.25">
      <c r="A1960" s="46">
        <v>220229000308</v>
      </c>
      <c r="B1960" s="47" t="s">
        <v>507</v>
      </c>
      <c r="C1960" s="52">
        <v>44927</v>
      </c>
      <c r="D1960" s="46">
        <v>22023001141</v>
      </c>
      <c r="E1960" s="47" t="s">
        <v>835</v>
      </c>
      <c r="F1960" s="53">
        <v>471.9</v>
      </c>
      <c r="G1960" s="47" t="s">
        <v>3396</v>
      </c>
      <c r="H1960" s="47" t="s">
        <v>3397</v>
      </c>
      <c r="I1960" s="46" t="s">
        <v>511</v>
      </c>
      <c r="J1960" s="47" t="s">
        <v>519</v>
      </c>
      <c r="K1960" s="47" t="s">
        <v>519</v>
      </c>
      <c r="L1960" s="47" t="s">
        <v>520</v>
      </c>
      <c r="M1960" s="47" t="s">
        <v>976</v>
      </c>
      <c r="N1960" s="47" t="s">
        <v>839</v>
      </c>
      <c r="O1960" s="45" t="s">
        <v>383</v>
      </c>
      <c r="P1960" s="44" t="s">
        <v>309</v>
      </c>
      <c r="Q1960" s="59" t="str">
        <f>MID(Tabla1[[#This Row],[Aplicación]],14,1)</f>
        <v>2</v>
      </c>
      <c r="R1960" s="35" t="s">
        <v>298</v>
      </c>
      <c r="S1960" s="59" t="str">
        <f>MID(Tabla1[[#This Row],[Aplicación]],6,2)</f>
        <v>05</v>
      </c>
      <c r="T1960" s="35" t="str">
        <f>VLOOKUP(Tabla1[[#This Row],[AREA]],Hoja1!A:B,2,FALSE)</f>
        <v>05. Innovación, desarrollo económico, empleo y comercio</v>
      </c>
      <c r="U1960" s="35" t="str">
        <f>MID(Tabla1[[#This Row],[Aplicación]],9,4)</f>
        <v>4331</v>
      </c>
      <c r="V1960" s="35" t="str">
        <f>VLOOKUP(Tabla1[[#This Row],[PROGRAMA]],Hoja1!A:B,2,FALSE)</f>
        <v>4331. Desarrollo empresarial</v>
      </c>
      <c r="W1960" s="56" t="str">
        <f>MID(Tabla1[[#This Row],[Aplicación]],14,2)</f>
        <v>22</v>
      </c>
      <c r="X1960" s="56" t="str">
        <f>MID(Tabla1[[#This Row],[Aplicación]],14,6)</f>
        <v>22799</v>
      </c>
    </row>
    <row r="1961" spans="1:24" x14ac:dyDescent="0.25">
      <c r="A1961" s="46">
        <v>220230002030</v>
      </c>
      <c r="B1961" s="47" t="s">
        <v>507</v>
      </c>
      <c r="C1961" s="52">
        <v>44960</v>
      </c>
      <c r="D1961" s="46">
        <v>22023001687</v>
      </c>
      <c r="E1961" s="47" t="s">
        <v>2555</v>
      </c>
      <c r="F1961" s="53">
        <v>5900</v>
      </c>
      <c r="G1961" s="47" t="s">
        <v>3398</v>
      </c>
      <c r="H1961" s="47" t="s">
        <v>3399</v>
      </c>
      <c r="I1961" s="46" t="s">
        <v>511</v>
      </c>
      <c r="J1961" s="47" t="s">
        <v>519</v>
      </c>
      <c r="K1961" s="47" t="s">
        <v>519</v>
      </c>
      <c r="L1961" s="47" t="s">
        <v>520</v>
      </c>
      <c r="M1961" s="47" t="s">
        <v>976</v>
      </c>
      <c r="N1961" s="47" t="s">
        <v>839</v>
      </c>
      <c r="O1961" s="45" t="s">
        <v>383</v>
      </c>
      <c r="P1961" s="44" t="s">
        <v>309</v>
      </c>
      <c r="Q1961" s="59" t="str">
        <f>MID(Tabla1[[#This Row],[Aplicación]],14,1)</f>
        <v>2</v>
      </c>
      <c r="R1961" s="35" t="s">
        <v>298</v>
      </c>
      <c r="S1961" s="59" t="str">
        <f>MID(Tabla1[[#This Row],[Aplicación]],6,2)</f>
        <v>06</v>
      </c>
      <c r="T1961" s="35" t="str">
        <f>VLOOKUP(Tabla1[[#This Row],[AREA]],Hoja1!A:B,2,FALSE)</f>
        <v>06. Educación, infancia, juventud e igualdad</v>
      </c>
      <c r="U1961" s="35" t="str">
        <f>MID(Tabla1[[#This Row],[Aplicación]],9,4)</f>
        <v>2315</v>
      </c>
      <c r="V1961" s="35" t="str">
        <f>VLOOKUP(Tabla1[[#This Row],[PROGRAMA]],Hoja1!A:B,2,FALSE)</f>
        <v>2315. Políticas de Igualdad e infancia</v>
      </c>
      <c r="W1961" s="56" t="str">
        <f>MID(Tabla1[[#This Row],[Aplicación]],14,2)</f>
        <v>22</v>
      </c>
      <c r="X1961" s="56" t="str">
        <f>MID(Tabla1[[#This Row],[Aplicación]],14,6)</f>
        <v>22619</v>
      </c>
    </row>
    <row r="1962" spans="1:24" x14ac:dyDescent="0.25">
      <c r="A1962" s="46">
        <v>220230002094</v>
      </c>
      <c r="B1962" s="47" t="s">
        <v>507</v>
      </c>
      <c r="C1962" s="52">
        <v>44964</v>
      </c>
      <c r="D1962" s="46">
        <v>22023000822</v>
      </c>
      <c r="E1962" s="47" t="s">
        <v>3400</v>
      </c>
      <c r="F1962" s="53">
        <v>330.09</v>
      </c>
      <c r="G1962" s="47" t="s">
        <v>1631</v>
      </c>
      <c r="H1962" s="47" t="s">
        <v>3401</v>
      </c>
      <c r="I1962" s="46" t="s">
        <v>511</v>
      </c>
      <c r="J1962" s="47" t="s">
        <v>519</v>
      </c>
      <c r="K1962" s="47" t="s">
        <v>519</v>
      </c>
      <c r="L1962" s="47" t="s">
        <v>552</v>
      </c>
      <c r="M1962" s="47" t="s">
        <v>976</v>
      </c>
      <c r="N1962" s="47" t="s">
        <v>839</v>
      </c>
      <c r="O1962" s="54" t="s">
        <v>383</v>
      </c>
      <c r="P1962" s="44" t="s">
        <v>309</v>
      </c>
      <c r="Q1962" s="59" t="str">
        <f>MID(Tabla1[[#This Row],[Aplicación]],14,1)</f>
        <v>6</v>
      </c>
      <c r="R1962" s="35" t="s">
        <v>299</v>
      </c>
      <c r="S1962" s="59" t="str">
        <f>MID(Tabla1[[#This Row],[Aplicación]],6,2)</f>
        <v>04</v>
      </c>
      <c r="T1962" s="35" t="str">
        <f>VLOOKUP(Tabla1[[#This Row],[AREA]],Hoja1!A:B,2,FALSE)</f>
        <v>04. Planificación y recursos</v>
      </c>
      <c r="U1962" s="35" t="str">
        <f>MID(Tabla1[[#This Row],[Aplicación]],9,4)</f>
        <v>9209</v>
      </c>
      <c r="V1962" s="35" t="str">
        <f>VLOOKUP(Tabla1[[#This Row],[PROGRAMA]],Hoja1!A:B,2,FALSE)</f>
        <v>9209. Dirección del area de hacienda y función pública</v>
      </c>
      <c r="W1962" s="56" t="str">
        <f>MID(Tabla1[[#This Row],[Aplicación]],14,2)</f>
        <v>62</v>
      </c>
      <c r="X1962" s="56" t="str">
        <f>MID(Tabla1[[#This Row],[Aplicación]],14,6)</f>
        <v>625</v>
      </c>
    </row>
    <row r="1963" spans="1:24" x14ac:dyDescent="0.25">
      <c r="A1963" s="55">
        <v>220220071170</v>
      </c>
      <c r="B1963" s="47" t="s">
        <v>507</v>
      </c>
      <c r="C1963" s="52">
        <v>45014</v>
      </c>
      <c r="D1963" s="46">
        <v>22022008724</v>
      </c>
      <c r="E1963" s="47" t="s">
        <v>3400</v>
      </c>
      <c r="F1963" s="53">
        <v>997.34</v>
      </c>
      <c r="G1963" s="47" t="s">
        <v>1631</v>
      </c>
      <c r="H1963" s="47" t="s">
        <v>3402</v>
      </c>
      <c r="I1963" s="46" t="s">
        <v>511</v>
      </c>
      <c r="J1963" s="47" t="s">
        <v>519</v>
      </c>
      <c r="K1963" s="47" t="s">
        <v>519</v>
      </c>
      <c r="L1963" s="47" t="s">
        <v>552</v>
      </c>
      <c r="M1963" s="47" t="s">
        <v>976</v>
      </c>
      <c r="N1963" s="47" t="s">
        <v>839</v>
      </c>
      <c r="O1963" s="54" t="s">
        <v>383</v>
      </c>
      <c r="P1963" s="44" t="s">
        <v>309</v>
      </c>
      <c r="Q1963" s="59" t="str">
        <f>MID(Tabla1[[#This Row],[Aplicación]],14,1)</f>
        <v>6</v>
      </c>
      <c r="R1963" s="35" t="s">
        <v>299</v>
      </c>
      <c r="S1963" s="59" t="str">
        <f>MID(Tabla1[[#This Row],[Aplicación]],6,2)</f>
        <v>04</v>
      </c>
      <c r="T1963" s="35" t="str">
        <f>VLOOKUP(Tabla1[[#This Row],[AREA]],Hoja1!A:B,2,FALSE)</f>
        <v>04. Planificación y recursos</v>
      </c>
      <c r="U1963" s="35" t="str">
        <f>MID(Tabla1[[#This Row],[Aplicación]],9,4)</f>
        <v>9209</v>
      </c>
      <c r="V1963" s="35" t="str">
        <f>VLOOKUP(Tabla1[[#This Row],[PROGRAMA]],Hoja1!A:B,2,FALSE)</f>
        <v>9209. Dirección del area de hacienda y función pública</v>
      </c>
      <c r="W1963" s="56" t="str">
        <f>MID(Tabla1[[#This Row],[Aplicación]],14,2)</f>
        <v>62</v>
      </c>
      <c r="X1963" s="56" t="str">
        <f>MID(Tabla1[[#This Row],[Aplicación]],14,6)</f>
        <v>625</v>
      </c>
    </row>
    <row r="1964" spans="1:24" x14ac:dyDescent="0.25">
      <c r="A1964" s="55">
        <v>220220067622</v>
      </c>
      <c r="B1964" s="47" t="s">
        <v>507</v>
      </c>
      <c r="C1964" s="52">
        <v>45014</v>
      </c>
      <c r="D1964" s="46">
        <v>22022008601</v>
      </c>
      <c r="E1964" s="47" t="s">
        <v>3400</v>
      </c>
      <c r="F1964" s="53">
        <v>3217.45</v>
      </c>
      <c r="G1964" s="47" t="s">
        <v>1631</v>
      </c>
      <c r="H1964" s="47" t="s">
        <v>3403</v>
      </c>
      <c r="I1964" s="46" t="s">
        <v>511</v>
      </c>
      <c r="J1964" s="47" t="s">
        <v>519</v>
      </c>
      <c r="K1964" s="47" t="s">
        <v>519</v>
      </c>
      <c r="L1964" s="47" t="s">
        <v>552</v>
      </c>
      <c r="M1964" s="47" t="s">
        <v>976</v>
      </c>
      <c r="N1964" s="47" t="s">
        <v>839</v>
      </c>
      <c r="O1964" s="54" t="s">
        <v>383</v>
      </c>
      <c r="P1964" s="44" t="s">
        <v>309</v>
      </c>
      <c r="Q1964" s="59" t="str">
        <f>MID(Tabla1[[#This Row],[Aplicación]],14,1)</f>
        <v>6</v>
      </c>
      <c r="R1964" s="35" t="s">
        <v>299</v>
      </c>
      <c r="S1964" s="59" t="str">
        <f>MID(Tabla1[[#This Row],[Aplicación]],6,2)</f>
        <v>04</v>
      </c>
      <c r="T1964" s="35" t="str">
        <f>VLOOKUP(Tabla1[[#This Row],[AREA]],Hoja1!A:B,2,FALSE)</f>
        <v>04. Planificación y recursos</v>
      </c>
      <c r="U1964" s="35" t="str">
        <f>MID(Tabla1[[#This Row],[Aplicación]],9,4)</f>
        <v>9209</v>
      </c>
      <c r="V1964" s="35" t="str">
        <f>VLOOKUP(Tabla1[[#This Row],[PROGRAMA]],Hoja1!A:B,2,FALSE)</f>
        <v>9209. Dirección del area de hacienda y función pública</v>
      </c>
      <c r="W1964" s="56" t="str">
        <f>MID(Tabla1[[#This Row],[Aplicación]],14,2)</f>
        <v>62</v>
      </c>
      <c r="X1964" s="56" t="str">
        <f>MID(Tabla1[[#This Row],[Aplicación]],14,6)</f>
        <v>625</v>
      </c>
    </row>
    <row r="1965" spans="1:24" x14ac:dyDescent="0.25">
      <c r="A1965" s="46">
        <v>220230004184</v>
      </c>
      <c r="B1965" s="47" t="s">
        <v>507</v>
      </c>
      <c r="C1965" s="52">
        <v>44977</v>
      </c>
      <c r="D1965" s="46">
        <v>22023002414</v>
      </c>
      <c r="E1965" s="47" t="s">
        <v>2384</v>
      </c>
      <c r="F1965" s="53">
        <v>1600</v>
      </c>
      <c r="G1965" s="47" t="s">
        <v>318</v>
      </c>
      <c r="H1965" s="47" t="s">
        <v>3404</v>
      </c>
      <c r="I1965" s="46" t="s">
        <v>511</v>
      </c>
      <c r="J1965" s="47" t="s">
        <v>2764</v>
      </c>
      <c r="K1965" s="47" t="s">
        <v>519</v>
      </c>
      <c r="L1965" s="47" t="s">
        <v>520</v>
      </c>
      <c r="M1965" s="47" t="s">
        <v>976</v>
      </c>
      <c r="N1965" s="47" t="s">
        <v>839</v>
      </c>
      <c r="O1965" s="45" t="s">
        <v>383</v>
      </c>
      <c r="P1965" s="44" t="s">
        <v>309</v>
      </c>
      <c r="Q1965" s="59" t="str">
        <f>MID(Tabla1[[#This Row],[Aplicación]],14,1)</f>
        <v>2</v>
      </c>
      <c r="R1965" s="35" t="s">
        <v>298</v>
      </c>
      <c r="S1965" s="59" t="str">
        <f>MID(Tabla1[[#This Row],[Aplicación]],6,2)</f>
        <v>04</v>
      </c>
      <c r="T1965" s="35" t="str">
        <f>VLOOKUP(Tabla1[[#This Row],[AREA]],Hoja1!A:B,2,FALSE)</f>
        <v>04. Planificación y recursos</v>
      </c>
      <c r="U1965" s="35" t="str">
        <f>MID(Tabla1[[#This Row],[Aplicación]],9,4)</f>
        <v>3121</v>
      </c>
      <c r="V1965" s="35" t="str">
        <f>VLOOKUP(Tabla1[[#This Row],[PROGRAMA]],Hoja1!A:B,2,FALSE)</f>
        <v>3121. Prevención y salud laboral</v>
      </c>
      <c r="W1965" s="56" t="str">
        <f>MID(Tabla1[[#This Row],[Aplicación]],14,2)</f>
        <v>22</v>
      </c>
      <c r="X1965" s="56" t="str">
        <f>MID(Tabla1[[#This Row],[Aplicación]],14,6)</f>
        <v>22199</v>
      </c>
    </row>
    <row r="1966" spans="1:24" x14ac:dyDescent="0.25">
      <c r="A1966" s="55">
        <v>220230008964</v>
      </c>
      <c r="B1966" s="47" t="s">
        <v>507</v>
      </c>
      <c r="C1966" s="52">
        <v>45002</v>
      </c>
      <c r="D1966" s="46">
        <v>22023003179</v>
      </c>
      <c r="E1966" s="47" t="s">
        <v>2226</v>
      </c>
      <c r="F1966" s="53">
        <v>341.31</v>
      </c>
      <c r="G1966" s="47" t="s">
        <v>3405</v>
      </c>
      <c r="H1966" s="47" t="s">
        <v>3406</v>
      </c>
      <c r="I1966" s="46" t="s">
        <v>511</v>
      </c>
      <c r="J1966" s="47" t="s">
        <v>1958</v>
      </c>
      <c r="K1966" s="47" t="s">
        <v>858</v>
      </c>
      <c r="L1966" s="47" t="s">
        <v>552</v>
      </c>
      <c r="M1966" s="47" t="s">
        <v>976</v>
      </c>
      <c r="N1966" s="47" t="s">
        <v>839</v>
      </c>
      <c r="O1966" s="54" t="s">
        <v>383</v>
      </c>
      <c r="P1966" s="44" t="s">
        <v>309</v>
      </c>
      <c r="Q1966" s="59" t="str">
        <f>MID(Tabla1[[#This Row],[Aplicación]],14,1)</f>
        <v>2</v>
      </c>
      <c r="R1966" s="35" t="s">
        <v>298</v>
      </c>
      <c r="S1966" s="59" t="str">
        <f>MID(Tabla1[[#This Row],[Aplicación]],6,2)</f>
        <v>11</v>
      </c>
      <c r="T1966" s="35" t="str">
        <f>VLOOKUP(Tabla1[[#This Row],[AREA]],Hoja1!A:B,2,FALSE)</f>
        <v>11. Salud pública y seguridad ciudadana</v>
      </c>
      <c r="U1966" s="35" t="str">
        <f>MID(Tabla1[[#This Row],[Aplicación]],9,4)</f>
        <v>1621</v>
      </c>
      <c r="V1966" s="35" t="str">
        <f>VLOOKUP(Tabla1[[#This Row],[PROGRAMA]],Hoja1!A:B,2,FALSE)</f>
        <v>1621. Servicio de limpieza</v>
      </c>
      <c r="W1966" s="56" t="str">
        <f>MID(Tabla1[[#This Row],[Aplicación]],14,2)</f>
        <v>21</v>
      </c>
      <c r="X1966" s="56" t="str">
        <f>MID(Tabla1[[#This Row],[Aplicación]],14,6)</f>
        <v>219</v>
      </c>
    </row>
    <row r="1967" spans="1:24" x14ac:dyDescent="0.25">
      <c r="A1967" s="55">
        <v>220230011694</v>
      </c>
      <c r="B1967" s="47" t="s">
        <v>507</v>
      </c>
      <c r="C1967" s="52">
        <v>45014</v>
      </c>
      <c r="D1967" s="46">
        <v>22022001990</v>
      </c>
      <c r="E1967" s="47" t="s">
        <v>561</v>
      </c>
      <c r="F1967" s="53">
        <v>2211997.5699999998</v>
      </c>
      <c r="G1967" s="47" t="s">
        <v>562</v>
      </c>
      <c r="H1967" s="47" t="s">
        <v>563</v>
      </c>
      <c r="I1967" s="46" t="s">
        <v>511</v>
      </c>
      <c r="J1967" s="47" t="s">
        <v>564</v>
      </c>
      <c r="K1967" s="47" t="s">
        <v>565</v>
      </c>
      <c r="L1967" s="47" t="s">
        <v>527</v>
      </c>
      <c r="M1967" s="47" t="s">
        <v>514</v>
      </c>
      <c r="N1967" s="47" t="s">
        <v>515</v>
      </c>
      <c r="O1967" s="54" t="s">
        <v>371</v>
      </c>
      <c r="P1967" s="44" t="s">
        <v>309</v>
      </c>
      <c r="Q1967" s="59">
        <v>6</v>
      </c>
      <c r="R1967" s="35" t="s">
        <v>299</v>
      </c>
      <c r="S1967" s="59" t="str">
        <f>MID(Tabla1[[#This Row],[Aplicación]],6,2)</f>
        <v>08</v>
      </c>
      <c r="T1967" s="35" t="str">
        <f>VLOOKUP(Tabla1[[#This Row],[AREA]],Hoja1!A:B,2,FALSE)</f>
        <v>08. Movilidad y espacio urbano</v>
      </c>
      <c r="U1967" s="56">
        <v>1341</v>
      </c>
      <c r="V1967" s="35" t="str">
        <f>VLOOKUP(Tabla1[[#This Row],[PROGRAMA]],Hoja1!A:B,2,FALSE)</f>
        <v>1341. Movilidad</v>
      </c>
      <c r="W1967" s="56">
        <v>60</v>
      </c>
      <c r="X1967" s="56">
        <v>609</v>
      </c>
    </row>
    <row r="1968" spans="1:24" x14ac:dyDescent="0.25">
      <c r="A1968" s="55">
        <v>220220012381</v>
      </c>
      <c r="B1968" s="47" t="s">
        <v>507</v>
      </c>
      <c r="C1968" s="52">
        <v>45014</v>
      </c>
      <c r="D1968" s="46">
        <v>22022002454</v>
      </c>
      <c r="E1968" s="47" t="s">
        <v>1277</v>
      </c>
      <c r="F1968" s="53">
        <v>8914.1</v>
      </c>
      <c r="G1968" s="47" t="s">
        <v>67</v>
      </c>
      <c r="H1968" s="47" t="s">
        <v>2091</v>
      </c>
      <c r="I1968" s="46" t="s">
        <v>511</v>
      </c>
      <c r="J1968" s="47" t="s">
        <v>953</v>
      </c>
      <c r="K1968" s="47" t="s">
        <v>519</v>
      </c>
      <c r="L1968" s="47" t="s">
        <v>520</v>
      </c>
      <c r="M1968" s="47" t="s">
        <v>514</v>
      </c>
      <c r="N1968" s="47" t="s">
        <v>515</v>
      </c>
      <c r="O1968" s="54" t="s">
        <v>382</v>
      </c>
      <c r="P1968" s="44" t="s">
        <v>309</v>
      </c>
      <c r="Q1968" s="59">
        <v>6</v>
      </c>
      <c r="R1968" s="35" t="s">
        <v>299</v>
      </c>
      <c r="S1968" s="59" t="str">
        <f>MID(Tabla1[[#This Row],[Aplicación]],6,2)</f>
        <v>05</v>
      </c>
      <c r="T1968" s="35" t="str">
        <f>VLOOKUP(Tabla1[[#This Row],[AREA]],Hoja1!A:B,2,FALSE)</f>
        <v>05. Innovación, desarrollo económico, empleo y comercio</v>
      </c>
      <c r="U1968" s="35">
        <v>4312</v>
      </c>
      <c r="V1968" s="35" t="str">
        <f>VLOOKUP(Tabla1[[#This Row],[PROGRAMA]],Hoja1!A:B,2,FALSE)</f>
        <v>4312. Mercados, abastos y lonjas</v>
      </c>
      <c r="W1968" s="56">
        <v>63</v>
      </c>
      <c r="X1968" s="56">
        <v>632</v>
      </c>
    </row>
    <row r="1969" spans="1:24" x14ac:dyDescent="0.25">
      <c r="A1969" s="55">
        <v>220220068620</v>
      </c>
      <c r="B1969" s="47" t="s">
        <v>507</v>
      </c>
      <c r="C1969" s="52">
        <v>45014</v>
      </c>
      <c r="D1969" s="46">
        <v>22022007074</v>
      </c>
      <c r="E1969" s="47" t="s">
        <v>561</v>
      </c>
      <c r="F1969" s="53">
        <v>812965.69</v>
      </c>
      <c r="G1969" s="47" t="s">
        <v>562</v>
      </c>
      <c r="H1969" s="47" t="s">
        <v>3408</v>
      </c>
      <c r="I1969" s="46" t="s">
        <v>511</v>
      </c>
      <c r="J1969" s="47" t="s">
        <v>564</v>
      </c>
      <c r="K1969" s="47" t="s">
        <v>565</v>
      </c>
      <c r="L1969" s="47" t="s">
        <v>527</v>
      </c>
      <c r="M1969" s="47" t="s">
        <v>514</v>
      </c>
      <c r="N1969" s="47" t="s">
        <v>515</v>
      </c>
      <c r="O1969" s="54" t="s">
        <v>371</v>
      </c>
      <c r="P1969" s="44" t="s">
        <v>309</v>
      </c>
      <c r="Q1969" s="59">
        <v>6</v>
      </c>
      <c r="R1969" s="35" t="s">
        <v>299</v>
      </c>
      <c r="S1969" s="59" t="str">
        <f>MID(Tabla1[[#This Row],[Aplicación]],6,2)</f>
        <v>08</v>
      </c>
      <c r="T1969" s="35" t="str">
        <f>VLOOKUP(Tabla1[[#This Row],[AREA]],Hoja1!A:B,2,FALSE)</f>
        <v>08. Movilidad y espacio urbano</v>
      </c>
      <c r="U1969" s="56">
        <v>1341</v>
      </c>
      <c r="V1969" s="35" t="str">
        <f>VLOOKUP(Tabla1[[#This Row],[PROGRAMA]],Hoja1!A:B,2,FALSE)</f>
        <v>1341. Movilidad</v>
      </c>
      <c r="W1969" s="56">
        <v>60</v>
      </c>
      <c r="X1969" s="56">
        <v>609</v>
      </c>
    </row>
    <row r="1970" spans="1:24" x14ac:dyDescent="0.25">
      <c r="A1970" s="55">
        <v>220220039778</v>
      </c>
      <c r="B1970" s="47" t="s">
        <v>507</v>
      </c>
      <c r="C1970" s="52">
        <v>45014</v>
      </c>
      <c r="D1970" s="46">
        <v>22022002772</v>
      </c>
      <c r="E1970" s="47" t="s">
        <v>583</v>
      </c>
      <c r="F1970" s="53">
        <v>649721.36</v>
      </c>
      <c r="G1970" s="47" t="s">
        <v>584</v>
      </c>
      <c r="H1970" s="47" t="s">
        <v>3409</v>
      </c>
      <c r="I1970" s="46" t="s">
        <v>511</v>
      </c>
      <c r="J1970" s="47" t="s">
        <v>519</v>
      </c>
      <c r="K1970" s="47" t="s">
        <v>519</v>
      </c>
      <c r="L1970" s="47" t="s">
        <v>527</v>
      </c>
      <c r="M1970" s="47" t="s">
        <v>514</v>
      </c>
      <c r="N1970" s="47" t="s">
        <v>515</v>
      </c>
      <c r="O1970" s="54" t="s">
        <v>371</v>
      </c>
      <c r="P1970" s="44" t="s">
        <v>309</v>
      </c>
      <c r="Q1970" s="59" t="str">
        <f>MID(Tabla1[[#This Row],[Aplicación]],14,1)</f>
        <v>6</v>
      </c>
      <c r="R1970" s="35" t="s">
        <v>299</v>
      </c>
      <c r="S1970" s="59" t="str">
        <f>MID(Tabla1[[#This Row],[Aplicación]],6,2)</f>
        <v>02</v>
      </c>
      <c r="T1970" s="35" t="str">
        <f>VLOOKUP(Tabla1[[#This Row],[AREA]],Hoja1!A:B,2,FALSE)</f>
        <v>02. Planeamiento urbanístico y vivienda</v>
      </c>
      <c r="U1970" s="35" t="str">
        <f>MID(Tabla1[[#This Row],[Aplicación]],9,4)</f>
        <v>1511</v>
      </c>
      <c r="V1970" s="35" t="str">
        <f>VLOOKUP(Tabla1[[#This Row],[PROGRAMA]],Hoja1!A:B,2,FALSE)</f>
        <v>1511. Planficación y gestión del urbanismo</v>
      </c>
      <c r="W1970" s="56" t="str">
        <f>MID(Tabla1[[#This Row],[Aplicación]],14,2)</f>
        <v>60</v>
      </c>
      <c r="X1970" s="56" t="str">
        <f>MID(Tabla1[[#This Row],[Aplicación]],14,6)</f>
        <v>609</v>
      </c>
    </row>
    <row r="1971" spans="1:24" x14ac:dyDescent="0.25">
      <c r="A1971" s="55">
        <v>220219001096</v>
      </c>
      <c r="B1971" s="47" t="s">
        <v>507</v>
      </c>
      <c r="C1971" s="52">
        <v>45014</v>
      </c>
      <c r="D1971" s="46">
        <v>22022001982</v>
      </c>
      <c r="E1971" s="47" t="s">
        <v>561</v>
      </c>
      <c r="F1971" s="53">
        <v>606446.05000000005</v>
      </c>
      <c r="G1971" s="47" t="s">
        <v>3410</v>
      </c>
      <c r="H1971" s="47" t="s">
        <v>3411</v>
      </c>
      <c r="I1971" s="46" t="s">
        <v>511</v>
      </c>
      <c r="J1971" s="47" t="s">
        <v>3412</v>
      </c>
      <c r="K1971" s="47" t="s">
        <v>3413</v>
      </c>
      <c r="L1971" s="47" t="s">
        <v>527</v>
      </c>
      <c r="M1971" s="47" t="s">
        <v>514</v>
      </c>
      <c r="N1971" s="47" t="s">
        <v>515</v>
      </c>
      <c r="O1971" s="54" t="s">
        <v>371</v>
      </c>
      <c r="P1971" s="44" t="s">
        <v>309</v>
      </c>
      <c r="Q1971" s="59">
        <v>6</v>
      </c>
      <c r="R1971" s="35" t="s">
        <v>299</v>
      </c>
      <c r="S1971" s="59" t="str">
        <f>MID(Tabla1[[#This Row],[Aplicación]],6,2)</f>
        <v>08</v>
      </c>
      <c r="T1971" s="35" t="str">
        <f>VLOOKUP(Tabla1[[#This Row],[AREA]],Hoja1!A:B,2,FALSE)</f>
        <v>08. Movilidad y espacio urbano</v>
      </c>
      <c r="U1971" s="56">
        <v>1341</v>
      </c>
      <c r="V1971" s="35" t="str">
        <f>VLOOKUP(Tabla1[[#This Row],[PROGRAMA]],Hoja1!A:B,2,FALSE)</f>
        <v>1341. Movilidad</v>
      </c>
      <c r="W1971" s="56">
        <v>60</v>
      </c>
      <c r="X1971" s="56">
        <v>609</v>
      </c>
    </row>
    <row r="1972" spans="1:24" x14ac:dyDescent="0.25">
      <c r="A1972" s="46">
        <v>220230001926</v>
      </c>
      <c r="B1972" s="47" t="s">
        <v>507</v>
      </c>
      <c r="C1972" s="52">
        <v>44960</v>
      </c>
      <c r="D1972" s="46">
        <v>22023000570</v>
      </c>
      <c r="E1972" s="47" t="s">
        <v>1667</v>
      </c>
      <c r="F1972" s="53">
        <v>6322.25</v>
      </c>
      <c r="G1972" s="47" t="s">
        <v>323</v>
      </c>
      <c r="H1972" s="47" t="s">
        <v>3414</v>
      </c>
      <c r="I1972" s="46" t="s">
        <v>511</v>
      </c>
      <c r="J1972" s="47" t="s">
        <v>519</v>
      </c>
      <c r="K1972" s="47" t="s">
        <v>519</v>
      </c>
      <c r="L1972" s="47" t="s">
        <v>552</v>
      </c>
      <c r="M1972" s="47" t="s">
        <v>976</v>
      </c>
      <c r="N1972" s="47" t="s">
        <v>839</v>
      </c>
      <c r="O1972" s="45" t="s">
        <v>383</v>
      </c>
      <c r="P1972" s="44" t="s">
        <v>309</v>
      </c>
      <c r="Q1972" s="59" t="str">
        <f>MID(Tabla1[[#This Row],[Aplicación]],14,1)</f>
        <v>2</v>
      </c>
      <c r="R1972" s="35" t="s">
        <v>298</v>
      </c>
      <c r="S1972" s="59" t="str">
        <f>MID(Tabla1[[#This Row],[Aplicación]],6,2)</f>
        <v>01</v>
      </c>
      <c r="T1972" s="35" t="str">
        <f>VLOOKUP(Tabla1[[#This Row],[AREA]],Hoja1!A:B,2,FALSE)</f>
        <v>01. Alcaldía</v>
      </c>
      <c r="U1972" s="35" t="str">
        <f>MID(Tabla1[[#This Row],[Aplicación]],9,4)</f>
        <v>9205</v>
      </c>
      <c r="V1972" s="35" t="str">
        <f>VLOOKUP(Tabla1[[#This Row],[PROGRAMA]],Hoja1!A:B,2,FALSE)</f>
        <v>9205. Imprenta municipal</v>
      </c>
      <c r="W1972" s="56" t="str">
        <f>MID(Tabla1[[#This Row],[Aplicación]],14,2)</f>
        <v>22</v>
      </c>
      <c r="X1972" s="56" t="str">
        <f>MID(Tabla1[[#This Row],[Aplicación]],14,6)</f>
        <v>22199</v>
      </c>
    </row>
    <row r="1973" spans="1:24" x14ac:dyDescent="0.25">
      <c r="A1973" s="55">
        <v>220219001202</v>
      </c>
      <c r="B1973" s="47" t="s">
        <v>507</v>
      </c>
      <c r="C1973" s="52">
        <v>45014</v>
      </c>
      <c r="D1973" s="46">
        <v>22022001985</v>
      </c>
      <c r="E1973" s="47" t="s">
        <v>808</v>
      </c>
      <c r="F1973" s="53">
        <v>426730.78</v>
      </c>
      <c r="G1973" s="47" t="s">
        <v>809</v>
      </c>
      <c r="H1973" s="47" t="s">
        <v>3415</v>
      </c>
      <c r="I1973" s="46" t="s">
        <v>511</v>
      </c>
      <c r="J1973" s="47" t="s">
        <v>811</v>
      </c>
      <c r="K1973" s="47" t="s">
        <v>812</v>
      </c>
      <c r="L1973" s="47" t="s">
        <v>527</v>
      </c>
      <c r="M1973" s="47" t="s">
        <v>514</v>
      </c>
      <c r="N1973" s="47" t="s">
        <v>515</v>
      </c>
      <c r="O1973" s="54" t="s">
        <v>371</v>
      </c>
      <c r="P1973" s="44" t="s">
        <v>309</v>
      </c>
      <c r="Q1973" s="59" t="str">
        <f>MID(Tabla1[[#This Row],[Aplicación]],14,1)</f>
        <v>6</v>
      </c>
      <c r="R1973" s="35" t="s">
        <v>299</v>
      </c>
      <c r="S1973" s="59" t="str">
        <f>MID(Tabla1[[#This Row],[Aplicación]],6,2)</f>
        <v>03</v>
      </c>
      <c r="T1973" s="35" t="str">
        <f>VLOOKUP(Tabla1[[#This Row],[AREA]],Hoja1!A:B,2,FALSE)</f>
        <v>03. Participación ciudadana y deportes</v>
      </c>
      <c r="U1973" s="35" t="str">
        <f>MID(Tabla1[[#This Row],[Aplicación]],9,4)</f>
        <v>9241</v>
      </c>
      <c r="V1973" s="35" t="str">
        <f>VLOOKUP(Tabla1[[#This Row],[PROGRAMA]],Hoja1!A:B,2,FALSE)</f>
        <v>9241. Participación ciudadana</v>
      </c>
      <c r="W1973" s="56" t="str">
        <f>MID(Tabla1[[#This Row],[Aplicación]],14,2)</f>
        <v>63</v>
      </c>
      <c r="X1973" s="56" t="str">
        <f>MID(Tabla1[[#This Row],[Aplicación]],14,6)</f>
        <v>632</v>
      </c>
    </row>
    <row r="1974" spans="1:24" x14ac:dyDescent="0.25">
      <c r="A1974" s="55">
        <v>220210087660</v>
      </c>
      <c r="B1974" s="47" t="s">
        <v>507</v>
      </c>
      <c r="C1974" s="52">
        <v>45014</v>
      </c>
      <c r="D1974" s="46">
        <v>22021007258</v>
      </c>
      <c r="E1974" s="47" t="s">
        <v>808</v>
      </c>
      <c r="F1974" s="53">
        <v>425211.28</v>
      </c>
      <c r="G1974" s="47" t="s">
        <v>809</v>
      </c>
      <c r="H1974" s="47" t="s">
        <v>3415</v>
      </c>
      <c r="I1974" s="46" t="s">
        <v>511</v>
      </c>
      <c r="J1974" s="47" t="s">
        <v>811</v>
      </c>
      <c r="K1974" s="47" t="s">
        <v>812</v>
      </c>
      <c r="L1974" s="47" t="s">
        <v>527</v>
      </c>
      <c r="M1974" s="47" t="s">
        <v>514</v>
      </c>
      <c r="N1974" s="47" t="s">
        <v>515</v>
      </c>
      <c r="O1974" s="54" t="s">
        <v>371</v>
      </c>
      <c r="P1974" s="44" t="s">
        <v>309</v>
      </c>
      <c r="Q1974" s="59" t="str">
        <f>MID(Tabla1[[#This Row],[Aplicación]],14,1)</f>
        <v>6</v>
      </c>
      <c r="R1974" s="35" t="s">
        <v>299</v>
      </c>
      <c r="S1974" s="59" t="str">
        <f>MID(Tabla1[[#This Row],[Aplicación]],6,2)</f>
        <v>03</v>
      </c>
      <c r="T1974" s="35" t="str">
        <f>VLOOKUP(Tabla1[[#This Row],[AREA]],Hoja1!A:B,2,FALSE)</f>
        <v>03. Participación ciudadana y deportes</v>
      </c>
      <c r="U1974" s="35" t="str">
        <f>MID(Tabla1[[#This Row],[Aplicación]],9,4)</f>
        <v>9241</v>
      </c>
      <c r="V1974" s="35" t="str">
        <f>VLOOKUP(Tabla1[[#This Row],[PROGRAMA]],Hoja1!A:B,2,FALSE)</f>
        <v>9241. Participación ciudadana</v>
      </c>
      <c r="W1974" s="56" t="str">
        <f>MID(Tabla1[[#This Row],[Aplicación]],14,2)</f>
        <v>63</v>
      </c>
      <c r="X1974" s="56" t="str">
        <f>MID(Tabla1[[#This Row],[Aplicación]],14,6)</f>
        <v>632</v>
      </c>
    </row>
    <row r="1975" spans="1:24" x14ac:dyDescent="0.25">
      <c r="A1975" s="55">
        <v>220220068621</v>
      </c>
      <c r="B1975" s="47" t="s">
        <v>507</v>
      </c>
      <c r="C1975" s="52">
        <v>45014</v>
      </c>
      <c r="D1975" s="46">
        <v>22022007087</v>
      </c>
      <c r="E1975" s="47" t="s">
        <v>561</v>
      </c>
      <c r="F1975" s="53">
        <v>395332.48</v>
      </c>
      <c r="G1975" s="47" t="s">
        <v>3410</v>
      </c>
      <c r="H1975" s="47" t="s">
        <v>3416</v>
      </c>
      <c r="I1975" s="46" t="s">
        <v>511</v>
      </c>
      <c r="J1975" s="47" t="s">
        <v>3412</v>
      </c>
      <c r="K1975" s="47" t="s">
        <v>3413</v>
      </c>
      <c r="L1975" s="47" t="s">
        <v>527</v>
      </c>
      <c r="M1975" s="47" t="s">
        <v>514</v>
      </c>
      <c r="N1975" s="47" t="s">
        <v>515</v>
      </c>
      <c r="O1975" s="54" t="s">
        <v>371</v>
      </c>
      <c r="P1975" s="44" t="s">
        <v>309</v>
      </c>
      <c r="Q1975" s="59">
        <v>6</v>
      </c>
      <c r="R1975" s="35" t="s">
        <v>299</v>
      </c>
      <c r="S1975" s="59" t="str">
        <f>MID(Tabla1[[#This Row],[Aplicación]],6,2)</f>
        <v>08</v>
      </c>
      <c r="T1975" s="35" t="str">
        <f>VLOOKUP(Tabla1[[#This Row],[AREA]],Hoja1!A:B,2,FALSE)</f>
        <v>08. Movilidad y espacio urbano</v>
      </c>
      <c r="U1975" s="56">
        <v>1341</v>
      </c>
      <c r="V1975" s="35" t="str">
        <f>VLOOKUP(Tabla1[[#This Row],[PROGRAMA]],Hoja1!A:B,2,FALSE)</f>
        <v>1341. Movilidad</v>
      </c>
      <c r="W1975" s="56">
        <v>60</v>
      </c>
      <c r="X1975" s="56">
        <v>609</v>
      </c>
    </row>
    <row r="1976" spans="1:24" x14ac:dyDescent="0.25">
      <c r="A1976" s="55">
        <v>220220053077</v>
      </c>
      <c r="B1976" s="47" t="s">
        <v>507</v>
      </c>
      <c r="C1976" s="52">
        <v>45014</v>
      </c>
      <c r="D1976" s="46">
        <v>22022003177</v>
      </c>
      <c r="E1976" s="47" t="s">
        <v>745</v>
      </c>
      <c r="F1976" s="53">
        <v>76833.5</v>
      </c>
      <c r="G1976" s="47" t="s">
        <v>83</v>
      </c>
      <c r="H1976" s="47" t="s">
        <v>3428</v>
      </c>
      <c r="I1976" s="46" t="s">
        <v>511</v>
      </c>
      <c r="J1976" s="47" t="s">
        <v>716</v>
      </c>
      <c r="K1976" s="47" t="s">
        <v>717</v>
      </c>
      <c r="L1976" s="47" t="s">
        <v>552</v>
      </c>
      <c r="M1976" s="47" t="s">
        <v>514</v>
      </c>
      <c r="N1976" s="47" t="s">
        <v>515</v>
      </c>
      <c r="O1976" s="54" t="s">
        <v>371</v>
      </c>
      <c r="P1976" s="44" t="s">
        <v>309</v>
      </c>
      <c r="Q1976" s="59">
        <v>6</v>
      </c>
      <c r="R1976" s="35" t="s">
        <v>299</v>
      </c>
      <c r="S1976" s="59" t="str">
        <f>MID(Tabla1[[#This Row],[Aplicación]],6,2)</f>
        <v>07</v>
      </c>
      <c r="T1976" s="35" t="str">
        <f>VLOOKUP(Tabla1[[#This Row],[AREA]],Hoja1!A:B,2,FALSE)</f>
        <v>07. Medio ambiente y desarrollo sostenible</v>
      </c>
      <c r="U1976" s="35">
        <v>1721</v>
      </c>
      <c r="V1976" s="35" t="str">
        <f>VLOOKUP(Tabla1[[#This Row],[PROGRAMA]],Hoja1!A:B,2,FALSE)</f>
        <v>1721. Protección del medio ambiente</v>
      </c>
      <c r="W1976" s="56">
        <v>62</v>
      </c>
      <c r="X1976" s="56">
        <v>623</v>
      </c>
    </row>
    <row r="1977" spans="1:24" x14ac:dyDescent="0.25">
      <c r="A1977" s="55">
        <v>220219001222</v>
      </c>
      <c r="B1977" s="47" t="s">
        <v>507</v>
      </c>
      <c r="C1977" s="52">
        <v>45014</v>
      </c>
      <c r="D1977" s="46">
        <v>22022001986</v>
      </c>
      <c r="E1977" s="47" t="s">
        <v>1281</v>
      </c>
      <c r="F1977" s="53">
        <v>274276.38</v>
      </c>
      <c r="G1977" s="47" t="s">
        <v>3418</v>
      </c>
      <c r="H1977" s="47" t="s">
        <v>3419</v>
      </c>
      <c r="I1977" s="46" t="s">
        <v>511</v>
      </c>
      <c r="J1977" s="47" t="s">
        <v>1647</v>
      </c>
      <c r="K1977" s="47" t="s">
        <v>755</v>
      </c>
      <c r="L1977" s="47" t="s">
        <v>527</v>
      </c>
      <c r="M1977" s="47" t="s">
        <v>514</v>
      </c>
      <c r="N1977" s="47" t="s">
        <v>515</v>
      </c>
      <c r="O1977" s="54" t="s">
        <v>371</v>
      </c>
      <c r="P1977" s="44" t="s">
        <v>309</v>
      </c>
      <c r="Q1977" s="59" t="str">
        <f>MID(Tabla1[[#This Row],[Aplicación]],14,1)</f>
        <v>6</v>
      </c>
      <c r="R1977" s="35" t="s">
        <v>299</v>
      </c>
      <c r="S1977" s="59" t="str">
        <f>MID(Tabla1[[#This Row],[Aplicación]],6,2)</f>
        <v>08</v>
      </c>
      <c r="T1977" s="35" t="str">
        <f>VLOOKUP(Tabla1[[#This Row],[AREA]],Hoja1!A:B,2,FALSE)</f>
        <v>08. Movilidad y espacio urbano</v>
      </c>
      <c r="U1977" s="35" t="str">
        <f>MID(Tabla1[[#This Row],[Aplicación]],9,4)</f>
        <v>1532</v>
      </c>
      <c r="V1977" s="35" t="str">
        <f>VLOOKUP(Tabla1[[#This Row],[PROGRAMA]],Hoja1!A:B,2,FALSE)</f>
        <v>1532. Pavimentación vias públicas y otros servicios urbanísticos</v>
      </c>
      <c r="W1977" s="56" t="str">
        <f>MID(Tabla1[[#This Row],[Aplicación]],14,2)</f>
        <v>62</v>
      </c>
      <c r="X1977" s="56" t="str">
        <f>MID(Tabla1[[#This Row],[Aplicación]],14,6)</f>
        <v>622</v>
      </c>
    </row>
    <row r="1978" spans="1:24" x14ac:dyDescent="0.25">
      <c r="A1978" s="55">
        <v>220220044132</v>
      </c>
      <c r="B1978" s="47" t="s">
        <v>507</v>
      </c>
      <c r="C1978" s="52">
        <v>45014</v>
      </c>
      <c r="D1978" s="46">
        <v>22022003306</v>
      </c>
      <c r="E1978" s="47" t="s">
        <v>524</v>
      </c>
      <c r="F1978" s="53">
        <v>274235.76</v>
      </c>
      <c r="G1978" s="47" t="s">
        <v>525</v>
      </c>
      <c r="H1978" s="47" t="s">
        <v>3420</v>
      </c>
      <c r="I1978" s="46" t="s">
        <v>511</v>
      </c>
      <c r="J1978" s="47" t="s">
        <v>512</v>
      </c>
      <c r="K1978" s="47" t="s">
        <v>512</v>
      </c>
      <c r="L1978" s="47" t="s">
        <v>527</v>
      </c>
      <c r="M1978" s="47" t="s">
        <v>514</v>
      </c>
      <c r="N1978" s="47" t="s">
        <v>515</v>
      </c>
      <c r="O1978" s="54" t="s">
        <v>371</v>
      </c>
      <c r="P1978" s="44" t="s">
        <v>309</v>
      </c>
      <c r="Q1978" s="59" t="str">
        <f>MID(Tabla1[[#This Row],[Aplicación]],14,1)</f>
        <v>6</v>
      </c>
      <c r="R1978" s="35" t="s">
        <v>299</v>
      </c>
      <c r="S1978" s="59" t="str">
        <f>MID(Tabla1[[#This Row],[Aplicación]],6,2)</f>
        <v>02</v>
      </c>
      <c r="T1978" s="35" t="str">
        <f>VLOOKUP(Tabla1[[#This Row],[AREA]],Hoja1!A:B,2,FALSE)</f>
        <v>02. Planeamiento urbanístico y vivienda</v>
      </c>
      <c r="U1978" s="35" t="str">
        <f>MID(Tabla1[[#This Row],[Aplicación]],9,4)</f>
        <v>1511</v>
      </c>
      <c r="V1978" s="35" t="str">
        <f>VLOOKUP(Tabla1[[#This Row],[PROGRAMA]],Hoja1!A:B,2,FALSE)</f>
        <v>1511. Planficación y gestión del urbanismo</v>
      </c>
      <c r="W1978" s="56" t="str">
        <f>MID(Tabla1[[#This Row],[Aplicación]],14,2)</f>
        <v>61</v>
      </c>
      <c r="X1978" s="56" t="str">
        <f>MID(Tabla1[[#This Row],[Aplicación]],14,6)</f>
        <v>619</v>
      </c>
    </row>
    <row r="1979" spans="1:24" x14ac:dyDescent="0.25">
      <c r="A1979" s="55">
        <v>220220058853</v>
      </c>
      <c r="B1979" s="47" t="s">
        <v>507</v>
      </c>
      <c r="C1979" s="52">
        <v>45014</v>
      </c>
      <c r="D1979" s="46">
        <v>22022004250</v>
      </c>
      <c r="E1979" s="47" t="s">
        <v>745</v>
      </c>
      <c r="F1979" s="53">
        <v>44586</v>
      </c>
      <c r="G1979" s="47" t="s">
        <v>746</v>
      </c>
      <c r="H1979" s="47" t="s">
        <v>3417</v>
      </c>
      <c r="I1979" s="46" t="s">
        <v>511</v>
      </c>
      <c r="J1979" s="47" t="s">
        <v>532</v>
      </c>
      <c r="K1979" s="47" t="s">
        <v>512</v>
      </c>
      <c r="L1979" s="47" t="s">
        <v>552</v>
      </c>
      <c r="M1979" s="47" t="s">
        <v>514</v>
      </c>
      <c r="N1979" s="47" t="s">
        <v>515</v>
      </c>
      <c r="O1979" s="54" t="s">
        <v>3460</v>
      </c>
      <c r="P1979" s="44" t="s">
        <v>309</v>
      </c>
      <c r="Q1979" s="59">
        <v>6</v>
      </c>
      <c r="R1979" s="35" t="s">
        <v>299</v>
      </c>
      <c r="S1979" s="59" t="str">
        <f>MID(Tabla1[[#This Row],[Aplicación]],6,2)</f>
        <v>07</v>
      </c>
      <c r="T1979" s="35" t="str">
        <f>VLOOKUP(Tabla1[[#This Row],[AREA]],Hoja1!A:B,2,FALSE)</f>
        <v>07. Medio ambiente y desarrollo sostenible</v>
      </c>
      <c r="U1979" s="35">
        <v>1721</v>
      </c>
      <c r="V1979" s="35" t="str">
        <f>VLOOKUP(Tabla1[[#This Row],[PROGRAMA]],Hoja1!A:B,2,FALSE)</f>
        <v>1721. Protección del medio ambiente</v>
      </c>
      <c r="W1979" s="56">
        <v>62</v>
      </c>
      <c r="X1979" s="56">
        <v>623</v>
      </c>
    </row>
    <row r="1980" spans="1:24" x14ac:dyDescent="0.25">
      <c r="A1980" s="55">
        <v>220220046958</v>
      </c>
      <c r="B1980" s="47" t="s">
        <v>507</v>
      </c>
      <c r="C1980" s="52">
        <v>45014</v>
      </c>
      <c r="D1980" s="46">
        <v>22022004866</v>
      </c>
      <c r="E1980" s="47" t="s">
        <v>533</v>
      </c>
      <c r="F1980" s="53">
        <v>229166.68</v>
      </c>
      <c r="G1980" s="47" t="s">
        <v>80</v>
      </c>
      <c r="H1980" s="47" t="s">
        <v>3422</v>
      </c>
      <c r="I1980" s="46" t="s">
        <v>511</v>
      </c>
      <c r="J1980" s="47" t="s">
        <v>519</v>
      </c>
      <c r="K1980" s="47" t="s">
        <v>519</v>
      </c>
      <c r="L1980" s="47" t="s">
        <v>527</v>
      </c>
      <c r="M1980" s="47" t="s">
        <v>514</v>
      </c>
      <c r="N1980" s="47" t="s">
        <v>515</v>
      </c>
      <c r="O1980" s="54" t="s">
        <v>371</v>
      </c>
      <c r="P1980" s="44" t="s">
        <v>309</v>
      </c>
      <c r="Q1980" s="59" t="str">
        <f>MID(Tabla1[[#This Row],[Aplicación]],14,1)</f>
        <v>6</v>
      </c>
      <c r="R1980" s="35" t="s">
        <v>299</v>
      </c>
      <c r="S1980" s="59" t="str">
        <f>MID(Tabla1[[#This Row],[Aplicación]],6,2)</f>
        <v>08</v>
      </c>
      <c r="T1980" s="35" t="str">
        <f>VLOOKUP(Tabla1[[#This Row],[AREA]],Hoja1!A:B,2,FALSE)</f>
        <v>08. Movilidad y espacio urbano</v>
      </c>
      <c r="U1980" s="56" t="str">
        <f>MID(Tabla1[[#This Row],[Aplicación]],9,4)</f>
        <v>1341</v>
      </c>
      <c r="V1980" s="35" t="str">
        <f>VLOOKUP(Tabla1[[#This Row],[PROGRAMA]],Hoja1!A:B,2,FALSE)</f>
        <v>1341. Movilidad</v>
      </c>
      <c r="W1980" s="56" t="str">
        <f>MID(Tabla1[[#This Row],[Aplicación]],14,2)</f>
        <v>61</v>
      </c>
      <c r="X1980" s="56" t="str">
        <f>MID(Tabla1[[#This Row],[Aplicación]],14,6)</f>
        <v>619</v>
      </c>
    </row>
    <row r="1981" spans="1:24" x14ac:dyDescent="0.25">
      <c r="A1981" s="55">
        <v>220220068120</v>
      </c>
      <c r="B1981" s="47" t="s">
        <v>507</v>
      </c>
      <c r="C1981" s="52">
        <v>45014</v>
      </c>
      <c r="D1981" s="46">
        <v>22022002878</v>
      </c>
      <c r="E1981" s="47" t="s">
        <v>854</v>
      </c>
      <c r="F1981" s="53">
        <v>200000</v>
      </c>
      <c r="G1981" s="47" t="s">
        <v>855</v>
      </c>
      <c r="H1981" s="47" t="s">
        <v>3423</v>
      </c>
      <c r="I1981" s="46" t="s">
        <v>511</v>
      </c>
      <c r="J1981" s="47" t="s">
        <v>857</v>
      </c>
      <c r="K1981" s="47" t="s">
        <v>858</v>
      </c>
      <c r="L1981" s="47" t="s">
        <v>552</v>
      </c>
      <c r="M1981" s="47" t="s">
        <v>514</v>
      </c>
      <c r="N1981" s="47" t="s">
        <v>515</v>
      </c>
      <c r="O1981" s="54" t="s">
        <v>371</v>
      </c>
      <c r="P1981" s="44" t="s">
        <v>309</v>
      </c>
      <c r="Q1981" s="59" t="str">
        <f>MID(Tabla1[[#This Row],[Aplicación]],14,1)</f>
        <v>6</v>
      </c>
      <c r="R1981" s="35" t="s">
        <v>299</v>
      </c>
      <c r="S1981" s="59" t="str">
        <f>MID(Tabla1[[#This Row],[Aplicación]],6,2)</f>
        <v>11</v>
      </c>
      <c r="T1981" s="35" t="str">
        <f>VLOOKUP(Tabla1[[#This Row],[AREA]],Hoja1!A:B,2,FALSE)</f>
        <v>11. Salud pública y seguridad ciudadana</v>
      </c>
      <c r="U1981" s="35" t="str">
        <f>MID(Tabla1[[#This Row],[Aplicación]],9,4)</f>
        <v>1321</v>
      </c>
      <c r="V1981" s="35" t="str">
        <f>VLOOKUP(Tabla1[[#This Row],[PROGRAMA]],Hoja1!A:B,2,FALSE)</f>
        <v>1321. Policía municipal</v>
      </c>
      <c r="W1981" s="56" t="str">
        <f>MID(Tabla1[[#This Row],[Aplicación]],14,2)</f>
        <v>64</v>
      </c>
      <c r="X1981" s="56" t="str">
        <f>MID(Tabla1[[#This Row],[Aplicación]],14,6)</f>
        <v>641</v>
      </c>
    </row>
    <row r="1982" spans="1:24" x14ac:dyDescent="0.25">
      <c r="A1982" s="55">
        <v>220220039778</v>
      </c>
      <c r="B1982" s="47" t="s">
        <v>507</v>
      </c>
      <c r="C1982" s="52">
        <v>45014</v>
      </c>
      <c r="D1982" s="46">
        <v>22022001814</v>
      </c>
      <c r="E1982" s="47" t="s">
        <v>583</v>
      </c>
      <c r="F1982" s="53">
        <v>197150.2</v>
      </c>
      <c r="G1982" s="47" t="s">
        <v>584</v>
      </c>
      <c r="H1982" s="47" t="s">
        <v>3409</v>
      </c>
      <c r="I1982" s="46" t="s">
        <v>511</v>
      </c>
      <c r="J1982" s="47" t="s">
        <v>519</v>
      </c>
      <c r="K1982" s="47" t="s">
        <v>519</v>
      </c>
      <c r="L1982" s="47" t="s">
        <v>527</v>
      </c>
      <c r="M1982" s="47" t="s">
        <v>514</v>
      </c>
      <c r="N1982" s="47" t="s">
        <v>515</v>
      </c>
      <c r="O1982" s="54" t="s">
        <v>371</v>
      </c>
      <c r="P1982" s="44" t="s">
        <v>309</v>
      </c>
      <c r="Q1982" s="59" t="str">
        <f>MID(Tabla1[[#This Row],[Aplicación]],14,1)</f>
        <v>6</v>
      </c>
      <c r="R1982" s="35" t="s">
        <v>299</v>
      </c>
      <c r="S1982" s="59" t="str">
        <f>MID(Tabla1[[#This Row],[Aplicación]],6,2)</f>
        <v>02</v>
      </c>
      <c r="T1982" s="35" t="str">
        <f>VLOOKUP(Tabla1[[#This Row],[AREA]],Hoja1!A:B,2,FALSE)</f>
        <v>02. Planeamiento urbanístico y vivienda</v>
      </c>
      <c r="U1982" s="35" t="str">
        <f>MID(Tabla1[[#This Row],[Aplicación]],9,4)</f>
        <v>1511</v>
      </c>
      <c r="V1982" s="35" t="str">
        <f>VLOOKUP(Tabla1[[#This Row],[PROGRAMA]],Hoja1!A:B,2,FALSE)</f>
        <v>1511. Planficación y gestión del urbanismo</v>
      </c>
      <c r="W1982" s="56" t="str">
        <f>MID(Tabla1[[#This Row],[Aplicación]],14,2)</f>
        <v>60</v>
      </c>
      <c r="X1982" s="56" t="str">
        <f>MID(Tabla1[[#This Row],[Aplicación]],14,6)</f>
        <v>609</v>
      </c>
    </row>
    <row r="1983" spans="1:24" x14ac:dyDescent="0.25">
      <c r="A1983" s="55">
        <v>220220065423</v>
      </c>
      <c r="B1983" s="47" t="s">
        <v>507</v>
      </c>
      <c r="C1983" s="52">
        <v>45014</v>
      </c>
      <c r="D1983" s="46">
        <v>22022005221</v>
      </c>
      <c r="E1983" s="47" t="s">
        <v>3424</v>
      </c>
      <c r="F1983" s="53">
        <v>180286.36</v>
      </c>
      <c r="G1983" s="47" t="s">
        <v>3425</v>
      </c>
      <c r="H1983" s="47" t="s">
        <v>3426</v>
      </c>
      <c r="I1983" s="46" t="s">
        <v>511</v>
      </c>
      <c r="J1983" s="47" t="s">
        <v>3427</v>
      </c>
      <c r="K1983" s="47" t="s">
        <v>1637</v>
      </c>
      <c r="L1983" s="47" t="s">
        <v>552</v>
      </c>
      <c r="M1983" s="47" t="s">
        <v>514</v>
      </c>
      <c r="N1983" s="47" t="s">
        <v>515</v>
      </c>
      <c r="O1983" s="54" t="s">
        <v>371</v>
      </c>
      <c r="P1983" s="44" t="s">
        <v>309</v>
      </c>
      <c r="Q1983" s="59" t="str">
        <f>MID(Tabla1[[#This Row],[Aplicación]],14,1)</f>
        <v>6</v>
      </c>
      <c r="R1983" s="35" t="s">
        <v>299</v>
      </c>
      <c r="S1983" s="59" t="str">
        <f>MID(Tabla1[[#This Row],[Aplicación]],6,2)</f>
        <v>08</v>
      </c>
      <c r="T1983" s="35" t="str">
        <f>VLOOKUP(Tabla1[[#This Row],[AREA]],Hoja1!A:B,2,FALSE)</f>
        <v>08. Movilidad y espacio urbano</v>
      </c>
      <c r="U1983" s="56" t="str">
        <f>MID(Tabla1[[#This Row],[Aplicación]],9,4)</f>
        <v>1341</v>
      </c>
      <c r="V1983" s="35" t="str">
        <f>VLOOKUP(Tabla1[[#This Row],[PROGRAMA]],Hoja1!A:B,2,FALSE)</f>
        <v>1341. Movilidad</v>
      </c>
      <c r="W1983" s="56" t="str">
        <f>MID(Tabla1[[#This Row],[Aplicación]],14,2)</f>
        <v>62</v>
      </c>
      <c r="X1983" s="56" t="str">
        <f>MID(Tabla1[[#This Row],[Aplicación]],14,6)</f>
        <v>624</v>
      </c>
    </row>
    <row r="1984" spans="1:24" x14ac:dyDescent="0.25">
      <c r="A1984" s="46">
        <v>220229000662</v>
      </c>
      <c r="B1984" s="47" t="s">
        <v>507</v>
      </c>
      <c r="C1984" s="52">
        <v>44927</v>
      </c>
      <c r="D1984" s="46">
        <v>22023001367</v>
      </c>
      <c r="E1984" s="47" t="s">
        <v>784</v>
      </c>
      <c r="F1984" s="53">
        <v>187750.52</v>
      </c>
      <c r="G1984" s="47" t="s">
        <v>746</v>
      </c>
      <c r="H1984" s="47" t="s">
        <v>785</v>
      </c>
      <c r="I1984" s="46" t="s">
        <v>511</v>
      </c>
      <c r="J1984" s="47" t="s">
        <v>532</v>
      </c>
      <c r="K1984" s="47" t="s">
        <v>512</v>
      </c>
      <c r="L1984" s="47" t="s">
        <v>552</v>
      </c>
      <c r="M1984" s="47" t="s">
        <v>514</v>
      </c>
      <c r="N1984" s="47" t="s">
        <v>515</v>
      </c>
      <c r="O1984" s="54" t="s">
        <v>371</v>
      </c>
      <c r="P1984" s="44" t="s">
        <v>309</v>
      </c>
      <c r="Q1984" s="59">
        <v>6</v>
      </c>
      <c r="R1984" s="35" t="s">
        <v>299</v>
      </c>
      <c r="S1984" s="59" t="str">
        <f>MID(Tabla1[[#This Row],[Aplicación]],6,2)</f>
        <v>07</v>
      </c>
      <c r="T1984" s="35" t="str">
        <f>VLOOKUP(Tabla1[[#This Row],[AREA]],Hoja1!A:B,2,FALSE)</f>
        <v>07. Medio ambiente y desarrollo sostenible</v>
      </c>
      <c r="U1984" s="35">
        <v>1721</v>
      </c>
      <c r="V1984" s="35" t="str">
        <f>VLOOKUP(Tabla1[[#This Row],[PROGRAMA]],Hoja1!A:B,2,FALSE)</f>
        <v>1721. Protección del medio ambiente</v>
      </c>
      <c r="W1984" s="56">
        <v>64</v>
      </c>
      <c r="X1984" s="56">
        <v>641</v>
      </c>
    </row>
    <row r="1985" spans="1:24" x14ac:dyDescent="0.25">
      <c r="A1985" s="55">
        <v>220230011693</v>
      </c>
      <c r="B1985" s="47" t="s">
        <v>507</v>
      </c>
      <c r="C1985" s="52">
        <v>45014</v>
      </c>
      <c r="D1985" s="46">
        <v>22022002011</v>
      </c>
      <c r="E1985" s="47" t="s">
        <v>533</v>
      </c>
      <c r="F1985" s="53">
        <v>171413.49</v>
      </c>
      <c r="G1985" s="47" t="s">
        <v>534</v>
      </c>
      <c r="H1985" s="47" t="s">
        <v>535</v>
      </c>
      <c r="I1985" s="46" t="s">
        <v>511</v>
      </c>
      <c r="J1985" s="47" t="s">
        <v>532</v>
      </c>
      <c r="K1985" s="47" t="s">
        <v>512</v>
      </c>
      <c r="L1985" s="47" t="s">
        <v>520</v>
      </c>
      <c r="M1985" s="47" t="s">
        <v>514</v>
      </c>
      <c r="N1985" s="47" t="s">
        <v>515</v>
      </c>
      <c r="O1985" s="54" t="s">
        <v>371</v>
      </c>
      <c r="P1985" s="44" t="s">
        <v>309</v>
      </c>
      <c r="Q1985" s="59" t="str">
        <f>MID(Tabla1[[#This Row],[Aplicación]],14,1)</f>
        <v>6</v>
      </c>
      <c r="R1985" s="35" t="s">
        <v>299</v>
      </c>
      <c r="S1985" s="59" t="str">
        <f>MID(Tabla1[[#This Row],[Aplicación]],6,2)</f>
        <v>08</v>
      </c>
      <c r="T1985" s="35" t="str">
        <f>VLOOKUP(Tabla1[[#This Row],[AREA]],Hoja1!A:B,2,FALSE)</f>
        <v>08. Movilidad y espacio urbano</v>
      </c>
      <c r="U1985" s="56" t="str">
        <f>MID(Tabla1[[#This Row],[Aplicación]],9,4)</f>
        <v>1341</v>
      </c>
      <c r="V1985" s="35" t="str">
        <f>VLOOKUP(Tabla1[[#This Row],[PROGRAMA]],Hoja1!A:B,2,FALSE)</f>
        <v>1341. Movilidad</v>
      </c>
      <c r="W1985" s="56" t="str">
        <f>MID(Tabla1[[#This Row],[Aplicación]],14,2)</f>
        <v>61</v>
      </c>
      <c r="X1985" s="56" t="str">
        <f>MID(Tabla1[[#This Row],[Aplicación]],14,6)</f>
        <v>619</v>
      </c>
    </row>
    <row r="1986" spans="1:24" x14ac:dyDescent="0.25">
      <c r="A1986" s="55">
        <v>220220055587</v>
      </c>
      <c r="B1986" s="47" t="s">
        <v>507</v>
      </c>
      <c r="C1986" s="52">
        <v>45014</v>
      </c>
      <c r="D1986" s="46">
        <v>22022005115</v>
      </c>
      <c r="E1986" s="47" t="s">
        <v>529</v>
      </c>
      <c r="F1986" s="53">
        <v>165728.71</v>
      </c>
      <c r="G1986" s="47" t="s">
        <v>584</v>
      </c>
      <c r="H1986" s="47" t="s">
        <v>3429</v>
      </c>
      <c r="I1986" s="46" t="s">
        <v>511</v>
      </c>
      <c r="J1986" s="47" t="s">
        <v>519</v>
      </c>
      <c r="K1986" s="47" t="s">
        <v>519</v>
      </c>
      <c r="L1986" s="47" t="s">
        <v>527</v>
      </c>
      <c r="M1986" s="47" t="s">
        <v>514</v>
      </c>
      <c r="N1986" s="47" t="s">
        <v>515</v>
      </c>
      <c r="O1986" s="54" t="s">
        <v>371</v>
      </c>
      <c r="P1986" s="44" t="s">
        <v>309</v>
      </c>
      <c r="Q1986" s="59" t="str">
        <f>MID(Tabla1[[#This Row],[Aplicación]],14,1)</f>
        <v>6</v>
      </c>
      <c r="R1986" s="35" t="s">
        <v>299</v>
      </c>
      <c r="S1986" s="59" t="str">
        <f>MID(Tabla1[[#This Row],[Aplicación]],6,2)</f>
        <v>07</v>
      </c>
      <c r="T1986" s="35" t="str">
        <f>VLOOKUP(Tabla1[[#This Row],[AREA]],Hoja1!A:B,2,FALSE)</f>
        <v>07. Medio ambiente y desarrollo sostenible</v>
      </c>
      <c r="U1986" s="35" t="str">
        <f>MID(Tabla1[[#This Row],[Aplicación]],9,4)</f>
        <v>1711</v>
      </c>
      <c r="V1986" s="35" t="str">
        <f>VLOOKUP(Tabla1[[#This Row],[PROGRAMA]],Hoja1!A:B,2,FALSE)</f>
        <v>1711. Parques y jardines</v>
      </c>
      <c r="W1986" s="56" t="str">
        <f>MID(Tabla1[[#This Row],[Aplicación]],14,2)</f>
        <v>61</v>
      </c>
      <c r="X1986" s="56" t="str">
        <f>MID(Tabla1[[#This Row],[Aplicación]],14,6)</f>
        <v>610</v>
      </c>
    </row>
    <row r="1987" spans="1:24" x14ac:dyDescent="0.25">
      <c r="A1987" s="55">
        <v>220220045294</v>
      </c>
      <c r="B1987" s="47" t="s">
        <v>507</v>
      </c>
      <c r="C1987" s="52">
        <v>45014</v>
      </c>
      <c r="D1987" s="46">
        <v>22022002596</v>
      </c>
      <c r="E1987" s="47" t="s">
        <v>1272</v>
      </c>
      <c r="F1987" s="53">
        <v>157735.32999999999</v>
      </c>
      <c r="G1987" s="47" t="s">
        <v>3430</v>
      </c>
      <c r="H1987" s="47" t="s">
        <v>3431</v>
      </c>
      <c r="I1987" s="46" t="s">
        <v>511</v>
      </c>
      <c r="J1987" s="47" t="s">
        <v>519</v>
      </c>
      <c r="K1987" s="47" t="s">
        <v>519</v>
      </c>
      <c r="L1987" s="47" t="s">
        <v>520</v>
      </c>
      <c r="M1987" s="47" t="s">
        <v>514</v>
      </c>
      <c r="N1987" s="47" t="s">
        <v>515</v>
      </c>
      <c r="O1987" s="54" t="s">
        <v>371</v>
      </c>
      <c r="P1987" s="44" t="s">
        <v>309</v>
      </c>
      <c r="Q1987" s="59" t="str">
        <f>MID(Tabla1[[#This Row],[Aplicación]],14,1)</f>
        <v>6</v>
      </c>
      <c r="R1987" s="35" t="s">
        <v>299</v>
      </c>
      <c r="S1987" s="59" t="str">
        <f>MID(Tabla1[[#This Row],[Aplicación]],6,2)</f>
        <v>02</v>
      </c>
      <c r="T1987" s="35" t="str">
        <f>VLOOKUP(Tabla1[[#This Row],[AREA]],Hoja1!A:B,2,FALSE)</f>
        <v>02. Planeamiento urbanístico y vivienda</v>
      </c>
      <c r="U1987" s="35" t="str">
        <f>MID(Tabla1[[#This Row],[Aplicación]],9,4)</f>
        <v>9332</v>
      </c>
      <c r="V1987" s="35" t="str">
        <f>VLOOKUP(Tabla1[[#This Row],[PROGRAMA]],Hoja1!A:B,2,FALSE)</f>
        <v>9332. Mantenimiento de edificios e instalaciones municipales</v>
      </c>
      <c r="W1987" s="56" t="str">
        <f>MID(Tabla1[[#This Row],[Aplicación]],14,2)</f>
        <v>63</v>
      </c>
      <c r="X1987" s="56" t="str">
        <f>MID(Tabla1[[#This Row],[Aplicación]],14,6)</f>
        <v>632</v>
      </c>
    </row>
    <row r="1988" spans="1:24" x14ac:dyDescent="0.25">
      <c r="A1988" s="46">
        <v>220229000800</v>
      </c>
      <c r="B1988" s="47" t="s">
        <v>507</v>
      </c>
      <c r="C1988" s="52">
        <v>44927</v>
      </c>
      <c r="D1988" s="46">
        <v>22023001940</v>
      </c>
      <c r="E1988" s="47" t="s">
        <v>784</v>
      </c>
      <c r="F1988" s="53">
        <v>27467.02</v>
      </c>
      <c r="G1988" s="47" t="s">
        <v>746</v>
      </c>
      <c r="H1988" s="47" t="s">
        <v>803</v>
      </c>
      <c r="I1988" s="46" t="s">
        <v>511</v>
      </c>
      <c r="J1988" s="47" t="s">
        <v>532</v>
      </c>
      <c r="K1988" s="47" t="s">
        <v>512</v>
      </c>
      <c r="L1988" s="47" t="s">
        <v>552</v>
      </c>
      <c r="M1988" s="47" t="s">
        <v>514</v>
      </c>
      <c r="N1988" s="47" t="s">
        <v>515</v>
      </c>
      <c r="O1988" s="45" t="s">
        <v>371</v>
      </c>
      <c r="P1988" s="44" t="s">
        <v>309</v>
      </c>
      <c r="Q1988" s="59">
        <v>6</v>
      </c>
      <c r="R1988" s="35" t="s">
        <v>299</v>
      </c>
      <c r="S1988" s="59" t="str">
        <f>MID(Tabla1[[#This Row],[Aplicación]],6,2)</f>
        <v>07</v>
      </c>
      <c r="T1988" s="35" t="str">
        <f>VLOOKUP(Tabla1[[#This Row],[AREA]],Hoja1!A:B,2,FALSE)</f>
        <v>07. Medio ambiente y desarrollo sostenible</v>
      </c>
      <c r="U1988" s="35">
        <v>1721</v>
      </c>
      <c r="V1988" s="35" t="str">
        <f>VLOOKUP(Tabla1[[#This Row],[PROGRAMA]],Hoja1!A:B,2,FALSE)</f>
        <v>1721. Protección del medio ambiente</v>
      </c>
      <c r="W1988" s="56">
        <v>64</v>
      </c>
      <c r="X1988" s="56">
        <v>641</v>
      </c>
    </row>
    <row r="1989" spans="1:24" x14ac:dyDescent="0.25">
      <c r="A1989" s="55">
        <v>220220015767</v>
      </c>
      <c r="B1989" s="47" t="s">
        <v>507</v>
      </c>
      <c r="C1989" s="52">
        <v>45014</v>
      </c>
      <c r="D1989" s="46">
        <v>22021006799</v>
      </c>
      <c r="E1989" s="47" t="s">
        <v>3432</v>
      </c>
      <c r="F1989" s="53">
        <v>117249</v>
      </c>
      <c r="G1989" s="47" t="s">
        <v>3433</v>
      </c>
      <c r="H1989" s="47" t="s">
        <v>3434</v>
      </c>
      <c r="I1989" s="46" t="s">
        <v>511</v>
      </c>
      <c r="J1989" s="47" t="s">
        <v>3435</v>
      </c>
      <c r="K1989" s="47" t="s">
        <v>512</v>
      </c>
      <c r="L1989" s="47" t="s">
        <v>552</v>
      </c>
      <c r="M1989" s="47" t="s">
        <v>514</v>
      </c>
      <c r="N1989" s="47" t="s">
        <v>515</v>
      </c>
      <c r="O1989" s="54" t="s">
        <v>371</v>
      </c>
      <c r="P1989" s="44" t="s">
        <v>309</v>
      </c>
      <c r="Q1989" s="59" t="str">
        <f>MID(Tabla1[[#This Row],[Aplicación]],14,1)</f>
        <v>6</v>
      </c>
      <c r="R1989" s="35" t="s">
        <v>299</v>
      </c>
      <c r="S1989" s="59" t="str">
        <f>MID(Tabla1[[#This Row],[Aplicación]],6,2)</f>
        <v>11</v>
      </c>
      <c r="T1989" s="35" t="str">
        <f>VLOOKUP(Tabla1[[#This Row],[AREA]],Hoja1!A:B,2,FALSE)</f>
        <v>11. Salud pública y seguridad ciudadana</v>
      </c>
      <c r="U1989" s="35" t="str">
        <f>MID(Tabla1[[#This Row],[Aplicación]],9,4)</f>
        <v>1631</v>
      </c>
      <c r="V1989" s="35" t="str">
        <f>VLOOKUP(Tabla1[[#This Row],[PROGRAMA]],Hoja1!A:B,2,FALSE)</f>
        <v>1631. Limpieza viaria</v>
      </c>
      <c r="W1989" s="56" t="str">
        <f>MID(Tabla1[[#This Row],[Aplicación]],14,2)</f>
        <v>63</v>
      </c>
      <c r="X1989" s="56" t="str">
        <f>MID(Tabla1[[#This Row],[Aplicación]],14,6)</f>
        <v>634</v>
      </c>
    </row>
    <row r="1990" spans="1:24" x14ac:dyDescent="0.25">
      <c r="A1990" s="55">
        <v>220220068119</v>
      </c>
      <c r="B1990" s="47" t="s">
        <v>507</v>
      </c>
      <c r="C1990" s="52">
        <v>45014</v>
      </c>
      <c r="D1990" s="46">
        <v>22022002877</v>
      </c>
      <c r="E1990" s="47" t="s">
        <v>854</v>
      </c>
      <c r="F1990" s="53">
        <v>112187.5</v>
      </c>
      <c r="G1990" s="47" t="s">
        <v>954</v>
      </c>
      <c r="H1990" s="47" t="s">
        <v>3436</v>
      </c>
      <c r="I1990" s="46" t="s">
        <v>511</v>
      </c>
      <c r="J1990" s="47" t="s">
        <v>956</v>
      </c>
      <c r="K1990" s="47" t="s">
        <v>512</v>
      </c>
      <c r="L1990" s="47" t="s">
        <v>552</v>
      </c>
      <c r="M1990" s="47" t="s">
        <v>514</v>
      </c>
      <c r="N1990" s="47" t="s">
        <v>515</v>
      </c>
      <c r="O1990" s="54" t="s">
        <v>371</v>
      </c>
      <c r="P1990" s="44" t="s">
        <v>309</v>
      </c>
      <c r="Q1990" s="59" t="str">
        <f>MID(Tabla1[[#This Row],[Aplicación]],14,1)</f>
        <v>6</v>
      </c>
      <c r="R1990" s="35" t="s">
        <v>299</v>
      </c>
      <c r="S1990" s="59" t="str">
        <f>MID(Tabla1[[#This Row],[Aplicación]],6,2)</f>
        <v>11</v>
      </c>
      <c r="T1990" s="35" t="str">
        <f>VLOOKUP(Tabla1[[#This Row],[AREA]],Hoja1!A:B,2,FALSE)</f>
        <v>11. Salud pública y seguridad ciudadana</v>
      </c>
      <c r="U1990" s="35" t="str">
        <f>MID(Tabla1[[#This Row],[Aplicación]],9,4)</f>
        <v>1321</v>
      </c>
      <c r="V1990" s="35" t="str">
        <f>VLOOKUP(Tabla1[[#This Row],[PROGRAMA]],Hoja1!A:B,2,FALSE)</f>
        <v>1321. Policía municipal</v>
      </c>
      <c r="W1990" s="56" t="str">
        <f>MID(Tabla1[[#This Row],[Aplicación]],14,2)</f>
        <v>64</v>
      </c>
      <c r="X1990" s="56" t="str">
        <f>MID(Tabla1[[#This Row],[Aplicación]],14,6)</f>
        <v>641</v>
      </c>
    </row>
    <row r="1991" spans="1:24" x14ac:dyDescent="0.25">
      <c r="A1991" s="55">
        <v>220220022390</v>
      </c>
      <c r="B1991" s="47" t="s">
        <v>507</v>
      </c>
      <c r="C1991" s="52">
        <v>45014</v>
      </c>
      <c r="D1991" s="46">
        <v>22022002850</v>
      </c>
      <c r="E1991" s="47" t="s">
        <v>1283</v>
      </c>
      <c r="F1991" s="53">
        <v>97543.06</v>
      </c>
      <c r="G1991" s="47" t="s">
        <v>3437</v>
      </c>
      <c r="H1991" s="47" t="s">
        <v>3438</v>
      </c>
      <c r="I1991" s="46" t="s">
        <v>511</v>
      </c>
      <c r="J1991" s="47" t="s">
        <v>1289</v>
      </c>
      <c r="K1991" s="47" t="s">
        <v>1289</v>
      </c>
      <c r="L1991" s="47" t="s">
        <v>527</v>
      </c>
      <c r="M1991" s="47" t="s">
        <v>514</v>
      </c>
      <c r="N1991" s="47" t="s">
        <v>515</v>
      </c>
      <c r="O1991" s="54" t="s">
        <v>371</v>
      </c>
      <c r="P1991" s="44" t="s">
        <v>309</v>
      </c>
      <c r="Q1991" s="59" t="str">
        <f>MID(Tabla1[[#This Row],[Aplicación]],14,1)</f>
        <v>6</v>
      </c>
      <c r="R1991" s="35" t="s">
        <v>299</v>
      </c>
      <c r="S1991" s="59" t="str">
        <f>MID(Tabla1[[#This Row],[Aplicación]],6,2)</f>
        <v>11</v>
      </c>
      <c r="T1991" s="35" t="str">
        <f>VLOOKUP(Tabla1[[#This Row],[AREA]],Hoja1!A:B,2,FALSE)</f>
        <v>11. Salud pública y seguridad ciudadana</v>
      </c>
      <c r="U1991" s="35" t="str">
        <f>MID(Tabla1[[#This Row],[Aplicación]],9,4)</f>
        <v>1321</v>
      </c>
      <c r="V1991" s="35" t="str">
        <f>VLOOKUP(Tabla1[[#This Row],[PROGRAMA]],Hoja1!A:B,2,FALSE)</f>
        <v>1321. Policía municipal</v>
      </c>
      <c r="W1991" s="56" t="str">
        <f>MID(Tabla1[[#This Row],[Aplicación]],14,2)</f>
        <v>63</v>
      </c>
      <c r="X1991" s="56" t="str">
        <f>MID(Tabla1[[#This Row],[Aplicación]],14,6)</f>
        <v>632</v>
      </c>
    </row>
    <row r="1992" spans="1:24" x14ac:dyDescent="0.25">
      <c r="A1992" s="55">
        <v>220220015768</v>
      </c>
      <c r="B1992" s="47" t="s">
        <v>507</v>
      </c>
      <c r="C1992" s="52">
        <v>45014</v>
      </c>
      <c r="D1992" s="46">
        <v>22021006838</v>
      </c>
      <c r="E1992" s="47" t="s">
        <v>549</v>
      </c>
      <c r="F1992" s="53">
        <v>87725</v>
      </c>
      <c r="G1992" s="47" t="s">
        <v>3433</v>
      </c>
      <c r="H1992" s="47" t="s">
        <v>3439</v>
      </c>
      <c r="I1992" s="46" t="s">
        <v>511</v>
      </c>
      <c r="J1992" s="47" t="s">
        <v>3435</v>
      </c>
      <c r="K1992" s="47" t="s">
        <v>512</v>
      </c>
      <c r="L1992" s="47" t="s">
        <v>552</v>
      </c>
      <c r="M1992" s="47" t="s">
        <v>514</v>
      </c>
      <c r="N1992" s="47" t="s">
        <v>515</v>
      </c>
      <c r="O1992" s="54" t="s">
        <v>371</v>
      </c>
      <c r="P1992" s="44" t="s">
        <v>309</v>
      </c>
      <c r="Q1992" s="59" t="str">
        <f>MID(Tabla1[[#This Row],[Aplicación]],14,1)</f>
        <v>6</v>
      </c>
      <c r="R1992" s="35" t="s">
        <v>299</v>
      </c>
      <c r="S1992" s="59" t="str">
        <f>MID(Tabla1[[#This Row],[Aplicación]],6,2)</f>
        <v>11</v>
      </c>
      <c r="T1992" s="35" t="str">
        <f>VLOOKUP(Tabla1[[#This Row],[AREA]],Hoja1!A:B,2,FALSE)</f>
        <v>11. Salud pública y seguridad ciudadana</v>
      </c>
      <c r="U1992" s="35" t="str">
        <f>MID(Tabla1[[#This Row],[Aplicación]],9,4)</f>
        <v>1621</v>
      </c>
      <c r="V1992" s="35" t="str">
        <f>VLOOKUP(Tabla1[[#This Row],[PROGRAMA]],Hoja1!A:B,2,FALSE)</f>
        <v>1621. Servicio de limpieza</v>
      </c>
      <c r="W1992" s="56" t="str">
        <f>MID(Tabla1[[#This Row],[Aplicación]],14,2)</f>
        <v>63</v>
      </c>
      <c r="X1992" s="56" t="str">
        <f>MID(Tabla1[[#This Row],[Aplicación]],14,6)</f>
        <v>634</v>
      </c>
    </row>
    <row r="1993" spans="1:24" x14ac:dyDescent="0.25">
      <c r="A1993" s="55">
        <v>220220068119</v>
      </c>
      <c r="B1993" s="47" t="s">
        <v>507</v>
      </c>
      <c r="C1993" s="52">
        <v>45014</v>
      </c>
      <c r="D1993" s="46">
        <v>22022002876</v>
      </c>
      <c r="E1993" s="47" t="s">
        <v>854</v>
      </c>
      <c r="F1993" s="53">
        <v>80000</v>
      </c>
      <c r="G1993" s="47" t="s">
        <v>954</v>
      </c>
      <c r="H1993" s="47" t="s">
        <v>3436</v>
      </c>
      <c r="I1993" s="46" t="s">
        <v>511</v>
      </c>
      <c r="J1993" s="47" t="s">
        <v>956</v>
      </c>
      <c r="K1993" s="47" t="s">
        <v>512</v>
      </c>
      <c r="L1993" s="47" t="s">
        <v>552</v>
      </c>
      <c r="M1993" s="47" t="s">
        <v>514</v>
      </c>
      <c r="N1993" s="47" t="s">
        <v>515</v>
      </c>
      <c r="O1993" s="54" t="s">
        <v>371</v>
      </c>
      <c r="P1993" s="44" t="s">
        <v>309</v>
      </c>
      <c r="Q1993" s="59" t="str">
        <f>MID(Tabla1[[#This Row],[Aplicación]],14,1)</f>
        <v>6</v>
      </c>
      <c r="R1993" s="35" t="s">
        <v>299</v>
      </c>
      <c r="S1993" s="59" t="str">
        <f>MID(Tabla1[[#This Row],[Aplicación]],6,2)</f>
        <v>11</v>
      </c>
      <c r="T1993" s="35" t="str">
        <f>VLOOKUP(Tabla1[[#This Row],[AREA]],Hoja1!A:B,2,FALSE)</f>
        <v>11. Salud pública y seguridad ciudadana</v>
      </c>
      <c r="U1993" s="35" t="str">
        <f>MID(Tabla1[[#This Row],[Aplicación]],9,4)</f>
        <v>1321</v>
      </c>
      <c r="V1993" s="35" t="str">
        <f>VLOOKUP(Tabla1[[#This Row],[PROGRAMA]],Hoja1!A:B,2,FALSE)</f>
        <v>1321. Policía municipal</v>
      </c>
      <c r="W1993" s="56" t="str">
        <f>MID(Tabla1[[#This Row],[Aplicación]],14,2)</f>
        <v>64</v>
      </c>
      <c r="X1993" s="56" t="str">
        <f>MID(Tabla1[[#This Row],[Aplicación]],14,6)</f>
        <v>641</v>
      </c>
    </row>
    <row r="1994" spans="1:24" x14ac:dyDescent="0.25">
      <c r="A1994" s="55">
        <v>220220034818</v>
      </c>
      <c r="B1994" s="47" t="s">
        <v>507</v>
      </c>
      <c r="C1994" s="52">
        <v>45014</v>
      </c>
      <c r="D1994" s="46">
        <v>22022003668</v>
      </c>
      <c r="E1994" s="47" t="s">
        <v>583</v>
      </c>
      <c r="F1994" s="53">
        <v>77200.5</v>
      </c>
      <c r="G1994" s="47" t="s">
        <v>3440</v>
      </c>
      <c r="H1994" s="47" t="s">
        <v>3441</v>
      </c>
      <c r="I1994" s="46" t="s">
        <v>511</v>
      </c>
      <c r="J1994" s="47" t="s">
        <v>3442</v>
      </c>
      <c r="K1994" s="47" t="s">
        <v>1293</v>
      </c>
      <c r="L1994" s="47" t="s">
        <v>520</v>
      </c>
      <c r="M1994" s="47" t="s">
        <v>514</v>
      </c>
      <c r="N1994" s="47" t="s">
        <v>515</v>
      </c>
      <c r="O1994" s="54" t="s">
        <v>371</v>
      </c>
      <c r="P1994" s="44" t="s">
        <v>309</v>
      </c>
      <c r="Q1994" s="59" t="str">
        <f>MID(Tabla1[[#This Row],[Aplicación]],14,1)</f>
        <v>6</v>
      </c>
      <c r="R1994" s="35" t="s">
        <v>299</v>
      </c>
      <c r="S1994" s="59" t="str">
        <f>MID(Tabla1[[#This Row],[Aplicación]],6,2)</f>
        <v>02</v>
      </c>
      <c r="T1994" s="35" t="str">
        <f>VLOOKUP(Tabla1[[#This Row],[AREA]],Hoja1!A:B,2,FALSE)</f>
        <v>02. Planeamiento urbanístico y vivienda</v>
      </c>
      <c r="U1994" s="35" t="str">
        <f>MID(Tabla1[[#This Row],[Aplicación]],9,4)</f>
        <v>1511</v>
      </c>
      <c r="V1994" s="35" t="str">
        <f>VLOOKUP(Tabla1[[#This Row],[PROGRAMA]],Hoja1!A:B,2,FALSE)</f>
        <v>1511. Planficación y gestión del urbanismo</v>
      </c>
      <c r="W1994" s="56" t="str">
        <f>MID(Tabla1[[#This Row],[Aplicación]],14,2)</f>
        <v>60</v>
      </c>
      <c r="X1994" s="56" t="str">
        <f>MID(Tabla1[[#This Row],[Aplicación]],14,6)</f>
        <v>609</v>
      </c>
    </row>
    <row r="1995" spans="1:24" x14ac:dyDescent="0.25">
      <c r="A1995" s="55">
        <v>220220058854</v>
      </c>
      <c r="B1995" s="47" t="s">
        <v>507</v>
      </c>
      <c r="C1995" s="52">
        <v>45014</v>
      </c>
      <c r="D1995" s="46">
        <v>22022005788</v>
      </c>
      <c r="E1995" s="47" t="s">
        <v>784</v>
      </c>
      <c r="F1995" s="53">
        <v>271704.52</v>
      </c>
      <c r="G1995" s="47" t="s">
        <v>746</v>
      </c>
      <c r="H1995" s="47" t="s">
        <v>3421</v>
      </c>
      <c r="I1995" s="46" t="s">
        <v>511</v>
      </c>
      <c r="J1995" s="47" t="s">
        <v>532</v>
      </c>
      <c r="K1995" s="47" t="s">
        <v>512</v>
      </c>
      <c r="L1995" s="47" t="s">
        <v>552</v>
      </c>
      <c r="M1995" s="47" t="s">
        <v>514</v>
      </c>
      <c r="N1995" s="47" t="s">
        <v>515</v>
      </c>
      <c r="O1995" s="54" t="s">
        <v>371</v>
      </c>
      <c r="P1995" s="44" t="s">
        <v>309</v>
      </c>
      <c r="Q1995" s="59">
        <v>6</v>
      </c>
      <c r="R1995" s="35" t="s">
        <v>299</v>
      </c>
      <c r="S1995" s="59" t="str">
        <f>MID(Tabla1[[#This Row],[Aplicación]],6,2)</f>
        <v>07</v>
      </c>
      <c r="T1995" s="35" t="str">
        <f>VLOOKUP(Tabla1[[#This Row],[AREA]],Hoja1!A:B,2,FALSE)</f>
        <v>07. Medio ambiente y desarrollo sostenible</v>
      </c>
      <c r="U1995" s="35">
        <v>1721</v>
      </c>
      <c r="V1995" s="35" t="str">
        <f>VLOOKUP(Tabla1[[#This Row],[PROGRAMA]],Hoja1!A:B,2,FALSE)</f>
        <v>1721. Protección del medio ambiente</v>
      </c>
      <c r="W1995" s="56">
        <v>64</v>
      </c>
      <c r="X1995" s="56">
        <v>641</v>
      </c>
    </row>
    <row r="1996" spans="1:24" x14ac:dyDescent="0.25">
      <c r="A1996" s="55">
        <v>220220074457</v>
      </c>
      <c r="B1996" s="47" t="s">
        <v>507</v>
      </c>
      <c r="C1996" s="52">
        <v>45014</v>
      </c>
      <c r="D1996" s="46">
        <v>22022008400</v>
      </c>
      <c r="E1996" s="47" t="s">
        <v>3443</v>
      </c>
      <c r="F1996" s="53">
        <v>75867</v>
      </c>
      <c r="G1996" s="47" t="s">
        <v>3444</v>
      </c>
      <c r="H1996" s="47" t="s">
        <v>3445</v>
      </c>
      <c r="I1996" s="46" t="s">
        <v>511</v>
      </c>
      <c r="J1996" s="47" t="s">
        <v>519</v>
      </c>
      <c r="K1996" s="47" t="s">
        <v>519</v>
      </c>
      <c r="L1996" s="47" t="s">
        <v>520</v>
      </c>
      <c r="M1996" s="47" t="s">
        <v>514</v>
      </c>
      <c r="N1996" s="47" t="s">
        <v>515</v>
      </c>
      <c r="O1996" s="54" t="s">
        <v>371</v>
      </c>
      <c r="P1996" s="44" t="s">
        <v>309</v>
      </c>
      <c r="Q1996" s="59" t="str">
        <f>MID(Tabla1[[#This Row],[Aplicación]],14,1)</f>
        <v>6</v>
      </c>
      <c r="R1996" s="35" t="s">
        <v>299</v>
      </c>
      <c r="S1996" s="59" t="str">
        <f>MID(Tabla1[[#This Row],[Aplicación]],6,2)</f>
        <v>09</v>
      </c>
      <c r="T1996" s="35" t="str">
        <f>VLOOKUP(Tabla1[[#This Row],[AREA]],Hoja1!A:B,2,FALSE)</f>
        <v>09. Cultura y turismo</v>
      </c>
      <c r="U1996" s="35" t="str">
        <f>MID(Tabla1[[#This Row],[Aplicación]],9,4)</f>
        <v>3341</v>
      </c>
      <c r="V1996" s="35" t="str">
        <f>VLOOKUP(Tabla1[[#This Row],[PROGRAMA]],Hoja1!A:B,2,FALSE)</f>
        <v>3341. Coordinación de políticas culturales</v>
      </c>
      <c r="W1996" s="56" t="str">
        <f>MID(Tabla1[[#This Row],[Aplicación]],14,2)</f>
        <v>63</v>
      </c>
      <c r="X1996" s="56" t="str">
        <f>MID(Tabla1[[#This Row],[Aplicación]],14,6)</f>
        <v>632</v>
      </c>
    </row>
    <row r="1997" spans="1:24" x14ac:dyDescent="0.25">
      <c r="A1997" s="55">
        <v>220220032531</v>
      </c>
      <c r="B1997" s="47" t="s">
        <v>507</v>
      </c>
      <c r="C1997" s="52">
        <v>45014</v>
      </c>
      <c r="D1997" s="46">
        <v>22022002606</v>
      </c>
      <c r="E1997" s="47" t="s">
        <v>3351</v>
      </c>
      <c r="F1997" s="53">
        <v>70436.28</v>
      </c>
      <c r="G1997" s="47" t="s">
        <v>331</v>
      </c>
      <c r="H1997" s="47" t="s">
        <v>3446</v>
      </c>
      <c r="I1997" s="46" t="s">
        <v>511</v>
      </c>
      <c r="J1997" s="47" t="s">
        <v>731</v>
      </c>
      <c r="K1997" s="47" t="s">
        <v>519</v>
      </c>
      <c r="L1997" s="47" t="s">
        <v>520</v>
      </c>
      <c r="M1997" s="47" t="s">
        <v>514</v>
      </c>
      <c r="N1997" s="47" t="s">
        <v>515</v>
      </c>
      <c r="O1997" s="54" t="s">
        <v>371</v>
      </c>
      <c r="P1997" s="44" t="s">
        <v>309</v>
      </c>
      <c r="Q1997" s="59" t="str">
        <f>MID(Tabla1[[#This Row],[Aplicación]],14,1)</f>
        <v>6</v>
      </c>
      <c r="R1997" s="35" t="s">
        <v>299</v>
      </c>
      <c r="S1997" s="59" t="str">
        <f>MID(Tabla1[[#This Row],[Aplicación]],6,2)</f>
        <v>02</v>
      </c>
      <c r="T1997" s="35" t="str">
        <f>VLOOKUP(Tabla1[[#This Row],[AREA]],Hoja1!A:B,2,FALSE)</f>
        <v>02. Planeamiento urbanístico y vivienda</v>
      </c>
      <c r="U1997" s="35" t="str">
        <f>MID(Tabla1[[#This Row],[Aplicación]],9,4)</f>
        <v>1511</v>
      </c>
      <c r="V1997" s="35" t="str">
        <f>VLOOKUP(Tabla1[[#This Row],[PROGRAMA]],Hoja1!A:B,2,FALSE)</f>
        <v>1511. Planficación y gestión del urbanismo</v>
      </c>
      <c r="W1997" s="56" t="str">
        <f>MID(Tabla1[[#This Row],[Aplicación]],14,2)</f>
        <v>64</v>
      </c>
      <c r="X1997" s="56" t="str">
        <f>MID(Tabla1[[#This Row],[Aplicación]],14,6)</f>
        <v>641</v>
      </c>
    </row>
    <row r="1998" spans="1:24" x14ac:dyDescent="0.25">
      <c r="A1998" s="55">
        <v>220220015766</v>
      </c>
      <c r="B1998" s="47" t="s">
        <v>507</v>
      </c>
      <c r="C1998" s="52">
        <v>45014</v>
      </c>
      <c r="D1998" s="46">
        <v>22021006800</v>
      </c>
      <c r="E1998" s="47" t="s">
        <v>3432</v>
      </c>
      <c r="F1998" s="53">
        <v>69360.289999999994</v>
      </c>
      <c r="G1998" s="47" t="s">
        <v>3447</v>
      </c>
      <c r="H1998" s="47" t="s">
        <v>3448</v>
      </c>
      <c r="I1998" s="46" t="s">
        <v>511</v>
      </c>
      <c r="J1998" s="47" t="s">
        <v>3449</v>
      </c>
      <c r="K1998" s="47" t="s">
        <v>858</v>
      </c>
      <c r="L1998" s="47" t="s">
        <v>552</v>
      </c>
      <c r="M1998" s="47" t="s">
        <v>514</v>
      </c>
      <c r="N1998" s="47" t="s">
        <v>515</v>
      </c>
      <c r="O1998" s="54" t="s">
        <v>371</v>
      </c>
      <c r="P1998" s="44" t="s">
        <v>309</v>
      </c>
      <c r="Q1998" s="59" t="str">
        <f>MID(Tabla1[[#This Row],[Aplicación]],14,1)</f>
        <v>6</v>
      </c>
      <c r="R1998" s="35" t="s">
        <v>299</v>
      </c>
      <c r="S1998" s="59" t="str">
        <f>MID(Tabla1[[#This Row],[Aplicación]],6,2)</f>
        <v>11</v>
      </c>
      <c r="T1998" s="35" t="str">
        <f>VLOOKUP(Tabla1[[#This Row],[AREA]],Hoja1!A:B,2,FALSE)</f>
        <v>11. Salud pública y seguridad ciudadana</v>
      </c>
      <c r="U1998" s="35" t="str">
        <f>MID(Tabla1[[#This Row],[Aplicación]],9,4)</f>
        <v>1631</v>
      </c>
      <c r="V1998" s="35" t="str">
        <f>VLOOKUP(Tabla1[[#This Row],[PROGRAMA]],Hoja1!A:B,2,FALSE)</f>
        <v>1631. Limpieza viaria</v>
      </c>
      <c r="W1998" s="56" t="str">
        <f>MID(Tabla1[[#This Row],[Aplicación]],14,2)</f>
        <v>63</v>
      </c>
      <c r="X1998" s="56" t="str">
        <f>MID(Tabla1[[#This Row],[Aplicación]],14,6)</f>
        <v>634</v>
      </c>
    </row>
    <row r="1999" spans="1:24" x14ac:dyDescent="0.25">
      <c r="A1999" s="55">
        <v>220220068120</v>
      </c>
      <c r="B1999" s="47" t="s">
        <v>507</v>
      </c>
      <c r="C1999" s="52">
        <v>45014</v>
      </c>
      <c r="D1999" s="46">
        <v>22022002879</v>
      </c>
      <c r="E1999" s="47" t="s">
        <v>854</v>
      </c>
      <c r="F1999" s="53">
        <v>65968.37</v>
      </c>
      <c r="G1999" s="47" t="s">
        <v>855</v>
      </c>
      <c r="H1999" s="47" t="s">
        <v>3423</v>
      </c>
      <c r="I1999" s="46" t="s">
        <v>511</v>
      </c>
      <c r="J1999" s="47" t="s">
        <v>857</v>
      </c>
      <c r="K1999" s="47" t="s">
        <v>858</v>
      </c>
      <c r="L1999" s="47" t="s">
        <v>552</v>
      </c>
      <c r="M1999" s="47" t="s">
        <v>514</v>
      </c>
      <c r="N1999" s="47" t="s">
        <v>515</v>
      </c>
      <c r="O1999" s="54" t="s">
        <v>371</v>
      </c>
      <c r="P1999" s="44" t="s">
        <v>309</v>
      </c>
      <c r="Q1999" s="59" t="str">
        <f>MID(Tabla1[[#This Row],[Aplicación]],14,1)</f>
        <v>6</v>
      </c>
      <c r="R1999" s="35" t="s">
        <v>299</v>
      </c>
      <c r="S1999" s="59" t="str">
        <f>MID(Tabla1[[#This Row],[Aplicación]],6,2)</f>
        <v>11</v>
      </c>
      <c r="T1999" s="35" t="str">
        <f>VLOOKUP(Tabla1[[#This Row],[AREA]],Hoja1!A:B,2,FALSE)</f>
        <v>11. Salud pública y seguridad ciudadana</v>
      </c>
      <c r="U1999" s="35" t="str">
        <f>MID(Tabla1[[#This Row],[Aplicación]],9,4)</f>
        <v>1321</v>
      </c>
      <c r="V1999" s="35" t="str">
        <f>VLOOKUP(Tabla1[[#This Row],[PROGRAMA]],Hoja1!A:B,2,FALSE)</f>
        <v>1321. Policía municipal</v>
      </c>
      <c r="W1999" s="56" t="str">
        <f>MID(Tabla1[[#This Row],[Aplicación]],14,2)</f>
        <v>64</v>
      </c>
      <c r="X1999" s="56" t="str">
        <f>MID(Tabla1[[#This Row],[Aplicación]],14,6)</f>
        <v>641</v>
      </c>
    </row>
    <row r="2000" spans="1:24" x14ac:dyDescent="0.25">
      <c r="A2000" s="55">
        <v>220220046956</v>
      </c>
      <c r="B2000" s="47" t="s">
        <v>507</v>
      </c>
      <c r="C2000" s="52">
        <v>45014</v>
      </c>
      <c r="D2000" s="46">
        <v>22022004670</v>
      </c>
      <c r="E2000" s="47" t="s">
        <v>533</v>
      </c>
      <c r="F2000" s="53">
        <v>56035.98</v>
      </c>
      <c r="G2000" s="47" t="s">
        <v>845</v>
      </c>
      <c r="H2000" s="47" t="s">
        <v>3450</v>
      </c>
      <c r="I2000" s="46" t="s">
        <v>511</v>
      </c>
      <c r="J2000" s="47" t="s">
        <v>847</v>
      </c>
      <c r="K2000" s="47" t="s">
        <v>708</v>
      </c>
      <c r="L2000" s="47" t="s">
        <v>520</v>
      </c>
      <c r="M2000" s="47" t="s">
        <v>514</v>
      </c>
      <c r="N2000" s="47" t="s">
        <v>515</v>
      </c>
      <c r="O2000" s="54" t="s">
        <v>371</v>
      </c>
      <c r="P2000" s="44" t="s">
        <v>309</v>
      </c>
      <c r="Q2000" s="59" t="str">
        <f>MID(Tabla1[[#This Row],[Aplicación]],14,1)</f>
        <v>6</v>
      </c>
      <c r="R2000" s="35" t="s">
        <v>299</v>
      </c>
      <c r="S2000" s="59" t="str">
        <f>MID(Tabla1[[#This Row],[Aplicación]],6,2)</f>
        <v>08</v>
      </c>
      <c r="T2000" s="35" t="str">
        <f>VLOOKUP(Tabla1[[#This Row],[AREA]],Hoja1!A:B,2,FALSE)</f>
        <v>08. Movilidad y espacio urbano</v>
      </c>
      <c r="U2000" s="56" t="str">
        <f>MID(Tabla1[[#This Row],[Aplicación]],9,4)</f>
        <v>1341</v>
      </c>
      <c r="V2000" s="35" t="str">
        <f>VLOOKUP(Tabla1[[#This Row],[PROGRAMA]],Hoja1!A:B,2,FALSE)</f>
        <v>1341. Movilidad</v>
      </c>
      <c r="W2000" s="56" t="str">
        <f>MID(Tabla1[[#This Row],[Aplicación]],14,2)</f>
        <v>61</v>
      </c>
      <c r="X2000" s="56" t="str">
        <f>MID(Tabla1[[#This Row],[Aplicación]],14,6)</f>
        <v>619</v>
      </c>
    </row>
    <row r="2001" spans="1:24" x14ac:dyDescent="0.25">
      <c r="A2001" s="55">
        <v>220220039782</v>
      </c>
      <c r="B2001" s="47" t="s">
        <v>507</v>
      </c>
      <c r="C2001" s="52">
        <v>45014</v>
      </c>
      <c r="D2001" s="46">
        <v>22022003788</v>
      </c>
      <c r="E2001" s="47" t="s">
        <v>559</v>
      </c>
      <c r="F2001" s="53">
        <v>54587.7</v>
      </c>
      <c r="G2001" s="47" t="s">
        <v>84</v>
      </c>
      <c r="H2001" s="47" t="s">
        <v>3451</v>
      </c>
      <c r="I2001" s="46" t="s">
        <v>511</v>
      </c>
      <c r="J2001" s="47" t="s">
        <v>519</v>
      </c>
      <c r="K2001" s="47" t="s">
        <v>519</v>
      </c>
      <c r="L2001" s="47" t="s">
        <v>815</v>
      </c>
      <c r="M2001" s="47" t="s">
        <v>514</v>
      </c>
      <c r="N2001" s="47" t="s">
        <v>604</v>
      </c>
      <c r="O2001" s="54" t="s">
        <v>371</v>
      </c>
      <c r="P2001" s="44" t="s">
        <v>309</v>
      </c>
      <c r="Q2001" s="59" t="str">
        <f>MID(Tabla1[[#This Row],[Aplicación]],14,1)</f>
        <v>6</v>
      </c>
      <c r="R2001" s="35" t="s">
        <v>299</v>
      </c>
      <c r="S2001" s="59" t="str">
        <f>MID(Tabla1[[#This Row],[Aplicación]],6,2)</f>
        <v>08</v>
      </c>
      <c r="T2001" s="35" t="str">
        <f>VLOOKUP(Tabla1[[#This Row],[AREA]],Hoja1!A:B,2,FALSE)</f>
        <v>08. Movilidad y espacio urbano</v>
      </c>
      <c r="U2001" s="35" t="str">
        <f>MID(Tabla1[[#This Row],[Aplicación]],9,4)</f>
        <v>1651</v>
      </c>
      <c r="V2001" s="35" t="str">
        <f>VLOOKUP(Tabla1[[#This Row],[PROGRAMA]],Hoja1!A:B,2,FALSE)</f>
        <v>1651. Alumbrado público</v>
      </c>
      <c r="W2001" s="56" t="str">
        <f>MID(Tabla1[[#This Row],[Aplicación]],14,2)</f>
        <v>61</v>
      </c>
      <c r="X2001" s="56" t="str">
        <f>MID(Tabla1[[#This Row],[Aplicación]],14,6)</f>
        <v>619</v>
      </c>
    </row>
    <row r="2002" spans="1:24" x14ac:dyDescent="0.25">
      <c r="A2002" s="55">
        <v>220220007921</v>
      </c>
      <c r="B2002" s="47" t="s">
        <v>507</v>
      </c>
      <c r="C2002" s="52">
        <v>45014</v>
      </c>
      <c r="D2002" s="46">
        <v>22022002051</v>
      </c>
      <c r="E2002" s="47" t="s">
        <v>1277</v>
      </c>
      <c r="F2002" s="53">
        <v>1183247.94</v>
      </c>
      <c r="G2002" s="47" t="s">
        <v>809</v>
      </c>
      <c r="H2002" s="47" t="s">
        <v>3407</v>
      </c>
      <c r="I2002" s="46" t="s">
        <v>511</v>
      </c>
      <c r="J2002" s="47" t="s">
        <v>811</v>
      </c>
      <c r="K2002" s="47" t="s">
        <v>812</v>
      </c>
      <c r="L2002" s="47" t="s">
        <v>527</v>
      </c>
      <c r="M2002" s="47" t="s">
        <v>514</v>
      </c>
      <c r="N2002" s="47" t="s">
        <v>515</v>
      </c>
      <c r="O2002" s="54" t="s">
        <v>371</v>
      </c>
      <c r="P2002" s="44" t="s">
        <v>309</v>
      </c>
      <c r="Q2002" s="59">
        <v>6</v>
      </c>
      <c r="R2002" s="35" t="s">
        <v>299</v>
      </c>
      <c r="S2002" s="59" t="str">
        <f>MID(Tabla1[[#This Row],[Aplicación]],6,2)</f>
        <v>05</v>
      </c>
      <c r="T2002" s="35" t="str">
        <f>VLOOKUP(Tabla1[[#This Row],[AREA]],Hoja1!A:B,2,FALSE)</f>
        <v>05. Innovación, desarrollo económico, empleo y comercio</v>
      </c>
      <c r="U2002" s="35">
        <v>4312</v>
      </c>
      <c r="V2002" s="35" t="str">
        <f>VLOOKUP(Tabla1[[#This Row],[PROGRAMA]],Hoja1!A:B,2,FALSE)</f>
        <v>4312. Mercados, abastos y lonjas</v>
      </c>
      <c r="W2002" s="56">
        <v>63</v>
      </c>
      <c r="X2002" s="56">
        <v>632</v>
      </c>
    </row>
    <row r="2003" spans="1:24" x14ac:dyDescent="0.25">
      <c r="A2003" s="55">
        <v>220220041577</v>
      </c>
      <c r="B2003" s="47" t="s">
        <v>507</v>
      </c>
      <c r="C2003" s="52">
        <v>45014</v>
      </c>
      <c r="D2003" s="46">
        <v>22022004861</v>
      </c>
      <c r="E2003" s="47" t="s">
        <v>1272</v>
      </c>
      <c r="F2003" s="53">
        <v>52434.49</v>
      </c>
      <c r="G2003" s="47" t="s">
        <v>315</v>
      </c>
      <c r="H2003" s="47" t="s">
        <v>3454</v>
      </c>
      <c r="I2003" s="46" t="s">
        <v>511</v>
      </c>
      <c r="J2003" s="47" t="s">
        <v>519</v>
      </c>
      <c r="K2003" s="47" t="s">
        <v>519</v>
      </c>
      <c r="L2003" s="47" t="s">
        <v>520</v>
      </c>
      <c r="M2003" s="47" t="s">
        <v>514</v>
      </c>
      <c r="N2003" s="47" t="s">
        <v>515</v>
      </c>
      <c r="O2003" s="54" t="s">
        <v>371</v>
      </c>
      <c r="P2003" s="44" t="s">
        <v>309</v>
      </c>
      <c r="Q2003" s="59" t="str">
        <f>MID(Tabla1[[#This Row],[Aplicación]],14,1)</f>
        <v>6</v>
      </c>
      <c r="R2003" s="35" t="s">
        <v>299</v>
      </c>
      <c r="S2003" s="59" t="str">
        <f>MID(Tabla1[[#This Row],[Aplicación]],6,2)</f>
        <v>02</v>
      </c>
      <c r="T2003" s="35" t="str">
        <f>VLOOKUP(Tabla1[[#This Row],[AREA]],Hoja1!A:B,2,FALSE)</f>
        <v>02. Planeamiento urbanístico y vivienda</v>
      </c>
      <c r="U2003" s="35" t="str">
        <f>MID(Tabla1[[#This Row],[Aplicación]],9,4)</f>
        <v>9332</v>
      </c>
      <c r="V2003" s="35" t="str">
        <f>VLOOKUP(Tabla1[[#This Row],[PROGRAMA]],Hoja1!A:B,2,FALSE)</f>
        <v>9332. Mantenimiento de edificios e instalaciones municipales</v>
      </c>
      <c r="W2003" s="56" t="str">
        <f>MID(Tabla1[[#This Row],[Aplicación]],14,2)</f>
        <v>63</v>
      </c>
      <c r="X2003" s="56" t="str">
        <f>MID(Tabla1[[#This Row],[Aplicación]],14,6)</f>
        <v>632</v>
      </c>
    </row>
    <row r="2004" spans="1:24" x14ac:dyDescent="0.25">
      <c r="A2004" s="55">
        <v>220220050749</v>
      </c>
      <c r="B2004" s="47" t="s">
        <v>507</v>
      </c>
      <c r="C2004" s="52">
        <v>45014</v>
      </c>
      <c r="D2004" s="46">
        <v>22022004490</v>
      </c>
      <c r="E2004" s="47" t="s">
        <v>3455</v>
      </c>
      <c r="F2004" s="53">
        <v>49415.59</v>
      </c>
      <c r="G2004" s="47" t="s">
        <v>65</v>
      </c>
      <c r="H2004" s="47" t="s">
        <v>3456</v>
      </c>
      <c r="I2004" s="46" t="s">
        <v>511</v>
      </c>
      <c r="J2004" s="47" t="s">
        <v>519</v>
      </c>
      <c r="K2004" s="47" t="s">
        <v>519</v>
      </c>
      <c r="L2004" s="47" t="s">
        <v>552</v>
      </c>
      <c r="M2004" s="47" t="s">
        <v>514</v>
      </c>
      <c r="N2004" s="47" t="s">
        <v>604</v>
      </c>
      <c r="O2004" s="54" t="s">
        <v>371</v>
      </c>
      <c r="P2004" s="44" t="s">
        <v>309</v>
      </c>
      <c r="Q2004" s="59" t="str">
        <f>MID(Tabla1[[#This Row],[Aplicación]],14,1)</f>
        <v>6</v>
      </c>
      <c r="R2004" s="35" t="s">
        <v>299</v>
      </c>
      <c r="S2004" s="59" t="str">
        <f>MID(Tabla1[[#This Row],[Aplicación]],6,2)</f>
        <v>06</v>
      </c>
      <c r="T2004" s="35" t="str">
        <f>VLOOKUP(Tabla1[[#This Row],[AREA]],Hoja1!A:B,2,FALSE)</f>
        <v>06. Educación, infancia, juventud e igualdad</v>
      </c>
      <c r="U2004" s="35" t="str">
        <f>MID(Tabla1[[#This Row],[Aplicación]],9,4)</f>
        <v>3232</v>
      </c>
      <c r="V2004" s="35" t="str">
        <f>VLOOKUP(Tabla1[[#This Row],[PROGRAMA]],Hoja1!A:B,2,FALSE)</f>
        <v>3232. Conservación y mantenimiento centros educación infantil y primaria</v>
      </c>
      <c r="W2004" s="56" t="str">
        <f>MID(Tabla1[[#This Row],[Aplicación]],14,2)</f>
        <v>63</v>
      </c>
      <c r="X2004" s="56" t="str">
        <f>MID(Tabla1[[#This Row],[Aplicación]],14,6)</f>
        <v>633</v>
      </c>
    </row>
    <row r="2005" spans="1:24" x14ac:dyDescent="0.25">
      <c r="A2005" s="55">
        <v>220220057543</v>
      </c>
      <c r="B2005" s="47" t="s">
        <v>507</v>
      </c>
      <c r="C2005" s="52">
        <v>45014</v>
      </c>
      <c r="D2005" s="46">
        <v>22022006552</v>
      </c>
      <c r="E2005" s="47" t="s">
        <v>1272</v>
      </c>
      <c r="F2005" s="53">
        <v>48237.86</v>
      </c>
      <c r="G2005" s="47" t="s">
        <v>3457</v>
      </c>
      <c r="H2005" s="47" t="s">
        <v>3458</v>
      </c>
      <c r="I2005" s="46" t="s">
        <v>511</v>
      </c>
      <c r="J2005" s="47" t="s">
        <v>519</v>
      </c>
      <c r="K2005" s="47" t="s">
        <v>519</v>
      </c>
      <c r="L2005" s="47" t="s">
        <v>527</v>
      </c>
      <c r="M2005" s="47" t="s">
        <v>976</v>
      </c>
      <c r="N2005" s="47" t="s">
        <v>839</v>
      </c>
      <c r="O2005" s="54" t="s">
        <v>383</v>
      </c>
      <c r="P2005" s="44" t="s">
        <v>309</v>
      </c>
      <c r="Q2005" s="59" t="str">
        <f>MID(Tabla1[[#This Row],[Aplicación]],14,1)</f>
        <v>6</v>
      </c>
      <c r="R2005" s="35" t="s">
        <v>299</v>
      </c>
      <c r="S2005" s="59" t="str">
        <f>MID(Tabla1[[#This Row],[Aplicación]],6,2)</f>
        <v>02</v>
      </c>
      <c r="T2005" s="35" t="str">
        <f>VLOOKUP(Tabla1[[#This Row],[AREA]],Hoja1!A:B,2,FALSE)</f>
        <v>02. Planeamiento urbanístico y vivienda</v>
      </c>
      <c r="U2005" s="35" t="str">
        <f>MID(Tabla1[[#This Row],[Aplicación]],9,4)</f>
        <v>9332</v>
      </c>
      <c r="V2005" s="35" t="str">
        <f>VLOOKUP(Tabla1[[#This Row],[PROGRAMA]],Hoja1!A:B,2,FALSE)</f>
        <v>9332. Mantenimiento de edificios e instalaciones municipales</v>
      </c>
      <c r="W2005" s="56" t="str">
        <f>MID(Tabla1[[#This Row],[Aplicación]],14,2)</f>
        <v>63</v>
      </c>
      <c r="X2005" s="56" t="str">
        <f>MID(Tabla1[[#This Row],[Aplicación]],14,6)</f>
        <v>632</v>
      </c>
    </row>
    <row r="2006" spans="1:24" x14ac:dyDescent="0.25">
      <c r="A2006" s="46">
        <v>220230002579</v>
      </c>
      <c r="B2006" s="47" t="s">
        <v>507</v>
      </c>
      <c r="C2006" s="52">
        <v>44965</v>
      </c>
      <c r="D2006" s="46">
        <v>22023000064</v>
      </c>
      <c r="E2006" s="47" t="s">
        <v>1504</v>
      </c>
      <c r="F2006" s="53">
        <v>13619.76</v>
      </c>
      <c r="G2006" s="47" t="s">
        <v>36</v>
      </c>
      <c r="H2006" s="47" t="s">
        <v>3459</v>
      </c>
      <c r="I2006" s="46" t="s">
        <v>511</v>
      </c>
      <c r="J2006" s="47" t="s">
        <v>519</v>
      </c>
      <c r="K2006" s="47" t="s">
        <v>519</v>
      </c>
      <c r="L2006" s="47" t="s">
        <v>520</v>
      </c>
      <c r="M2006" s="47" t="s">
        <v>976</v>
      </c>
      <c r="N2006" s="47" t="s">
        <v>839</v>
      </c>
      <c r="O2006" s="45" t="s">
        <v>383</v>
      </c>
      <c r="P2006" s="44" t="s">
        <v>309</v>
      </c>
      <c r="Q2006" s="59" t="str">
        <f>MID(Tabla1[[#This Row],[Aplicación]],14,1)</f>
        <v>2</v>
      </c>
      <c r="R2006" s="35" t="s">
        <v>298</v>
      </c>
      <c r="S2006" s="59" t="str">
        <f>MID(Tabla1[[#This Row],[Aplicación]],6,2)</f>
        <v>04</v>
      </c>
      <c r="T2006" s="35" t="str">
        <f>VLOOKUP(Tabla1[[#This Row],[AREA]],Hoja1!A:B,2,FALSE)</f>
        <v>04. Planificación y recursos</v>
      </c>
      <c r="U2006" s="35" t="str">
        <f>MID(Tabla1[[#This Row],[Aplicación]],9,4)</f>
        <v>9321</v>
      </c>
      <c r="V2006" s="35" t="str">
        <f>VLOOKUP(Tabla1[[#This Row],[PROGRAMA]],Hoja1!A:B,2,FALSE)</f>
        <v>9321. Gestión de ingresos e inspección</v>
      </c>
      <c r="W2006" s="56" t="str">
        <f>MID(Tabla1[[#This Row],[Aplicación]],14,2)</f>
        <v>22</v>
      </c>
      <c r="X2006" s="56" t="str">
        <f>MID(Tabla1[[#This Row],[Aplicación]],14,6)</f>
        <v>22799</v>
      </c>
    </row>
    <row r="2007" spans="1:24" x14ac:dyDescent="0.25">
      <c r="A2007" s="55">
        <v>220220058854</v>
      </c>
      <c r="B2007" s="47" t="s">
        <v>507</v>
      </c>
      <c r="C2007" s="52">
        <v>45014</v>
      </c>
      <c r="D2007" s="46">
        <v>22022004102</v>
      </c>
      <c r="E2007" s="47" t="s">
        <v>784</v>
      </c>
      <c r="F2007" s="53">
        <v>134180</v>
      </c>
      <c r="G2007" s="47" t="s">
        <v>746</v>
      </c>
      <c r="H2007" s="47" t="s">
        <v>3421</v>
      </c>
      <c r="I2007" s="46" t="s">
        <v>511</v>
      </c>
      <c r="J2007" s="47" t="s">
        <v>532</v>
      </c>
      <c r="K2007" s="47" t="s">
        <v>512</v>
      </c>
      <c r="L2007" s="47" t="s">
        <v>552</v>
      </c>
      <c r="M2007" s="47" t="s">
        <v>514</v>
      </c>
      <c r="N2007" s="47" t="s">
        <v>515</v>
      </c>
      <c r="O2007" s="54" t="s">
        <v>371</v>
      </c>
      <c r="P2007" s="44" t="s">
        <v>309</v>
      </c>
      <c r="Q2007" s="59">
        <v>6</v>
      </c>
      <c r="R2007" s="35" t="s">
        <v>299</v>
      </c>
      <c r="S2007" s="59" t="str">
        <f>MID(Tabla1[[#This Row],[Aplicación]],6,2)</f>
        <v>07</v>
      </c>
      <c r="T2007" s="35" t="str">
        <f>VLOOKUP(Tabla1[[#This Row],[AREA]],Hoja1!A:B,2,FALSE)</f>
        <v>07. Medio ambiente y desarrollo sostenible</v>
      </c>
      <c r="U2007" s="35">
        <v>1721</v>
      </c>
      <c r="V2007" s="35" t="str">
        <f>VLOOKUP(Tabla1[[#This Row],[PROGRAMA]],Hoja1!A:B,2,FALSE)</f>
        <v>1721. Protección del medio ambiente</v>
      </c>
      <c r="W2007" s="56">
        <v>64</v>
      </c>
      <c r="X2007" s="56">
        <v>641</v>
      </c>
    </row>
    <row r="2008" spans="1:24" x14ac:dyDescent="0.25">
      <c r="A2008" s="55">
        <v>220200016732</v>
      </c>
      <c r="B2008" s="47" t="s">
        <v>507</v>
      </c>
      <c r="C2008" s="52">
        <v>45014</v>
      </c>
      <c r="D2008" s="46">
        <v>22020002100</v>
      </c>
      <c r="E2008" s="47" t="s">
        <v>583</v>
      </c>
      <c r="F2008" s="53">
        <v>43804.3</v>
      </c>
      <c r="G2008" s="47" t="s">
        <v>3461</v>
      </c>
      <c r="H2008" s="47" t="s">
        <v>3462</v>
      </c>
      <c r="I2008" s="46" t="s">
        <v>511</v>
      </c>
      <c r="J2008" s="47" t="s">
        <v>1399</v>
      </c>
      <c r="K2008" s="47" t="s">
        <v>519</v>
      </c>
      <c r="L2008" s="47" t="s">
        <v>527</v>
      </c>
      <c r="M2008" s="47" t="s">
        <v>514</v>
      </c>
      <c r="N2008" s="47" t="s">
        <v>515</v>
      </c>
      <c r="O2008" s="54" t="s">
        <v>371</v>
      </c>
      <c r="P2008" s="44" t="s">
        <v>309</v>
      </c>
      <c r="Q2008" s="59" t="str">
        <f>MID(Tabla1[[#This Row],[Aplicación]],14,1)</f>
        <v>6</v>
      </c>
      <c r="R2008" s="35" t="s">
        <v>299</v>
      </c>
      <c r="S2008" s="59" t="str">
        <f>MID(Tabla1[[#This Row],[Aplicación]],6,2)</f>
        <v>02</v>
      </c>
      <c r="T2008" s="35" t="str">
        <f>VLOOKUP(Tabla1[[#This Row],[AREA]],Hoja1!A:B,2,FALSE)</f>
        <v>02. Planeamiento urbanístico y vivienda</v>
      </c>
      <c r="U2008" s="35" t="str">
        <f>MID(Tabla1[[#This Row],[Aplicación]],9,4)</f>
        <v>1511</v>
      </c>
      <c r="V2008" s="35" t="str">
        <f>VLOOKUP(Tabla1[[#This Row],[PROGRAMA]],Hoja1!A:B,2,FALSE)</f>
        <v>1511. Planficación y gestión del urbanismo</v>
      </c>
      <c r="W2008" s="56" t="str">
        <f>MID(Tabla1[[#This Row],[Aplicación]],14,2)</f>
        <v>60</v>
      </c>
      <c r="X2008" s="56" t="str">
        <f>MID(Tabla1[[#This Row],[Aplicación]],14,6)</f>
        <v>609</v>
      </c>
    </row>
    <row r="2009" spans="1:24" x14ac:dyDescent="0.25">
      <c r="A2009" s="46">
        <v>220229000797</v>
      </c>
      <c r="B2009" s="47" t="s">
        <v>507</v>
      </c>
      <c r="C2009" s="52">
        <v>44927</v>
      </c>
      <c r="D2009" s="46">
        <v>22023001873</v>
      </c>
      <c r="E2009" s="47" t="s">
        <v>3463</v>
      </c>
      <c r="F2009" s="53">
        <v>15427.5</v>
      </c>
      <c r="G2009" s="47" t="s">
        <v>3464</v>
      </c>
      <c r="H2009" s="47" t="s">
        <v>3465</v>
      </c>
      <c r="I2009" s="46" t="s">
        <v>511</v>
      </c>
      <c r="J2009" s="47" t="s">
        <v>519</v>
      </c>
      <c r="K2009" s="47" t="s">
        <v>519</v>
      </c>
      <c r="L2009" s="47" t="s">
        <v>520</v>
      </c>
      <c r="M2009" s="47" t="s">
        <v>514</v>
      </c>
      <c r="N2009" s="47" t="s">
        <v>515</v>
      </c>
      <c r="O2009" s="45" t="s">
        <v>371</v>
      </c>
      <c r="P2009" s="44" t="s">
        <v>309</v>
      </c>
      <c r="Q2009" s="59" t="str">
        <f>MID(Tabla1[[#This Row],[Aplicación]],14,1)</f>
        <v>2</v>
      </c>
      <c r="R2009" s="35" t="s">
        <v>298</v>
      </c>
      <c r="S2009" s="59" t="str">
        <f>MID(Tabla1[[#This Row],[Aplicación]],6,2)</f>
        <v>05</v>
      </c>
      <c r="T2009" s="35" t="str">
        <f>VLOOKUP(Tabla1[[#This Row],[AREA]],Hoja1!A:B,2,FALSE)</f>
        <v>05. Innovación, desarrollo económico, empleo y comercio</v>
      </c>
      <c r="U2009" s="35" t="str">
        <f>MID(Tabla1[[#This Row],[Aplicación]],9,4)</f>
        <v>4314</v>
      </c>
      <c r="V2009" s="35" t="str">
        <f>VLOOKUP(Tabla1[[#This Row],[PROGRAMA]],Hoja1!A:B,2,FALSE)</f>
        <v>4314. Fomento del comercio</v>
      </c>
      <c r="W2009" s="56" t="str">
        <f>MID(Tabla1[[#This Row],[Aplicación]],14,2)</f>
        <v>22</v>
      </c>
      <c r="X2009" s="56" t="str">
        <f>MID(Tabla1[[#This Row],[Aplicación]],14,6)</f>
        <v>22706</v>
      </c>
    </row>
    <row r="2010" spans="1:24" x14ac:dyDescent="0.25">
      <c r="A2010" s="55">
        <v>220230011707</v>
      </c>
      <c r="B2010" s="47" t="s">
        <v>507</v>
      </c>
      <c r="C2010" s="52">
        <v>45014</v>
      </c>
      <c r="D2010" s="46">
        <v>22023003665</v>
      </c>
      <c r="E2010" s="47" t="s">
        <v>3463</v>
      </c>
      <c r="F2010" s="53">
        <v>5989.5</v>
      </c>
      <c r="G2010" s="47" t="s">
        <v>3464</v>
      </c>
      <c r="H2010" s="47" t="s">
        <v>3466</v>
      </c>
      <c r="I2010" s="46" t="s">
        <v>511</v>
      </c>
      <c r="J2010" s="47" t="s">
        <v>519</v>
      </c>
      <c r="K2010" s="47" t="s">
        <v>519</v>
      </c>
      <c r="L2010" s="47" t="s">
        <v>520</v>
      </c>
      <c r="M2010" s="47" t="s">
        <v>976</v>
      </c>
      <c r="N2010" s="47" t="s">
        <v>839</v>
      </c>
      <c r="O2010" s="54" t="s">
        <v>383</v>
      </c>
      <c r="P2010" s="44" t="s">
        <v>309</v>
      </c>
      <c r="Q2010" s="59" t="str">
        <f>MID(Tabla1[[#This Row],[Aplicación]],14,1)</f>
        <v>2</v>
      </c>
      <c r="R2010" s="35" t="s">
        <v>298</v>
      </c>
      <c r="S2010" s="59" t="str">
        <f>MID(Tabla1[[#This Row],[Aplicación]],6,2)</f>
        <v>05</v>
      </c>
      <c r="T2010" s="35" t="str">
        <f>VLOOKUP(Tabla1[[#This Row],[AREA]],Hoja1!A:B,2,FALSE)</f>
        <v>05. Innovación, desarrollo económico, empleo y comercio</v>
      </c>
      <c r="U2010" s="35" t="str">
        <f>MID(Tabla1[[#This Row],[Aplicación]],9,4)</f>
        <v>4314</v>
      </c>
      <c r="V2010" s="35" t="str">
        <f>VLOOKUP(Tabla1[[#This Row],[PROGRAMA]],Hoja1!A:B,2,FALSE)</f>
        <v>4314. Fomento del comercio</v>
      </c>
      <c r="W2010" s="56" t="str">
        <f>MID(Tabla1[[#This Row],[Aplicación]],14,2)</f>
        <v>22</v>
      </c>
      <c r="X2010" s="56" t="str">
        <f>MID(Tabla1[[#This Row],[Aplicación]],14,6)</f>
        <v>22706</v>
      </c>
    </row>
    <row r="2011" spans="1:24" x14ac:dyDescent="0.25">
      <c r="A2011" s="46">
        <v>220230002592</v>
      </c>
      <c r="B2011" s="47" t="s">
        <v>507</v>
      </c>
      <c r="C2011" s="52">
        <v>44965</v>
      </c>
      <c r="D2011" s="46">
        <v>22023002078</v>
      </c>
      <c r="E2011" s="47" t="s">
        <v>835</v>
      </c>
      <c r="F2011" s="53">
        <v>2909</v>
      </c>
      <c r="G2011" s="47" t="s">
        <v>3467</v>
      </c>
      <c r="H2011" s="47" t="s">
        <v>3468</v>
      </c>
      <c r="I2011" s="46" t="s">
        <v>511</v>
      </c>
      <c r="J2011" s="47" t="s">
        <v>1652</v>
      </c>
      <c r="K2011" s="47" t="s">
        <v>545</v>
      </c>
      <c r="L2011" s="47" t="s">
        <v>520</v>
      </c>
      <c r="M2011" s="47" t="s">
        <v>976</v>
      </c>
      <c r="N2011" s="47" t="s">
        <v>839</v>
      </c>
      <c r="O2011" s="45" t="s">
        <v>383</v>
      </c>
      <c r="P2011" s="44" t="s">
        <v>309</v>
      </c>
      <c r="Q2011" s="59" t="str">
        <f>MID(Tabla1[[#This Row],[Aplicación]],14,1)</f>
        <v>2</v>
      </c>
      <c r="R2011" s="35" t="s">
        <v>298</v>
      </c>
      <c r="S2011" s="59" t="str">
        <f>MID(Tabla1[[#This Row],[Aplicación]],6,2)</f>
        <v>05</v>
      </c>
      <c r="T2011" s="35" t="str">
        <f>VLOOKUP(Tabla1[[#This Row],[AREA]],Hoja1!A:B,2,FALSE)</f>
        <v>05. Innovación, desarrollo económico, empleo y comercio</v>
      </c>
      <c r="U2011" s="35" t="str">
        <f>MID(Tabla1[[#This Row],[Aplicación]],9,4)</f>
        <v>4331</v>
      </c>
      <c r="V2011" s="35" t="str">
        <f>VLOOKUP(Tabla1[[#This Row],[PROGRAMA]],Hoja1!A:B,2,FALSE)</f>
        <v>4331. Desarrollo empresarial</v>
      </c>
      <c r="W2011" s="56" t="str">
        <f>MID(Tabla1[[#This Row],[Aplicación]],14,2)</f>
        <v>22</v>
      </c>
      <c r="X2011" s="56" t="str">
        <f>MID(Tabla1[[#This Row],[Aplicación]],14,6)</f>
        <v>22799</v>
      </c>
    </row>
    <row r="2012" spans="1:24" x14ac:dyDescent="0.25">
      <c r="A2012" s="55">
        <v>220220050419</v>
      </c>
      <c r="B2012" s="47" t="s">
        <v>507</v>
      </c>
      <c r="C2012" s="52">
        <v>45014</v>
      </c>
      <c r="D2012" s="46">
        <v>22022004555</v>
      </c>
      <c r="E2012" s="47" t="s">
        <v>3469</v>
      </c>
      <c r="F2012" s="53">
        <v>40376.49</v>
      </c>
      <c r="G2012" s="47" t="s">
        <v>3470</v>
      </c>
      <c r="H2012" s="47" t="s">
        <v>3471</v>
      </c>
      <c r="I2012" s="46" t="s">
        <v>511</v>
      </c>
      <c r="J2012" s="47" t="s">
        <v>1002</v>
      </c>
      <c r="K2012" s="47" t="s">
        <v>1003</v>
      </c>
      <c r="L2012" s="47" t="s">
        <v>552</v>
      </c>
      <c r="M2012" s="47" t="s">
        <v>514</v>
      </c>
      <c r="N2012" s="47" t="s">
        <v>515</v>
      </c>
      <c r="O2012" s="54" t="s">
        <v>371</v>
      </c>
      <c r="P2012" s="44" t="s">
        <v>309</v>
      </c>
      <c r="Q2012" s="59" t="str">
        <f>MID(Tabla1[[#This Row],[Aplicación]],14,1)</f>
        <v>6</v>
      </c>
      <c r="R2012" s="35" t="s">
        <v>299</v>
      </c>
      <c r="S2012" s="59" t="str">
        <f>MID(Tabla1[[#This Row],[Aplicación]],6,2)</f>
        <v>02</v>
      </c>
      <c r="T2012" s="35" t="str">
        <f>VLOOKUP(Tabla1[[#This Row],[AREA]],Hoja1!A:B,2,FALSE)</f>
        <v>02. Planeamiento urbanístico y vivienda</v>
      </c>
      <c r="U2012" s="35" t="str">
        <f>MID(Tabla1[[#This Row],[Aplicación]],9,4)</f>
        <v>9331</v>
      </c>
      <c r="V2012" s="35" t="str">
        <f>VLOOKUP(Tabla1[[#This Row],[PROGRAMA]],Hoja1!A:B,2,FALSE)</f>
        <v>9331. Gestión del patrimonio</v>
      </c>
      <c r="W2012" s="56" t="str">
        <f>MID(Tabla1[[#This Row],[Aplicación]],14,2)</f>
        <v>62</v>
      </c>
      <c r="X2012" s="56" t="str">
        <f>MID(Tabla1[[#This Row],[Aplicación]],14,6)</f>
        <v>623</v>
      </c>
    </row>
    <row r="2013" spans="1:24" x14ac:dyDescent="0.25">
      <c r="A2013" s="55">
        <v>220220040041</v>
      </c>
      <c r="B2013" s="47" t="s">
        <v>507</v>
      </c>
      <c r="C2013" s="52">
        <v>45014</v>
      </c>
      <c r="D2013" s="46">
        <v>22022005483</v>
      </c>
      <c r="E2013" s="47" t="s">
        <v>3472</v>
      </c>
      <c r="F2013" s="53">
        <v>4427.0200000000004</v>
      </c>
      <c r="G2013" s="47" t="s">
        <v>3467</v>
      </c>
      <c r="H2013" s="47" t="s">
        <v>3473</v>
      </c>
      <c r="I2013" s="46" t="s">
        <v>511</v>
      </c>
      <c r="J2013" s="47" t="s">
        <v>1652</v>
      </c>
      <c r="K2013" s="47" t="s">
        <v>545</v>
      </c>
      <c r="L2013" s="47" t="s">
        <v>552</v>
      </c>
      <c r="M2013" s="47" t="s">
        <v>976</v>
      </c>
      <c r="N2013" s="47" t="s">
        <v>839</v>
      </c>
      <c r="O2013" s="54" t="s">
        <v>383</v>
      </c>
      <c r="P2013" s="44" t="s">
        <v>309</v>
      </c>
      <c r="Q2013" s="59" t="str">
        <f>MID(Tabla1[[#This Row],[Aplicación]],14,1)</f>
        <v>6</v>
      </c>
      <c r="R2013" s="35" t="s">
        <v>299</v>
      </c>
      <c r="S2013" s="59" t="str">
        <f>MID(Tabla1[[#This Row],[Aplicación]],6,2)</f>
        <v>05</v>
      </c>
      <c r="T2013" s="35" t="str">
        <f>VLOOKUP(Tabla1[[#This Row],[AREA]],Hoja1!A:B,2,FALSE)</f>
        <v>05. Innovación, desarrollo económico, empleo y comercio</v>
      </c>
      <c r="U2013" s="35" t="str">
        <f>MID(Tabla1[[#This Row],[Aplicación]],9,4)</f>
        <v>4331</v>
      </c>
      <c r="V2013" s="35" t="str">
        <f>VLOOKUP(Tabla1[[#This Row],[PROGRAMA]],Hoja1!A:B,2,FALSE)</f>
        <v>4331. Desarrollo empresarial</v>
      </c>
      <c r="W2013" s="56" t="str">
        <f>MID(Tabla1[[#This Row],[Aplicación]],14,2)</f>
        <v>63</v>
      </c>
      <c r="X2013" s="56" t="str">
        <f>MID(Tabla1[[#This Row],[Aplicación]],14,6)</f>
        <v>633</v>
      </c>
    </row>
    <row r="2014" spans="1:24" x14ac:dyDescent="0.25">
      <c r="A2014" s="46">
        <v>220230006171</v>
      </c>
      <c r="B2014" s="47" t="s">
        <v>507</v>
      </c>
      <c r="C2014" s="52">
        <v>44980</v>
      </c>
      <c r="D2014" s="46">
        <v>22023002580</v>
      </c>
      <c r="E2014" s="47" t="s">
        <v>1290</v>
      </c>
      <c r="F2014" s="53">
        <v>3000</v>
      </c>
      <c r="G2014" s="47" t="s">
        <v>57</v>
      </c>
      <c r="H2014" s="47" t="s">
        <v>3474</v>
      </c>
      <c r="I2014" s="46" t="s">
        <v>511</v>
      </c>
      <c r="J2014" s="47" t="s">
        <v>519</v>
      </c>
      <c r="K2014" s="47" t="s">
        <v>519</v>
      </c>
      <c r="L2014" s="47" t="s">
        <v>520</v>
      </c>
      <c r="M2014" s="47" t="s">
        <v>976</v>
      </c>
      <c r="N2014" s="47" t="s">
        <v>839</v>
      </c>
      <c r="O2014" s="45" t="s">
        <v>383</v>
      </c>
      <c r="P2014" s="44" t="s">
        <v>309</v>
      </c>
      <c r="Q2014" s="59" t="str">
        <f>MID(Tabla1[[#This Row],[Aplicación]],14,1)</f>
        <v>2</v>
      </c>
      <c r="R2014" s="35" t="s">
        <v>298</v>
      </c>
      <c r="S2014" s="59" t="str">
        <f>MID(Tabla1[[#This Row],[Aplicación]],6,2)</f>
        <v>11</v>
      </c>
      <c r="T2014" s="35" t="str">
        <f>VLOOKUP(Tabla1[[#This Row],[AREA]],Hoja1!A:B,2,FALSE)</f>
        <v>11. Salud pública y seguridad ciudadana</v>
      </c>
      <c r="U2014" s="35" t="str">
        <f>MID(Tabla1[[#This Row],[Aplicación]],9,4)</f>
        <v>1621</v>
      </c>
      <c r="V2014" s="35" t="str">
        <f>VLOOKUP(Tabla1[[#This Row],[PROGRAMA]],Hoja1!A:B,2,FALSE)</f>
        <v>1621. Servicio de limpieza</v>
      </c>
      <c r="W2014" s="56" t="str">
        <f>MID(Tabla1[[#This Row],[Aplicación]],14,2)</f>
        <v>21</v>
      </c>
      <c r="X2014" s="56" t="str">
        <f>MID(Tabla1[[#This Row],[Aplicación]],14,6)</f>
        <v>214</v>
      </c>
    </row>
    <row r="2015" spans="1:24" x14ac:dyDescent="0.25">
      <c r="A2015" s="55">
        <v>220220034016</v>
      </c>
      <c r="B2015" s="47" t="s">
        <v>507</v>
      </c>
      <c r="C2015" s="52">
        <v>45014</v>
      </c>
      <c r="D2015" s="46">
        <v>22022002745</v>
      </c>
      <c r="E2015" s="47" t="s">
        <v>741</v>
      </c>
      <c r="F2015" s="53">
        <v>36304.01</v>
      </c>
      <c r="G2015" s="47" t="s">
        <v>584</v>
      </c>
      <c r="H2015" s="47" t="s">
        <v>3475</v>
      </c>
      <c r="I2015" s="46" t="s">
        <v>511</v>
      </c>
      <c r="J2015" s="47" t="s">
        <v>519</v>
      </c>
      <c r="K2015" s="47" t="s">
        <v>519</v>
      </c>
      <c r="L2015" s="47" t="s">
        <v>527</v>
      </c>
      <c r="M2015" s="47" t="s">
        <v>514</v>
      </c>
      <c r="N2015" s="47" t="s">
        <v>515</v>
      </c>
      <c r="O2015" s="54" t="s">
        <v>371</v>
      </c>
      <c r="P2015" s="44" t="s">
        <v>309</v>
      </c>
      <c r="Q2015" s="59" t="str">
        <f>MID(Tabla1[[#This Row],[Aplicación]],14,1)</f>
        <v>6</v>
      </c>
      <c r="R2015" s="35" t="s">
        <v>299</v>
      </c>
      <c r="S2015" s="59" t="str">
        <f>MID(Tabla1[[#This Row],[Aplicación]],6,2)</f>
        <v>07</v>
      </c>
      <c r="T2015" s="35" t="str">
        <f>VLOOKUP(Tabla1[[#This Row],[AREA]],Hoja1!A:B,2,FALSE)</f>
        <v>07. Medio ambiente y desarrollo sostenible</v>
      </c>
      <c r="U2015" s="35" t="str">
        <f>MID(Tabla1[[#This Row],[Aplicación]],9,4)</f>
        <v>1711</v>
      </c>
      <c r="V2015" s="35" t="str">
        <f>VLOOKUP(Tabla1[[#This Row],[PROGRAMA]],Hoja1!A:B,2,FALSE)</f>
        <v>1711. Parques y jardines</v>
      </c>
      <c r="W2015" s="56" t="str">
        <f>MID(Tabla1[[#This Row],[Aplicación]],14,2)</f>
        <v>61</v>
      </c>
      <c r="X2015" s="56" t="str">
        <f>MID(Tabla1[[#This Row],[Aplicación]],14,6)</f>
        <v>619</v>
      </c>
    </row>
    <row r="2016" spans="1:24" x14ac:dyDescent="0.25">
      <c r="A2016" s="55">
        <v>220220075353</v>
      </c>
      <c r="B2016" s="47" t="s">
        <v>507</v>
      </c>
      <c r="C2016" s="52">
        <v>45014</v>
      </c>
      <c r="D2016" s="46">
        <v>22022005717</v>
      </c>
      <c r="E2016" s="47" t="s">
        <v>808</v>
      </c>
      <c r="F2016" s="53">
        <v>32633.33</v>
      </c>
      <c r="G2016" s="47" t="s">
        <v>911</v>
      </c>
      <c r="H2016" s="47" t="s">
        <v>3476</v>
      </c>
      <c r="I2016" s="46" t="s">
        <v>511</v>
      </c>
      <c r="J2016" s="47" t="s">
        <v>519</v>
      </c>
      <c r="K2016" s="47" t="s">
        <v>519</v>
      </c>
      <c r="L2016" s="47" t="s">
        <v>527</v>
      </c>
      <c r="M2016" s="47" t="s">
        <v>514</v>
      </c>
      <c r="N2016" s="47" t="s">
        <v>515</v>
      </c>
      <c r="O2016" s="54" t="s">
        <v>371</v>
      </c>
      <c r="P2016" s="44" t="s">
        <v>309</v>
      </c>
      <c r="Q2016" s="59" t="str">
        <f>MID(Tabla1[[#This Row],[Aplicación]],14,1)</f>
        <v>6</v>
      </c>
      <c r="R2016" s="35" t="s">
        <v>299</v>
      </c>
      <c r="S2016" s="59" t="str">
        <f>MID(Tabla1[[#This Row],[Aplicación]],6,2)</f>
        <v>03</v>
      </c>
      <c r="T2016" s="35" t="str">
        <f>VLOOKUP(Tabla1[[#This Row],[AREA]],Hoja1!A:B,2,FALSE)</f>
        <v>03. Participación ciudadana y deportes</v>
      </c>
      <c r="U2016" s="35" t="str">
        <f>MID(Tabla1[[#This Row],[Aplicación]],9,4)</f>
        <v>9241</v>
      </c>
      <c r="V2016" s="35" t="str">
        <f>VLOOKUP(Tabla1[[#This Row],[PROGRAMA]],Hoja1!A:B,2,FALSE)</f>
        <v>9241. Participación ciudadana</v>
      </c>
      <c r="W2016" s="56" t="str">
        <f>MID(Tabla1[[#This Row],[Aplicación]],14,2)</f>
        <v>63</v>
      </c>
      <c r="X2016" s="56" t="str">
        <f>MID(Tabla1[[#This Row],[Aplicación]],14,6)</f>
        <v>632</v>
      </c>
    </row>
    <row r="2017" spans="1:24" x14ac:dyDescent="0.25">
      <c r="A2017" s="55">
        <v>220220020625</v>
      </c>
      <c r="B2017" s="47" t="s">
        <v>507</v>
      </c>
      <c r="C2017" s="52">
        <v>45014</v>
      </c>
      <c r="D2017" s="46">
        <v>22021007255</v>
      </c>
      <c r="E2017" s="47" t="s">
        <v>1272</v>
      </c>
      <c r="F2017" s="53">
        <v>30277.02</v>
      </c>
      <c r="G2017" s="47" t="s">
        <v>3477</v>
      </c>
      <c r="H2017" s="47" t="s">
        <v>3478</v>
      </c>
      <c r="I2017" s="46" t="s">
        <v>511</v>
      </c>
      <c r="J2017" s="47" t="s">
        <v>519</v>
      </c>
      <c r="K2017" s="47" t="s">
        <v>519</v>
      </c>
      <c r="L2017" s="47" t="s">
        <v>527</v>
      </c>
      <c r="M2017" s="47" t="s">
        <v>514</v>
      </c>
      <c r="N2017" s="47" t="s">
        <v>515</v>
      </c>
      <c r="O2017" s="54" t="s">
        <v>371</v>
      </c>
      <c r="P2017" s="44" t="s">
        <v>309</v>
      </c>
      <c r="Q2017" s="59" t="str">
        <f>MID(Tabla1[[#This Row],[Aplicación]],14,1)</f>
        <v>6</v>
      </c>
      <c r="R2017" s="35" t="s">
        <v>299</v>
      </c>
      <c r="S2017" s="59" t="str">
        <f>MID(Tabla1[[#This Row],[Aplicación]],6,2)</f>
        <v>02</v>
      </c>
      <c r="T2017" s="35" t="str">
        <f>VLOOKUP(Tabla1[[#This Row],[AREA]],Hoja1!A:B,2,FALSE)</f>
        <v>02. Planeamiento urbanístico y vivienda</v>
      </c>
      <c r="U2017" s="35" t="str">
        <f>MID(Tabla1[[#This Row],[Aplicación]],9,4)</f>
        <v>9332</v>
      </c>
      <c r="V2017" s="35" t="str">
        <f>VLOOKUP(Tabla1[[#This Row],[PROGRAMA]],Hoja1!A:B,2,FALSE)</f>
        <v>9332. Mantenimiento de edificios e instalaciones municipales</v>
      </c>
      <c r="W2017" s="56" t="str">
        <f>MID(Tabla1[[#This Row],[Aplicación]],14,2)</f>
        <v>63</v>
      </c>
      <c r="X2017" s="56" t="str">
        <f>MID(Tabla1[[#This Row],[Aplicación]],14,6)</f>
        <v>632</v>
      </c>
    </row>
    <row r="2018" spans="1:24" x14ac:dyDescent="0.25">
      <c r="A2018" s="46">
        <v>220230001999</v>
      </c>
      <c r="B2018" s="47" t="s">
        <v>507</v>
      </c>
      <c r="C2018" s="52">
        <v>44960</v>
      </c>
      <c r="D2018" s="46">
        <v>22023001690</v>
      </c>
      <c r="E2018" s="47" t="s">
        <v>1728</v>
      </c>
      <c r="F2018" s="53">
        <v>1331</v>
      </c>
      <c r="G2018" s="47" t="s">
        <v>3479</v>
      </c>
      <c r="H2018" s="47" t="s">
        <v>3480</v>
      </c>
      <c r="I2018" s="46" t="s">
        <v>511</v>
      </c>
      <c r="J2018" s="47" t="s">
        <v>1049</v>
      </c>
      <c r="K2018" s="47" t="s">
        <v>519</v>
      </c>
      <c r="L2018" s="47" t="s">
        <v>520</v>
      </c>
      <c r="M2018" s="47" t="s">
        <v>976</v>
      </c>
      <c r="N2018" s="47" t="s">
        <v>839</v>
      </c>
      <c r="O2018" s="45" t="s">
        <v>383</v>
      </c>
      <c r="P2018" s="44" t="s">
        <v>309</v>
      </c>
      <c r="Q2018" s="59" t="str">
        <f>MID(Tabla1[[#This Row],[Aplicación]],14,1)</f>
        <v>2</v>
      </c>
      <c r="R2018" s="35" t="s">
        <v>298</v>
      </c>
      <c r="S2018" s="59" t="str">
        <f>MID(Tabla1[[#This Row],[Aplicación]],6,2)</f>
        <v>08</v>
      </c>
      <c r="T2018" s="35" t="str">
        <f>VLOOKUP(Tabla1[[#This Row],[AREA]],Hoja1!A:B,2,FALSE)</f>
        <v>08. Movilidad y espacio urbano</v>
      </c>
      <c r="U2018" s="35" t="str">
        <f>MID(Tabla1[[#This Row],[Aplicación]],9,4)</f>
        <v>1532</v>
      </c>
      <c r="V2018" s="35" t="str">
        <f>VLOOKUP(Tabla1[[#This Row],[PROGRAMA]],Hoja1!A:B,2,FALSE)</f>
        <v>1532. Pavimentación vias públicas y otros servicios urbanísticos</v>
      </c>
      <c r="W2018" s="56" t="str">
        <f>MID(Tabla1[[#This Row],[Aplicación]],14,2)</f>
        <v>21</v>
      </c>
      <c r="X2018" s="56" t="str">
        <f>MID(Tabla1[[#This Row],[Aplicación]],14,6)</f>
        <v>214</v>
      </c>
    </row>
    <row r="2019" spans="1:24" x14ac:dyDescent="0.25">
      <c r="A2019" s="55">
        <v>220220009852</v>
      </c>
      <c r="B2019" s="47" t="s">
        <v>507</v>
      </c>
      <c r="C2019" s="52">
        <v>45014</v>
      </c>
      <c r="D2019" s="46">
        <v>22021007414</v>
      </c>
      <c r="E2019" s="47" t="s">
        <v>546</v>
      </c>
      <c r="F2019" s="53">
        <v>24805</v>
      </c>
      <c r="G2019" s="47" t="s">
        <v>340</v>
      </c>
      <c r="H2019" s="47" t="s">
        <v>3481</v>
      </c>
      <c r="I2019" s="46" t="s">
        <v>511</v>
      </c>
      <c r="J2019" s="47" t="s">
        <v>519</v>
      </c>
      <c r="K2019" s="47" t="s">
        <v>519</v>
      </c>
      <c r="L2019" s="47" t="s">
        <v>520</v>
      </c>
      <c r="M2019" s="47" t="s">
        <v>514</v>
      </c>
      <c r="N2019" s="47" t="s">
        <v>515</v>
      </c>
      <c r="O2019" s="45" t="s">
        <v>371</v>
      </c>
      <c r="P2019" s="44" t="s">
        <v>309</v>
      </c>
      <c r="Q2019" s="59" t="str">
        <f>MID(Tabla1[[#This Row],[Aplicación]],14,1)</f>
        <v>6</v>
      </c>
      <c r="R2019" s="35" t="s">
        <v>299</v>
      </c>
      <c r="S2019" s="59" t="str">
        <f>MID(Tabla1[[#This Row],[Aplicación]],6,2)</f>
        <v>08</v>
      </c>
      <c r="T2019" s="35" t="str">
        <f>VLOOKUP(Tabla1[[#This Row],[AREA]],Hoja1!A:B,2,FALSE)</f>
        <v>08. Movilidad y espacio urbano</v>
      </c>
      <c r="U2019" s="35" t="str">
        <f>MID(Tabla1[[#This Row],[Aplicación]],9,4)</f>
        <v>1532</v>
      </c>
      <c r="V2019" s="35" t="str">
        <f>VLOOKUP(Tabla1[[#This Row],[PROGRAMA]],Hoja1!A:B,2,FALSE)</f>
        <v>1532. Pavimentación vias públicas y otros servicios urbanísticos</v>
      </c>
      <c r="W2019" s="56" t="str">
        <f>MID(Tabla1[[#This Row],[Aplicación]],14,2)</f>
        <v>61</v>
      </c>
      <c r="X2019" s="56" t="str">
        <f>MID(Tabla1[[#This Row],[Aplicación]],14,6)</f>
        <v>619</v>
      </c>
    </row>
    <row r="2020" spans="1:24" x14ac:dyDescent="0.25">
      <c r="A2020" s="55">
        <v>220219000662</v>
      </c>
      <c r="B2020" s="47" t="s">
        <v>507</v>
      </c>
      <c r="C2020" s="52">
        <v>45014</v>
      </c>
      <c r="D2020" s="46">
        <v>22022002215</v>
      </c>
      <c r="E2020" s="47" t="s">
        <v>533</v>
      </c>
      <c r="F2020" s="53">
        <v>22856.92</v>
      </c>
      <c r="G2020" s="47" t="s">
        <v>80</v>
      </c>
      <c r="H2020" s="47" t="s">
        <v>3482</v>
      </c>
      <c r="I2020" s="46" t="s">
        <v>511</v>
      </c>
      <c r="J2020" s="47" t="s">
        <v>519</v>
      </c>
      <c r="K2020" s="47" t="s">
        <v>519</v>
      </c>
      <c r="L2020" s="47" t="s">
        <v>520</v>
      </c>
      <c r="M2020" s="47" t="s">
        <v>514</v>
      </c>
      <c r="N2020" s="47" t="s">
        <v>515</v>
      </c>
      <c r="O2020" s="45" t="s">
        <v>371</v>
      </c>
      <c r="P2020" s="44" t="s">
        <v>309</v>
      </c>
      <c r="Q2020" s="59" t="str">
        <f>MID(Tabla1[[#This Row],[Aplicación]],14,1)</f>
        <v>6</v>
      </c>
      <c r="R2020" s="35" t="s">
        <v>299</v>
      </c>
      <c r="S2020" s="59" t="str">
        <f>MID(Tabla1[[#This Row],[Aplicación]],6,2)</f>
        <v>08</v>
      </c>
      <c r="T2020" s="35" t="str">
        <f>VLOOKUP(Tabla1[[#This Row],[AREA]],Hoja1!A:B,2,FALSE)</f>
        <v>08. Movilidad y espacio urbano</v>
      </c>
      <c r="U2020" s="56" t="str">
        <f>MID(Tabla1[[#This Row],[Aplicación]],9,4)</f>
        <v>1341</v>
      </c>
      <c r="V2020" s="35" t="str">
        <f>VLOOKUP(Tabla1[[#This Row],[PROGRAMA]],Hoja1!A:B,2,FALSE)</f>
        <v>1341. Movilidad</v>
      </c>
      <c r="W2020" s="56" t="str">
        <f>MID(Tabla1[[#This Row],[Aplicación]],14,2)</f>
        <v>61</v>
      </c>
      <c r="X2020" s="56" t="str">
        <f>MID(Tabla1[[#This Row],[Aplicación]],14,6)</f>
        <v>619</v>
      </c>
    </row>
    <row r="2021" spans="1:24" x14ac:dyDescent="0.25">
      <c r="A2021" s="46">
        <v>220230002578</v>
      </c>
      <c r="B2021" s="47" t="s">
        <v>507</v>
      </c>
      <c r="C2021" s="52">
        <v>44965</v>
      </c>
      <c r="D2021" s="46">
        <v>22023000269</v>
      </c>
      <c r="E2021" s="47" t="s">
        <v>3483</v>
      </c>
      <c r="F2021" s="53">
        <v>18150</v>
      </c>
      <c r="G2021" s="47" t="s">
        <v>3484</v>
      </c>
      <c r="H2021" s="47" t="s">
        <v>3485</v>
      </c>
      <c r="I2021" s="46" t="s">
        <v>511</v>
      </c>
      <c r="J2021" s="47" t="s">
        <v>3486</v>
      </c>
      <c r="K2021" s="47" t="s">
        <v>858</v>
      </c>
      <c r="L2021" s="47" t="s">
        <v>520</v>
      </c>
      <c r="M2021" s="47" t="s">
        <v>976</v>
      </c>
      <c r="N2021" s="47" t="s">
        <v>839</v>
      </c>
      <c r="O2021" s="45" t="s">
        <v>383</v>
      </c>
      <c r="P2021" s="44" t="s">
        <v>309</v>
      </c>
      <c r="Q2021" s="59" t="str">
        <f>MID(Tabla1[[#This Row],[Aplicación]],14,1)</f>
        <v>2</v>
      </c>
      <c r="R2021" s="35" t="s">
        <v>298</v>
      </c>
      <c r="S2021" s="59" t="str">
        <f>MID(Tabla1[[#This Row],[Aplicación]],6,2)</f>
        <v>11</v>
      </c>
      <c r="T2021" s="35" t="str">
        <f>VLOOKUP(Tabla1[[#This Row],[AREA]],Hoja1!A:B,2,FALSE)</f>
        <v>11. Salud pública y seguridad ciudadana</v>
      </c>
      <c r="U2021" s="35" t="str">
        <f>MID(Tabla1[[#This Row],[Aplicación]],9,4)</f>
        <v>1621</v>
      </c>
      <c r="V2021" s="35" t="str">
        <f>VLOOKUP(Tabla1[[#This Row],[PROGRAMA]],Hoja1!A:B,2,FALSE)</f>
        <v>1621. Servicio de limpieza</v>
      </c>
      <c r="W2021" s="56" t="str">
        <f>MID(Tabla1[[#This Row],[Aplicación]],14,2)</f>
        <v>20</v>
      </c>
      <c r="X2021" s="56" t="str">
        <f>MID(Tabla1[[#This Row],[Aplicación]],14,6)</f>
        <v>204</v>
      </c>
    </row>
    <row r="2022" spans="1:24" x14ac:dyDescent="0.25">
      <c r="A2022" s="55">
        <v>220230011719</v>
      </c>
      <c r="B2022" s="47" t="s">
        <v>507</v>
      </c>
      <c r="C2022" s="52">
        <v>45014</v>
      </c>
      <c r="D2022" s="46">
        <v>22023003544</v>
      </c>
      <c r="E2022" s="47" t="s">
        <v>1490</v>
      </c>
      <c r="F2022" s="53">
        <v>320.64999999999998</v>
      </c>
      <c r="G2022" s="47" t="s">
        <v>3487</v>
      </c>
      <c r="H2022" s="47" t="s">
        <v>3488</v>
      </c>
      <c r="I2022" s="46" t="s">
        <v>511</v>
      </c>
      <c r="J2022" s="47" t="s">
        <v>519</v>
      </c>
      <c r="K2022" s="47" t="s">
        <v>519</v>
      </c>
      <c r="L2022" s="47" t="s">
        <v>520</v>
      </c>
      <c r="M2022" s="47" t="s">
        <v>976</v>
      </c>
      <c r="N2022" s="47" t="s">
        <v>839</v>
      </c>
      <c r="O2022" s="54" t="s">
        <v>383</v>
      </c>
      <c r="P2022" s="44" t="s">
        <v>309</v>
      </c>
      <c r="Q2022" s="59" t="str">
        <f>MID(Tabla1[[#This Row],[Aplicación]],14,1)</f>
        <v>2</v>
      </c>
      <c r="R2022" s="35" t="s">
        <v>298</v>
      </c>
      <c r="S2022" s="59" t="str">
        <f>MID(Tabla1[[#This Row],[Aplicación]],6,2)</f>
        <v>06</v>
      </c>
      <c r="T2022" s="35" t="str">
        <f>VLOOKUP(Tabla1[[#This Row],[AREA]],Hoja1!A:B,2,FALSE)</f>
        <v>06. Educación, infancia, juventud e igualdad</v>
      </c>
      <c r="U2022" s="35" t="str">
        <f>MID(Tabla1[[#This Row],[Aplicación]],9,4)</f>
        <v>2314</v>
      </c>
      <c r="V2022" s="35" t="str">
        <f>VLOOKUP(Tabla1[[#This Row],[PROGRAMA]],Hoja1!A:B,2,FALSE)</f>
        <v>2314. Centro de programas juveniles</v>
      </c>
      <c r="W2022" s="56" t="str">
        <f>MID(Tabla1[[#This Row],[Aplicación]],14,2)</f>
        <v>22</v>
      </c>
      <c r="X2022" s="56" t="str">
        <f>MID(Tabla1[[#This Row],[Aplicación]],14,6)</f>
        <v>22613</v>
      </c>
    </row>
    <row r="2023" spans="1:24" x14ac:dyDescent="0.25">
      <c r="A2023" s="55">
        <v>220219001225</v>
      </c>
      <c r="B2023" s="47" t="s">
        <v>507</v>
      </c>
      <c r="C2023" s="52">
        <v>45014</v>
      </c>
      <c r="D2023" s="46">
        <v>22022002195</v>
      </c>
      <c r="E2023" s="47" t="s">
        <v>1272</v>
      </c>
      <c r="F2023" s="53">
        <v>10365.040000000001</v>
      </c>
      <c r="G2023" s="47" t="s">
        <v>385</v>
      </c>
      <c r="H2023" s="47" t="s">
        <v>3489</v>
      </c>
      <c r="I2023" s="46" t="s">
        <v>511</v>
      </c>
      <c r="J2023" s="47" t="s">
        <v>519</v>
      </c>
      <c r="K2023" s="47" t="s">
        <v>519</v>
      </c>
      <c r="L2023" s="47" t="s">
        <v>520</v>
      </c>
      <c r="M2023" s="47" t="s">
        <v>514</v>
      </c>
      <c r="N2023" s="47" t="s">
        <v>515</v>
      </c>
      <c r="O2023" s="54" t="s">
        <v>371</v>
      </c>
      <c r="P2023" s="44" t="s">
        <v>309</v>
      </c>
      <c r="Q2023" s="59" t="str">
        <f>MID(Tabla1[[#This Row],[Aplicación]],14,1)</f>
        <v>6</v>
      </c>
      <c r="R2023" s="35" t="s">
        <v>299</v>
      </c>
      <c r="S2023" s="59" t="str">
        <f>MID(Tabla1[[#This Row],[Aplicación]],6,2)</f>
        <v>02</v>
      </c>
      <c r="T2023" s="35" t="str">
        <f>VLOOKUP(Tabla1[[#This Row],[AREA]],Hoja1!A:B,2,FALSE)</f>
        <v>02. Planeamiento urbanístico y vivienda</v>
      </c>
      <c r="U2023" s="35" t="str">
        <f>MID(Tabla1[[#This Row],[Aplicación]],9,4)</f>
        <v>9332</v>
      </c>
      <c r="V2023" s="35" t="str">
        <f>VLOOKUP(Tabla1[[#This Row],[PROGRAMA]],Hoja1!A:B,2,FALSE)</f>
        <v>9332. Mantenimiento de edificios e instalaciones municipales</v>
      </c>
      <c r="W2023" s="56" t="str">
        <f>MID(Tabla1[[#This Row],[Aplicación]],14,2)</f>
        <v>63</v>
      </c>
      <c r="X2023" s="56" t="str">
        <f>MID(Tabla1[[#This Row],[Aplicación]],14,6)</f>
        <v>632</v>
      </c>
    </row>
    <row r="2024" spans="1:24" x14ac:dyDescent="0.25">
      <c r="A2024" s="55">
        <v>220220056119</v>
      </c>
      <c r="B2024" s="47" t="s">
        <v>507</v>
      </c>
      <c r="C2024" s="52">
        <v>45014</v>
      </c>
      <c r="D2024" s="46">
        <v>22022006558</v>
      </c>
      <c r="E2024" s="47" t="s">
        <v>1272</v>
      </c>
      <c r="F2024" s="53">
        <v>47955.33</v>
      </c>
      <c r="G2024" s="47" t="s">
        <v>3490</v>
      </c>
      <c r="H2024" s="47" t="s">
        <v>3491</v>
      </c>
      <c r="I2024" s="46" t="s">
        <v>511</v>
      </c>
      <c r="J2024" s="47" t="s">
        <v>3492</v>
      </c>
      <c r="K2024" s="47" t="s">
        <v>1359</v>
      </c>
      <c r="L2024" s="47" t="s">
        <v>527</v>
      </c>
      <c r="M2024" s="47" t="s">
        <v>976</v>
      </c>
      <c r="N2024" s="47" t="s">
        <v>839</v>
      </c>
      <c r="O2024" s="54" t="s">
        <v>383</v>
      </c>
      <c r="P2024" s="44" t="s">
        <v>309</v>
      </c>
      <c r="Q2024" s="59" t="str">
        <f>MID(Tabla1[[#This Row],[Aplicación]],14,1)</f>
        <v>6</v>
      </c>
      <c r="R2024" s="35" t="s">
        <v>299</v>
      </c>
      <c r="S2024" s="59" t="str">
        <f>MID(Tabla1[[#This Row],[Aplicación]],6,2)</f>
        <v>02</v>
      </c>
      <c r="T2024" s="35" t="str">
        <f>VLOOKUP(Tabla1[[#This Row],[AREA]],Hoja1!A:B,2,FALSE)</f>
        <v>02. Planeamiento urbanístico y vivienda</v>
      </c>
      <c r="U2024" s="35" t="str">
        <f>MID(Tabla1[[#This Row],[Aplicación]],9,4)</f>
        <v>9332</v>
      </c>
      <c r="V2024" s="35" t="str">
        <f>VLOOKUP(Tabla1[[#This Row],[PROGRAMA]],Hoja1!A:B,2,FALSE)</f>
        <v>9332. Mantenimiento de edificios e instalaciones municipales</v>
      </c>
      <c r="W2024" s="56" t="str">
        <f>MID(Tabla1[[#This Row],[Aplicación]],14,2)</f>
        <v>63</v>
      </c>
      <c r="X2024" s="56" t="str">
        <f>MID(Tabla1[[#This Row],[Aplicación]],14,6)</f>
        <v>632</v>
      </c>
    </row>
    <row r="2025" spans="1:24" x14ac:dyDescent="0.25">
      <c r="A2025" s="55">
        <v>220230011730</v>
      </c>
      <c r="B2025" s="47" t="s">
        <v>507</v>
      </c>
      <c r="C2025" s="52">
        <v>45014</v>
      </c>
      <c r="D2025" s="46">
        <v>22023003571</v>
      </c>
      <c r="E2025" s="47" t="s">
        <v>1479</v>
      </c>
      <c r="F2025" s="53">
        <v>495</v>
      </c>
      <c r="G2025" s="47" t="s">
        <v>3493</v>
      </c>
      <c r="H2025" s="47" t="s">
        <v>3494</v>
      </c>
      <c r="I2025" s="46" t="s">
        <v>511</v>
      </c>
      <c r="J2025" s="47" t="s">
        <v>519</v>
      </c>
      <c r="K2025" s="47" t="s">
        <v>519</v>
      </c>
      <c r="L2025" s="47" t="s">
        <v>520</v>
      </c>
      <c r="M2025" s="47" t="s">
        <v>976</v>
      </c>
      <c r="N2025" s="47" t="s">
        <v>839</v>
      </c>
      <c r="O2025" s="54" t="s">
        <v>383</v>
      </c>
      <c r="P2025" s="44" t="s">
        <v>309</v>
      </c>
      <c r="Q2025" s="59" t="str">
        <f>MID(Tabla1[[#This Row],[Aplicación]],14,1)</f>
        <v>2</v>
      </c>
      <c r="R2025" s="35" t="s">
        <v>298</v>
      </c>
      <c r="S2025" s="59" t="str">
        <f>MID(Tabla1[[#This Row],[Aplicación]],6,2)</f>
        <v>03</v>
      </c>
      <c r="T2025" s="35" t="str">
        <f>VLOOKUP(Tabla1[[#This Row],[AREA]],Hoja1!A:B,2,FALSE)</f>
        <v>03. Participación ciudadana y deportes</v>
      </c>
      <c r="U2025" s="35" t="str">
        <f>MID(Tabla1[[#This Row],[Aplicación]],9,4)</f>
        <v>9241</v>
      </c>
      <c r="V2025" s="35" t="str">
        <f>VLOOKUP(Tabla1[[#This Row],[PROGRAMA]],Hoja1!A:B,2,FALSE)</f>
        <v>9241. Participación ciudadana</v>
      </c>
      <c r="W2025" s="56" t="str">
        <f>MID(Tabla1[[#This Row],[Aplicación]],14,2)</f>
        <v>22</v>
      </c>
      <c r="X2025" s="56" t="str">
        <f>MID(Tabla1[[#This Row],[Aplicación]],14,6)</f>
        <v>22609</v>
      </c>
    </row>
    <row r="2026" spans="1:24" x14ac:dyDescent="0.25">
      <c r="A2026" s="55">
        <v>220220030376</v>
      </c>
      <c r="B2026" s="47" t="s">
        <v>507</v>
      </c>
      <c r="C2026" s="52">
        <v>45014</v>
      </c>
      <c r="D2026" s="46">
        <v>22022003276</v>
      </c>
      <c r="E2026" s="47" t="s">
        <v>808</v>
      </c>
      <c r="F2026" s="53">
        <v>186</v>
      </c>
      <c r="G2026" s="47" t="s">
        <v>3495</v>
      </c>
      <c r="H2026" s="47" t="s">
        <v>3496</v>
      </c>
      <c r="I2026" s="46" t="s">
        <v>511</v>
      </c>
      <c r="J2026" s="47" t="s">
        <v>755</v>
      </c>
      <c r="K2026" s="47" t="s">
        <v>755</v>
      </c>
      <c r="L2026" s="47" t="s">
        <v>520</v>
      </c>
      <c r="M2026" s="47" t="s">
        <v>976</v>
      </c>
      <c r="N2026" s="47" t="s">
        <v>839</v>
      </c>
      <c r="O2026" s="54" t="s">
        <v>383</v>
      </c>
      <c r="P2026" s="44" t="s">
        <v>309</v>
      </c>
      <c r="Q2026" s="59" t="str">
        <f>MID(Tabla1[[#This Row],[Aplicación]],14,1)</f>
        <v>6</v>
      </c>
      <c r="R2026" s="35" t="s">
        <v>299</v>
      </c>
      <c r="S2026" s="59" t="str">
        <f>MID(Tabla1[[#This Row],[Aplicación]],6,2)</f>
        <v>03</v>
      </c>
      <c r="T2026" s="35" t="str">
        <f>VLOOKUP(Tabla1[[#This Row],[AREA]],Hoja1!A:B,2,FALSE)</f>
        <v>03. Participación ciudadana y deportes</v>
      </c>
      <c r="U2026" s="35" t="str">
        <f>MID(Tabla1[[#This Row],[Aplicación]],9,4)</f>
        <v>9241</v>
      </c>
      <c r="V2026" s="35" t="str">
        <f>VLOOKUP(Tabla1[[#This Row],[PROGRAMA]],Hoja1!A:B,2,FALSE)</f>
        <v>9241. Participación ciudadana</v>
      </c>
      <c r="W2026" s="56" t="str">
        <f>MID(Tabla1[[#This Row],[Aplicación]],14,2)</f>
        <v>63</v>
      </c>
      <c r="X2026" s="56" t="str">
        <f>MID(Tabla1[[#This Row],[Aplicación]],14,6)</f>
        <v>632</v>
      </c>
    </row>
    <row r="2027" spans="1:24" x14ac:dyDescent="0.25">
      <c r="A2027" s="55">
        <v>220220029347</v>
      </c>
      <c r="B2027" s="47" t="s">
        <v>507</v>
      </c>
      <c r="C2027" s="52">
        <v>45014</v>
      </c>
      <c r="D2027" s="46">
        <v>22022003275</v>
      </c>
      <c r="E2027" s="47" t="s">
        <v>808</v>
      </c>
      <c r="F2027" s="53">
        <v>275.17</v>
      </c>
      <c r="G2027" s="47" t="s">
        <v>3495</v>
      </c>
      <c r="H2027" s="47" t="s">
        <v>3497</v>
      </c>
      <c r="I2027" s="46" t="s">
        <v>511</v>
      </c>
      <c r="J2027" s="47" t="s">
        <v>755</v>
      </c>
      <c r="K2027" s="47" t="s">
        <v>755</v>
      </c>
      <c r="L2027" s="47" t="s">
        <v>520</v>
      </c>
      <c r="M2027" s="47" t="s">
        <v>976</v>
      </c>
      <c r="N2027" s="47" t="s">
        <v>839</v>
      </c>
      <c r="O2027" s="54" t="s">
        <v>383</v>
      </c>
      <c r="P2027" s="44" t="s">
        <v>309</v>
      </c>
      <c r="Q2027" s="59" t="str">
        <f>MID(Tabla1[[#This Row],[Aplicación]],14,1)</f>
        <v>6</v>
      </c>
      <c r="R2027" s="35" t="s">
        <v>299</v>
      </c>
      <c r="S2027" s="59" t="str">
        <f>MID(Tabla1[[#This Row],[Aplicación]],6,2)</f>
        <v>03</v>
      </c>
      <c r="T2027" s="35" t="str">
        <f>VLOOKUP(Tabla1[[#This Row],[AREA]],Hoja1!A:B,2,FALSE)</f>
        <v>03. Participación ciudadana y deportes</v>
      </c>
      <c r="U2027" s="35" t="str">
        <f>MID(Tabla1[[#This Row],[Aplicación]],9,4)</f>
        <v>9241</v>
      </c>
      <c r="V2027" s="35" t="str">
        <f>VLOOKUP(Tabla1[[#This Row],[PROGRAMA]],Hoja1!A:B,2,FALSE)</f>
        <v>9241. Participación ciudadana</v>
      </c>
      <c r="W2027" s="56" t="str">
        <f>MID(Tabla1[[#This Row],[Aplicación]],14,2)</f>
        <v>63</v>
      </c>
      <c r="X2027" s="56" t="str">
        <f>MID(Tabla1[[#This Row],[Aplicación]],14,6)</f>
        <v>632</v>
      </c>
    </row>
    <row r="2028" spans="1:24" x14ac:dyDescent="0.25">
      <c r="A2028" s="55">
        <v>220230011737</v>
      </c>
      <c r="B2028" s="47" t="s">
        <v>507</v>
      </c>
      <c r="C2028" s="52">
        <v>45014</v>
      </c>
      <c r="D2028" s="46">
        <v>22023003479</v>
      </c>
      <c r="E2028" s="47" t="s">
        <v>1907</v>
      </c>
      <c r="F2028" s="53">
        <v>877.25</v>
      </c>
      <c r="G2028" s="47" t="s">
        <v>1675</v>
      </c>
      <c r="H2028" s="47" t="s">
        <v>3498</v>
      </c>
      <c r="I2028" s="46" t="s">
        <v>511</v>
      </c>
      <c r="J2028" s="47" t="s">
        <v>519</v>
      </c>
      <c r="K2028" s="47" t="s">
        <v>519</v>
      </c>
      <c r="L2028" s="47" t="s">
        <v>520</v>
      </c>
      <c r="M2028" s="47" t="s">
        <v>976</v>
      </c>
      <c r="N2028" s="47" t="s">
        <v>839</v>
      </c>
      <c r="O2028" s="54" t="s">
        <v>383</v>
      </c>
      <c r="P2028" s="44" t="s">
        <v>309</v>
      </c>
      <c r="Q2028" s="59" t="str">
        <f>MID(Tabla1[[#This Row],[Aplicación]],14,1)</f>
        <v>2</v>
      </c>
      <c r="R2028" s="35" t="s">
        <v>298</v>
      </c>
      <c r="S2028" s="59" t="str">
        <f>MID(Tabla1[[#This Row],[Aplicación]],6,2)</f>
        <v>10</v>
      </c>
      <c r="T2028" s="35" t="str">
        <f>VLOOKUP(Tabla1[[#This Row],[AREA]],Hoja1!A:B,2,FALSE)</f>
        <v>10. Servicios sociales y mediación comunitaria</v>
      </c>
      <c r="U2028" s="35" t="str">
        <f>MID(Tabla1[[#This Row],[Aplicación]],9,4)</f>
        <v>2313</v>
      </c>
      <c r="V2028" s="35" t="str">
        <f>VLOOKUP(Tabla1[[#This Row],[PROGRAMA]],Hoja1!A:B,2,FALSE)</f>
        <v>2313. Dirección del área de servicios sociales</v>
      </c>
      <c r="W2028" s="56" t="str">
        <f>MID(Tabla1[[#This Row],[Aplicación]],14,2)</f>
        <v>22</v>
      </c>
      <c r="X2028" s="56" t="str">
        <f>MID(Tabla1[[#This Row],[Aplicación]],14,6)</f>
        <v>22699</v>
      </c>
    </row>
    <row r="2029" spans="1:24" x14ac:dyDescent="0.25">
      <c r="A2029" s="55">
        <v>220230011711</v>
      </c>
      <c r="B2029" s="47" t="s">
        <v>507</v>
      </c>
      <c r="C2029" s="52">
        <v>45014</v>
      </c>
      <c r="D2029" s="46">
        <v>22023003511</v>
      </c>
      <c r="E2029" s="47" t="s">
        <v>613</v>
      </c>
      <c r="F2029" s="53">
        <v>510.62</v>
      </c>
      <c r="G2029" s="47" t="s">
        <v>15</v>
      </c>
      <c r="H2029" s="47" t="s">
        <v>3499</v>
      </c>
      <c r="I2029" s="46" t="s">
        <v>511</v>
      </c>
      <c r="J2029" s="47" t="s">
        <v>519</v>
      </c>
      <c r="K2029" s="47" t="s">
        <v>519</v>
      </c>
      <c r="L2029" s="47" t="s">
        <v>520</v>
      </c>
      <c r="M2029" s="47" t="s">
        <v>976</v>
      </c>
      <c r="N2029" s="47" t="s">
        <v>839</v>
      </c>
      <c r="O2029" s="54" t="s">
        <v>383</v>
      </c>
      <c r="P2029" s="44" t="s">
        <v>309</v>
      </c>
      <c r="Q2029" s="59" t="str">
        <f>MID(Tabla1[[#This Row],[Aplicación]],14,1)</f>
        <v>2</v>
      </c>
      <c r="R2029" s="35" t="s">
        <v>298</v>
      </c>
      <c r="S2029" s="59" t="str">
        <f>MID(Tabla1[[#This Row],[Aplicación]],6,2)</f>
        <v>10</v>
      </c>
      <c r="T2029" s="35" t="str">
        <f>VLOOKUP(Tabla1[[#This Row],[AREA]],Hoja1!A:B,2,FALSE)</f>
        <v>10. Servicios sociales y mediación comunitaria</v>
      </c>
      <c r="U2029" s="35" t="str">
        <f>MID(Tabla1[[#This Row],[Aplicación]],9,4)</f>
        <v>2312</v>
      </c>
      <c r="V2029" s="35" t="str">
        <f>VLOOKUP(Tabla1[[#This Row],[PROGRAMA]],Hoja1!A:B,2,FALSE)</f>
        <v>2312. Iniciativas sociales</v>
      </c>
      <c r="W2029" s="56" t="str">
        <f>MID(Tabla1[[#This Row],[Aplicación]],14,2)</f>
        <v>21</v>
      </c>
      <c r="X2029" s="56" t="str">
        <f>MID(Tabla1[[#This Row],[Aplicación]],14,6)</f>
        <v>213</v>
      </c>
    </row>
    <row r="2030" spans="1:24" x14ac:dyDescent="0.25">
      <c r="A2030" s="55">
        <v>220230011715</v>
      </c>
      <c r="B2030" s="47" t="s">
        <v>507</v>
      </c>
      <c r="C2030" s="52">
        <v>45014</v>
      </c>
      <c r="D2030" s="46">
        <v>22023003593</v>
      </c>
      <c r="E2030" s="47" t="s">
        <v>2393</v>
      </c>
      <c r="F2030" s="53">
        <v>937.75</v>
      </c>
      <c r="G2030" s="47" t="s">
        <v>3500</v>
      </c>
      <c r="H2030" s="47" t="s">
        <v>3501</v>
      </c>
      <c r="I2030" s="46" t="s">
        <v>511</v>
      </c>
      <c r="J2030" s="47" t="s">
        <v>519</v>
      </c>
      <c r="K2030" s="47" t="s">
        <v>519</v>
      </c>
      <c r="L2030" s="47" t="s">
        <v>552</v>
      </c>
      <c r="M2030" s="47" t="s">
        <v>976</v>
      </c>
      <c r="N2030" s="47" t="s">
        <v>839</v>
      </c>
      <c r="O2030" s="54" t="s">
        <v>383</v>
      </c>
      <c r="P2030" s="44" t="s">
        <v>309</v>
      </c>
      <c r="Q2030" s="59" t="str">
        <f>MID(Tabla1[[#This Row],[Aplicación]],14,1)</f>
        <v>2</v>
      </c>
      <c r="R2030" s="35" t="s">
        <v>298</v>
      </c>
      <c r="S2030" s="59" t="str">
        <f>MID(Tabla1[[#This Row],[Aplicación]],6,2)</f>
        <v>06</v>
      </c>
      <c r="T2030" s="35" t="str">
        <f>VLOOKUP(Tabla1[[#This Row],[AREA]],Hoja1!A:B,2,FALSE)</f>
        <v>06. Educación, infancia, juventud e igualdad</v>
      </c>
      <c r="U2030" s="35" t="str">
        <f>MID(Tabla1[[#This Row],[Aplicación]],9,4)</f>
        <v>3321</v>
      </c>
      <c r="V2030" s="35" t="str">
        <f>VLOOKUP(Tabla1[[#This Row],[PROGRAMA]],Hoja1!A:B,2,FALSE)</f>
        <v>3321. Bibliotecas públicas</v>
      </c>
      <c r="W2030" s="56" t="str">
        <f>MID(Tabla1[[#This Row],[Aplicación]],14,2)</f>
        <v>22</v>
      </c>
      <c r="X2030" s="56" t="str">
        <f>MID(Tabla1[[#This Row],[Aplicación]],14,6)</f>
        <v>22699</v>
      </c>
    </row>
    <row r="2031" spans="1:24" x14ac:dyDescent="0.25">
      <c r="A2031" s="55">
        <v>220230011731</v>
      </c>
      <c r="B2031" s="47" t="s">
        <v>507</v>
      </c>
      <c r="C2031" s="52">
        <v>45014</v>
      </c>
      <c r="D2031" s="46">
        <v>22023003572</v>
      </c>
      <c r="E2031" s="47" t="s">
        <v>1490</v>
      </c>
      <c r="F2031" s="53">
        <v>410</v>
      </c>
      <c r="G2031" s="47" t="s">
        <v>457</v>
      </c>
      <c r="H2031" s="47" t="s">
        <v>3502</v>
      </c>
      <c r="I2031" s="46" t="s">
        <v>511</v>
      </c>
      <c r="J2031" s="47" t="s">
        <v>519</v>
      </c>
      <c r="K2031" s="47" t="s">
        <v>519</v>
      </c>
      <c r="L2031" s="47" t="s">
        <v>520</v>
      </c>
      <c r="M2031" s="47" t="s">
        <v>976</v>
      </c>
      <c r="N2031" s="47" t="s">
        <v>839</v>
      </c>
      <c r="O2031" s="54" t="s">
        <v>383</v>
      </c>
      <c r="P2031" s="44" t="s">
        <v>309</v>
      </c>
      <c r="Q2031" s="59" t="str">
        <f>MID(Tabla1[[#This Row],[Aplicación]],14,1)</f>
        <v>2</v>
      </c>
      <c r="R2031" s="35" t="s">
        <v>298</v>
      </c>
      <c r="S2031" s="59" t="str">
        <f>MID(Tabla1[[#This Row],[Aplicación]],6,2)</f>
        <v>06</v>
      </c>
      <c r="T2031" s="35" t="str">
        <f>VLOOKUP(Tabla1[[#This Row],[AREA]],Hoja1!A:B,2,FALSE)</f>
        <v>06. Educación, infancia, juventud e igualdad</v>
      </c>
      <c r="U2031" s="35" t="str">
        <f>MID(Tabla1[[#This Row],[Aplicación]],9,4)</f>
        <v>2314</v>
      </c>
      <c r="V2031" s="35" t="str">
        <f>VLOOKUP(Tabla1[[#This Row],[PROGRAMA]],Hoja1!A:B,2,FALSE)</f>
        <v>2314. Centro de programas juveniles</v>
      </c>
      <c r="W2031" s="56" t="str">
        <f>MID(Tabla1[[#This Row],[Aplicación]],14,2)</f>
        <v>22</v>
      </c>
      <c r="X2031" s="56" t="str">
        <f>MID(Tabla1[[#This Row],[Aplicación]],14,6)</f>
        <v>22613</v>
      </c>
    </row>
    <row r="2032" spans="1:24" x14ac:dyDescent="0.25">
      <c r="A2032" s="46">
        <v>220230005920</v>
      </c>
      <c r="B2032" s="47" t="s">
        <v>507</v>
      </c>
      <c r="C2032" s="52">
        <v>44980</v>
      </c>
      <c r="D2032" s="46">
        <v>22023002629</v>
      </c>
      <c r="E2032" s="47" t="s">
        <v>616</v>
      </c>
      <c r="F2032" s="53">
        <v>190</v>
      </c>
      <c r="G2032" s="47" t="s">
        <v>1621</v>
      </c>
      <c r="H2032" s="47" t="s">
        <v>2205</v>
      </c>
      <c r="I2032" s="46" t="s">
        <v>511</v>
      </c>
      <c r="J2032" s="47" t="s">
        <v>1623</v>
      </c>
      <c r="K2032" s="47" t="s">
        <v>1624</v>
      </c>
      <c r="L2032" s="47" t="s">
        <v>520</v>
      </c>
      <c r="M2032" s="47" t="s">
        <v>514</v>
      </c>
      <c r="N2032" s="47" t="s">
        <v>515</v>
      </c>
      <c r="O2032" s="45" t="s">
        <v>371</v>
      </c>
      <c r="P2032" s="44" t="s">
        <v>309</v>
      </c>
      <c r="Q2032" s="59" t="str">
        <f>MID(Tabla1[[#This Row],[Aplicación]],14,1)</f>
        <v>2</v>
      </c>
      <c r="R2032" s="35" t="s">
        <v>298</v>
      </c>
      <c r="S2032" s="59" t="str">
        <f>MID(Tabla1[[#This Row],[Aplicación]],6,2)</f>
        <v>10</v>
      </c>
      <c r="T2032" s="35" t="str">
        <f>VLOOKUP(Tabla1[[#This Row],[AREA]],Hoja1!A:B,2,FALSE)</f>
        <v>10. Servicios sociales y mediación comunitaria</v>
      </c>
      <c r="U2032" s="35" t="str">
        <f>MID(Tabla1[[#This Row],[Aplicación]],9,4)</f>
        <v>2412</v>
      </c>
      <c r="V2032" s="35" t="str">
        <f>VLOOKUP(Tabla1[[#This Row],[PROGRAMA]],Hoja1!A:B,2,FALSE)</f>
        <v>2412. Formación para el empleo</v>
      </c>
      <c r="W2032" s="56" t="str">
        <f>MID(Tabla1[[#This Row],[Aplicación]],14,2)</f>
        <v>21</v>
      </c>
      <c r="X2032" s="56" t="str">
        <f>MID(Tabla1[[#This Row],[Aplicación]],14,6)</f>
        <v>213</v>
      </c>
    </row>
    <row r="2033" spans="1:24" x14ac:dyDescent="0.25">
      <c r="A2033" s="46">
        <v>220230005920</v>
      </c>
      <c r="B2033" s="47" t="s">
        <v>507</v>
      </c>
      <c r="C2033" s="52">
        <v>44980</v>
      </c>
      <c r="D2033" s="46">
        <v>22023002630</v>
      </c>
      <c r="E2033" s="47" t="s">
        <v>616</v>
      </c>
      <c r="F2033" s="53">
        <v>79.010000000000005</v>
      </c>
      <c r="G2033" s="47" t="s">
        <v>1621</v>
      </c>
      <c r="H2033" s="47" t="s">
        <v>2205</v>
      </c>
      <c r="I2033" s="46" t="s">
        <v>511</v>
      </c>
      <c r="J2033" s="47" t="s">
        <v>1623</v>
      </c>
      <c r="K2033" s="47" t="s">
        <v>1624</v>
      </c>
      <c r="L2033" s="47" t="s">
        <v>520</v>
      </c>
      <c r="M2033" s="47" t="s">
        <v>514</v>
      </c>
      <c r="N2033" s="47" t="s">
        <v>515</v>
      </c>
      <c r="O2033" s="45" t="s">
        <v>371</v>
      </c>
      <c r="P2033" s="44" t="s">
        <v>309</v>
      </c>
      <c r="Q2033" s="59" t="str">
        <f>MID(Tabla1[[#This Row],[Aplicación]],14,1)</f>
        <v>2</v>
      </c>
      <c r="R2033" s="35" t="s">
        <v>298</v>
      </c>
      <c r="S2033" s="59" t="str">
        <f>MID(Tabla1[[#This Row],[Aplicación]],6,2)</f>
        <v>10</v>
      </c>
      <c r="T2033" s="35" t="str">
        <f>VLOOKUP(Tabla1[[#This Row],[AREA]],Hoja1!A:B,2,FALSE)</f>
        <v>10. Servicios sociales y mediación comunitaria</v>
      </c>
      <c r="U2033" s="35" t="str">
        <f>MID(Tabla1[[#This Row],[Aplicación]],9,4)</f>
        <v>2412</v>
      </c>
      <c r="V2033" s="35" t="str">
        <f>VLOOKUP(Tabla1[[#This Row],[PROGRAMA]],Hoja1!A:B,2,FALSE)</f>
        <v>2412. Formación para el empleo</v>
      </c>
      <c r="W2033" s="56" t="str">
        <f>MID(Tabla1[[#This Row],[Aplicación]],14,2)</f>
        <v>21</v>
      </c>
      <c r="X2033" s="56" t="str">
        <f>MID(Tabla1[[#This Row],[Aplicación]],14,6)</f>
        <v>213</v>
      </c>
    </row>
    <row r="2034" spans="1:24" x14ac:dyDescent="0.25">
      <c r="A2034" s="55">
        <v>220220071169</v>
      </c>
      <c r="B2034" s="47" t="s">
        <v>507</v>
      </c>
      <c r="C2034" s="52">
        <v>45014</v>
      </c>
      <c r="D2034" s="46">
        <v>22022008723</v>
      </c>
      <c r="E2034" s="47" t="s">
        <v>3400</v>
      </c>
      <c r="F2034" s="53">
        <v>782.98</v>
      </c>
      <c r="G2034" s="47" t="s">
        <v>2394</v>
      </c>
      <c r="H2034" s="47" t="s">
        <v>3503</v>
      </c>
      <c r="I2034" s="46" t="s">
        <v>511</v>
      </c>
      <c r="J2034" s="47" t="s">
        <v>519</v>
      </c>
      <c r="K2034" s="47" t="s">
        <v>519</v>
      </c>
      <c r="L2034" s="47" t="s">
        <v>552</v>
      </c>
      <c r="M2034" s="47" t="s">
        <v>976</v>
      </c>
      <c r="N2034" s="47" t="s">
        <v>839</v>
      </c>
      <c r="O2034" s="54" t="s">
        <v>383</v>
      </c>
      <c r="P2034" s="44" t="s">
        <v>309</v>
      </c>
      <c r="Q2034" s="59" t="str">
        <f>MID(Tabla1[[#This Row],[Aplicación]],14,1)</f>
        <v>6</v>
      </c>
      <c r="R2034" s="35" t="s">
        <v>299</v>
      </c>
      <c r="S2034" s="59" t="str">
        <f>MID(Tabla1[[#This Row],[Aplicación]],6,2)</f>
        <v>04</v>
      </c>
      <c r="T2034" s="35" t="str">
        <f>VLOOKUP(Tabla1[[#This Row],[AREA]],Hoja1!A:B,2,FALSE)</f>
        <v>04. Planificación y recursos</v>
      </c>
      <c r="U2034" s="35" t="str">
        <f>MID(Tabla1[[#This Row],[Aplicación]],9,4)</f>
        <v>9209</v>
      </c>
      <c r="V2034" s="35" t="str">
        <f>VLOOKUP(Tabla1[[#This Row],[PROGRAMA]],Hoja1!A:B,2,FALSE)</f>
        <v>9209. Dirección del area de hacienda y función pública</v>
      </c>
      <c r="W2034" s="56" t="str">
        <f>MID(Tabla1[[#This Row],[Aplicación]],14,2)</f>
        <v>62</v>
      </c>
      <c r="X2034" s="56" t="str">
        <f>MID(Tabla1[[#This Row],[Aplicación]],14,6)</f>
        <v>625</v>
      </c>
    </row>
    <row r="2035" spans="1:24" x14ac:dyDescent="0.25">
      <c r="A2035" s="55">
        <v>220220061571</v>
      </c>
      <c r="B2035" s="47" t="s">
        <v>507</v>
      </c>
      <c r="C2035" s="52">
        <v>45014</v>
      </c>
      <c r="D2035" s="46">
        <v>22022007788</v>
      </c>
      <c r="E2035" s="47" t="s">
        <v>1384</v>
      </c>
      <c r="F2035" s="53">
        <v>531.97</v>
      </c>
      <c r="G2035" s="47" t="s">
        <v>2443</v>
      </c>
      <c r="H2035" s="47" t="s">
        <v>3504</v>
      </c>
      <c r="I2035" s="46" t="s">
        <v>511</v>
      </c>
      <c r="J2035" s="47" t="s">
        <v>519</v>
      </c>
      <c r="K2035" s="47" t="s">
        <v>519</v>
      </c>
      <c r="L2035" s="47" t="s">
        <v>552</v>
      </c>
      <c r="M2035" s="47" t="s">
        <v>976</v>
      </c>
      <c r="N2035" s="47" t="s">
        <v>839</v>
      </c>
      <c r="O2035" s="54" t="s">
        <v>383</v>
      </c>
      <c r="P2035" s="44" t="s">
        <v>309</v>
      </c>
      <c r="Q2035" s="59" t="str">
        <f>MID(Tabla1[[#This Row],[Aplicación]],14,1)</f>
        <v>6</v>
      </c>
      <c r="R2035" s="35" t="s">
        <v>299</v>
      </c>
      <c r="S2035" s="59" t="str">
        <f>MID(Tabla1[[#This Row],[Aplicación]],6,2)</f>
        <v>02</v>
      </c>
      <c r="T2035" s="35" t="str">
        <f>VLOOKUP(Tabla1[[#This Row],[AREA]],Hoja1!A:B,2,FALSE)</f>
        <v>02. Planeamiento urbanístico y vivienda</v>
      </c>
      <c r="U2035" s="35" t="str">
        <f>MID(Tabla1[[#This Row],[Aplicación]],9,4)</f>
        <v>9332</v>
      </c>
      <c r="V2035" s="35" t="str">
        <f>VLOOKUP(Tabla1[[#This Row],[PROGRAMA]],Hoja1!A:B,2,FALSE)</f>
        <v>9332. Mantenimiento de edificios e instalaciones municipales</v>
      </c>
      <c r="W2035" s="56" t="str">
        <f>MID(Tabla1[[#This Row],[Aplicación]],14,2)</f>
        <v>62</v>
      </c>
      <c r="X2035" s="56" t="str">
        <f>MID(Tabla1[[#This Row],[Aplicación]],14,6)</f>
        <v>623</v>
      </c>
    </row>
    <row r="2036" spans="1:24" x14ac:dyDescent="0.25">
      <c r="A2036" s="55">
        <v>220220055602</v>
      </c>
      <c r="B2036" s="47" t="s">
        <v>507</v>
      </c>
      <c r="C2036" s="52">
        <v>45014</v>
      </c>
      <c r="D2036" s="46">
        <v>22022006955</v>
      </c>
      <c r="E2036" s="47" t="s">
        <v>1384</v>
      </c>
      <c r="F2036" s="53">
        <v>722.37</v>
      </c>
      <c r="G2036" s="47" t="s">
        <v>2443</v>
      </c>
      <c r="H2036" s="47" t="s">
        <v>3505</v>
      </c>
      <c r="I2036" s="46" t="s">
        <v>511</v>
      </c>
      <c r="J2036" s="47" t="s">
        <v>519</v>
      </c>
      <c r="K2036" s="47" t="s">
        <v>519</v>
      </c>
      <c r="L2036" s="47" t="s">
        <v>552</v>
      </c>
      <c r="M2036" s="47" t="s">
        <v>976</v>
      </c>
      <c r="N2036" s="47" t="s">
        <v>839</v>
      </c>
      <c r="O2036" s="54" t="s">
        <v>383</v>
      </c>
      <c r="P2036" s="44" t="s">
        <v>309</v>
      </c>
      <c r="Q2036" s="59" t="str">
        <f>MID(Tabla1[[#This Row],[Aplicación]],14,1)</f>
        <v>6</v>
      </c>
      <c r="R2036" s="35" t="s">
        <v>299</v>
      </c>
      <c r="S2036" s="59" t="str">
        <f>MID(Tabla1[[#This Row],[Aplicación]],6,2)</f>
        <v>02</v>
      </c>
      <c r="T2036" s="35" t="str">
        <f>VLOOKUP(Tabla1[[#This Row],[AREA]],Hoja1!A:B,2,FALSE)</f>
        <v>02. Planeamiento urbanístico y vivienda</v>
      </c>
      <c r="U2036" s="35" t="str">
        <f>MID(Tabla1[[#This Row],[Aplicación]],9,4)</f>
        <v>9332</v>
      </c>
      <c r="V2036" s="35" t="str">
        <f>VLOOKUP(Tabla1[[#This Row],[PROGRAMA]],Hoja1!A:B,2,FALSE)</f>
        <v>9332. Mantenimiento de edificios e instalaciones municipales</v>
      </c>
      <c r="W2036" s="56" t="str">
        <f>MID(Tabla1[[#This Row],[Aplicación]],14,2)</f>
        <v>62</v>
      </c>
      <c r="X2036" s="56" t="str">
        <f>MID(Tabla1[[#This Row],[Aplicación]],14,6)</f>
        <v>623</v>
      </c>
    </row>
    <row r="2037" spans="1:24" x14ac:dyDescent="0.25">
      <c r="A2037" s="55">
        <v>220220014670</v>
      </c>
      <c r="B2037" s="47" t="s">
        <v>507</v>
      </c>
      <c r="C2037" s="52">
        <v>45014</v>
      </c>
      <c r="D2037" s="46">
        <v>22022002145</v>
      </c>
      <c r="E2037" s="47" t="s">
        <v>1277</v>
      </c>
      <c r="F2037" s="53">
        <v>7436.02</v>
      </c>
      <c r="G2037" s="47" t="s">
        <v>315</v>
      </c>
      <c r="H2037" s="47" t="s">
        <v>3506</v>
      </c>
      <c r="I2037" s="46" t="s">
        <v>511</v>
      </c>
      <c r="J2037" s="47" t="s">
        <v>519</v>
      </c>
      <c r="K2037" s="47" t="s">
        <v>519</v>
      </c>
      <c r="L2037" s="47" t="s">
        <v>527</v>
      </c>
      <c r="M2037" s="47" t="s">
        <v>514</v>
      </c>
      <c r="N2037" s="47" t="s">
        <v>515</v>
      </c>
      <c r="O2037" s="54" t="s">
        <v>371</v>
      </c>
      <c r="P2037" s="44" t="s">
        <v>309</v>
      </c>
      <c r="Q2037" s="59">
        <v>6</v>
      </c>
      <c r="R2037" s="35" t="s">
        <v>299</v>
      </c>
      <c r="S2037" s="59" t="str">
        <f>MID(Tabla1[[#This Row],[Aplicación]],6,2)</f>
        <v>05</v>
      </c>
      <c r="T2037" s="35" t="str">
        <f>VLOOKUP(Tabla1[[#This Row],[AREA]],Hoja1!A:B,2,FALSE)</f>
        <v>05. Innovación, desarrollo económico, empleo y comercio</v>
      </c>
      <c r="U2037" s="35">
        <v>4312</v>
      </c>
      <c r="V2037" s="35" t="str">
        <f>VLOOKUP(Tabla1[[#This Row],[PROGRAMA]],Hoja1!A:B,2,FALSE)</f>
        <v>4312. Mercados, abastos y lonjas</v>
      </c>
      <c r="W2037" s="56">
        <v>63</v>
      </c>
      <c r="X2037" s="56">
        <v>632</v>
      </c>
    </row>
    <row r="2038" spans="1:24" x14ac:dyDescent="0.25">
      <c r="A2038" s="55">
        <v>220210056343</v>
      </c>
      <c r="B2038" s="47" t="s">
        <v>507</v>
      </c>
      <c r="C2038" s="52">
        <v>45014</v>
      </c>
      <c r="D2038" s="46">
        <v>22021006300</v>
      </c>
      <c r="E2038" s="47" t="s">
        <v>3507</v>
      </c>
      <c r="F2038" s="53">
        <v>49.29</v>
      </c>
      <c r="G2038" s="47" t="s">
        <v>1163</v>
      </c>
      <c r="H2038" s="47" t="s">
        <v>3508</v>
      </c>
      <c r="I2038" s="46" t="s">
        <v>511</v>
      </c>
      <c r="J2038" s="47" t="s">
        <v>1165</v>
      </c>
      <c r="K2038" s="47" t="s">
        <v>837</v>
      </c>
      <c r="L2038" s="47" t="s">
        <v>520</v>
      </c>
      <c r="M2038" s="47" t="s">
        <v>514</v>
      </c>
      <c r="N2038" s="47" t="s">
        <v>515</v>
      </c>
      <c r="O2038" s="54" t="s">
        <v>382</v>
      </c>
      <c r="P2038" s="44" t="s">
        <v>309</v>
      </c>
      <c r="Q2038" s="59" t="str">
        <f>MID(Tabla1[[#This Row],[Aplicación]],14,1)</f>
        <v>6</v>
      </c>
      <c r="R2038" s="35" t="s">
        <v>299</v>
      </c>
      <c r="S2038" s="59" t="str">
        <f>MID(Tabla1[[#This Row],[Aplicación]],6,2)</f>
        <v>06</v>
      </c>
      <c r="T2038" s="35" t="str">
        <f>VLOOKUP(Tabla1[[#This Row],[AREA]],Hoja1!A:B,2,FALSE)</f>
        <v>06. Educación, infancia, juventud e igualdad</v>
      </c>
      <c r="U2038" s="35" t="str">
        <f>MID(Tabla1[[#This Row],[Aplicación]],9,4)</f>
        <v>3231</v>
      </c>
      <c r="V2038" s="35" t="str">
        <f>VLOOKUP(Tabla1[[#This Row],[PROGRAMA]],Hoja1!A:B,2,FALSE)</f>
        <v>3231. Escuelas infantiles</v>
      </c>
      <c r="W2038" s="56" t="str">
        <f>MID(Tabla1[[#This Row],[Aplicación]],14,2)</f>
        <v>62</v>
      </c>
      <c r="X2038" s="56" t="str">
        <f>MID(Tabla1[[#This Row],[Aplicación]],14,6)</f>
        <v>622</v>
      </c>
    </row>
    <row r="2039" spans="1:24" x14ac:dyDescent="0.25">
      <c r="A2039" s="55">
        <v>220230011720</v>
      </c>
      <c r="B2039" s="47" t="s">
        <v>507</v>
      </c>
      <c r="C2039" s="52">
        <v>45014</v>
      </c>
      <c r="D2039" s="46">
        <v>22023003548</v>
      </c>
      <c r="E2039" s="47" t="s">
        <v>1490</v>
      </c>
      <c r="F2039" s="53">
        <v>500</v>
      </c>
      <c r="G2039" s="47" t="s">
        <v>3509</v>
      </c>
      <c r="H2039" s="47" t="s">
        <v>3510</v>
      </c>
      <c r="I2039" s="46" t="s">
        <v>511</v>
      </c>
      <c r="J2039" s="47" t="s">
        <v>519</v>
      </c>
      <c r="K2039" s="47" t="s">
        <v>519</v>
      </c>
      <c r="L2039" s="47" t="s">
        <v>520</v>
      </c>
      <c r="M2039" s="47" t="s">
        <v>976</v>
      </c>
      <c r="N2039" s="47" t="s">
        <v>839</v>
      </c>
      <c r="O2039" s="54" t="s">
        <v>383</v>
      </c>
      <c r="P2039" s="44" t="s">
        <v>309</v>
      </c>
      <c r="Q2039" s="59" t="str">
        <f>MID(Tabla1[[#This Row],[Aplicación]],14,1)</f>
        <v>2</v>
      </c>
      <c r="R2039" s="35" t="s">
        <v>298</v>
      </c>
      <c r="S2039" s="59" t="str">
        <f>MID(Tabla1[[#This Row],[Aplicación]],6,2)</f>
        <v>06</v>
      </c>
      <c r="T2039" s="35" t="str">
        <f>VLOOKUP(Tabla1[[#This Row],[AREA]],Hoja1!A:B,2,FALSE)</f>
        <v>06. Educación, infancia, juventud e igualdad</v>
      </c>
      <c r="U2039" s="35" t="str">
        <f>MID(Tabla1[[#This Row],[Aplicación]],9,4)</f>
        <v>2314</v>
      </c>
      <c r="V2039" s="35" t="str">
        <f>VLOOKUP(Tabla1[[#This Row],[PROGRAMA]],Hoja1!A:B,2,FALSE)</f>
        <v>2314. Centro de programas juveniles</v>
      </c>
      <c r="W2039" s="56" t="str">
        <f>MID(Tabla1[[#This Row],[Aplicación]],14,2)</f>
        <v>22</v>
      </c>
      <c r="X2039" s="56" t="str">
        <f>MID(Tabla1[[#This Row],[Aplicación]],14,6)</f>
        <v>22613</v>
      </c>
    </row>
    <row r="2040" spans="1:24" x14ac:dyDescent="0.25">
      <c r="A2040" s="55">
        <v>220219000657</v>
      </c>
      <c r="B2040" s="47" t="s">
        <v>507</v>
      </c>
      <c r="C2040" s="52">
        <v>45014</v>
      </c>
      <c r="D2040" s="46">
        <v>22022002082</v>
      </c>
      <c r="E2040" s="47" t="s">
        <v>3511</v>
      </c>
      <c r="F2040" s="53">
        <v>991.36</v>
      </c>
      <c r="G2040" s="47" t="s">
        <v>1163</v>
      </c>
      <c r="H2040" s="47" t="s">
        <v>3512</v>
      </c>
      <c r="I2040" s="46" t="s">
        <v>511</v>
      </c>
      <c r="J2040" s="47" t="s">
        <v>1165</v>
      </c>
      <c r="K2040" s="47" t="s">
        <v>837</v>
      </c>
      <c r="L2040" s="47" t="s">
        <v>527</v>
      </c>
      <c r="M2040" s="47" t="s">
        <v>514</v>
      </c>
      <c r="N2040" s="47" t="s">
        <v>515</v>
      </c>
      <c r="O2040" s="54" t="s">
        <v>382</v>
      </c>
      <c r="P2040" s="44" t="s">
        <v>309</v>
      </c>
      <c r="Q2040" s="59" t="str">
        <f>MID(Tabla1[[#This Row],[Aplicación]],14,1)</f>
        <v>6</v>
      </c>
      <c r="R2040" s="35" t="s">
        <v>299</v>
      </c>
      <c r="S2040" s="59" t="str">
        <f>MID(Tabla1[[#This Row],[Aplicación]],6,2)</f>
        <v>05</v>
      </c>
      <c r="T2040" s="35" t="str">
        <f>VLOOKUP(Tabla1[[#This Row],[AREA]],Hoja1!A:B,2,FALSE)</f>
        <v>05. Innovación, desarrollo económico, empleo y comercio</v>
      </c>
      <c r="U2040" s="35" t="str">
        <f>MID(Tabla1[[#This Row],[Aplicación]],9,4)</f>
        <v>4331</v>
      </c>
      <c r="V2040" s="35" t="str">
        <f>VLOOKUP(Tabla1[[#This Row],[PROGRAMA]],Hoja1!A:B,2,FALSE)</f>
        <v>4331. Desarrollo empresarial</v>
      </c>
      <c r="W2040" s="56" t="str">
        <f>MID(Tabla1[[#This Row],[Aplicación]],14,2)</f>
        <v>62</v>
      </c>
      <c r="X2040" s="56" t="str">
        <f>MID(Tabla1[[#This Row],[Aplicación]],14,6)</f>
        <v>622</v>
      </c>
    </row>
    <row r="2041" spans="1:24" x14ac:dyDescent="0.25">
      <c r="A2041" s="55">
        <v>220230011716</v>
      </c>
      <c r="B2041" s="47" t="s">
        <v>507</v>
      </c>
      <c r="C2041" s="52">
        <v>45014</v>
      </c>
      <c r="D2041" s="46">
        <v>22023003539</v>
      </c>
      <c r="E2041" s="47" t="s">
        <v>1382</v>
      </c>
      <c r="F2041" s="53">
        <v>726</v>
      </c>
      <c r="G2041" s="47" t="s">
        <v>458</v>
      </c>
      <c r="H2041" s="47" t="s">
        <v>3513</v>
      </c>
      <c r="I2041" s="46" t="s">
        <v>511</v>
      </c>
      <c r="J2041" s="47" t="s">
        <v>519</v>
      </c>
      <c r="K2041" s="47" t="s">
        <v>519</v>
      </c>
      <c r="L2041" s="47" t="s">
        <v>520</v>
      </c>
      <c r="M2041" s="47" t="s">
        <v>976</v>
      </c>
      <c r="N2041" s="47" t="s">
        <v>839</v>
      </c>
      <c r="O2041" s="54" t="s">
        <v>383</v>
      </c>
      <c r="P2041" s="44" t="s">
        <v>309</v>
      </c>
      <c r="Q2041" s="59" t="str">
        <f>MID(Tabla1[[#This Row],[Aplicación]],14,1)</f>
        <v>2</v>
      </c>
      <c r="R2041" s="35" t="s">
        <v>298</v>
      </c>
      <c r="S2041" s="59" t="str">
        <f>MID(Tabla1[[#This Row],[Aplicación]],6,2)</f>
        <v>03</v>
      </c>
      <c r="T2041" s="35" t="str">
        <f>VLOOKUP(Tabla1[[#This Row],[AREA]],Hoja1!A:B,2,FALSE)</f>
        <v>03. Participación ciudadana y deportes</v>
      </c>
      <c r="U2041" s="35" t="str">
        <f>MID(Tabla1[[#This Row],[Aplicación]],9,4)</f>
        <v>9241</v>
      </c>
      <c r="V2041" s="35" t="str">
        <f>VLOOKUP(Tabla1[[#This Row],[PROGRAMA]],Hoja1!A:B,2,FALSE)</f>
        <v>9241. Participación ciudadana</v>
      </c>
      <c r="W2041" s="56" t="str">
        <f>MID(Tabla1[[#This Row],[Aplicación]],14,2)</f>
        <v>22</v>
      </c>
      <c r="X2041" s="56" t="str">
        <f>MID(Tabla1[[#This Row],[Aplicación]],14,6)</f>
        <v>22699</v>
      </c>
    </row>
    <row r="2042" spans="1:24" x14ac:dyDescent="0.25">
      <c r="A2042" s="55">
        <v>220230011766</v>
      </c>
      <c r="B2042" s="47" t="s">
        <v>507</v>
      </c>
      <c r="C2042" s="52">
        <v>45014</v>
      </c>
      <c r="D2042" s="46">
        <v>22023003080</v>
      </c>
      <c r="E2042" s="47" t="s">
        <v>2233</v>
      </c>
      <c r="F2042" s="53">
        <v>17545</v>
      </c>
      <c r="G2042" s="47" t="s">
        <v>3514</v>
      </c>
      <c r="H2042" s="47" t="s">
        <v>3515</v>
      </c>
      <c r="I2042" s="46" t="s">
        <v>2168</v>
      </c>
      <c r="J2042" s="47" t="s">
        <v>519</v>
      </c>
      <c r="K2042" s="47" t="s">
        <v>519</v>
      </c>
      <c r="L2042" s="47" t="s">
        <v>520</v>
      </c>
      <c r="M2042" s="47" t="s">
        <v>976</v>
      </c>
      <c r="N2042" s="47" t="s">
        <v>839</v>
      </c>
      <c r="O2042" s="54" t="s">
        <v>383</v>
      </c>
      <c r="P2042" s="44" t="s">
        <v>309</v>
      </c>
      <c r="Q2042" s="59" t="str">
        <f>MID(Tabla1[[#This Row],[Aplicación]],14,1)</f>
        <v>2</v>
      </c>
      <c r="R2042" s="35" t="s">
        <v>298</v>
      </c>
      <c r="S2042" s="59" t="str">
        <f>MID(Tabla1[[#This Row],[Aplicación]],6,2)</f>
        <v>05</v>
      </c>
      <c r="T2042" s="35" t="str">
        <f>VLOOKUP(Tabla1[[#This Row],[AREA]],Hoja1!A:B,2,FALSE)</f>
        <v>05. Innovación, desarrollo económico, empleo y comercio</v>
      </c>
      <c r="U2042" s="35" t="str">
        <f>MID(Tabla1[[#This Row],[Aplicación]],9,4)</f>
        <v>4331</v>
      </c>
      <c r="V2042" s="35" t="str">
        <f>VLOOKUP(Tabla1[[#This Row],[PROGRAMA]],Hoja1!A:B,2,FALSE)</f>
        <v>4331. Desarrollo empresarial</v>
      </c>
      <c r="W2042" s="56" t="str">
        <f>MID(Tabla1[[#This Row],[Aplicación]],14,2)</f>
        <v>22</v>
      </c>
      <c r="X2042" s="56" t="str">
        <f>MID(Tabla1[[#This Row],[Aplicación]],14,6)</f>
        <v>22609</v>
      </c>
    </row>
    <row r="2043" spans="1:24" x14ac:dyDescent="0.25">
      <c r="A2043" s="55">
        <v>220230011704</v>
      </c>
      <c r="B2043" s="47" t="s">
        <v>507</v>
      </c>
      <c r="C2043" s="52">
        <v>45014</v>
      </c>
      <c r="D2043" s="46">
        <v>22023003614</v>
      </c>
      <c r="E2043" s="47" t="s">
        <v>2310</v>
      </c>
      <c r="F2043" s="53">
        <v>5926.58</v>
      </c>
      <c r="G2043" s="47" t="s">
        <v>386</v>
      </c>
      <c r="H2043" s="47" t="s">
        <v>3516</v>
      </c>
      <c r="I2043" s="46" t="s">
        <v>511</v>
      </c>
      <c r="J2043" s="47" t="s">
        <v>519</v>
      </c>
      <c r="K2043" s="47" t="s">
        <v>519</v>
      </c>
      <c r="L2043" s="47" t="s">
        <v>552</v>
      </c>
      <c r="M2043" s="47" t="s">
        <v>976</v>
      </c>
      <c r="N2043" s="47" t="s">
        <v>839</v>
      </c>
      <c r="O2043" s="54" t="s">
        <v>383</v>
      </c>
      <c r="P2043" s="44" t="s">
        <v>309</v>
      </c>
      <c r="Q2043" s="59" t="str">
        <f>MID(Tabla1[[#This Row],[Aplicación]],14,1)</f>
        <v>2</v>
      </c>
      <c r="R2043" s="35" t="s">
        <v>298</v>
      </c>
      <c r="S2043" s="59" t="str">
        <f>MID(Tabla1[[#This Row],[Aplicación]],6,2)</f>
        <v>11</v>
      </c>
      <c r="T2043" s="35" t="str">
        <f>VLOOKUP(Tabla1[[#This Row],[AREA]],Hoja1!A:B,2,FALSE)</f>
        <v>11. Salud pública y seguridad ciudadana</v>
      </c>
      <c r="U2043" s="35" t="str">
        <f>MID(Tabla1[[#This Row],[Aplicación]],9,4)</f>
        <v>1321</v>
      </c>
      <c r="V2043" s="35" t="str">
        <f>VLOOKUP(Tabla1[[#This Row],[PROGRAMA]],Hoja1!A:B,2,FALSE)</f>
        <v>1321. Policía municipal</v>
      </c>
      <c r="W2043" s="56" t="str">
        <f>MID(Tabla1[[#This Row],[Aplicación]],14,2)</f>
        <v>22</v>
      </c>
      <c r="X2043" s="56" t="str">
        <f>MID(Tabla1[[#This Row],[Aplicación]],14,6)</f>
        <v>22199</v>
      </c>
    </row>
    <row r="2044" spans="1:24" x14ac:dyDescent="0.25">
      <c r="A2044" s="46">
        <v>220230005919</v>
      </c>
      <c r="B2044" s="47" t="s">
        <v>1337</v>
      </c>
      <c r="C2044" s="52">
        <v>44980</v>
      </c>
      <c r="D2044" s="46">
        <v>22023000797</v>
      </c>
      <c r="E2044" s="47" t="s">
        <v>616</v>
      </c>
      <c r="F2044" s="53">
        <v>-474.06</v>
      </c>
      <c r="G2044" s="47" t="s">
        <v>1621</v>
      </c>
      <c r="H2044" s="47" t="s">
        <v>3517</v>
      </c>
      <c r="I2044" s="46" t="s">
        <v>511</v>
      </c>
      <c r="J2044" s="47" t="s">
        <v>1623</v>
      </c>
      <c r="K2044" s="47" t="s">
        <v>1624</v>
      </c>
      <c r="L2044" s="47" t="s">
        <v>520</v>
      </c>
      <c r="M2044" s="47" t="s">
        <v>514</v>
      </c>
      <c r="N2044" s="47" t="s">
        <v>515</v>
      </c>
      <c r="O2044" s="45" t="s">
        <v>371</v>
      </c>
      <c r="P2044" s="44" t="s">
        <v>309</v>
      </c>
      <c r="Q2044" s="59" t="str">
        <f>MID(Tabla1[[#This Row],[Aplicación]],14,1)</f>
        <v>2</v>
      </c>
      <c r="R2044" s="35" t="s">
        <v>298</v>
      </c>
      <c r="S2044" s="59" t="str">
        <f>MID(Tabla1[[#This Row],[Aplicación]],6,2)</f>
        <v>10</v>
      </c>
      <c r="T2044" s="35" t="str">
        <f>VLOOKUP(Tabla1[[#This Row],[AREA]],Hoja1!A:B,2,FALSE)</f>
        <v>10. Servicios sociales y mediación comunitaria</v>
      </c>
      <c r="U2044" s="35" t="str">
        <f>MID(Tabla1[[#This Row],[Aplicación]],9,4)</f>
        <v>2412</v>
      </c>
      <c r="V2044" s="35" t="str">
        <f>VLOOKUP(Tabla1[[#This Row],[PROGRAMA]],Hoja1!A:B,2,FALSE)</f>
        <v>2412. Formación para el empleo</v>
      </c>
      <c r="W2044" s="56" t="str">
        <f>MID(Tabla1[[#This Row],[Aplicación]],14,2)</f>
        <v>21</v>
      </c>
      <c r="X2044" s="56" t="str">
        <f>MID(Tabla1[[#This Row],[Aplicación]],14,6)</f>
        <v>213</v>
      </c>
    </row>
    <row r="2045" spans="1:24" x14ac:dyDescent="0.25">
      <c r="A2045" s="55">
        <v>220219000899</v>
      </c>
      <c r="B2045" s="47" t="s">
        <v>507</v>
      </c>
      <c r="C2045" s="52">
        <v>45014</v>
      </c>
      <c r="D2045" s="46">
        <v>22022002154</v>
      </c>
      <c r="E2045" s="47" t="s">
        <v>3507</v>
      </c>
      <c r="F2045" s="53">
        <v>5275.07</v>
      </c>
      <c r="G2045" s="47" t="s">
        <v>1163</v>
      </c>
      <c r="H2045" s="47" t="s">
        <v>3518</v>
      </c>
      <c r="I2045" s="46" t="s">
        <v>511</v>
      </c>
      <c r="J2045" s="47" t="s">
        <v>1165</v>
      </c>
      <c r="K2045" s="47" t="s">
        <v>837</v>
      </c>
      <c r="L2045" s="47" t="s">
        <v>520</v>
      </c>
      <c r="M2045" s="47" t="s">
        <v>514</v>
      </c>
      <c r="N2045" s="47" t="s">
        <v>515</v>
      </c>
      <c r="O2045" s="54" t="s">
        <v>382</v>
      </c>
      <c r="P2045" s="44" t="s">
        <v>309</v>
      </c>
      <c r="Q2045" s="59" t="str">
        <f>MID(Tabla1[[#This Row],[Aplicación]],14,1)</f>
        <v>6</v>
      </c>
      <c r="R2045" s="35" t="s">
        <v>299</v>
      </c>
      <c r="S2045" s="59" t="str">
        <f>MID(Tabla1[[#This Row],[Aplicación]],6,2)</f>
        <v>06</v>
      </c>
      <c r="T2045" s="35" t="str">
        <f>VLOOKUP(Tabla1[[#This Row],[AREA]],Hoja1!A:B,2,FALSE)</f>
        <v>06. Educación, infancia, juventud e igualdad</v>
      </c>
      <c r="U2045" s="35" t="str">
        <f>MID(Tabla1[[#This Row],[Aplicación]],9,4)</f>
        <v>3231</v>
      </c>
      <c r="V2045" s="35" t="str">
        <f>VLOOKUP(Tabla1[[#This Row],[PROGRAMA]],Hoja1!A:B,2,FALSE)</f>
        <v>3231. Escuelas infantiles</v>
      </c>
      <c r="W2045" s="56" t="str">
        <f>MID(Tabla1[[#This Row],[Aplicación]],14,2)</f>
        <v>62</v>
      </c>
      <c r="X2045" s="56" t="str">
        <f>MID(Tabla1[[#This Row],[Aplicación]],14,6)</f>
        <v>622</v>
      </c>
    </row>
    <row r="2046" spans="1:24" x14ac:dyDescent="0.25">
      <c r="A2046" s="55">
        <v>220219001271</v>
      </c>
      <c r="B2046" s="47" t="s">
        <v>507</v>
      </c>
      <c r="C2046" s="52">
        <v>45014</v>
      </c>
      <c r="D2046" s="46">
        <v>22022001994</v>
      </c>
      <c r="E2046" s="47" t="s">
        <v>561</v>
      </c>
      <c r="F2046" s="53">
        <v>9973.33</v>
      </c>
      <c r="G2046" s="47" t="s">
        <v>1163</v>
      </c>
      <c r="H2046" s="47" t="s">
        <v>3519</v>
      </c>
      <c r="I2046" s="46" t="s">
        <v>511</v>
      </c>
      <c r="J2046" s="47" t="s">
        <v>1165</v>
      </c>
      <c r="K2046" s="47" t="s">
        <v>837</v>
      </c>
      <c r="L2046" s="47" t="s">
        <v>520</v>
      </c>
      <c r="M2046" s="47" t="s">
        <v>514</v>
      </c>
      <c r="N2046" s="47" t="s">
        <v>604</v>
      </c>
      <c r="O2046" s="54" t="s">
        <v>382</v>
      </c>
      <c r="P2046" s="44" t="s">
        <v>309</v>
      </c>
      <c r="Q2046" s="59">
        <v>6</v>
      </c>
      <c r="R2046" s="35" t="s">
        <v>299</v>
      </c>
      <c r="S2046" s="59" t="str">
        <f>MID(Tabla1[[#This Row],[Aplicación]],6,2)</f>
        <v>08</v>
      </c>
      <c r="T2046" s="35" t="str">
        <f>VLOOKUP(Tabla1[[#This Row],[AREA]],Hoja1!A:B,2,FALSE)</f>
        <v>08. Movilidad y espacio urbano</v>
      </c>
      <c r="U2046" s="56">
        <v>1341</v>
      </c>
      <c r="V2046" s="35" t="str">
        <f>VLOOKUP(Tabla1[[#This Row],[PROGRAMA]],Hoja1!A:B,2,FALSE)</f>
        <v>1341. Movilidad</v>
      </c>
      <c r="W2046" s="56">
        <v>60</v>
      </c>
      <c r="X2046" s="56">
        <v>609</v>
      </c>
    </row>
    <row r="2047" spans="1:24" x14ac:dyDescent="0.25">
      <c r="A2047" s="55">
        <v>220220006909</v>
      </c>
      <c r="B2047" s="47" t="s">
        <v>507</v>
      </c>
      <c r="C2047" s="52">
        <v>45014</v>
      </c>
      <c r="D2047" s="46">
        <v>22022002543</v>
      </c>
      <c r="E2047" s="47" t="s">
        <v>1272</v>
      </c>
      <c r="F2047" s="53">
        <v>846.57</v>
      </c>
      <c r="G2047" s="47" t="s">
        <v>1163</v>
      </c>
      <c r="H2047" s="47" t="s">
        <v>3520</v>
      </c>
      <c r="I2047" s="46" t="s">
        <v>511</v>
      </c>
      <c r="J2047" s="47" t="s">
        <v>1165</v>
      </c>
      <c r="K2047" s="47" t="s">
        <v>837</v>
      </c>
      <c r="L2047" s="47" t="s">
        <v>552</v>
      </c>
      <c r="M2047" s="47" t="s">
        <v>514</v>
      </c>
      <c r="N2047" s="47" t="s">
        <v>515</v>
      </c>
      <c r="O2047" s="54" t="s">
        <v>382</v>
      </c>
      <c r="P2047" s="44" t="s">
        <v>309</v>
      </c>
      <c r="Q2047" s="59" t="str">
        <f>MID(Tabla1[[#This Row],[Aplicación]],14,1)</f>
        <v>6</v>
      </c>
      <c r="R2047" s="35" t="s">
        <v>299</v>
      </c>
      <c r="S2047" s="59" t="str">
        <f>MID(Tabla1[[#This Row],[Aplicación]],6,2)</f>
        <v>02</v>
      </c>
      <c r="T2047" s="35" t="str">
        <f>VLOOKUP(Tabla1[[#This Row],[AREA]],Hoja1!A:B,2,FALSE)</f>
        <v>02. Planeamiento urbanístico y vivienda</v>
      </c>
      <c r="U2047" s="35" t="str">
        <f>MID(Tabla1[[#This Row],[Aplicación]],9,4)</f>
        <v>9332</v>
      </c>
      <c r="V2047" s="35" t="str">
        <f>VLOOKUP(Tabla1[[#This Row],[PROGRAMA]],Hoja1!A:B,2,FALSE)</f>
        <v>9332. Mantenimiento de edificios e instalaciones municipales</v>
      </c>
      <c r="W2047" s="56" t="str">
        <f>MID(Tabla1[[#This Row],[Aplicación]],14,2)</f>
        <v>63</v>
      </c>
      <c r="X2047" s="56" t="str">
        <f>MID(Tabla1[[#This Row],[Aplicación]],14,6)</f>
        <v>632</v>
      </c>
    </row>
    <row r="2048" spans="1:24" x14ac:dyDescent="0.25">
      <c r="A2048" s="55">
        <v>220220007917</v>
      </c>
      <c r="B2048" s="47" t="s">
        <v>507</v>
      </c>
      <c r="C2048" s="52">
        <v>45014</v>
      </c>
      <c r="D2048" s="46">
        <v>22022002032</v>
      </c>
      <c r="E2048" s="47" t="s">
        <v>561</v>
      </c>
      <c r="F2048" s="53">
        <v>27604.81</v>
      </c>
      <c r="G2048" s="47" t="s">
        <v>1163</v>
      </c>
      <c r="H2048" s="47" t="s">
        <v>1164</v>
      </c>
      <c r="I2048" s="46" t="s">
        <v>511</v>
      </c>
      <c r="J2048" s="47" t="s">
        <v>1165</v>
      </c>
      <c r="K2048" s="47" t="s">
        <v>837</v>
      </c>
      <c r="L2048" s="47" t="s">
        <v>520</v>
      </c>
      <c r="M2048" s="47" t="s">
        <v>514</v>
      </c>
      <c r="N2048" s="47" t="s">
        <v>604</v>
      </c>
      <c r="O2048" s="54" t="s">
        <v>382</v>
      </c>
      <c r="P2048" s="44" t="s">
        <v>309</v>
      </c>
      <c r="Q2048" s="59">
        <v>6</v>
      </c>
      <c r="R2048" s="35" t="s">
        <v>299</v>
      </c>
      <c r="S2048" s="59" t="str">
        <f>MID(Tabla1[[#This Row],[Aplicación]],6,2)</f>
        <v>08</v>
      </c>
      <c r="T2048" s="35" t="str">
        <f>VLOOKUP(Tabla1[[#This Row],[AREA]],Hoja1!A:B,2,FALSE)</f>
        <v>08. Movilidad y espacio urbano</v>
      </c>
      <c r="U2048" s="56">
        <v>1341</v>
      </c>
      <c r="V2048" s="35" t="str">
        <f>VLOOKUP(Tabla1[[#This Row],[PROGRAMA]],Hoja1!A:B,2,FALSE)</f>
        <v>1341. Movilidad</v>
      </c>
      <c r="W2048" s="56">
        <v>60</v>
      </c>
      <c r="X2048" s="56">
        <v>609</v>
      </c>
    </row>
    <row r="2049" spans="1:24" x14ac:dyDescent="0.25">
      <c r="A2049" s="55">
        <v>220220010179</v>
      </c>
      <c r="B2049" s="47" t="s">
        <v>507</v>
      </c>
      <c r="C2049" s="52">
        <v>45014</v>
      </c>
      <c r="D2049" s="46">
        <v>22022002654</v>
      </c>
      <c r="E2049" s="47" t="s">
        <v>808</v>
      </c>
      <c r="F2049" s="53">
        <v>7055.91</v>
      </c>
      <c r="G2049" s="47" t="s">
        <v>1163</v>
      </c>
      <c r="H2049" s="47" t="s">
        <v>3521</v>
      </c>
      <c r="I2049" s="46" t="s">
        <v>511</v>
      </c>
      <c r="J2049" s="47" t="s">
        <v>1165</v>
      </c>
      <c r="K2049" s="47" t="s">
        <v>837</v>
      </c>
      <c r="L2049" s="47" t="s">
        <v>520</v>
      </c>
      <c r="M2049" s="47" t="s">
        <v>514</v>
      </c>
      <c r="N2049" s="47" t="s">
        <v>515</v>
      </c>
      <c r="O2049" s="54" t="s">
        <v>382</v>
      </c>
      <c r="P2049" s="44" t="s">
        <v>309</v>
      </c>
      <c r="Q2049" s="59" t="str">
        <f>MID(Tabla1[[#This Row],[Aplicación]],14,1)</f>
        <v>6</v>
      </c>
      <c r="R2049" s="35" t="s">
        <v>299</v>
      </c>
      <c r="S2049" s="59" t="str">
        <f>MID(Tabla1[[#This Row],[Aplicación]],6,2)</f>
        <v>03</v>
      </c>
      <c r="T2049" s="35" t="str">
        <f>VLOOKUP(Tabla1[[#This Row],[AREA]],Hoja1!A:B,2,FALSE)</f>
        <v>03. Participación ciudadana y deportes</v>
      </c>
      <c r="U2049" s="35" t="str">
        <f>MID(Tabla1[[#This Row],[Aplicación]],9,4)</f>
        <v>9241</v>
      </c>
      <c r="V2049" s="35" t="str">
        <f>VLOOKUP(Tabla1[[#This Row],[PROGRAMA]],Hoja1!A:B,2,FALSE)</f>
        <v>9241. Participación ciudadana</v>
      </c>
      <c r="W2049" s="56" t="str">
        <f>MID(Tabla1[[#This Row],[Aplicación]],14,2)</f>
        <v>63</v>
      </c>
      <c r="X2049" s="56" t="str">
        <f>MID(Tabla1[[#This Row],[Aplicación]],14,6)</f>
        <v>632</v>
      </c>
    </row>
    <row r="2050" spans="1:24" x14ac:dyDescent="0.25">
      <c r="A2050" s="55">
        <v>220220014912</v>
      </c>
      <c r="B2050" s="47" t="s">
        <v>507</v>
      </c>
      <c r="C2050" s="52">
        <v>45014</v>
      </c>
      <c r="D2050" s="46">
        <v>22022003236</v>
      </c>
      <c r="E2050" s="47" t="s">
        <v>1272</v>
      </c>
      <c r="F2050" s="53">
        <v>614.91999999999996</v>
      </c>
      <c r="G2050" s="47" t="s">
        <v>1163</v>
      </c>
      <c r="H2050" s="47" t="s">
        <v>3522</v>
      </c>
      <c r="I2050" s="46" t="s">
        <v>511</v>
      </c>
      <c r="J2050" s="47" t="s">
        <v>1165</v>
      </c>
      <c r="K2050" s="47" t="s">
        <v>837</v>
      </c>
      <c r="L2050" s="47" t="s">
        <v>527</v>
      </c>
      <c r="M2050" s="47" t="s">
        <v>514</v>
      </c>
      <c r="N2050" s="47" t="s">
        <v>515</v>
      </c>
      <c r="O2050" s="54" t="s">
        <v>382</v>
      </c>
      <c r="P2050" s="44" t="s">
        <v>309</v>
      </c>
      <c r="Q2050" s="59" t="str">
        <f>MID(Tabla1[[#This Row],[Aplicación]],14,1)</f>
        <v>6</v>
      </c>
      <c r="R2050" s="35" t="s">
        <v>299</v>
      </c>
      <c r="S2050" s="59" t="str">
        <f>MID(Tabla1[[#This Row],[Aplicación]],6,2)</f>
        <v>02</v>
      </c>
      <c r="T2050" s="35" t="str">
        <f>VLOOKUP(Tabla1[[#This Row],[AREA]],Hoja1!A:B,2,FALSE)</f>
        <v>02. Planeamiento urbanístico y vivienda</v>
      </c>
      <c r="U2050" s="35" t="str">
        <f>MID(Tabla1[[#This Row],[Aplicación]],9,4)</f>
        <v>9332</v>
      </c>
      <c r="V2050" s="35" t="str">
        <f>VLOOKUP(Tabla1[[#This Row],[PROGRAMA]],Hoja1!A:B,2,FALSE)</f>
        <v>9332. Mantenimiento de edificios e instalaciones municipales</v>
      </c>
      <c r="W2050" s="56" t="str">
        <f>MID(Tabla1[[#This Row],[Aplicación]],14,2)</f>
        <v>63</v>
      </c>
      <c r="X2050" s="56" t="str">
        <f>MID(Tabla1[[#This Row],[Aplicación]],14,6)</f>
        <v>632</v>
      </c>
    </row>
    <row r="2051" spans="1:24" x14ac:dyDescent="0.25">
      <c r="A2051" s="55">
        <v>220220015508</v>
      </c>
      <c r="B2051" s="47" t="s">
        <v>507</v>
      </c>
      <c r="C2051" s="52">
        <v>45014</v>
      </c>
      <c r="D2051" s="46">
        <v>22022002963</v>
      </c>
      <c r="E2051" s="47" t="s">
        <v>1283</v>
      </c>
      <c r="F2051" s="53">
        <v>800.59</v>
      </c>
      <c r="G2051" s="47" t="s">
        <v>1163</v>
      </c>
      <c r="H2051" s="47" t="s">
        <v>3523</v>
      </c>
      <c r="I2051" s="46" t="s">
        <v>511</v>
      </c>
      <c r="J2051" s="47" t="s">
        <v>1165</v>
      </c>
      <c r="K2051" s="47" t="s">
        <v>837</v>
      </c>
      <c r="L2051" s="47" t="s">
        <v>652</v>
      </c>
      <c r="M2051" s="47" t="s">
        <v>514</v>
      </c>
      <c r="N2051" s="47" t="s">
        <v>515</v>
      </c>
      <c r="O2051" s="54" t="s">
        <v>382</v>
      </c>
      <c r="P2051" s="44" t="s">
        <v>309</v>
      </c>
      <c r="Q2051" s="59" t="str">
        <f>MID(Tabla1[[#This Row],[Aplicación]],14,1)</f>
        <v>6</v>
      </c>
      <c r="R2051" s="35" t="s">
        <v>299</v>
      </c>
      <c r="S2051" s="59" t="str">
        <f>MID(Tabla1[[#This Row],[Aplicación]],6,2)</f>
        <v>11</v>
      </c>
      <c r="T2051" s="35" t="str">
        <f>VLOOKUP(Tabla1[[#This Row],[AREA]],Hoja1!A:B,2,FALSE)</f>
        <v>11. Salud pública y seguridad ciudadana</v>
      </c>
      <c r="U2051" s="35" t="str">
        <f>MID(Tabla1[[#This Row],[Aplicación]],9,4)</f>
        <v>1321</v>
      </c>
      <c r="V2051" s="35" t="str">
        <f>VLOOKUP(Tabla1[[#This Row],[PROGRAMA]],Hoja1!A:B,2,FALSE)</f>
        <v>1321. Policía municipal</v>
      </c>
      <c r="W2051" s="56" t="str">
        <f>MID(Tabla1[[#This Row],[Aplicación]],14,2)</f>
        <v>63</v>
      </c>
      <c r="X2051" s="56" t="str">
        <f>MID(Tabla1[[#This Row],[Aplicación]],14,6)</f>
        <v>632</v>
      </c>
    </row>
    <row r="2052" spans="1:24" x14ac:dyDescent="0.25">
      <c r="A2052" s="55">
        <v>220220017999</v>
      </c>
      <c r="B2052" s="47" t="s">
        <v>507</v>
      </c>
      <c r="C2052" s="52">
        <v>45014</v>
      </c>
      <c r="D2052" s="46">
        <v>22022002850</v>
      </c>
      <c r="E2052" s="47" t="s">
        <v>1283</v>
      </c>
      <c r="F2052" s="53">
        <v>3861.13</v>
      </c>
      <c r="G2052" s="47" t="s">
        <v>1163</v>
      </c>
      <c r="H2052" s="47" t="s">
        <v>3524</v>
      </c>
      <c r="I2052" s="46" t="s">
        <v>511</v>
      </c>
      <c r="J2052" s="47" t="s">
        <v>1165</v>
      </c>
      <c r="K2052" s="47" t="s">
        <v>837</v>
      </c>
      <c r="L2052" s="47" t="s">
        <v>527</v>
      </c>
      <c r="M2052" s="47" t="s">
        <v>514</v>
      </c>
      <c r="N2052" s="47" t="s">
        <v>515</v>
      </c>
      <c r="O2052" s="54" t="s">
        <v>382</v>
      </c>
      <c r="P2052" s="44" t="s">
        <v>309</v>
      </c>
      <c r="Q2052" s="59" t="str">
        <f>MID(Tabla1[[#This Row],[Aplicación]],14,1)</f>
        <v>6</v>
      </c>
      <c r="R2052" s="35" t="s">
        <v>299</v>
      </c>
      <c r="S2052" s="59" t="str">
        <f>MID(Tabla1[[#This Row],[Aplicación]],6,2)</f>
        <v>11</v>
      </c>
      <c r="T2052" s="35" t="str">
        <f>VLOOKUP(Tabla1[[#This Row],[AREA]],Hoja1!A:B,2,FALSE)</f>
        <v>11. Salud pública y seguridad ciudadana</v>
      </c>
      <c r="U2052" s="35" t="str">
        <f>MID(Tabla1[[#This Row],[Aplicación]],9,4)</f>
        <v>1321</v>
      </c>
      <c r="V2052" s="35" t="str">
        <f>VLOOKUP(Tabla1[[#This Row],[PROGRAMA]],Hoja1!A:B,2,FALSE)</f>
        <v>1321. Policía municipal</v>
      </c>
      <c r="W2052" s="56" t="str">
        <f>MID(Tabla1[[#This Row],[Aplicación]],14,2)</f>
        <v>63</v>
      </c>
      <c r="X2052" s="56" t="str">
        <f>MID(Tabla1[[#This Row],[Aplicación]],14,6)</f>
        <v>632</v>
      </c>
    </row>
    <row r="2053" spans="1:24" x14ac:dyDescent="0.25">
      <c r="A2053" s="55">
        <v>220220020838</v>
      </c>
      <c r="B2053" s="47" t="s">
        <v>507</v>
      </c>
      <c r="C2053" s="52">
        <v>45014</v>
      </c>
      <c r="D2053" s="46">
        <v>22022003726</v>
      </c>
      <c r="E2053" s="47" t="s">
        <v>546</v>
      </c>
      <c r="F2053" s="53">
        <v>741.61</v>
      </c>
      <c r="G2053" s="47" t="s">
        <v>1163</v>
      </c>
      <c r="H2053" s="47" t="s">
        <v>3525</v>
      </c>
      <c r="I2053" s="46" t="s">
        <v>511</v>
      </c>
      <c r="J2053" s="47" t="s">
        <v>1165</v>
      </c>
      <c r="K2053" s="47" t="s">
        <v>837</v>
      </c>
      <c r="L2053" s="47" t="s">
        <v>520</v>
      </c>
      <c r="M2053" s="47" t="s">
        <v>514</v>
      </c>
      <c r="N2053" s="47" t="s">
        <v>515</v>
      </c>
      <c r="O2053" s="54" t="s">
        <v>382</v>
      </c>
      <c r="P2053" s="44" t="s">
        <v>309</v>
      </c>
      <c r="Q2053" s="59" t="str">
        <f>MID(Tabla1[[#This Row],[Aplicación]],14,1)</f>
        <v>6</v>
      </c>
      <c r="R2053" s="35" t="s">
        <v>299</v>
      </c>
      <c r="S2053" s="59" t="str">
        <f>MID(Tabla1[[#This Row],[Aplicación]],6,2)</f>
        <v>08</v>
      </c>
      <c r="T2053" s="35" t="str">
        <f>VLOOKUP(Tabla1[[#This Row],[AREA]],Hoja1!A:B,2,FALSE)</f>
        <v>08. Movilidad y espacio urbano</v>
      </c>
      <c r="U2053" s="35" t="str">
        <f>MID(Tabla1[[#This Row],[Aplicación]],9,4)</f>
        <v>1532</v>
      </c>
      <c r="V2053" s="35" t="str">
        <f>VLOOKUP(Tabla1[[#This Row],[PROGRAMA]],Hoja1!A:B,2,FALSE)</f>
        <v>1532. Pavimentación vias públicas y otros servicios urbanísticos</v>
      </c>
      <c r="W2053" s="56" t="str">
        <f>MID(Tabla1[[#This Row],[Aplicación]],14,2)</f>
        <v>61</v>
      </c>
      <c r="X2053" s="56" t="str">
        <f>MID(Tabla1[[#This Row],[Aplicación]],14,6)</f>
        <v>619</v>
      </c>
    </row>
    <row r="2054" spans="1:24" x14ac:dyDescent="0.25">
      <c r="A2054" s="55">
        <v>220220020842</v>
      </c>
      <c r="B2054" s="47" t="s">
        <v>507</v>
      </c>
      <c r="C2054" s="52">
        <v>45014</v>
      </c>
      <c r="D2054" s="46">
        <v>22021007255</v>
      </c>
      <c r="E2054" s="47" t="s">
        <v>1272</v>
      </c>
      <c r="F2054" s="53">
        <v>4026.34</v>
      </c>
      <c r="G2054" s="47" t="s">
        <v>1163</v>
      </c>
      <c r="H2054" s="47" t="s">
        <v>3526</v>
      </c>
      <c r="I2054" s="46" t="s">
        <v>511</v>
      </c>
      <c r="J2054" s="47" t="s">
        <v>1165</v>
      </c>
      <c r="K2054" s="47" t="s">
        <v>837</v>
      </c>
      <c r="L2054" s="47" t="s">
        <v>520</v>
      </c>
      <c r="M2054" s="47" t="s">
        <v>514</v>
      </c>
      <c r="N2054" s="47" t="s">
        <v>515</v>
      </c>
      <c r="O2054" s="54" t="s">
        <v>382</v>
      </c>
      <c r="P2054" s="44" t="s">
        <v>309</v>
      </c>
      <c r="Q2054" s="59" t="str">
        <f>MID(Tabla1[[#This Row],[Aplicación]],14,1)</f>
        <v>6</v>
      </c>
      <c r="R2054" s="35" t="s">
        <v>299</v>
      </c>
      <c r="S2054" s="59" t="str">
        <f>MID(Tabla1[[#This Row],[Aplicación]],6,2)</f>
        <v>02</v>
      </c>
      <c r="T2054" s="35" t="str">
        <f>VLOOKUP(Tabla1[[#This Row],[AREA]],Hoja1!A:B,2,FALSE)</f>
        <v>02. Planeamiento urbanístico y vivienda</v>
      </c>
      <c r="U2054" s="35" t="str">
        <f>MID(Tabla1[[#This Row],[Aplicación]],9,4)</f>
        <v>9332</v>
      </c>
      <c r="V2054" s="35" t="str">
        <f>VLOOKUP(Tabla1[[#This Row],[PROGRAMA]],Hoja1!A:B,2,FALSE)</f>
        <v>9332. Mantenimiento de edificios e instalaciones municipales</v>
      </c>
      <c r="W2054" s="56" t="str">
        <f>MID(Tabla1[[#This Row],[Aplicación]],14,2)</f>
        <v>63</v>
      </c>
      <c r="X2054" s="56" t="str">
        <f>MID(Tabla1[[#This Row],[Aplicación]],14,6)</f>
        <v>632</v>
      </c>
    </row>
    <row r="2055" spans="1:24" x14ac:dyDescent="0.25">
      <c r="A2055" s="55">
        <v>220220030374</v>
      </c>
      <c r="B2055" s="47" t="s">
        <v>507</v>
      </c>
      <c r="C2055" s="52">
        <v>45014</v>
      </c>
      <c r="D2055" s="46">
        <v>22022003276</v>
      </c>
      <c r="E2055" s="47" t="s">
        <v>808</v>
      </c>
      <c r="F2055" s="53">
        <v>294.17</v>
      </c>
      <c r="G2055" s="47" t="s">
        <v>1163</v>
      </c>
      <c r="H2055" s="47" t="s">
        <v>3527</v>
      </c>
      <c r="I2055" s="46" t="s">
        <v>511</v>
      </c>
      <c r="J2055" s="47" t="s">
        <v>1165</v>
      </c>
      <c r="K2055" s="47" t="s">
        <v>837</v>
      </c>
      <c r="L2055" s="47" t="s">
        <v>520</v>
      </c>
      <c r="M2055" s="47" t="s">
        <v>514</v>
      </c>
      <c r="N2055" s="47" t="s">
        <v>515</v>
      </c>
      <c r="O2055" s="54" t="s">
        <v>382</v>
      </c>
      <c r="P2055" s="44" t="s">
        <v>309</v>
      </c>
      <c r="Q2055" s="59" t="str">
        <f>MID(Tabla1[[#This Row],[Aplicación]],14,1)</f>
        <v>6</v>
      </c>
      <c r="R2055" s="35" t="s">
        <v>299</v>
      </c>
      <c r="S2055" s="59" t="str">
        <f>MID(Tabla1[[#This Row],[Aplicación]],6,2)</f>
        <v>03</v>
      </c>
      <c r="T2055" s="35" t="str">
        <f>VLOOKUP(Tabla1[[#This Row],[AREA]],Hoja1!A:B,2,FALSE)</f>
        <v>03. Participación ciudadana y deportes</v>
      </c>
      <c r="U2055" s="35" t="str">
        <f>MID(Tabla1[[#This Row],[Aplicación]],9,4)</f>
        <v>9241</v>
      </c>
      <c r="V2055" s="35" t="str">
        <f>VLOOKUP(Tabla1[[#This Row],[PROGRAMA]],Hoja1!A:B,2,FALSE)</f>
        <v>9241. Participación ciudadana</v>
      </c>
      <c r="W2055" s="56" t="str">
        <f>MID(Tabla1[[#This Row],[Aplicación]],14,2)</f>
        <v>63</v>
      </c>
      <c r="X2055" s="56" t="str">
        <f>MID(Tabla1[[#This Row],[Aplicación]],14,6)</f>
        <v>632</v>
      </c>
    </row>
    <row r="2056" spans="1:24" x14ac:dyDescent="0.25">
      <c r="A2056" s="55">
        <v>220220030398</v>
      </c>
      <c r="B2056" s="47" t="s">
        <v>507</v>
      </c>
      <c r="C2056" s="52">
        <v>45014</v>
      </c>
      <c r="D2056" s="46">
        <v>22022004636</v>
      </c>
      <c r="E2056" s="47" t="s">
        <v>808</v>
      </c>
      <c r="F2056" s="53">
        <v>1127.8599999999999</v>
      </c>
      <c r="G2056" s="47" t="s">
        <v>1163</v>
      </c>
      <c r="H2056" s="47" t="s">
        <v>3528</v>
      </c>
      <c r="I2056" s="46" t="s">
        <v>511</v>
      </c>
      <c r="J2056" s="47" t="s">
        <v>1165</v>
      </c>
      <c r="K2056" s="47" t="s">
        <v>837</v>
      </c>
      <c r="L2056" s="47" t="s">
        <v>520</v>
      </c>
      <c r="M2056" s="47" t="s">
        <v>514</v>
      </c>
      <c r="N2056" s="47" t="s">
        <v>515</v>
      </c>
      <c r="O2056" s="54" t="s">
        <v>382</v>
      </c>
      <c r="P2056" s="44" t="s">
        <v>309</v>
      </c>
      <c r="Q2056" s="59" t="str">
        <f>MID(Tabla1[[#This Row],[Aplicación]],14,1)</f>
        <v>6</v>
      </c>
      <c r="R2056" s="35" t="s">
        <v>299</v>
      </c>
      <c r="S2056" s="59" t="str">
        <f>MID(Tabla1[[#This Row],[Aplicación]],6,2)</f>
        <v>03</v>
      </c>
      <c r="T2056" s="35" t="str">
        <f>VLOOKUP(Tabla1[[#This Row],[AREA]],Hoja1!A:B,2,FALSE)</f>
        <v>03. Participación ciudadana y deportes</v>
      </c>
      <c r="U2056" s="35" t="str">
        <f>MID(Tabla1[[#This Row],[Aplicación]],9,4)</f>
        <v>9241</v>
      </c>
      <c r="V2056" s="35" t="str">
        <f>VLOOKUP(Tabla1[[#This Row],[PROGRAMA]],Hoja1!A:B,2,FALSE)</f>
        <v>9241. Participación ciudadana</v>
      </c>
      <c r="W2056" s="56" t="str">
        <f>MID(Tabla1[[#This Row],[Aplicación]],14,2)</f>
        <v>63</v>
      </c>
      <c r="X2056" s="56" t="str">
        <f>MID(Tabla1[[#This Row],[Aplicación]],14,6)</f>
        <v>632</v>
      </c>
    </row>
    <row r="2057" spans="1:24" x14ac:dyDescent="0.25">
      <c r="A2057" s="55">
        <v>220220035083</v>
      </c>
      <c r="B2057" s="47" t="s">
        <v>507</v>
      </c>
      <c r="C2057" s="52">
        <v>45014</v>
      </c>
      <c r="D2057" s="46">
        <v>22022001551</v>
      </c>
      <c r="E2057" s="47" t="s">
        <v>1272</v>
      </c>
      <c r="F2057" s="53">
        <v>614.91999999999996</v>
      </c>
      <c r="G2057" s="47" t="s">
        <v>1163</v>
      </c>
      <c r="H2057" s="47" t="s">
        <v>3529</v>
      </c>
      <c r="I2057" s="46" t="s">
        <v>511</v>
      </c>
      <c r="J2057" s="47" t="s">
        <v>1165</v>
      </c>
      <c r="K2057" s="47" t="s">
        <v>837</v>
      </c>
      <c r="L2057" s="47" t="s">
        <v>520</v>
      </c>
      <c r="M2057" s="47" t="s">
        <v>514</v>
      </c>
      <c r="N2057" s="47" t="s">
        <v>515</v>
      </c>
      <c r="O2057" s="54" t="s">
        <v>382</v>
      </c>
      <c r="P2057" s="44" t="s">
        <v>309</v>
      </c>
      <c r="Q2057" s="59" t="str">
        <f>MID(Tabla1[[#This Row],[Aplicación]],14,1)</f>
        <v>6</v>
      </c>
      <c r="R2057" s="35" t="s">
        <v>299</v>
      </c>
      <c r="S2057" s="59" t="str">
        <f>MID(Tabla1[[#This Row],[Aplicación]],6,2)</f>
        <v>02</v>
      </c>
      <c r="T2057" s="35" t="str">
        <f>VLOOKUP(Tabla1[[#This Row],[AREA]],Hoja1!A:B,2,FALSE)</f>
        <v>02. Planeamiento urbanístico y vivienda</v>
      </c>
      <c r="U2057" s="35" t="str">
        <f>MID(Tabla1[[#This Row],[Aplicación]],9,4)</f>
        <v>9332</v>
      </c>
      <c r="V2057" s="35" t="str">
        <f>VLOOKUP(Tabla1[[#This Row],[PROGRAMA]],Hoja1!A:B,2,FALSE)</f>
        <v>9332. Mantenimiento de edificios e instalaciones municipales</v>
      </c>
      <c r="W2057" s="56" t="str">
        <f>MID(Tabla1[[#This Row],[Aplicación]],14,2)</f>
        <v>63</v>
      </c>
      <c r="X2057" s="56" t="str">
        <f>MID(Tabla1[[#This Row],[Aplicación]],14,6)</f>
        <v>632</v>
      </c>
    </row>
    <row r="2058" spans="1:24" x14ac:dyDescent="0.25">
      <c r="A2058" s="55">
        <v>220220035261</v>
      </c>
      <c r="B2058" s="47" t="s">
        <v>507</v>
      </c>
      <c r="C2058" s="52">
        <v>45014</v>
      </c>
      <c r="D2058" s="46">
        <v>22022004837</v>
      </c>
      <c r="E2058" s="47" t="s">
        <v>741</v>
      </c>
      <c r="F2058" s="53">
        <v>3422.08</v>
      </c>
      <c r="G2058" s="47" t="s">
        <v>1163</v>
      </c>
      <c r="H2058" s="47" t="s">
        <v>3530</v>
      </c>
      <c r="I2058" s="46" t="s">
        <v>511</v>
      </c>
      <c r="J2058" s="47" t="s">
        <v>1165</v>
      </c>
      <c r="K2058" s="47" t="s">
        <v>837</v>
      </c>
      <c r="L2058" s="47" t="s">
        <v>520</v>
      </c>
      <c r="M2058" s="47" t="s">
        <v>514</v>
      </c>
      <c r="N2058" s="47" t="s">
        <v>515</v>
      </c>
      <c r="O2058" s="54" t="s">
        <v>382</v>
      </c>
      <c r="P2058" s="44" t="s">
        <v>309</v>
      </c>
      <c r="Q2058" s="59" t="str">
        <f>MID(Tabla1[[#This Row],[Aplicación]],14,1)</f>
        <v>6</v>
      </c>
      <c r="R2058" s="35" t="s">
        <v>299</v>
      </c>
      <c r="S2058" s="59" t="str">
        <f>MID(Tabla1[[#This Row],[Aplicación]],6,2)</f>
        <v>07</v>
      </c>
      <c r="T2058" s="35" t="str">
        <f>VLOOKUP(Tabla1[[#This Row],[AREA]],Hoja1!A:B,2,FALSE)</f>
        <v>07. Medio ambiente y desarrollo sostenible</v>
      </c>
      <c r="U2058" s="35" t="str">
        <f>MID(Tabla1[[#This Row],[Aplicación]],9,4)</f>
        <v>1711</v>
      </c>
      <c r="V2058" s="35" t="str">
        <f>VLOOKUP(Tabla1[[#This Row],[PROGRAMA]],Hoja1!A:B,2,FALSE)</f>
        <v>1711. Parques y jardines</v>
      </c>
      <c r="W2058" s="56" t="str">
        <f>MID(Tabla1[[#This Row],[Aplicación]],14,2)</f>
        <v>61</v>
      </c>
      <c r="X2058" s="56" t="str">
        <f>MID(Tabla1[[#This Row],[Aplicación]],14,6)</f>
        <v>619</v>
      </c>
    </row>
    <row r="2059" spans="1:24" x14ac:dyDescent="0.25">
      <c r="A2059" s="55">
        <v>220220037388</v>
      </c>
      <c r="B2059" s="47" t="s">
        <v>507</v>
      </c>
      <c r="C2059" s="52">
        <v>45014</v>
      </c>
      <c r="D2059" s="46">
        <v>22022005132</v>
      </c>
      <c r="E2059" s="47" t="s">
        <v>529</v>
      </c>
      <c r="F2059" s="53">
        <v>2356.71</v>
      </c>
      <c r="G2059" s="47" t="s">
        <v>1163</v>
      </c>
      <c r="H2059" s="47" t="s">
        <v>3531</v>
      </c>
      <c r="I2059" s="46" t="s">
        <v>511</v>
      </c>
      <c r="J2059" s="47" t="s">
        <v>1165</v>
      </c>
      <c r="K2059" s="47" t="s">
        <v>837</v>
      </c>
      <c r="L2059" s="47" t="s">
        <v>520</v>
      </c>
      <c r="M2059" s="47" t="s">
        <v>514</v>
      </c>
      <c r="N2059" s="47" t="s">
        <v>515</v>
      </c>
      <c r="O2059" s="54" t="s">
        <v>382</v>
      </c>
      <c r="P2059" s="44" t="s">
        <v>309</v>
      </c>
      <c r="Q2059" s="59" t="str">
        <f>MID(Tabla1[[#This Row],[Aplicación]],14,1)</f>
        <v>6</v>
      </c>
      <c r="R2059" s="35" t="s">
        <v>299</v>
      </c>
      <c r="S2059" s="59" t="str">
        <f>MID(Tabla1[[#This Row],[Aplicación]],6,2)</f>
        <v>07</v>
      </c>
      <c r="T2059" s="35" t="str">
        <f>VLOOKUP(Tabla1[[#This Row],[AREA]],Hoja1!A:B,2,FALSE)</f>
        <v>07. Medio ambiente y desarrollo sostenible</v>
      </c>
      <c r="U2059" s="35" t="str">
        <f>MID(Tabla1[[#This Row],[Aplicación]],9,4)</f>
        <v>1711</v>
      </c>
      <c r="V2059" s="35" t="str">
        <f>VLOOKUP(Tabla1[[#This Row],[PROGRAMA]],Hoja1!A:B,2,FALSE)</f>
        <v>1711. Parques y jardines</v>
      </c>
      <c r="W2059" s="56" t="str">
        <f>MID(Tabla1[[#This Row],[Aplicación]],14,2)</f>
        <v>61</v>
      </c>
      <c r="X2059" s="56" t="str">
        <f>MID(Tabla1[[#This Row],[Aplicación]],14,6)</f>
        <v>610</v>
      </c>
    </row>
    <row r="2060" spans="1:24" x14ac:dyDescent="0.25">
      <c r="A2060" s="55">
        <v>220220039781</v>
      </c>
      <c r="B2060" s="47" t="s">
        <v>507</v>
      </c>
      <c r="C2060" s="52">
        <v>45014</v>
      </c>
      <c r="D2060" s="46">
        <v>22022001814</v>
      </c>
      <c r="E2060" s="47" t="s">
        <v>583</v>
      </c>
      <c r="F2060" s="53">
        <v>4817.24</v>
      </c>
      <c r="G2060" s="47" t="s">
        <v>1163</v>
      </c>
      <c r="H2060" s="47" t="s">
        <v>3532</v>
      </c>
      <c r="I2060" s="46" t="s">
        <v>511</v>
      </c>
      <c r="J2060" s="47" t="s">
        <v>1165</v>
      </c>
      <c r="K2060" s="47" t="s">
        <v>837</v>
      </c>
      <c r="L2060" s="47" t="s">
        <v>520</v>
      </c>
      <c r="M2060" s="47" t="s">
        <v>514</v>
      </c>
      <c r="N2060" s="47" t="s">
        <v>515</v>
      </c>
      <c r="O2060" s="54" t="s">
        <v>382</v>
      </c>
      <c r="P2060" s="44" t="s">
        <v>309</v>
      </c>
      <c r="Q2060" s="59" t="str">
        <f>MID(Tabla1[[#This Row],[Aplicación]],14,1)</f>
        <v>6</v>
      </c>
      <c r="R2060" s="35" t="s">
        <v>299</v>
      </c>
      <c r="S2060" s="59" t="str">
        <f>MID(Tabla1[[#This Row],[Aplicación]],6,2)</f>
        <v>02</v>
      </c>
      <c r="T2060" s="35" t="str">
        <f>VLOOKUP(Tabla1[[#This Row],[AREA]],Hoja1!A:B,2,FALSE)</f>
        <v>02. Planeamiento urbanístico y vivienda</v>
      </c>
      <c r="U2060" s="35" t="str">
        <f>MID(Tabla1[[#This Row],[Aplicación]],9,4)</f>
        <v>1511</v>
      </c>
      <c r="V2060" s="35" t="str">
        <f>VLOOKUP(Tabla1[[#This Row],[PROGRAMA]],Hoja1!A:B,2,FALSE)</f>
        <v>1511. Planficación y gestión del urbanismo</v>
      </c>
      <c r="W2060" s="56" t="str">
        <f>MID(Tabla1[[#This Row],[Aplicación]],14,2)</f>
        <v>60</v>
      </c>
      <c r="X2060" s="56" t="str">
        <f>MID(Tabla1[[#This Row],[Aplicación]],14,6)</f>
        <v>609</v>
      </c>
    </row>
    <row r="2061" spans="1:24" x14ac:dyDescent="0.25">
      <c r="A2061" s="55">
        <v>220220044407</v>
      </c>
      <c r="B2061" s="47" t="s">
        <v>507</v>
      </c>
      <c r="C2061" s="52">
        <v>45014</v>
      </c>
      <c r="D2061" s="46">
        <v>22022005709</v>
      </c>
      <c r="E2061" s="47" t="s">
        <v>546</v>
      </c>
      <c r="F2061" s="53">
        <v>3531.5</v>
      </c>
      <c r="G2061" s="47" t="s">
        <v>1163</v>
      </c>
      <c r="H2061" s="47" t="s">
        <v>3533</v>
      </c>
      <c r="I2061" s="46" t="s">
        <v>511</v>
      </c>
      <c r="J2061" s="47" t="s">
        <v>1165</v>
      </c>
      <c r="K2061" s="47" t="s">
        <v>837</v>
      </c>
      <c r="L2061" s="47" t="s">
        <v>520</v>
      </c>
      <c r="M2061" s="47" t="s">
        <v>514</v>
      </c>
      <c r="N2061" s="47" t="s">
        <v>515</v>
      </c>
      <c r="O2061" s="54" t="s">
        <v>382</v>
      </c>
      <c r="P2061" s="44" t="s">
        <v>309</v>
      </c>
      <c r="Q2061" s="59" t="str">
        <f>MID(Tabla1[[#This Row],[Aplicación]],14,1)</f>
        <v>6</v>
      </c>
      <c r="R2061" s="35" t="s">
        <v>299</v>
      </c>
      <c r="S2061" s="59" t="str">
        <f>MID(Tabla1[[#This Row],[Aplicación]],6,2)</f>
        <v>08</v>
      </c>
      <c r="T2061" s="35" t="str">
        <f>VLOOKUP(Tabla1[[#This Row],[AREA]],Hoja1!A:B,2,FALSE)</f>
        <v>08. Movilidad y espacio urbano</v>
      </c>
      <c r="U2061" s="35" t="str">
        <f>MID(Tabla1[[#This Row],[Aplicación]],9,4)</f>
        <v>1532</v>
      </c>
      <c r="V2061" s="35" t="str">
        <f>VLOOKUP(Tabla1[[#This Row],[PROGRAMA]],Hoja1!A:B,2,FALSE)</f>
        <v>1532. Pavimentación vias públicas y otros servicios urbanísticos</v>
      </c>
      <c r="W2061" s="56" t="str">
        <f>MID(Tabla1[[#This Row],[Aplicación]],14,2)</f>
        <v>61</v>
      </c>
      <c r="X2061" s="56" t="str">
        <f>MID(Tabla1[[#This Row],[Aplicación]],14,6)</f>
        <v>619</v>
      </c>
    </row>
    <row r="2062" spans="1:24" x14ac:dyDescent="0.25">
      <c r="A2062" s="55">
        <v>220220045938</v>
      </c>
      <c r="B2062" s="47" t="s">
        <v>507</v>
      </c>
      <c r="C2062" s="52">
        <v>45014</v>
      </c>
      <c r="D2062" s="46">
        <v>22022005749</v>
      </c>
      <c r="E2062" s="47" t="s">
        <v>529</v>
      </c>
      <c r="F2062" s="53">
        <v>1401.68</v>
      </c>
      <c r="G2062" s="47" t="s">
        <v>1163</v>
      </c>
      <c r="H2062" s="47" t="s">
        <v>3534</v>
      </c>
      <c r="I2062" s="46" t="s">
        <v>511</v>
      </c>
      <c r="J2062" s="47" t="s">
        <v>1165</v>
      </c>
      <c r="K2062" s="47" t="s">
        <v>837</v>
      </c>
      <c r="L2062" s="47" t="s">
        <v>520</v>
      </c>
      <c r="M2062" s="47" t="s">
        <v>514</v>
      </c>
      <c r="N2062" s="47" t="s">
        <v>515</v>
      </c>
      <c r="O2062" s="54" t="s">
        <v>382</v>
      </c>
      <c r="P2062" s="44" t="s">
        <v>309</v>
      </c>
      <c r="Q2062" s="59" t="str">
        <f>MID(Tabla1[[#This Row],[Aplicación]],14,1)</f>
        <v>6</v>
      </c>
      <c r="R2062" s="35" t="s">
        <v>299</v>
      </c>
      <c r="S2062" s="59" t="str">
        <f>MID(Tabla1[[#This Row],[Aplicación]],6,2)</f>
        <v>07</v>
      </c>
      <c r="T2062" s="35" t="str">
        <f>VLOOKUP(Tabla1[[#This Row],[AREA]],Hoja1!A:B,2,FALSE)</f>
        <v>07. Medio ambiente y desarrollo sostenible</v>
      </c>
      <c r="U2062" s="35" t="str">
        <f>MID(Tabla1[[#This Row],[Aplicación]],9,4)</f>
        <v>1711</v>
      </c>
      <c r="V2062" s="35" t="str">
        <f>VLOOKUP(Tabla1[[#This Row],[PROGRAMA]],Hoja1!A:B,2,FALSE)</f>
        <v>1711. Parques y jardines</v>
      </c>
      <c r="W2062" s="56" t="str">
        <f>MID(Tabla1[[#This Row],[Aplicación]],14,2)</f>
        <v>61</v>
      </c>
      <c r="X2062" s="56" t="str">
        <f>MID(Tabla1[[#This Row],[Aplicación]],14,6)</f>
        <v>610</v>
      </c>
    </row>
    <row r="2063" spans="1:24" x14ac:dyDescent="0.25">
      <c r="A2063" s="55">
        <v>220220045940</v>
      </c>
      <c r="B2063" s="47" t="s">
        <v>507</v>
      </c>
      <c r="C2063" s="52">
        <v>45014</v>
      </c>
      <c r="D2063" s="46">
        <v>22022005753</v>
      </c>
      <c r="E2063" s="47" t="s">
        <v>741</v>
      </c>
      <c r="F2063" s="53">
        <v>876.75</v>
      </c>
      <c r="G2063" s="47" t="s">
        <v>1163</v>
      </c>
      <c r="H2063" s="47" t="s">
        <v>3535</v>
      </c>
      <c r="I2063" s="46" t="s">
        <v>511</v>
      </c>
      <c r="J2063" s="47" t="s">
        <v>1165</v>
      </c>
      <c r="K2063" s="47" t="s">
        <v>837</v>
      </c>
      <c r="L2063" s="47" t="s">
        <v>520</v>
      </c>
      <c r="M2063" s="47" t="s">
        <v>514</v>
      </c>
      <c r="N2063" s="47" t="s">
        <v>515</v>
      </c>
      <c r="O2063" s="54" t="s">
        <v>382</v>
      </c>
      <c r="P2063" s="44" t="s">
        <v>309</v>
      </c>
      <c r="Q2063" s="59" t="str">
        <f>MID(Tabla1[[#This Row],[Aplicación]],14,1)</f>
        <v>6</v>
      </c>
      <c r="R2063" s="35" t="s">
        <v>299</v>
      </c>
      <c r="S2063" s="59" t="str">
        <f>MID(Tabla1[[#This Row],[Aplicación]],6,2)</f>
        <v>07</v>
      </c>
      <c r="T2063" s="35" t="str">
        <f>VLOOKUP(Tabla1[[#This Row],[AREA]],Hoja1!A:B,2,FALSE)</f>
        <v>07. Medio ambiente y desarrollo sostenible</v>
      </c>
      <c r="U2063" s="35" t="str">
        <f>MID(Tabla1[[#This Row],[Aplicación]],9,4)</f>
        <v>1711</v>
      </c>
      <c r="V2063" s="35" t="str">
        <f>VLOOKUP(Tabla1[[#This Row],[PROGRAMA]],Hoja1!A:B,2,FALSE)</f>
        <v>1711. Parques y jardines</v>
      </c>
      <c r="W2063" s="56" t="str">
        <f>MID(Tabla1[[#This Row],[Aplicación]],14,2)</f>
        <v>61</v>
      </c>
      <c r="X2063" s="56" t="str">
        <f>MID(Tabla1[[#This Row],[Aplicación]],14,6)</f>
        <v>619</v>
      </c>
    </row>
    <row r="2064" spans="1:24" x14ac:dyDescent="0.25">
      <c r="A2064" s="55">
        <v>220220046631</v>
      </c>
      <c r="B2064" s="47" t="s">
        <v>507</v>
      </c>
      <c r="C2064" s="52">
        <v>45014</v>
      </c>
      <c r="D2064" s="46">
        <v>22022003306</v>
      </c>
      <c r="E2064" s="47" t="s">
        <v>524</v>
      </c>
      <c r="F2064" s="53">
        <v>8453.11</v>
      </c>
      <c r="G2064" s="47" t="s">
        <v>1163</v>
      </c>
      <c r="H2064" s="47" t="s">
        <v>3536</v>
      </c>
      <c r="I2064" s="46" t="s">
        <v>511</v>
      </c>
      <c r="J2064" s="47" t="s">
        <v>1165</v>
      </c>
      <c r="K2064" s="47" t="s">
        <v>837</v>
      </c>
      <c r="L2064" s="47" t="s">
        <v>520</v>
      </c>
      <c r="M2064" s="47" t="s">
        <v>514</v>
      </c>
      <c r="N2064" s="47" t="s">
        <v>515</v>
      </c>
      <c r="O2064" s="54" t="s">
        <v>382</v>
      </c>
      <c r="P2064" s="44" t="s">
        <v>309</v>
      </c>
      <c r="Q2064" s="59" t="str">
        <f>MID(Tabla1[[#This Row],[Aplicación]],14,1)</f>
        <v>6</v>
      </c>
      <c r="R2064" s="35" t="s">
        <v>299</v>
      </c>
      <c r="S2064" s="59" t="str">
        <f>MID(Tabla1[[#This Row],[Aplicación]],6,2)</f>
        <v>02</v>
      </c>
      <c r="T2064" s="35" t="str">
        <f>VLOOKUP(Tabla1[[#This Row],[AREA]],Hoja1!A:B,2,FALSE)</f>
        <v>02. Planeamiento urbanístico y vivienda</v>
      </c>
      <c r="U2064" s="35" t="str">
        <f>MID(Tabla1[[#This Row],[Aplicación]],9,4)</f>
        <v>1511</v>
      </c>
      <c r="V2064" s="35" t="str">
        <f>VLOOKUP(Tabla1[[#This Row],[PROGRAMA]],Hoja1!A:B,2,FALSE)</f>
        <v>1511. Planficación y gestión del urbanismo</v>
      </c>
      <c r="W2064" s="56" t="str">
        <f>MID(Tabla1[[#This Row],[Aplicación]],14,2)</f>
        <v>61</v>
      </c>
      <c r="X2064" s="56" t="str">
        <f>MID(Tabla1[[#This Row],[Aplicación]],14,6)</f>
        <v>619</v>
      </c>
    </row>
    <row r="2065" spans="1:24" x14ac:dyDescent="0.25">
      <c r="A2065" s="55">
        <v>220220047416</v>
      </c>
      <c r="B2065" s="47" t="s">
        <v>507</v>
      </c>
      <c r="C2065" s="52">
        <v>45014</v>
      </c>
      <c r="D2065" s="46">
        <v>22022004878</v>
      </c>
      <c r="E2065" s="47" t="s">
        <v>741</v>
      </c>
      <c r="F2065" s="53">
        <v>7272.63</v>
      </c>
      <c r="G2065" s="47" t="s">
        <v>1163</v>
      </c>
      <c r="H2065" s="47" t="s">
        <v>3537</v>
      </c>
      <c r="I2065" s="46" t="s">
        <v>511</v>
      </c>
      <c r="J2065" s="47" t="s">
        <v>1165</v>
      </c>
      <c r="K2065" s="47" t="s">
        <v>837</v>
      </c>
      <c r="L2065" s="47" t="s">
        <v>520</v>
      </c>
      <c r="M2065" s="47" t="s">
        <v>514</v>
      </c>
      <c r="N2065" s="47" t="s">
        <v>515</v>
      </c>
      <c r="O2065" s="54" t="s">
        <v>382</v>
      </c>
      <c r="P2065" s="44" t="s">
        <v>309</v>
      </c>
      <c r="Q2065" s="59" t="str">
        <f>MID(Tabla1[[#This Row],[Aplicación]],14,1)</f>
        <v>6</v>
      </c>
      <c r="R2065" s="35" t="s">
        <v>299</v>
      </c>
      <c r="S2065" s="59" t="str">
        <f>MID(Tabla1[[#This Row],[Aplicación]],6,2)</f>
        <v>07</v>
      </c>
      <c r="T2065" s="35" t="str">
        <f>VLOOKUP(Tabla1[[#This Row],[AREA]],Hoja1!A:B,2,FALSE)</f>
        <v>07. Medio ambiente y desarrollo sostenible</v>
      </c>
      <c r="U2065" s="35" t="str">
        <f>MID(Tabla1[[#This Row],[Aplicación]],9,4)</f>
        <v>1711</v>
      </c>
      <c r="V2065" s="35" t="str">
        <f>VLOOKUP(Tabla1[[#This Row],[PROGRAMA]],Hoja1!A:B,2,FALSE)</f>
        <v>1711. Parques y jardines</v>
      </c>
      <c r="W2065" s="56" t="str">
        <f>MID(Tabla1[[#This Row],[Aplicación]],14,2)</f>
        <v>61</v>
      </c>
      <c r="X2065" s="56" t="str">
        <f>MID(Tabla1[[#This Row],[Aplicación]],14,6)</f>
        <v>619</v>
      </c>
    </row>
    <row r="2066" spans="1:24" x14ac:dyDescent="0.25">
      <c r="A2066" s="55">
        <v>220220057907</v>
      </c>
      <c r="B2066" s="47" t="s">
        <v>507</v>
      </c>
      <c r="C2066" s="52">
        <v>45014</v>
      </c>
      <c r="D2066" s="46">
        <v>22022007221</v>
      </c>
      <c r="E2066" s="47" t="s">
        <v>1272</v>
      </c>
      <c r="F2066" s="53">
        <v>1016.81</v>
      </c>
      <c r="G2066" s="47" t="s">
        <v>1163</v>
      </c>
      <c r="H2066" s="47" t="s">
        <v>3538</v>
      </c>
      <c r="I2066" s="46" t="s">
        <v>511</v>
      </c>
      <c r="J2066" s="47" t="s">
        <v>1165</v>
      </c>
      <c r="K2066" s="47" t="s">
        <v>837</v>
      </c>
      <c r="L2066" s="47" t="s">
        <v>527</v>
      </c>
      <c r="M2066" s="47" t="s">
        <v>514</v>
      </c>
      <c r="N2066" s="47" t="s">
        <v>515</v>
      </c>
      <c r="O2066" s="54" t="s">
        <v>382</v>
      </c>
      <c r="P2066" s="44" t="s">
        <v>309</v>
      </c>
      <c r="Q2066" s="59" t="str">
        <f>MID(Tabla1[[#This Row],[Aplicación]],14,1)</f>
        <v>6</v>
      </c>
      <c r="R2066" s="35" t="s">
        <v>299</v>
      </c>
      <c r="S2066" s="59" t="str">
        <f>MID(Tabla1[[#This Row],[Aplicación]],6,2)</f>
        <v>02</v>
      </c>
      <c r="T2066" s="35" t="str">
        <f>VLOOKUP(Tabla1[[#This Row],[AREA]],Hoja1!A:B,2,FALSE)</f>
        <v>02. Planeamiento urbanístico y vivienda</v>
      </c>
      <c r="U2066" s="35" t="str">
        <f>MID(Tabla1[[#This Row],[Aplicación]],9,4)</f>
        <v>9332</v>
      </c>
      <c r="V2066" s="35" t="str">
        <f>VLOOKUP(Tabla1[[#This Row],[PROGRAMA]],Hoja1!A:B,2,FALSE)</f>
        <v>9332. Mantenimiento de edificios e instalaciones municipales</v>
      </c>
      <c r="W2066" s="56" t="str">
        <f>MID(Tabla1[[#This Row],[Aplicación]],14,2)</f>
        <v>63</v>
      </c>
      <c r="X2066" s="56" t="str">
        <f>MID(Tabla1[[#This Row],[Aplicación]],14,6)</f>
        <v>632</v>
      </c>
    </row>
    <row r="2067" spans="1:24" x14ac:dyDescent="0.25">
      <c r="A2067" s="55">
        <v>220220065417</v>
      </c>
      <c r="B2067" s="47" t="s">
        <v>507</v>
      </c>
      <c r="C2067" s="52">
        <v>45014</v>
      </c>
      <c r="D2067" s="46">
        <v>22022005430</v>
      </c>
      <c r="E2067" s="47" t="s">
        <v>2732</v>
      </c>
      <c r="F2067" s="53">
        <v>936.5</v>
      </c>
      <c r="G2067" s="47" t="s">
        <v>1163</v>
      </c>
      <c r="H2067" s="47" t="s">
        <v>3539</v>
      </c>
      <c r="I2067" s="46" t="s">
        <v>511</v>
      </c>
      <c r="J2067" s="47" t="s">
        <v>1165</v>
      </c>
      <c r="K2067" s="47" t="s">
        <v>837</v>
      </c>
      <c r="L2067" s="47" t="s">
        <v>520</v>
      </c>
      <c r="M2067" s="47" t="s">
        <v>514</v>
      </c>
      <c r="N2067" s="47" t="s">
        <v>515</v>
      </c>
      <c r="O2067" s="54" t="s">
        <v>382</v>
      </c>
      <c r="P2067" s="44" t="s">
        <v>309</v>
      </c>
      <c r="Q2067" s="59" t="str">
        <f>MID(Tabla1[[#This Row],[Aplicación]],14,1)</f>
        <v>6</v>
      </c>
      <c r="R2067" s="35" t="s">
        <v>299</v>
      </c>
      <c r="S2067" s="59" t="str">
        <f>MID(Tabla1[[#This Row],[Aplicación]],6,2)</f>
        <v>06</v>
      </c>
      <c r="T2067" s="35" t="str">
        <f>VLOOKUP(Tabla1[[#This Row],[AREA]],Hoja1!A:B,2,FALSE)</f>
        <v>06. Educación, infancia, juventud e igualdad</v>
      </c>
      <c r="U2067" s="35" t="str">
        <f>MID(Tabla1[[#This Row],[Aplicación]],9,4)</f>
        <v>3232</v>
      </c>
      <c r="V2067" s="35" t="str">
        <f>VLOOKUP(Tabla1[[#This Row],[PROGRAMA]],Hoja1!A:B,2,FALSE)</f>
        <v>3232. Conservación y mantenimiento centros educación infantil y primaria</v>
      </c>
      <c r="W2067" s="56" t="str">
        <f>MID(Tabla1[[#This Row],[Aplicación]],14,2)</f>
        <v>63</v>
      </c>
      <c r="X2067" s="56" t="str">
        <f>MID(Tabla1[[#This Row],[Aplicación]],14,6)</f>
        <v>632</v>
      </c>
    </row>
    <row r="2068" spans="1:24" x14ac:dyDescent="0.25">
      <c r="A2068" s="55">
        <v>220220065419</v>
      </c>
      <c r="B2068" s="47" t="s">
        <v>507</v>
      </c>
      <c r="C2068" s="52">
        <v>45014</v>
      </c>
      <c r="D2068" s="46">
        <v>22022005431</v>
      </c>
      <c r="E2068" s="47" t="s">
        <v>3540</v>
      </c>
      <c r="F2068" s="53">
        <v>557.11</v>
      </c>
      <c r="G2068" s="47" t="s">
        <v>1163</v>
      </c>
      <c r="H2068" s="47" t="s">
        <v>3541</v>
      </c>
      <c r="I2068" s="46" t="s">
        <v>511</v>
      </c>
      <c r="J2068" s="47" t="s">
        <v>1165</v>
      </c>
      <c r="K2068" s="47" t="s">
        <v>837</v>
      </c>
      <c r="L2068" s="47" t="s">
        <v>520</v>
      </c>
      <c r="M2068" s="47" t="s">
        <v>514</v>
      </c>
      <c r="N2068" s="47" t="s">
        <v>515</v>
      </c>
      <c r="O2068" s="54" t="s">
        <v>382</v>
      </c>
      <c r="P2068" s="44" t="s">
        <v>309</v>
      </c>
      <c r="Q2068" s="59" t="str">
        <f>MID(Tabla1[[#This Row],[Aplicación]],14,1)</f>
        <v>6</v>
      </c>
      <c r="R2068" s="35" t="s">
        <v>299</v>
      </c>
      <c r="S2068" s="59" t="str">
        <f>MID(Tabla1[[#This Row],[Aplicación]],6,2)</f>
        <v>06</v>
      </c>
      <c r="T2068" s="35" t="str">
        <f>VLOOKUP(Tabla1[[#This Row],[AREA]],Hoja1!A:B,2,FALSE)</f>
        <v>06. Educación, infancia, juventud e igualdad</v>
      </c>
      <c r="U2068" s="35" t="str">
        <f>MID(Tabla1[[#This Row],[Aplicación]],9,4)</f>
        <v>3261</v>
      </c>
      <c r="V2068" s="35" t="str">
        <f>VLOOKUP(Tabla1[[#This Row],[PROGRAMA]],Hoja1!A:B,2,FALSE)</f>
        <v>3261. Servicios complementarios de educación</v>
      </c>
      <c r="W2068" s="56" t="str">
        <f>MID(Tabla1[[#This Row],[Aplicación]],14,2)</f>
        <v>63</v>
      </c>
      <c r="X2068" s="56" t="str">
        <f>MID(Tabla1[[#This Row],[Aplicación]],14,6)</f>
        <v>632</v>
      </c>
    </row>
    <row r="2069" spans="1:24" x14ac:dyDescent="0.25">
      <c r="A2069" s="55">
        <v>220220034822</v>
      </c>
      <c r="B2069" s="47" t="s">
        <v>507</v>
      </c>
      <c r="C2069" s="52">
        <v>45014</v>
      </c>
      <c r="D2069" s="46">
        <v>22022003276</v>
      </c>
      <c r="E2069" s="47" t="s">
        <v>808</v>
      </c>
      <c r="F2069" s="53">
        <v>26186.11</v>
      </c>
      <c r="G2069" s="47" t="s">
        <v>329</v>
      </c>
      <c r="H2069" s="47" t="s">
        <v>3542</v>
      </c>
      <c r="I2069" s="46" t="s">
        <v>511</v>
      </c>
      <c r="J2069" s="47" t="s">
        <v>519</v>
      </c>
      <c r="K2069" s="47" t="s">
        <v>519</v>
      </c>
      <c r="L2069" s="47" t="s">
        <v>527</v>
      </c>
      <c r="M2069" s="47" t="s">
        <v>976</v>
      </c>
      <c r="N2069" s="47" t="s">
        <v>839</v>
      </c>
      <c r="O2069" s="54" t="s">
        <v>383</v>
      </c>
      <c r="P2069" s="44" t="s">
        <v>309</v>
      </c>
      <c r="Q2069" s="59" t="str">
        <f>MID(Tabla1[[#This Row],[Aplicación]],14,1)</f>
        <v>6</v>
      </c>
      <c r="R2069" s="35" t="s">
        <v>299</v>
      </c>
      <c r="S2069" s="59" t="str">
        <f>MID(Tabla1[[#This Row],[Aplicación]],6,2)</f>
        <v>03</v>
      </c>
      <c r="T2069" s="35" t="str">
        <f>VLOOKUP(Tabla1[[#This Row],[AREA]],Hoja1!A:B,2,FALSE)</f>
        <v>03. Participación ciudadana y deportes</v>
      </c>
      <c r="U2069" s="35" t="str">
        <f>MID(Tabla1[[#This Row],[Aplicación]],9,4)</f>
        <v>9241</v>
      </c>
      <c r="V2069" s="35" t="str">
        <f>VLOOKUP(Tabla1[[#This Row],[PROGRAMA]],Hoja1!A:B,2,FALSE)</f>
        <v>9241. Participación ciudadana</v>
      </c>
      <c r="W2069" s="56" t="str">
        <f>MID(Tabla1[[#This Row],[Aplicación]],14,2)</f>
        <v>63</v>
      </c>
      <c r="X2069" s="56" t="str">
        <f>MID(Tabla1[[#This Row],[Aplicación]],14,6)</f>
        <v>632</v>
      </c>
    </row>
    <row r="2070" spans="1:24" x14ac:dyDescent="0.25">
      <c r="A2070" s="55">
        <v>220230011723</v>
      </c>
      <c r="B2070" s="47" t="s">
        <v>507</v>
      </c>
      <c r="C2070" s="52">
        <v>45014</v>
      </c>
      <c r="D2070" s="46">
        <v>22023003556</v>
      </c>
      <c r="E2070" s="47" t="s">
        <v>1490</v>
      </c>
      <c r="F2070" s="53">
        <v>2288.7800000000002</v>
      </c>
      <c r="G2070" s="47" t="s">
        <v>3543</v>
      </c>
      <c r="H2070" s="47" t="s">
        <v>3544</v>
      </c>
      <c r="I2070" s="46" t="s">
        <v>511</v>
      </c>
      <c r="J2070" s="47" t="s">
        <v>519</v>
      </c>
      <c r="K2070" s="47" t="s">
        <v>519</v>
      </c>
      <c r="L2070" s="47" t="s">
        <v>520</v>
      </c>
      <c r="M2070" s="47" t="s">
        <v>976</v>
      </c>
      <c r="N2070" s="47" t="s">
        <v>839</v>
      </c>
      <c r="O2070" s="54" t="s">
        <v>383</v>
      </c>
      <c r="P2070" s="44" t="s">
        <v>309</v>
      </c>
      <c r="Q2070" s="59" t="str">
        <f>MID(Tabla1[[#This Row],[Aplicación]],14,1)</f>
        <v>2</v>
      </c>
      <c r="R2070" s="35" t="s">
        <v>298</v>
      </c>
      <c r="S2070" s="59" t="str">
        <f>MID(Tabla1[[#This Row],[Aplicación]],6,2)</f>
        <v>06</v>
      </c>
      <c r="T2070" s="35" t="str">
        <f>VLOOKUP(Tabla1[[#This Row],[AREA]],Hoja1!A:B,2,FALSE)</f>
        <v>06. Educación, infancia, juventud e igualdad</v>
      </c>
      <c r="U2070" s="35" t="str">
        <f>MID(Tabla1[[#This Row],[Aplicación]],9,4)</f>
        <v>2314</v>
      </c>
      <c r="V2070" s="35" t="str">
        <f>VLOOKUP(Tabla1[[#This Row],[PROGRAMA]],Hoja1!A:B,2,FALSE)</f>
        <v>2314. Centro de programas juveniles</v>
      </c>
      <c r="W2070" s="56" t="str">
        <f>MID(Tabla1[[#This Row],[Aplicación]],14,2)</f>
        <v>22</v>
      </c>
      <c r="X2070" s="56" t="str">
        <f>MID(Tabla1[[#This Row],[Aplicación]],14,6)</f>
        <v>22613</v>
      </c>
    </row>
    <row r="2071" spans="1:24" x14ac:dyDescent="0.25">
      <c r="A2071" s="46">
        <v>220230002947</v>
      </c>
      <c r="B2071" s="47" t="s">
        <v>507</v>
      </c>
      <c r="C2071" s="52">
        <v>44967</v>
      </c>
      <c r="D2071" s="46">
        <v>22023002381</v>
      </c>
      <c r="E2071" s="47" t="s">
        <v>1911</v>
      </c>
      <c r="F2071" s="53">
        <v>968</v>
      </c>
      <c r="G2071" s="47" t="s">
        <v>3484</v>
      </c>
      <c r="H2071" s="47" t="s">
        <v>3545</v>
      </c>
      <c r="I2071" s="46" t="s">
        <v>511</v>
      </c>
      <c r="J2071" s="47" t="s">
        <v>3486</v>
      </c>
      <c r="K2071" s="47" t="s">
        <v>858</v>
      </c>
      <c r="L2071" s="47" t="s">
        <v>520</v>
      </c>
      <c r="M2071" s="47" t="s">
        <v>976</v>
      </c>
      <c r="N2071" s="47" t="s">
        <v>839</v>
      </c>
      <c r="O2071" s="45" t="s">
        <v>383</v>
      </c>
      <c r="P2071" s="44" t="s">
        <v>309</v>
      </c>
      <c r="Q2071" s="59" t="str">
        <f>MID(Tabla1[[#This Row],[Aplicación]],14,1)</f>
        <v>2</v>
      </c>
      <c r="R2071" s="35" t="s">
        <v>298</v>
      </c>
      <c r="S2071" s="59" t="str">
        <f>MID(Tabla1[[#This Row],[Aplicación]],6,2)</f>
        <v>11</v>
      </c>
      <c r="T2071" s="35" t="str">
        <f>VLOOKUP(Tabla1[[#This Row],[AREA]],Hoja1!A:B,2,FALSE)</f>
        <v>11. Salud pública y seguridad ciudadana</v>
      </c>
      <c r="U2071" s="35" t="str">
        <f>MID(Tabla1[[#This Row],[Aplicación]],9,4)</f>
        <v>1621</v>
      </c>
      <c r="V2071" s="35" t="str">
        <f>VLOOKUP(Tabla1[[#This Row],[PROGRAMA]],Hoja1!A:B,2,FALSE)</f>
        <v>1621. Servicio de limpieza</v>
      </c>
      <c r="W2071" s="56" t="str">
        <f>MID(Tabla1[[#This Row],[Aplicación]],14,2)</f>
        <v>22</v>
      </c>
      <c r="X2071" s="56" t="str">
        <f>MID(Tabla1[[#This Row],[Aplicación]],14,6)</f>
        <v>22706</v>
      </c>
    </row>
    <row r="2072" spans="1:24" x14ac:dyDescent="0.25">
      <c r="A2072" s="46">
        <v>220230006758</v>
      </c>
      <c r="B2072" s="47" t="s">
        <v>507</v>
      </c>
      <c r="C2072" s="52">
        <v>44986</v>
      </c>
      <c r="D2072" s="46">
        <v>22023002754</v>
      </c>
      <c r="E2072" s="47" t="s">
        <v>2768</v>
      </c>
      <c r="F2072" s="53">
        <v>152</v>
      </c>
      <c r="G2072" s="47" t="s">
        <v>3546</v>
      </c>
      <c r="H2072" s="47" t="s">
        <v>3547</v>
      </c>
      <c r="I2072" s="46" t="s">
        <v>511</v>
      </c>
      <c r="J2072" s="47" t="s">
        <v>519</v>
      </c>
      <c r="K2072" s="47" t="s">
        <v>519</v>
      </c>
      <c r="L2072" s="47" t="s">
        <v>520</v>
      </c>
      <c r="M2072" s="47" t="s">
        <v>976</v>
      </c>
      <c r="N2072" s="47" t="s">
        <v>839</v>
      </c>
      <c r="O2072" s="45" t="s">
        <v>383</v>
      </c>
      <c r="P2072" s="44" t="s">
        <v>309</v>
      </c>
      <c r="Q2072" s="59" t="str">
        <f>MID(Tabla1[[#This Row],[Aplicación]],14,1)</f>
        <v>2</v>
      </c>
      <c r="R2072" s="35" t="s">
        <v>298</v>
      </c>
      <c r="S2072" s="59" t="str">
        <f>MID(Tabla1[[#This Row],[Aplicación]],6,2)</f>
        <v>02</v>
      </c>
      <c r="T2072" s="35" t="str">
        <f>VLOOKUP(Tabla1[[#This Row],[AREA]],Hoja1!A:B,2,FALSE)</f>
        <v>02. Planeamiento urbanístico y vivienda</v>
      </c>
      <c r="U2072" s="35" t="str">
        <f>MID(Tabla1[[#This Row],[Aplicación]],9,4)</f>
        <v>9332</v>
      </c>
      <c r="V2072" s="35" t="str">
        <f>VLOOKUP(Tabla1[[#This Row],[PROGRAMA]],Hoja1!A:B,2,FALSE)</f>
        <v>9332. Mantenimiento de edificios e instalaciones municipales</v>
      </c>
      <c r="W2072" s="56" t="str">
        <f>MID(Tabla1[[#This Row],[Aplicación]],14,2)</f>
        <v>22</v>
      </c>
      <c r="X2072" s="56" t="str">
        <f>MID(Tabla1[[#This Row],[Aplicación]],14,6)</f>
        <v>22699</v>
      </c>
    </row>
    <row r="2073" spans="1:24" x14ac:dyDescent="0.25">
      <c r="A2073" s="46">
        <v>220230001936</v>
      </c>
      <c r="B2073" s="47" t="s">
        <v>507</v>
      </c>
      <c r="C2073" s="52">
        <v>44960</v>
      </c>
      <c r="D2073" s="46">
        <v>22023001353</v>
      </c>
      <c r="E2073" s="47" t="s">
        <v>659</v>
      </c>
      <c r="F2073" s="53">
        <v>3400.1</v>
      </c>
      <c r="G2073" s="47" t="s">
        <v>335</v>
      </c>
      <c r="H2073" s="47" t="s">
        <v>3548</v>
      </c>
      <c r="I2073" s="46" t="s">
        <v>511</v>
      </c>
      <c r="J2073" s="47" t="s">
        <v>512</v>
      </c>
      <c r="K2073" s="47" t="s">
        <v>512</v>
      </c>
      <c r="L2073" s="47" t="s">
        <v>520</v>
      </c>
      <c r="M2073" s="47" t="s">
        <v>976</v>
      </c>
      <c r="N2073" s="47" t="s">
        <v>839</v>
      </c>
      <c r="O2073" s="45" t="s">
        <v>383</v>
      </c>
      <c r="P2073" s="44" t="s">
        <v>309</v>
      </c>
      <c r="Q2073" s="59" t="str">
        <f>MID(Tabla1[[#This Row],[Aplicación]],14,1)</f>
        <v>2</v>
      </c>
      <c r="R2073" s="35" t="s">
        <v>298</v>
      </c>
      <c r="S2073" s="59" t="str">
        <f>MID(Tabla1[[#This Row],[Aplicación]],6,2)</f>
        <v>11</v>
      </c>
      <c r="T2073" s="35" t="str">
        <f>VLOOKUP(Tabla1[[#This Row],[AREA]],Hoja1!A:B,2,FALSE)</f>
        <v>11. Salud pública y seguridad ciudadana</v>
      </c>
      <c r="U2073" s="35" t="str">
        <f>MID(Tabla1[[#This Row],[Aplicación]],9,4)</f>
        <v>1321</v>
      </c>
      <c r="V2073" s="35" t="str">
        <f>VLOOKUP(Tabla1[[#This Row],[PROGRAMA]],Hoja1!A:B,2,FALSE)</f>
        <v>1321. Policía municipal</v>
      </c>
      <c r="W2073" s="56" t="str">
        <f>MID(Tabla1[[#This Row],[Aplicación]],14,2)</f>
        <v>21</v>
      </c>
      <c r="X2073" s="56" t="str">
        <f>MID(Tabla1[[#This Row],[Aplicación]],14,6)</f>
        <v>213</v>
      </c>
    </row>
    <row r="2074" spans="1:24" x14ac:dyDescent="0.25">
      <c r="A2074" s="46">
        <v>220229000547</v>
      </c>
      <c r="B2074" s="47" t="s">
        <v>507</v>
      </c>
      <c r="C2074" s="52">
        <v>44927</v>
      </c>
      <c r="D2074" s="46">
        <v>22023001214</v>
      </c>
      <c r="E2074" s="47" t="s">
        <v>835</v>
      </c>
      <c r="F2074" s="53">
        <v>42487.5</v>
      </c>
      <c r="G2074" s="47" t="s">
        <v>3549</v>
      </c>
      <c r="H2074" s="47" t="s">
        <v>3550</v>
      </c>
      <c r="I2074" s="46" t="s">
        <v>511</v>
      </c>
      <c r="J2074" s="47" t="s">
        <v>3551</v>
      </c>
      <c r="K2074" s="47" t="s">
        <v>590</v>
      </c>
      <c r="L2074" s="47" t="s">
        <v>520</v>
      </c>
      <c r="M2074" s="47" t="s">
        <v>514</v>
      </c>
      <c r="N2074" s="47" t="s">
        <v>515</v>
      </c>
      <c r="O2074" s="45" t="s">
        <v>371</v>
      </c>
      <c r="P2074" s="44" t="s">
        <v>309</v>
      </c>
      <c r="Q2074" s="59" t="str">
        <f>MID(Tabla1[[#This Row],[Aplicación]],14,1)</f>
        <v>2</v>
      </c>
      <c r="R2074" s="35" t="s">
        <v>298</v>
      </c>
      <c r="S2074" s="59" t="str">
        <f>MID(Tabla1[[#This Row],[Aplicación]],6,2)</f>
        <v>05</v>
      </c>
      <c r="T2074" s="35" t="str">
        <f>VLOOKUP(Tabla1[[#This Row],[AREA]],Hoja1!A:B,2,FALSE)</f>
        <v>05. Innovación, desarrollo económico, empleo y comercio</v>
      </c>
      <c r="U2074" s="35" t="str">
        <f>MID(Tabla1[[#This Row],[Aplicación]],9,4)</f>
        <v>4331</v>
      </c>
      <c r="V2074" s="35" t="str">
        <f>VLOOKUP(Tabla1[[#This Row],[PROGRAMA]],Hoja1!A:B,2,FALSE)</f>
        <v>4331. Desarrollo empresarial</v>
      </c>
      <c r="W2074" s="56" t="str">
        <f>MID(Tabla1[[#This Row],[Aplicación]],14,2)</f>
        <v>22</v>
      </c>
      <c r="X2074" s="56" t="str">
        <f>MID(Tabla1[[#This Row],[Aplicación]],14,6)</f>
        <v>22799</v>
      </c>
    </row>
    <row r="2075" spans="1:24" x14ac:dyDescent="0.25">
      <c r="A2075" s="46">
        <v>220229000649</v>
      </c>
      <c r="B2075" s="47" t="s">
        <v>507</v>
      </c>
      <c r="C2075" s="52">
        <v>44927</v>
      </c>
      <c r="D2075" s="46">
        <v>22023001256</v>
      </c>
      <c r="E2075" s="47" t="s">
        <v>618</v>
      </c>
      <c r="F2075" s="53">
        <v>290.39999999999998</v>
      </c>
      <c r="G2075" s="47" t="s">
        <v>23</v>
      </c>
      <c r="H2075" s="47" t="s">
        <v>3552</v>
      </c>
      <c r="I2075" s="46" t="s">
        <v>511</v>
      </c>
      <c r="J2075" s="47" t="s">
        <v>519</v>
      </c>
      <c r="K2075" s="47" t="s">
        <v>519</v>
      </c>
      <c r="L2075" s="47" t="s">
        <v>520</v>
      </c>
      <c r="M2075" s="47" t="s">
        <v>976</v>
      </c>
      <c r="N2075" s="47" t="s">
        <v>839</v>
      </c>
      <c r="O2075" s="45" t="s">
        <v>383</v>
      </c>
      <c r="P2075" s="44" t="s">
        <v>309</v>
      </c>
      <c r="Q2075" s="59" t="str">
        <f>MID(Tabla1[[#This Row],[Aplicación]],14,1)</f>
        <v>2</v>
      </c>
      <c r="R2075" s="35" t="s">
        <v>298</v>
      </c>
      <c r="S2075" s="59" t="str">
        <f>MID(Tabla1[[#This Row],[Aplicación]],6,2)</f>
        <v>10</v>
      </c>
      <c r="T2075" s="35" t="str">
        <f>VLOOKUP(Tabla1[[#This Row],[AREA]],Hoja1!A:B,2,FALSE)</f>
        <v>10. Servicios sociales y mediación comunitaria</v>
      </c>
      <c r="U2075" s="35" t="str">
        <f>MID(Tabla1[[#This Row],[Aplicación]],9,4)</f>
        <v>2311</v>
      </c>
      <c r="V2075" s="35" t="str">
        <f>VLOOKUP(Tabla1[[#This Row],[PROGRAMA]],Hoja1!A:B,2,FALSE)</f>
        <v>2311. Intervención social</v>
      </c>
      <c r="W2075" s="56" t="str">
        <f>MID(Tabla1[[#This Row],[Aplicación]],14,2)</f>
        <v>21</v>
      </c>
      <c r="X2075" s="56" t="str">
        <f>MID(Tabla1[[#This Row],[Aplicación]],14,6)</f>
        <v>213</v>
      </c>
    </row>
    <row r="2076" spans="1:24" x14ac:dyDescent="0.25">
      <c r="A2076" s="46">
        <v>220230005411</v>
      </c>
      <c r="B2076" s="47" t="s">
        <v>507</v>
      </c>
      <c r="C2076" s="52">
        <v>44979</v>
      </c>
      <c r="D2076" s="46">
        <v>22023002620</v>
      </c>
      <c r="E2076" s="47" t="s">
        <v>613</v>
      </c>
      <c r="F2076" s="53">
        <v>111.32</v>
      </c>
      <c r="G2076" s="47" t="s">
        <v>23</v>
      </c>
      <c r="H2076" s="47" t="s">
        <v>3553</v>
      </c>
      <c r="I2076" s="46" t="s">
        <v>511</v>
      </c>
      <c r="J2076" s="47" t="s">
        <v>519</v>
      </c>
      <c r="K2076" s="47" t="s">
        <v>519</v>
      </c>
      <c r="L2076" s="47" t="s">
        <v>552</v>
      </c>
      <c r="M2076" s="47" t="s">
        <v>976</v>
      </c>
      <c r="N2076" s="47" t="s">
        <v>839</v>
      </c>
      <c r="O2076" s="45" t="s">
        <v>383</v>
      </c>
      <c r="P2076" s="44" t="s">
        <v>309</v>
      </c>
      <c r="Q2076" s="59" t="str">
        <f>MID(Tabla1[[#This Row],[Aplicación]],14,1)</f>
        <v>2</v>
      </c>
      <c r="R2076" s="35" t="s">
        <v>298</v>
      </c>
      <c r="S2076" s="59" t="str">
        <f>MID(Tabla1[[#This Row],[Aplicación]],6,2)</f>
        <v>10</v>
      </c>
      <c r="T2076" s="35" t="str">
        <f>VLOOKUP(Tabla1[[#This Row],[AREA]],Hoja1!A:B,2,FALSE)</f>
        <v>10. Servicios sociales y mediación comunitaria</v>
      </c>
      <c r="U2076" s="35" t="str">
        <f>MID(Tabla1[[#This Row],[Aplicación]],9,4)</f>
        <v>2312</v>
      </c>
      <c r="V2076" s="35" t="str">
        <f>VLOOKUP(Tabla1[[#This Row],[PROGRAMA]],Hoja1!A:B,2,FALSE)</f>
        <v>2312. Iniciativas sociales</v>
      </c>
      <c r="W2076" s="56" t="str">
        <f>MID(Tabla1[[#This Row],[Aplicación]],14,2)</f>
        <v>21</v>
      </c>
      <c r="X2076" s="56" t="str">
        <f>MID(Tabla1[[#This Row],[Aplicación]],14,6)</f>
        <v>213</v>
      </c>
    </row>
    <row r="2077" spans="1:24" x14ac:dyDescent="0.25">
      <c r="A2077" s="46">
        <v>220229000601</v>
      </c>
      <c r="B2077" s="47" t="s">
        <v>507</v>
      </c>
      <c r="C2077" s="52">
        <v>44927</v>
      </c>
      <c r="D2077" s="46">
        <v>22023000467</v>
      </c>
      <c r="E2077" s="47" t="s">
        <v>574</v>
      </c>
      <c r="F2077" s="53">
        <v>12906.46</v>
      </c>
      <c r="G2077" s="47" t="s">
        <v>3554</v>
      </c>
      <c r="H2077" s="47" t="s">
        <v>3555</v>
      </c>
      <c r="I2077" s="46" t="s">
        <v>511</v>
      </c>
      <c r="J2077" s="47" t="s">
        <v>519</v>
      </c>
      <c r="K2077" s="47" t="s">
        <v>519</v>
      </c>
      <c r="L2077" s="47" t="s">
        <v>520</v>
      </c>
      <c r="M2077" s="47" t="s">
        <v>514</v>
      </c>
      <c r="N2077" s="47" t="s">
        <v>515</v>
      </c>
      <c r="O2077" s="45" t="s">
        <v>371</v>
      </c>
      <c r="P2077" s="44" t="s">
        <v>309</v>
      </c>
      <c r="Q2077" s="59" t="str">
        <f>MID(Tabla1[[#This Row],[Aplicación]],14,1)</f>
        <v>2</v>
      </c>
      <c r="R2077" s="35" t="s">
        <v>298</v>
      </c>
      <c r="S2077" s="59" t="str">
        <f>MID(Tabla1[[#This Row],[Aplicación]],6,2)</f>
        <v>11</v>
      </c>
      <c r="T2077" s="35" t="str">
        <f>VLOOKUP(Tabla1[[#This Row],[AREA]],Hoja1!A:B,2,FALSE)</f>
        <v>11. Salud pública y seguridad ciudadana</v>
      </c>
      <c r="U2077" s="35" t="str">
        <f>MID(Tabla1[[#This Row],[Aplicación]],9,4)</f>
        <v>1621</v>
      </c>
      <c r="V2077" s="35" t="str">
        <f>VLOOKUP(Tabla1[[#This Row],[PROGRAMA]],Hoja1!A:B,2,FALSE)</f>
        <v>1621. Servicio de limpieza</v>
      </c>
      <c r="W2077" s="56" t="str">
        <f>MID(Tabla1[[#This Row],[Aplicación]],14,2)</f>
        <v>22</v>
      </c>
      <c r="X2077" s="56" t="str">
        <f>MID(Tabla1[[#This Row],[Aplicación]],14,6)</f>
        <v>22700</v>
      </c>
    </row>
    <row r="2078" spans="1:24" x14ac:dyDescent="0.25">
      <c r="A2078" s="46">
        <v>220230005395</v>
      </c>
      <c r="B2078" s="47" t="s">
        <v>507</v>
      </c>
      <c r="C2078" s="52">
        <v>44979</v>
      </c>
      <c r="D2078" s="46">
        <v>22023002655</v>
      </c>
      <c r="E2078" s="47" t="s">
        <v>1558</v>
      </c>
      <c r="F2078" s="53">
        <v>1464.2</v>
      </c>
      <c r="G2078" s="47" t="s">
        <v>408</v>
      </c>
      <c r="H2078" s="47" t="s">
        <v>3556</v>
      </c>
      <c r="I2078" s="46" t="s">
        <v>511</v>
      </c>
      <c r="J2078" s="47" t="s">
        <v>519</v>
      </c>
      <c r="K2078" s="47" t="s">
        <v>519</v>
      </c>
      <c r="L2078" s="47" t="s">
        <v>520</v>
      </c>
      <c r="M2078" s="47" t="s">
        <v>976</v>
      </c>
      <c r="N2078" s="47" t="s">
        <v>839</v>
      </c>
      <c r="O2078" s="45" t="s">
        <v>383</v>
      </c>
      <c r="P2078" s="44" t="s">
        <v>309</v>
      </c>
      <c r="Q2078" s="59" t="str">
        <f>MID(Tabla1[[#This Row],[Aplicación]],14,1)</f>
        <v>2</v>
      </c>
      <c r="R2078" s="35" t="s">
        <v>298</v>
      </c>
      <c r="S2078" s="59" t="str">
        <f>MID(Tabla1[[#This Row],[Aplicación]],6,2)</f>
        <v>11</v>
      </c>
      <c r="T2078" s="35" t="str">
        <f>VLOOKUP(Tabla1[[#This Row],[AREA]],Hoja1!A:B,2,FALSE)</f>
        <v>11. Salud pública y seguridad ciudadana</v>
      </c>
      <c r="U2078" s="35" t="str">
        <f>MID(Tabla1[[#This Row],[Aplicación]],9,4)</f>
        <v>3111</v>
      </c>
      <c r="V2078" s="35" t="str">
        <f>VLOOKUP(Tabla1[[#This Row],[PROGRAMA]],Hoja1!A:B,2,FALSE)</f>
        <v>3111. Protección de la salubridad pública</v>
      </c>
      <c r="W2078" s="56" t="str">
        <f>MID(Tabla1[[#This Row],[Aplicación]],14,2)</f>
        <v>21</v>
      </c>
      <c r="X2078" s="56" t="str">
        <f>MID(Tabla1[[#This Row],[Aplicación]],14,6)</f>
        <v>213</v>
      </c>
    </row>
    <row r="2079" spans="1:24" x14ac:dyDescent="0.25">
      <c r="A2079" s="46">
        <v>220230001931</v>
      </c>
      <c r="B2079" s="47" t="s">
        <v>507</v>
      </c>
      <c r="C2079" s="52">
        <v>44960</v>
      </c>
      <c r="D2079" s="46">
        <v>22023000200</v>
      </c>
      <c r="E2079" s="47" t="s">
        <v>1504</v>
      </c>
      <c r="F2079" s="53">
        <v>1304.79</v>
      </c>
      <c r="G2079" s="47" t="s">
        <v>445</v>
      </c>
      <c r="H2079" s="47" t="s">
        <v>3557</v>
      </c>
      <c r="I2079" s="46" t="s">
        <v>511</v>
      </c>
      <c r="J2079" s="47" t="s">
        <v>512</v>
      </c>
      <c r="K2079" s="47" t="s">
        <v>512</v>
      </c>
      <c r="L2079" s="47" t="s">
        <v>520</v>
      </c>
      <c r="M2079" s="47" t="s">
        <v>976</v>
      </c>
      <c r="N2079" s="47" t="s">
        <v>839</v>
      </c>
      <c r="O2079" s="45" t="s">
        <v>383</v>
      </c>
      <c r="P2079" s="44" t="s">
        <v>309</v>
      </c>
      <c r="Q2079" s="59" t="str">
        <f>MID(Tabla1[[#This Row],[Aplicación]],14,1)</f>
        <v>2</v>
      </c>
      <c r="R2079" s="35" t="s">
        <v>298</v>
      </c>
      <c r="S2079" s="59" t="str">
        <f>MID(Tabla1[[#This Row],[Aplicación]],6,2)</f>
        <v>04</v>
      </c>
      <c r="T2079" s="35" t="str">
        <f>VLOOKUP(Tabla1[[#This Row],[AREA]],Hoja1!A:B,2,FALSE)</f>
        <v>04. Planificación y recursos</v>
      </c>
      <c r="U2079" s="35" t="str">
        <f>MID(Tabla1[[#This Row],[Aplicación]],9,4)</f>
        <v>9321</v>
      </c>
      <c r="V2079" s="35" t="str">
        <f>VLOOKUP(Tabla1[[#This Row],[PROGRAMA]],Hoja1!A:B,2,FALSE)</f>
        <v>9321. Gestión de ingresos e inspección</v>
      </c>
      <c r="W2079" s="56" t="str">
        <f>MID(Tabla1[[#This Row],[Aplicación]],14,2)</f>
        <v>22</v>
      </c>
      <c r="X2079" s="56" t="str">
        <f>MID(Tabla1[[#This Row],[Aplicación]],14,6)</f>
        <v>22799</v>
      </c>
    </row>
    <row r="2080" spans="1:24" x14ac:dyDescent="0.25">
      <c r="A2080" s="46">
        <v>220230003258</v>
      </c>
      <c r="B2080" s="47" t="s">
        <v>507</v>
      </c>
      <c r="C2080" s="52">
        <v>44971</v>
      </c>
      <c r="D2080" s="46">
        <v>22023002211</v>
      </c>
      <c r="E2080" s="47" t="s">
        <v>1395</v>
      </c>
      <c r="F2080" s="53">
        <v>994.62</v>
      </c>
      <c r="G2080" s="47" t="s">
        <v>410</v>
      </c>
      <c r="H2080" s="47" t="s">
        <v>3558</v>
      </c>
      <c r="I2080" s="46" t="s">
        <v>511</v>
      </c>
      <c r="J2080" s="47" t="s">
        <v>3559</v>
      </c>
      <c r="K2080" s="47" t="s">
        <v>837</v>
      </c>
      <c r="L2080" s="47" t="s">
        <v>552</v>
      </c>
      <c r="M2080" s="47" t="s">
        <v>976</v>
      </c>
      <c r="N2080" s="47" t="s">
        <v>839</v>
      </c>
      <c r="O2080" s="45" t="s">
        <v>383</v>
      </c>
      <c r="P2080" s="44" t="s">
        <v>309</v>
      </c>
      <c r="Q2080" s="59" t="str">
        <f>MID(Tabla1[[#This Row],[Aplicación]],14,1)</f>
        <v>2</v>
      </c>
      <c r="R2080" s="35" t="s">
        <v>298</v>
      </c>
      <c r="S2080" s="59" t="str">
        <f>MID(Tabla1[[#This Row],[Aplicación]],6,2)</f>
        <v>07</v>
      </c>
      <c r="T2080" s="35" t="str">
        <f>VLOOKUP(Tabla1[[#This Row],[AREA]],Hoja1!A:B,2,FALSE)</f>
        <v>07. Medio ambiente y desarrollo sostenible</v>
      </c>
      <c r="U2080" s="35" t="str">
        <f>MID(Tabla1[[#This Row],[Aplicación]],9,4)</f>
        <v>1721</v>
      </c>
      <c r="V2080" s="35" t="str">
        <f>VLOOKUP(Tabla1[[#This Row],[PROGRAMA]],Hoja1!A:B,2,FALSE)</f>
        <v>1721. Protección del medio ambiente</v>
      </c>
      <c r="W2080" s="56" t="str">
        <f>MID(Tabla1[[#This Row],[Aplicación]],14,2)</f>
        <v>22</v>
      </c>
      <c r="X2080" s="56" t="str">
        <f>MID(Tabla1[[#This Row],[Aplicación]],14,6)</f>
        <v>22112</v>
      </c>
    </row>
    <row r="2081" spans="1:24" x14ac:dyDescent="0.25">
      <c r="A2081" s="46">
        <v>220230007176</v>
      </c>
      <c r="B2081" s="47" t="s">
        <v>507</v>
      </c>
      <c r="C2081" s="52">
        <v>44987</v>
      </c>
      <c r="D2081" s="46">
        <v>22023002903</v>
      </c>
      <c r="E2081" s="47" t="s">
        <v>3560</v>
      </c>
      <c r="F2081" s="53">
        <v>350</v>
      </c>
      <c r="G2081" s="47" t="s">
        <v>3561</v>
      </c>
      <c r="H2081" s="47" t="s">
        <v>3562</v>
      </c>
      <c r="I2081" s="46" t="s">
        <v>511</v>
      </c>
      <c r="J2081" s="47" t="s">
        <v>512</v>
      </c>
      <c r="K2081" s="47" t="s">
        <v>512</v>
      </c>
      <c r="L2081" s="47" t="s">
        <v>520</v>
      </c>
      <c r="M2081" s="47" t="s">
        <v>976</v>
      </c>
      <c r="N2081" s="47" t="s">
        <v>839</v>
      </c>
      <c r="O2081" s="45" t="s">
        <v>383</v>
      </c>
      <c r="P2081" s="44" t="s">
        <v>309</v>
      </c>
      <c r="Q2081" s="59" t="str">
        <f>MID(Tabla1[[#This Row],[Aplicación]],14,1)</f>
        <v>2</v>
      </c>
      <c r="R2081" s="35" t="s">
        <v>298</v>
      </c>
      <c r="S2081" s="59" t="str">
        <f>MID(Tabla1[[#This Row],[Aplicación]],6,2)</f>
        <v>11</v>
      </c>
      <c r="T2081" s="35" t="str">
        <f>VLOOKUP(Tabla1[[#This Row],[AREA]],Hoja1!A:B,2,FALSE)</f>
        <v>11. Salud pública y seguridad ciudadana</v>
      </c>
      <c r="U2081" s="35" t="str">
        <f>MID(Tabla1[[#This Row],[Aplicación]],9,4)</f>
        <v>1321</v>
      </c>
      <c r="V2081" s="35" t="str">
        <f>VLOOKUP(Tabla1[[#This Row],[PROGRAMA]],Hoja1!A:B,2,FALSE)</f>
        <v>1321. Policía municipal</v>
      </c>
      <c r="W2081" s="56" t="str">
        <f>MID(Tabla1[[#This Row],[Aplicación]],14,2)</f>
        <v>22</v>
      </c>
      <c r="X2081" s="56" t="str">
        <f>MID(Tabla1[[#This Row],[Aplicación]],14,6)</f>
        <v>22200</v>
      </c>
    </row>
    <row r="2082" spans="1:24" x14ac:dyDescent="0.25">
      <c r="A2082" s="55">
        <v>220230009473</v>
      </c>
      <c r="B2082" s="47" t="s">
        <v>507</v>
      </c>
      <c r="C2082" s="52">
        <v>45006</v>
      </c>
      <c r="D2082" s="46">
        <v>22023003288</v>
      </c>
      <c r="E2082" s="47" t="s">
        <v>2768</v>
      </c>
      <c r="F2082" s="53">
        <v>500</v>
      </c>
      <c r="G2082" s="47" t="s">
        <v>316</v>
      </c>
      <c r="H2082" s="47" t="s">
        <v>3563</v>
      </c>
      <c r="I2082" s="46" t="s">
        <v>511</v>
      </c>
      <c r="J2082" s="47" t="s">
        <v>1049</v>
      </c>
      <c r="K2082" s="47" t="s">
        <v>519</v>
      </c>
      <c r="L2082" s="47" t="s">
        <v>520</v>
      </c>
      <c r="M2082" s="47" t="s">
        <v>976</v>
      </c>
      <c r="N2082" s="47" t="s">
        <v>839</v>
      </c>
      <c r="O2082" s="54" t="s">
        <v>383</v>
      </c>
      <c r="P2082" s="44" t="s">
        <v>309</v>
      </c>
      <c r="Q2082" s="59" t="str">
        <f>MID(Tabla1[[#This Row],[Aplicación]],14,1)</f>
        <v>2</v>
      </c>
      <c r="R2082" s="35" t="s">
        <v>298</v>
      </c>
      <c r="S2082" s="59" t="str">
        <f>MID(Tabla1[[#This Row],[Aplicación]],6,2)</f>
        <v>02</v>
      </c>
      <c r="T2082" s="35" t="str">
        <f>VLOOKUP(Tabla1[[#This Row],[AREA]],Hoja1!A:B,2,FALSE)</f>
        <v>02. Planeamiento urbanístico y vivienda</v>
      </c>
      <c r="U2082" s="35" t="str">
        <f>MID(Tabla1[[#This Row],[Aplicación]],9,4)</f>
        <v>9332</v>
      </c>
      <c r="V2082" s="35" t="str">
        <f>VLOOKUP(Tabla1[[#This Row],[PROGRAMA]],Hoja1!A:B,2,FALSE)</f>
        <v>9332. Mantenimiento de edificios e instalaciones municipales</v>
      </c>
      <c r="W2082" s="56" t="str">
        <f>MID(Tabla1[[#This Row],[Aplicación]],14,2)</f>
        <v>22</v>
      </c>
      <c r="X2082" s="56" t="str">
        <f>MID(Tabla1[[#This Row],[Aplicación]],14,6)</f>
        <v>22699</v>
      </c>
    </row>
    <row r="2083" spans="1:24" x14ac:dyDescent="0.25">
      <c r="A2083" s="46">
        <v>220230001787</v>
      </c>
      <c r="B2083" s="47" t="s">
        <v>507</v>
      </c>
      <c r="C2083" s="52">
        <v>44960</v>
      </c>
      <c r="D2083" s="46">
        <v>22023000069</v>
      </c>
      <c r="E2083" s="47" t="s">
        <v>1386</v>
      </c>
      <c r="F2083" s="53">
        <v>89</v>
      </c>
      <c r="G2083" s="47" t="s">
        <v>399</v>
      </c>
      <c r="H2083" s="47" t="s">
        <v>3564</v>
      </c>
      <c r="I2083" s="46" t="s">
        <v>511</v>
      </c>
      <c r="J2083" s="47" t="s">
        <v>1449</v>
      </c>
      <c r="K2083" s="47" t="s">
        <v>512</v>
      </c>
      <c r="L2083" s="47" t="s">
        <v>520</v>
      </c>
      <c r="M2083" s="47" t="s">
        <v>976</v>
      </c>
      <c r="N2083" s="47" t="s">
        <v>839</v>
      </c>
      <c r="O2083" s="45" t="s">
        <v>383</v>
      </c>
      <c r="P2083" s="44" t="s">
        <v>309</v>
      </c>
      <c r="Q2083" s="59" t="str">
        <f>MID(Tabla1[[#This Row],[Aplicación]],14,1)</f>
        <v>2</v>
      </c>
      <c r="R2083" s="35" t="s">
        <v>298</v>
      </c>
      <c r="S2083" s="59" t="str">
        <f>MID(Tabla1[[#This Row],[Aplicación]],6,2)</f>
        <v>01</v>
      </c>
      <c r="T2083" s="35" t="str">
        <f>VLOOKUP(Tabla1[[#This Row],[AREA]],Hoja1!A:B,2,FALSE)</f>
        <v>01. Alcaldía</v>
      </c>
      <c r="U2083" s="35" t="str">
        <f>MID(Tabla1[[#This Row],[Aplicación]],9,4)</f>
        <v>9207</v>
      </c>
      <c r="V2083" s="35" t="str">
        <f>VLOOKUP(Tabla1[[#This Row],[PROGRAMA]],Hoja1!A:B,2,FALSE)</f>
        <v>9207. Gobierno y relaciones</v>
      </c>
      <c r="W2083" s="56" t="str">
        <f>MID(Tabla1[[#This Row],[Aplicación]],14,2)</f>
        <v>22</v>
      </c>
      <c r="X2083" s="56" t="str">
        <f>MID(Tabla1[[#This Row],[Aplicación]],14,6)</f>
        <v>22001</v>
      </c>
    </row>
    <row r="2084" spans="1:24" x14ac:dyDescent="0.25">
      <c r="A2084" s="46">
        <v>220230005905</v>
      </c>
      <c r="B2084" s="47" t="s">
        <v>507</v>
      </c>
      <c r="C2084" s="52">
        <v>44980</v>
      </c>
      <c r="D2084" s="46">
        <v>22023002695</v>
      </c>
      <c r="E2084" s="47" t="s">
        <v>1965</v>
      </c>
      <c r="F2084" s="53">
        <v>7260</v>
      </c>
      <c r="G2084" s="47" t="s">
        <v>498</v>
      </c>
      <c r="H2084" s="47" t="s">
        <v>3565</v>
      </c>
      <c r="I2084" s="46" t="s">
        <v>511</v>
      </c>
      <c r="J2084" s="47" t="s">
        <v>1487</v>
      </c>
      <c r="K2084" s="47" t="s">
        <v>519</v>
      </c>
      <c r="L2084" s="47" t="s">
        <v>520</v>
      </c>
      <c r="M2084" s="47" t="s">
        <v>976</v>
      </c>
      <c r="N2084" s="47" t="s">
        <v>839</v>
      </c>
      <c r="O2084" s="45" t="s">
        <v>383</v>
      </c>
      <c r="P2084" s="44" t="s">
        <v>309</v>
      </c>
      <c r="Q2084" s="59" t="str">
        <f>MID(Tabla1[[#This Row],[Aplicación]],14,1)</f>
        <v>2</v>
      </c>
      <c r="R2084" s="35" t="s">
        <v>298</v>
      </c>
      <c r="S2084" s="59" t="str">
        <f>MID(Tabla1[[#This Row],[Aplicación]],6,2)</f>
        <v>02</v>
      </c>
      <c r="T2084" s="35" t="str">
        <f>VLOOKUP(Tabla1[[#This Row],[AREA]],Hoja1!A:B,2,FALSE)</f>
        <v>02. Planeamiento urbanístico y vivienda</v>
      </c>
      <c r="U2084" s="35" t="str">
        <f>MID(Tabla1[[#This Row],[Aplicación]],9,4)</f>
        <v>1511</v>
      </c>
      <c r="V2084" s="35" t="str">
        <f>VLOOKUP(Tabla1[[#This Row],[PROGRAMA]],Hoja1!A:B,2,FALSE)</f>
        <v>1511. Planficación y gestión del urbanismo</v>
      </c>
      <c r="W2084" s="56" t="str">
        <f>MID(Tabla1[[#This Row],[Aplicación]],14,2)</f>
        <v>22</v>
      </c>
      <c r="X2084" s="56" t="str">
        <f>MID(Tabla1[[#This Row],[Aplicación]],14,6)</f>
        <v>22706</v>
      </c>
    </row>
    <row r="2085" spans="1:24" x14ac:dyDescent="0.25">
      <c r="A2085" s="55">
        <v>220230010348</v>
      </c>
      <c r="B2085" s="47" t="s">
        <v>507</v>
      </c>
      <c r="C2085" s="52">
        <v>45008</v>
      </c>
      <c r="D2085" s="46">
        <v>22023003500</v>
      </c>
      <c r="E2085" s="47" t="s">
        <v>1303</v>
      </c>
      <c r="F2085" s="53">
        <v>2359.5</v>
      </c>
      <c r="G2085" s="47" t="s">
        <v>3566</v>
      </c>
      <c r="H2085" s="47" t="s">
        <v>3567</v>
      </c>
      <c r="I2085" s="46" t="s">
        <v>511</v>
      </c>
      <c r="J2085" s="47" t="s">
        <v>512</v>
      </c>
      <c r="K2085" s="47" t="s">
        <v>512</v>
      </c>
      <c r="L2085" s="47" t="s">
        <v>552</v>
      </c>
      <c r="M2085" s="47" t="s">
        <v>976</v>
      </c>
      <c r="N2085" s="47" t="s">
        <v>839</v>
      </c>
      <c r="O2085" s="54" t="s">
        <v>383</v>
      </c>
      <c r="P2085" s="44" t="s">
        <v>309</v>
      </c>
      <c r="Q2085" s="59" t="str">
        <f>MID(Tabla1[[#This Row],[Aplicación]],14,1)</f>
        <v>2</v>
      </c>
      <c r="R2085" s="35" t="s">
        <v>298</v>
      </c>
      <c r="S2085" s="59" t="str">
        <f>MID(Tabla1[[#This Row],[Aplicación]],6,2)</f>
        <v>11</v>
      </c>
      <c r="T2085" s="35" t="str">
        <f>VLOOKUP(Tabla1[[#This Row],[AREA]],Hoja1!A:B,2,FALSE)</f>
        <v>11. Salud pública y seguridad ciudadana</v>
      </c>
      <c r="U2085" s="35" t="str">
        <f>MID(Tabla1[[#This Row],[Aplicación]],9,4)</f>
        <v>1321</v>
      </c>
      <c r="V2085" s="35" t="str">
        <f>VLOOKUP(Tabla1[[#This Row],[PROGRAMA]],Hoja1!A:B,2,FALSE)</f>
        <v>1321. Policía municipal</v>
      </c>
      <c r="W2085" s="56" t="str">
        <f>MID(Tabla1[[#This Row],[Aplicación]],14,2)</f>
        <v>22</v>
      </c>
      <c r="X2085" s="56" t="str">
        <f>MID(Tabla1[[#This Row],[Aplicación]],14,6)</f>
        <v>22699</v>
      </c>
    </row>
    <row r="2086" spans="1:24" x14ac:dyDescent="0.25">
      <c r="A2086" s="46">
        <v>220230003891</v>
      </c>
      <c r="B2086" s="47" t="s">
        <v>507</v>
      </c>
      <c r="C2086" s="52">
        <v>44974</v>
      </c>
      <c r="D2086" s="46">
        <v>22023002390</v>
      </c>
      <c r="E2086" s="47" t="s">
        <v>1548</v>
      </c>
      <c r="F2086" s="53">
        <v>586.85</v>
      </c>
      <c r="G2086" s="47" t="s">
        <v>3568</v>
      </c>
      <c r="H2086" s="47" t="s">
        <v>3569</v>
      </c>
      <c r="I2086" s="46" t="s">
        <v>511</v>
      </c>
      <c r="J2086" s="47" t="s">
        <v>519</v>
      </c>
      <c r="K2086" s="47" t="s">
        <v>519</v>
      </c>
      <c r="L2086" s="47" t="s">
        <v>520</v>
      </c>
      <c r="M2086" s="47" t="s">
        <v>976</v>
      </c>
      <c r="N2086" s="47" t="s">
        <v>839</v>
      </c>
      <c r="O2086" s="45" t="s">
        <v>383</v>
      </c>
      <c r="P2086" s="44" t="s">
        <v>309</v>
      </c>
      <c r="Q2086" s="59" t="str">
        <f>MID(Tabla1[[#This Row],[Aplicación]],14,1)</f>
        <v>2</v>
      </c>
      <c r="R2086" s="35" t="s">
        <v>298</v>
      </c>
      <c r="S2086" s="59" t="str">
        <f>MID(Tabla1[[#This Row],[Aplicación]],6,2)</f>
        <v>07</v>
      </c>
      <c r="T2086" s="35" t="str">
        <f>VLOOKUP(Tabla1[[#This Row],[AREA]],Hoja1!A:B,2,FALSE)</f>
        <v>07. Medio ambiente y desarrollo sostenible</v>
      </c>
      <c r="U2086" s="35" t="str">
        <f>MID(Tabla1[[#This Row],[Aplicación]],9,4)</f>
        <v>1721</v>
      </c>
      <c r="V2086" s="35" t="str">
        <f>VLOOKUP(Tabla1[[#This Row],[PROGRAMA]],Hoja1!A:B,2,FALSE)</f>
        <v>1721. Protección del medio ambiente</v>
      </c>
      <c r="W2086" s="56" t="str">
        <f>MID(Tabla1[[#This Row],[Aplicación]],14,2)</f>
        <v>22</v>
      </c>
      <c r="X2086" s="56" t="str">
        <f>MID(Tabla1[[#This Row],[Aplicación]],14,6)</f>
        <v>22706</v>
      </c>
    </row>
    <row r="2087" spans="1:24" x14ac:dyDescent="0.25">
      <c r="A2087" s="55">
        <v>220210054482</v>
      </c>
      <c r="B2087" s="47" t="s">
        <v>507</v>
      </c>
      <c r="C2087" s="52">
        <v>45014</v>
      </c>
      <c r="D2087" s="46">
        <v>22021006299</v>
      </c>
      <c r="E2087" s="47" t="s">
        <v>3507</v>
      </c>
      <c r="F2087" s="53">
        <v>409.41</v>
      </c>
      <c r="G2087" s="47" t="s">
        <v>476</v>
      </c>
      <c r="H2087" s="47" t="s">
        <v>3570</v>
      </c>
      <c r="I2087" s="46" t="s">
        <v>511</v>
      </c>
      <c r="J2087" s="47" t="s">
        <v>947</v>
      </c>
      <c r="K2087" s="47" t="s">
        <v>947</v>
      </c>
      <c r="L2087" s="47" t="s">
        <v>520</v>
      </c>
      <c r="M2087" s="47" t="s">
        <v>514</v>
      </c>
      <c r="N2087" s="47" t="s">
        <v>515</v>
      </c>
      <c r="O2087" s="54" t="s">
        <v>382</v>
      </c>
      <c r="P2087" s="44" t="s">
        <v>309</v>
      </c>
      <c r="Q2087" s="59" t="str">
        <f>MID(Tabla1[[#This Row],[Aplicación]],14,1)</f>
        <v>6</v>
      </c>
      <c r="R2087" s="35" t="s">
        <v>299</v>
      </c>
      <c r="S2087" s="59" t="str">
        <f>MID(Tabla1[[#This Row],[Aplicación]],6,2)</f>
        <v>06</v>
      </c>
      <c r="T2087" s="35" t="str">
        <f>VLOOKUP(Tabla1[[#This Row],[AREA]],Hoja1!A:B,2,FALSE)</f>
        <v>06. Educación, infancia, juventud e igualdad</v>
      </c>
      <c r="U2087" s="35" t="str">
        <f>MID(Tabla1[[#This Row],[Aplicación]],9,4)</f>
        <v>3231</v>
      </c>
      <c r="V2087" s="35" t="str">
        <f>VLOOKUP(Tabla1[[#This Row],[PROGRAMA]],Hoja1!A:B,2,FALSE)</f>
        <v>3231. Escuelas infantiles</v>
      </c>
      <c r="W2087" s="56" t="str">
        <f>MID(Tabla1[[#This Row],[Aplicación]],14,2)</f>
        <v>62</v>
      </c>
      <c r="X2087" s="56" t="str">
        <f>MID(Tabla1[[#This Row],[Aplicación]],14,6)</f>
        <v>622</v>
      </c>
    </row>
    <row r="2088" spans="1:24" x14ac:dyDescent="0.25">
      <c r="A2088" s="55">
        <v>220210081394</v>
      </c>
      <c r="B2088" s="47" t="s">
        <v>507</v>
      </c>
      <c r="C2088" s="52">
        <v>45014</v>
      </c>
      <c r="D2088" s="46">
        <v>22021007258</v>
      </c>
      <c r="E2088" s="47" t="s">
        <v>808</v>
      </c>
      <c r="F2088" s="53">
        <v>3027.9</v>
      </c>
      <c r="G2088" s="47" t="s">
        <v>476</v>
      </c>
      <c r="H2088" s="47" t="s">
        <v>3571</v>
      </c>
      <c r="I2088" s="46" t="s">
        <v>511</v>
      </c>
      <c r="J2088" s="47" t="s">
        <v>947</v>
      </c>
      <c r="K2088" s="47" t="s">
        <v>947</v>
      </c>
      <c r="L2088" s="47" t="s">
        <v>520</v>
      </c>
      <c r="M2088" s="47" t="s">
        <v>514</v>
      </c>
      <c r="N2088" s="47" t="s">
        <v>515</v>
      </c>
      <c r="O2088" s="54" t="s">
        <v>382</v>
      </c>
      <c r="P2088" s="44" t="s">
        <v>309</v>
      </c>
      <c r="Q2088" s="59" t="str">
        <f>MID(Tabla1[[#This Row],[Aplicación]],14,1)</f>
        <v>6</v>
      </c>
      <c r="R2088" s="35" t="s">
        <v>299</v>
      </c>
      <c r="S2088" s="59" t="str">
        <f>MID(Tabla1[[#This Row],[Aplicación]],6,2)</f>
        <v>03</v>
      </c>
      <c r="T2088" s="35" t="str">
        <f>VLOOKUP(Tabla1[[#This Row],[AREA]],Hoja1!A:B,2,FALSE)</f>
        <v>03. Participación ciudadana y deportes</v>
      </c>
      <c r="U2088" s="35" t="str">
        <f>MID(Tabla1[[#This Row],[Aplicación]],9,4)</f>
        <v>9241</v>
      </c>
      <c r="V2088" s="35" t="str">
        <f>VLOOKUP(Tabla1[[#This Row],[PROGRAMA]],Hoja1!A:B,2,FALSE)</f>
        <v>9241. Participación ciudadana</v>
      </c>
      <c r="W2088" s="56" t="str">
        <f>MID(Tabla1[[#This Row],[Aplicación]],14,2)</f>
        <v>63</v>
      </c>
      <c r="X2088" s="56" t="str">
        <f>MID(Tabla1[[#This Row],[Aplicación]],14,6)</f>
        <v>632</v>
      </c>
    </row>
    <row r="2089" spans="1:24" x14ac:dyDescent="0.25">
      <c r="A2089" s="46">
        <v>220230005922</v>
      </c>
      <c r="B2089" s="47" t="s">
        <v>507</v>
      </c>
      <c r="C2089" s="52">
        <v>44980</v>
      </c>
      <c r="D2089" s="46">
        <v>22023002632</v>
      </c>
      <c r="E2089" s="47" t="s">
        <v>613</v>
      </c>
      <c r="F2089" s="53">
        <v>1348.97</v>
      </c>
      <c r="G2089" s="47" t="s">
        <v>1621</v>
      </c>
      <c r="H2089" s="47" t="s">
        <v>3572</v>
      </c>
      <c r="I2089" s="46" t="s">
        <v>511</v>
      </c>
      <c r="J2089" s="47" t="s">
        <v>1623</v>
      </c>
      <c r="K2089" s="47" t="s">
        <v>1624</v>
      </c>
      <c r="L2089" s="47" t="s">
        <v>520</v>
      </c>
      <c r="M2089" s="47" t="s">
        <v>514</v>
      </c>
      <c r="N2089" s="47" t="s">
        <v>515</v>
      </c>
      <c r="O2089" s="45" t="s">
        <v>371</v>
      </c>
      <c r="P2089" s="44" t="s">
        <v>309</v>
      </c>
      <c r="Q2089" s="59" t="str">
        <f>MID(Tabla1[[#This Row],[Aplicación]],14,1)</f>
        <v>2</v>
      </c>
      <c r="R2089" s="35" t="s">
        <v>298</v>
      </c>
      <c r="S2089" s="59" t="str">
        <f>MID(Tabla1[[#This Row],[Aplicación]],6,2)</f>
        <v>10</v>
      </c>
      <c r="T2089" s="35" t="str">
        <f>VLOOKUP(Tabla1[[#This Row],[AREA]],Hoja1!A:B,2,FALSE)</f>
        <v>10. Servicios sociales y mediación comunitaria</v>
      </c>
      <c r="U2089" s="35" t="str">
        <f>MID(Tabla1[[#This Row],[Aplicación]],9,4)</f>
        <v>2312</v>
      </c>
      <c r="V2089" s="35" t="str">
        <f>VLOOKUP(Tabla1[[#This Row],[PROGRAMA]],Hoja1!A:B,2,FALSE)</f>
        <v>2312. Iniciativas sociales</v>
      </c>
      <c r="W2089" s="56" t="str">
        <f>MID(Tabla1[[#This Row],[Aplicación]],14,2)</f>
        <v>21</v>
      </c>
      <c r="X2089" s="56" t="str">
        <f>MID(Tabla1[[#This Row],[Aplicación]],14,6)</f>
        <v>213</v>
      </c>
    </row>
    <row r="2090" spans="1:24" x14ac:dyDescent="0.25">
      <c r="A2090" s="55">
        <v>220220007916</v>
      </c>
      <c r="B2090" s="47" t="s">
        <v>507</v>
      </c>
      <c r="C2090" s="52">
        <v>45014</v>
      </c>
      <c r="D2090" s="46">
        <v>22022002032</v>
      </c>
      <c r="E2090" s="47" t="s">
        <v>561</v>
      </c>
      <c r="F2090" s="53">
        <v>4436.22</v>
      </c>
      <c r="G2090" s="47" t="s">
        <v>476</v>
      </c>
      <c r="H2090" s="47" t="s">
        <v>1322</v>
      </c>
      <c r="I2090" s="46" t="s">
        <v>511</v>
      </c>
      <c r="J2090" s="47" t="s">
        <v>947</v>
      </c>
      <c r="K2090" s="47" t="s">
        <v>947</v>
      </c>
      <c r="L2090" s="47" t="s">
        <v>520</v>
      </c>
      <c r="M2090" s="47" t="s">
        <v>514</v>
      </c>
      <c r="N2090" s="47" t="s">
        <v>604</v>
      </c>
      <c r="O2090" s="54" t="s">
        <v>382</v>
      </c>
      <c r="P2090" s="44" t="s">
        <v>309</v>
      </c>
      <c r="Q2090" s="59">
        <v>6</v>
      </c>
      <c r="R2090" s="35" t="s">
        <v>299</v>
      </c>
      <c r="S2090" s="59" t="str">
        <f>MID(Tabla1[[#This Row],[Aplicación]],6,2)</f>
        <v>08</v>
      </c>
      <c r="T2090" s="35" t="str">
        <f>VLOOKUP(Tabla1[[#This Row],[AREA]],Hoja1!A:B,2,FALSE)</f>
        <v>08. Movilidad y espacio urbano</v>
      </c>
      <c r="U2090" s="56">
        <v>1341</v>
      </c>
      <c r="V2090" s="35" t="str">
        <f>VLOOKUP(Tabla1[[#This Row],[PROGRAMA]],Hoja1!A:B,2,FALSE)</f>
        <v>1341. Movilidad</v>
      </c>
      <c r="W2090" s="56">
        <v>60</v>
      </c>
      <c r="X2090" s="56">
        <v>609</v>
      </c>
    </row>
    <row r="2091" spans="1:24" x14ac:dyDescent="0.25">
      <c r="A2091" s="55">
        <v>220220012380</v>
      </c>
      <c r="B2091" s="47" t="s">
        <v>507</v>
      </c>
      <c r="C2091" s="52">
        <v>45014</v>
      </c>
      <c r="D2091" s="46">
        <v>22022002453</v>
      </c>
      <c r="E2091" s="47" t="s">
        <v>1277</v>
      </c>
      <c r="F2091" s="53">
        <v>1197.6199999999999</v>
      </c>
      <c r="G2091" s="47" t="s">
        <v>476</v>
      </c>
      <c r="H2091" s="47" t="s">
        <v>3573</v>
      </c>
      <c r="I2091" s="46" t="s">
        <v>511</v>
      </c>
      <c r="J2091" s="47" t="s">
        <v>947</v>
      </c>
      <c r="K2091" s="47" t="s">
        <v>947</v>
      </c>
      <c r="L2091" s="47" t="s">
        <v>520</v>
      </c>
      <c r="M2091" s="47" t="s">
        <v>514</v>
      </c>
      <c r="N2091" s="47" t="s">
        <v>515</v>
      </c>
      <c r="O2091" s="54" t="s">
        <v>382</v>
      </c>
      <c r="P2091" s="44" t="s">
        <v>309</v>
      </c>
      <c r="Q2091" s="59">
        <v>6</v>
      </c>
      <c r="R2091" s="35" t="s">
        <v>299</v>
      </c>
      <c r="S2091" s="59" t="str">
        <f>MID(Tabla1[[#This Row],[Aplicación]],6,2)</f>
        <v>05</v>
      </c>
      <c r="T2091" s="35" t="str">
        <f>VLOOKUP(Tabla1[[#This Row],[AREA]],Hoja1!A:B,2,FALSE)</f>
        <v>05. Innovación, desarrollo económico, empleo y comercio</v>
      </c>
      <c r="U2091" s="35">
        <v>4312</v>
      </c>
      <c r="V2091" s="35" t="str">
        <f>VLOOKUP(Tabla1[[#This Row],[PROGRAMA]],Hoja1!A:B,2,FALSE)</f>
        <v>4312. Mercados, abastos y lonjas</v>
      </c>
      <c r="W2091" s="56">
        <v>63</v>
      </c>
      <c r="X2091" s="56">
        <v>632</v>
      </c>
    </row>
    <row r="2092" spans="1:24" x14ac:dyDescent="0.25">
      <c r="A2092" s="55">
        <v>220220017998</v>
      </c>
      <c r="B2092" s="47" t="s">
        <v>507</v>
      </c>
      <c r="C2092" s="52">
        <v>45014</v>
      </c>
      <c r="D2092" s="46">
        <v>22022002850</v>
      </c>
      <c r="E2092" s="47" t="s">
        <v>1283</v>
      </c>
      <c r="F2092" s="53">
        <v>111.55</v>
      </c>
      <c r="G2092" s="47" t="s">
        <v>476</v>
      </c>
      <c r="H2092" s="47" t="s">
        <v>3574</v>
      </c>
      <c r="I2092" s="46" t="s">
        <v>511</v>
      </c>
      <c r="J2092" s="47" t="s">
        <v>947</v>
      </c>
      <c r="K2092" s="47" t="s">
        <v>947</v>
      </c>
      <c r="L2092" s="47" t="s">
        <v>520</v>
      </c>
      <c r="M2092" s="47" t="s">
        <v>514</v>
      </c>
      <c r="N2092" s="47" t="s">
        <v>515</v>
      </c>
      <c r="O2092" s="54" t="s">
        <v>382</v>
      </c>
      <c r="P2092" s="44" t="s">
        <v>309</v>
      </c>
      <c r="Q2092" s="59" t="str">
        <f>MID(Tabla1[[#This Row],[Aplicación]],14,1)</f>
        <v>6</v>
      </c>
      <c r="R2092" s="35" t="s">
        <v>299</v>
      </c>
      <c r="S2092" s="59" t="str">
        <f>MID(Tabla1[[#This Row],[Aplicación]],6,2)</f>
        <v>11</v>
      </c>
      <c r="T2092" s="35" t="str">
        <f>VLOOKUP(Tabla1[[#This Row],[AREA]],Hoja1!A:B,2,FALSE)</f>
        <v>11. Salud pública y seguridad ciudadana</v>
      </c>
      <c r="U2092" s="35" t="str">
        <f>MID(Tabla1[[#This Row],[Aplicación]],9,4)</f>
        <v>1321</v>
      </c>
      <c r="V2092" s="35" t="str">
        <f>VLOOKUP(Tabla1[[#This Row],[PROGRAMA]],Hoja1!A:B,2,FALSE)</f>
        <v>1321. Policía municipal</v>
      </c>
      <c r="W2092" s="56" t="str">
        <f>MID(Tabla1[[#This Row],[Aplicación]],14,2)</f>
        <v>63</v>
      </c>
      <c r="X2092" s="56" t="str">
        <f>MID(Tabla1[[#This Row],[Aplicación]],14,6)</f>
        <v>632</v>
      </c>
    </row>
    <row r="2093" spans="1:24" x14ac:dyDescent="0.25">
      <c r="A2093" s="55">
        <v>220220020841</v>
      </c>
      <c r="B2093" s="47" t="s">
        <v>507</v>
      </c>
      <c r="C2093" s="52">
        <v>45014</v>
      </c>
      <c r="D2093" s="46">
        <v>22021007255</v>
      </c>
      <c r="E2093" s="47" t="s">
        <v>1272</v>
      </c>
      <c r="F2093" s="53">
        <v>678.71</v>
      </c>
      <c r="G2093" s="47" t="s">
        <v>476</v>
      </c>
      <c r="H2093" s="47" t="s">
        <v>3575</v>
      </c>
      <c r="I2093" s="46" t="s">
        <v>511</v>
      </c>
      <c r="J2093" s="47" t="s">
        <v>947</v>
      </c>
      <c r="K2093" s="47" t="s">
        <v>947</v>
      </c>
      <c r="L2093" s="47" t="s">
        <v>520</v>
      </c>
      <c r="M2093" s="47" t="s">
        <v>514</v>
      </c>
      <c r="N2093" s="47" t="s">
        <v>515</v>
      </c>
      <c r="O2093" s="54" t="s">
        <v>382</v>
      </c>
      <c r="P2093" s="44" t="s">
        <v>309</v>
      </c>
      <c r="Q2093" s="59" t="str">
        <f>MID(Tabla1[[#This Row],[Aplicación]],14,1)</f>
        <v>6</v>
      </c>
      <c r="R2093" s="35" t="s">
        <v>299</v>
      </c>
      <c r="S2093" s="59" t="str">
        <f>MID(Tabla1[[#This Row],[Aplicación]],6,2)</f>
        <v>02</v>
      </c>
      <c r="T2093" s="35" t="str">
        <f>VLOOKUP(Tabla1[[#This Row],[AREA]],Hoja1!A:B,2,FALSE)</f>
        <v>02. Planeamiento urbanístico y vivienda</v>
      </c>
      <c r="U2093" s="35" t="str">
        <f>MID(Tabla1[[#This Row],[Aplicación]],9,4)</f>
        <v>9332</v>
      </c>
      <c r="V2093" s="35" t="str">
        <f>VLOOKUP(Tabla1[[#This Row],[PROGRAMA]],Hoja1!A:B,2,FALSE)</f>
        <v>9332. Mantenimiento de edificios e instalaciones municipales</v>
      </c>
      <c r="W2093" s="56" t="str">
        <f>MID(Tabla1[[#This Row],[Aplicación]],14,2)</f>
        <v>63</v>
      </c>
      <c r="X2093" s="56" t="str">
        <f>MID(Tabla1[[#This Row],[Aplicación]],14,6)</f>
        <v>632</v>
      </c>
    </row>
    <row r="2094" spans="1:24" x14ac:dyDescent="0.25">
      <c r="A2094" s="55">
        <v>220220023166</v>
      </c>
      <c r="B2094" s="47" t="s">
        <v>507</v>
      </c>
      <c r="C2094" s="52">
        <v>45014</v>
      </c>
      <c r="D2094" s="46">
        <v>22022002958</v>
      </c>
      <c r="E2094" s="47" t="s">
        <v>741</v>
      </c>
      <c r="F2094" s="53">
        <v>3225.76</v>
      </c>
      <c r="G2094" s="47" t="s">
        <v>476</v>
      </c>
      <c r="H2094" s="47" t="s">
        <v>3576</v>
      </c>
      <c r="I2094" s="46" t="s">
        <v>511</v>
      </c>
      <c r="J2094" s="47" t="s">
        <v>947</v>
      </c>
      <c r="K2094" s="47" t="s">
        <v>947</v>
      </c>
      <c r="L2094" s="47" t="s">
        <v>520</v>
      </c>
      <c r="M2094" s="47" t="s">
        <v>514</v>
      </c>
      <c r="N2094" s="47" t="s">
        <v>515</v>
      </c>
      <c r="O2094" s="54" t="s">
        <v>382</v>
      </c>
      <c r="P2094" s="44" t="s">
        <v>309</v>
      </c>
      <c r="Q2094" s="59" t="str">
        <f>MID(Tabla1[[#This Row],[Aplicación]],14,1)</f>
        <v>6</v>
      </c>
      <c r="R2094" s="35" t="s">
        <v>299</v>
      </c>
      <c r="S2094" s="59" t="str">
        <f>MID(Tabla1[[#This Row],[Aplicación]],6,2)</f>
        <v>07</v>
      </c>
      <c r="T2094" s="35" t="str">
        <f>VLOOKUP(Tabla1[[#This Row],[AREA]],Hoja1!A:B,2,FALSE)</f>
        <v>07. Medio ambiente y desarrollo sostenible</v>
      </c>
      <c r="U2094" s="35" t="str">
        <f>MID(Tabla1[[#This Row],[Aplicación]],9,4)</f>
        <v>1711</v>
      </c>
      <c r="V2094" s="35" t="str">
        <f>VLOOKUP(Tabla1[[#This Row],[PROGRAMA]],Hoja1!A:B,2,FALSE)</f>
        <v>1711. Parques y jardines</v>
      </c>
      <c r="W2094" s="56" t="str">
        <f>MID(Tabla1[[#This Row],[Aplicación]],14,2)</f>
        <v>61</v>
      </c>
      <c r="X2094" s="56" t="str">
        <f>MID(Tabla1[[#This Row],[Aplicación]],14,6)</f>
        <v>619</v>
      </c>
    </row>
    <row r="2095" spans="1:24" x14ac:dyDescent="0.25">
      <c r="A2095" s="46">
        <v>220230003247</v>
      </c>
      <c r="B2095" s="47" t="s">
        <v>507</v>
      </c>
      <c r="C2095" s="52">
        <v>44971</v>
      </c>
      <c r="D2095" s="46">
        <v>22023002447</v>
      </c>
      <c r="E2095" s="47" t="s">
        <v>1290</v>
      </c>
      <c r="F2095" s="53">
        <v>3500</v>
      </c>
      <c r="G2095" s="47" t="s">
        <v>61</v>
      </c>
      <c r="H2095" s="47" t="s">
        <v>3577</v>
      </c>
      <c r="I2095" s="46" t="s">
        <v>511</v>
      </c>
      <c r="J2095" s="47" t="s">
        <v>2260</v>
      </c>
      <c r="K2095" s="47" t="s">
        <v>512</v>
      </c>
      <c r="L2095" s="47" t="s">
        <v>552</v>
      </c>
      <c r="M2095" s="47" t="s">
        <v>976</v>
      </c>
      <c r="N2095" s="47" t="s">
        <v>839</v>
      </c>
      <c r="O2095" s="45" t="s">
        <v>383</v>
      </c>
      <c r="P2095" s="44" t="s">
        <v>309</v>
      </c>
      <c r="Q2095" s="59" t="str">
        <f>MID(Tabla1[[#This Row],[Aplicación]],14,1)</f>
        <v>2</v>
      </c>
      <c r="R2095" s="35" t="s">
        <v>298</v>
      </c>
      <c r="S2095" s="59" t="str">
        <f>MID(Tabla1[[#This Row],[Aplicación]],6,2)</f>
        <v>11</v>
      </c>
      <c r="T2095" s="35" t="str">
        <f>VLOOKUP(Tabla1[[#This Row],[AREA]],Hoja1!A:B,2,FALSE)</f>
        <v>11. Salud pública y seguridad ciudadana</v>
      </c>
      <c r="U2095" s="35" t="str">
        <f>MID(Tabla1[[#This Row],[Aplicación]],9,4)</f>
        <v>1621</v>
      </c>
      <c r="V2095" s="35" t="str">
        <f>VLOOKUP(Tabla1[[#This Row],[PROGRAMA]],Hoja1!A:B,2,FALSE)</f>
        <v>1621. Servicio de limpieza</v>
      </c>
      <c r="W2095" s="56" t="str">
        <f>MID(Tabla1[[#This Row],[Aplicación]],14,2)</f>
        <v>21</v>
      </c>
      <c r="X2095" s="56" t="str">
        <f>MID(Tabla1[[#This Row],[Aplicación]],14,6)</f>
        <v>214</v>
      </c>
    </row>
    <row r="2096" spans="1:24" x14ac:dyDescent="0.25">
      <c r="A2096" s="55">
        <v>220220023176</v>
      </c>
      <c r="B2096" s="47" t="s">
        <v>507</v>
      </c>
      <c r="C2096" s="52">
        <v>45014</v>
      </c>
      <c r="D2096" s="46">
        <v>22022002957</v>
      </c>
      <c r="E2096" s="47" t="s">
        <v>741</v>
      </c>
      <c r="F2096" s="53">
        <v>841.27</v>
      </c>
      <c r="G2096" s="47" t="s">
        <v>476</v>
      </c>
      <c r="H2096" s="47" t="s">
        <v>3578</v>
      </c>
      <c r="I2096" s="46" t="s">
        <v>511</v>
      </c>
      <c r="J2096" s="47" t="s">
        <v>947</v>
      </c>
      <c r="K2096" s="47" t="s">
        <v>947</v>
      </c>
      <c r="L2096" s="47" t="s">
        <v>520</v>
      </c>
      <c r="M2096" s="47" t="s">
        <v>514</v>
      </c>
      <c r="N2096" s="47" t="s">
        <v>515</v>
      </c>
      <c r="O2096" s="54" t="s">
        <v>382</v>
      </c>
      <c r="P2096" s="44" t="s">
        <v>309</v>
      </c>
      <c r="Q2096" s="59" t="str">
        <f>MID(Tabla1[[#This Row],[Aplicación]],14,1)</f>
        <v>6</v>
      </c>
      <c r="R2096" s="35" t="s">
        <v>299</v>
      </c>
      <c r="S2096" s="59" t="str">
        <f>MID(Tabla1[[#This Row],[Aplicación]],6,2)</f>
        <v>07</v>
      </c>
      <c r="T2096" s="35" t="str">
        <f>VLOOKUP(Tabla1[[#This Row],[AREA]],Hoja1!A:B,2,FALSE)</f>
        <v>07. Medio ambiente y desarrollo sostenible</v>
      </c>
      <c r="U2096" s="35" t="str">
        <f>MID(Tabla1[[#This Row],[Aplicación]],9,4)</f>
        <v>1711</v>
      </c>
      <c r="V2096" s="35" t="str">
        <f>VLOOKUP(Tabla1[[#This Row],[PROGRAMA]],Hoja1!A:B,2,FALSE)</f>
        <v>1711. Parques y jardines</v>
      </c>
      <c r="W2096" s="56" t="str">
        <f>MID(Tabla1[[#This Row],[Aplicación]],14,2)</f>
        <v>61</v>
      </c>
      <c r="X2096" s="56" t="str">
        <f>MID(Tabla1[[#This Row],[Aplicación]],14,6)</f>
        <v>619</v>
      </c>
    </row>
    <row r="2097" spans="1:24" x14ac:dyDescent="0.25">
      <c r="A2097" s="46">
        <v>220229000279</v>
      </c>
      <c r="B2097" s="47" t="s">
        <v>507</v>
      </c>
      <c r="C2097" s="52">
        <v>44927</v>
      </c>
      <c r="D2097" s="46">
        <v>22023000444</v>
      </c>
      <c r="E2097" s="47" t="s">
        <v>1084</v>
      </c>
      <c r="F2097" s="53">
        <v>10938.4</v>
      </c>
      <c r="G2097" s="47" t="s">
        <v>71</v>
      </c>
      <c r="H2097" s="47" t="s">
        <v>3579</v>
      </c>
      <c r="I2097" s="46" t="s">
        <v>511</v>
      </c>
      <c r="J2097" s="47" t="s">
        <v>1049</v>
      </c>
      <c r="K2097" s="47" t="s">
        <v>519</v>
      </c>
      <c r="L2097" s="47" t="s">
        <v>552</v>
      </c>
      <c r="M2097" s="47" t="s">
        <v>514</v>
      </c>
      <c r="N2097" s="47" t="s">
        <v>515</v>
      </c>
      <c r="O2097" s="45" t="s">
        <v>371</v>
      </c>
      <c r="P2097" s="44" t="s">
        <v>309</v>
      </c>
      <c r="Q2097" s="59" t="str">
        <f>MID(Tabla1[[#This Row],[Aplicación]],14,1)</f>
        <v>2</v>
      </c>
      <c r="R2097" s="35" t="s">
        <v>298</v>
      </c>
      <c r="S2097" s="59" t="str">
        <f>MID(Tabla1[[#This Row],[Aplicación]],6,2)</f>
        <v>11</v>
      </c>
      <c r="T2097" s="35" t="str">
        <f>VLOOKUP(Tabla1[[#This Row],[AREA]],Hoja1!A:B,2,FALSE)</f>
        <v>11. Salud pública y seguridad ciudadana</v>
      </c>
      <c r="U2097" s="35" t="str">
        <f>MID(Tabla1[[#This Row],[Aplicación]],9,4)</f>
        <v>1621</v>
      </c>
      <c r="V2097" s="35" t="str">
        <f>VLOOKUP(Tabla1[[#This Row],[PROGRAMA]],Hoja1!A:B,2,FALSE)</f>
        <v>1621. Servicio de limpieza</v>
      </c>
      <c r="W2097" s="56" t="str">
        <f>MID(Tabla1[[#This Row],[Aplicación]],14,2)</f>
        <v>22</v>
      </c>
      <c r="X2097" s="56" t="str">
        <f>MID(Tabla1[[#This Row],[Aplicación]],14,6)</f>
        <v>22104</v>
      </c>
    </row>
    <row r="2098" spans="1:24" x14ac:dyDescent="0.25">
      <c r="A2098" s="55">
        <v>220220029344</v>
      </c>
      <c r="B2098" s="47" t="s">
        <v>507</v>
      </c>
      <c r="C2098" s="52">
        <v>45014</v>
      </c>
      <c r="D2098" s="46">
        <v>22022003275</v>
      </c>
      <c r="E2098" s="47" t="s">
        <v>808</v>
      </c>
      <c r="F2098" s="53">
        <v>128.37</v>
      </c>
      <c r="G2098" s="47" t="s">
        <v>476</v>
      </c>
      <c r="H2098" s="47" t="s">
        <v>3580</v>
      </c>
      <c r="I2098" s="46" t="s">
        <v>511</v>
      </c>
      <c r="J2098" s="47" t="s">
        <v>947</v>
      </c>
      <c r="K2098" s="47" t="s">
        <v>947</v>
      </c>
      <c r="L2098" s="47" t="s">
        <v>520</v>
      </c>
      <c r="M2098" s="47" t="s">
        <v>514</v>
      </c>
      <c r="N2098" s="47" t="s">
        <v>515</v>
      </c>
      <c r="O2098" s="54" t="s">
        <v>382</v>
      </c>
      <c r="P2098" s="44" t="s">
        <v>309</v>
      </c>
      <c r="Q2098" s="59" t="str">
        <f>MID(Tabla1[[#This Row],[Aplicación]],14,1)</f>
        <v>6</v>
      </c>
      <c r="R2098" s="35" t="s">
        <v>299</v>
      </c>
      <c r="S2098" s="59" t="str">
        <f>MID(Tabla1[[#This Row],[Aplicación]],6,2)</f>
        <v>03</v>
      </c>
      <c r="T2098" s="35" t="str">
        <f>VLOOKUP(Tabla1[[#This Row],[AREA]],Hoja1!A:B,2,FALSE)</f>
        <v>03. Participación ciudadana y deportes</v>
      </c>
      <c r="U2098" s="35" t="str">
        <f>MID(Tabla1[[#This Row],[Aplicación]],9,4)</f>
        <v>9241</v>
      </c>
      <c r="V2098" s="35" t="str">
        <f>VLOOKUP(Tabla1[[#This Row],[PROGRAMA]],Hoja1!A:B,2,FALSE)</f>
        <v>9241. Participación ciudadana</v>
      </c>
      <c r="W2098" s="56" t="str">
        <f>MID(Tabla1[[#This Row],[Aplicación]],14,2)</f>
        <v>63</v>
      </c>
      <c r="X2098" s="56" t="str">
        <f>MID(Tabla1[[#This Row],[Aplicación]],14,6)</f>
        <v>632</v>
      </c>
    </row>
    <row r="2099" spans="1:24" x14ac:dyDescent="0.25">
      <c r="A2099" s="46">
        <v>220230006759</v>
      </c>
      <c r="B2099" s="47" t="s">
        <v>507</v>
      </c>
      <c r="C2099" s="52">
        <v>44986</v>
      </c>
      <c r="D2099" s="46">
        <v>22023002765</v>
      </c>
      <c r="E2099" s="47" t="s">
        <v>3143</v>
      </c>
      <c r="F2099" s="53">
        <v>242</v>
      </c>
      <c r="G2099" s="47" t="s">
        <v>3581</v>
      </c>
      <c r="H2099" s="47" t="s">
        <v>3582</v>
      </c>
      <c r="I2099" s="46" t="s">
        <v>511</v>
      </c>
      <c r="J2099" s="47" t="s">
        <v>519</v>
      </c>
      <c r="K2099" s="47" t="s">
        <v>519</v>
      </c>
      <c r="L2099" s="47" t="s">
        <v>520</v>
      </c>
      <c r="M2099" s="47" t="s">
        <v>976</v>
      </c>
      <c r="N2099" s="47" t="s">
        <v>839</v>
      </c>
      <c r="O2099" s="45" t="s">
        <v>383</v>
      </c>
      <c r="P2099" s="44" t="s">
        <v>309</v>
      </c>
      <c r="Q2099" s="59" t="str">
        <f>MID(Tabla1[[#This Row],[Aplicación]],14,1)</f>
        <v>2</v>
      </c>
      <c r="R2099" s="35" t="s">
        <v>298</v>
      </c>
      <c r="S2099" s="59" t="str">
        <f>MID(Tabla1[[#This Row],[Aplicación]],6,2)</f>
        <v>10</v>
      </c>
      <c r="T2099" s="35" t="str">
        <f>VLOOKUP(Tabla1[[#This Row],[AREA]],Hoja1!A:B,2,FALSE)</f>
        <v>10. Servicios sociales y mediación comunitaria</v>
      </c>
      <c r="U2099" s="35" t="str">
        <f>MID(Tabla1[[#This Row],[Aplicación]],9,4)</f>
        <v>2312</v>
      </c>
      <c r="V2099" s="35" t="str">
        <f>VLOOKUP(Tabla1[[#This Row],[PROGRAMA]],Hoja1!A:B,2,FALSE)</f>
        <v>2312. Iniciativas sociales</v>
      </c>
      <c r="W2099" s="56" t="str">
        <f>MID(Tabla1[[#This Row],[Aplicación]],14,2)</f>
        <v>22</v>
      </c>
      <c r="X2099" s="56" t="str">
        <f>MID(Tabla1[[#This Row],[Aplicación]],14,6)</f>
        <v>223</v>
      </c>
    </row>
    <row r="2100" spans="1:24" x14ac:dyDescent="0.25">
      <c r="A2100" s="55">
        <v>220220030373</v>
      </c>
      <c r="B2100" s="47" t="s">
        <v>507</v>
      </c>
      <c r="C2100" s="52">
        <v>45014</v>
      </c>
      <c r="D2100" s="46">
        <v>22022003276</v>
      </c>
      <c r="E2100" s="47" t="s">
        <v>808</v>
      </c>
      <c r="F2100" s="53">
        <v>112.21</v>
      </c>
      <c r="G2100" s="47" t="s">
        <v>476</v>
      </c>
      <c r="H2100" s="47" t="s">
        <v>3583</v>
      </c>
      <c r="I2100" s="46" t="s">
        <v>511</v>
      </c>
      <c r="J2100" s="47" t="s">
        <v>947</v>
      </c>
      <c r="K2100" s="47" t="s">
        <v>947</v>
      </c>
      <c r="L2100" s="47" t="s">
        <v>520</v>
      </c>
      <c r="M2100" s="47" t="s">
        <v>514</v>
      </c>
      <c r="N2100" s="47" t="s">
        <v>515</v>
      </c>
      <c r="O2100" s="54" t="s">
        <v>382</v>
      </c>
      <c r="P2100" s="44" t="s">
        <v>309</v>
      </c>
      <c r="Q2100" s="59" t="str">
        <f>MID(Tabla1[[#This Row],[Aplicación]],14,1)</f>
        <v>6</v>
      </c>
      <c r="R2100" s="35" t="s">
        <v>299</v>
      </c>
      <c r="S2100" s="59" t="str">
        <f>MID(Tabla1[[#This Row],[Aplicación]],6,2)</f>
        <v>03</v>
      </c>
      <c r="T2100" s="35" t="str">
        <f>VLOOKUP(Tabla1[[#This Row],[AREA]],Hoja1!A:B,2,FALSE)</f>
        <v>03. Participación ciudadana y deportes</v>
      </c>
      <c r="U2100" s="35" t="str">
        <f>MID(Tabla1[[#This Row],[Aplicación]],9,4)</f>
        <v>9241</v>
      </c>
      <c r="V2100" s="35" t="str">
        <f>VLOOKUP(Tabla1[[#This Row],[PROGRAMA]],Hoja1!A:B,2,FALSE)</f>
        <v>9241. Participación ciudadana</v>
      </c>
      <c r="W2100" s="56" t="str">
        <f>MID(Tabla1[[#This Row],[Aplicación]],14,2)</f>
        <v>63</v>
      </c>
      <c r="X2100" s="56" t="str">
        <f>MID(Tabla1[[#This Row],[Aplicación]],14,6)</f>
        <v>632</v>
      </c>
    </row>
    <row r="2101" spans="1:24" x14ac:dyDescent="0.25">
      <c r="A2101" s="55">
        <v>220220030397</v>
      </c>
      <c r="B2101" s="47" t="s">
        <v>507</v>
      </c>
      <c r="C2101" s="52">
        <v>45014</v>
      </c>
      <c r="D2101" s="46">
        <v>22022004635</v>
      </c>
      <c r="E2101" s="47" t="s">
        <v>808</v>
      </c>
      <c r="F2101" s="53">
        <v>435.8</v>
      </c>
      <c r="G2101" s="47" t="s">
        <v>476</v>
      </c>
      <c r="H2101" s="47" t="s">
        <v>3584</v>
      </c>
      <c r="I2101" s="46" t="s">
        <v>511</v>
      </c>
      <c r="J2101" s="47" t="s">
        <v>947</v>
      </c>
      <c r="K2101" s="47" t="s">
        <v>947</v>
      </c>
      <c r="L2101" s="47" t="s">
        <v>520</v>
      </c>
      <c r="M2101" s="47" t="s">
        <v>514</v>
      </c>
      <c r="N2101" s="47" t="s">
        <v>515</v>
      </c>
      <c r="O2101" s="54" t="s">
        <v>382</v>
      </c>
      <c r="P2101" s="44" t="s">
        <v>309</v>
      </c>
      <c r="Q2101" s="59" t="str">
        <f>MID(Tabla1[[#This Row],[Aplicación]],14,1)</f>
        <v>6</v>
      </c>
      <c r="R2101" s="35" t="s">
        <v>299</v>
      </c>
      <c r="S2101" s="59" t="str">
        <f>MID(Tabla1[[#This Row],[Aplicación]],6,2)</f>
        <v>03</v>
      </c>
      <c r="T2101" s="35" t="str">
        <f>VLOOKUP(Tabla1[[#This Row],[AREA]],Hoja1!A:B,2,FALSE)</f>
        <v>03. Participación ciudadana y deportes</v>
      </c>
      <c r="U2101" s="35" t="str">
        <f>MID(Tabla1[[#This Row],[Aplicación]],9,4)</f>
        <v>9241</v>
      </c>
      <c r="V2101" s="35" t="str">
        <f>VLOOKUP(Tabla1[[#This Row],[PROGRAMA]],Hoja1!A:B,2,FALSE)</f>
        <v>9241. Participación ciudadana</v>
      </c>
      <c r="W2101" s="56" t="str">
        <f>MID(Tabla1[[#This Row],[Aplicación]],14,2)</f>
        <v>63</v>
      </c>
      <c r="X2101" s="56" t="str">
        <f>MID(Tabla1[[#This Row],[Aplicación]],14,6)</f>
        <v>632</v>
      </c>
    </row>
    <row r="2102" spans="1:24" x14ac:dyDescent="0.25">
      <c r="A2102" s="55">
        <v>220220039780</v>
      </c>
      <c r="B2102" s="47" t="s">
        <v>507</v>
      </c>
      <c r="C2102" s="52">
        <v>45014</v>
      </c>
      <c r="D2102" s="46">
        <v>22022001814</v>
      </c>
      <c r="E2102" s="47" t="s">
        <v>583</v>
      </c>
      <c r="F2102" s="53">
        <v>2277.9699999999998</v>
      </c>
      <c r="G2102" s="47" t="s">
        <v>476</v>
      </c>
      <c r="H2102" s="47" t="s">
        <v>3585</v>
      </c>
      <c r="I2102" s="46" t="s">
        <v>511</v>
      </c>
      <c r="J2102" s="47" t="s">
        <v>947</v>
      </c>
      <c r="K2102" s="47" t="s">
        <v>947</v>
      </c>
      <c r="L2102" s="47" t="s">
        <v>520</v>
      </c>
      <c r="M2102" s="47" t="s">
        <v>514</v>
      </c>
      <c r="N2102" s="47" t="s">
        <v>515</v>
      </c>
      <c r="O2102" s="54" t="s">
        <v>382</v>
      </c>
      <c r="P2102" s="44" t="s">
        <v>309</v>
      </c>
      <c r="Q2102" s="59" t="str">
        <f>MID(Tabla1[[#This Row],[Aplicación]],14,1)</f>
        <v>6</v>
      </c>
      <c r="R2102" s="35" t="s">
        <v>299</v>
      </c>
      <c r="S2102" s="59" t="str">
        <f>MID(Tabla1[[#This Row],[Aplicación]],6,2)</f>
        <v>02</v>
      </c>
      <c r="T2102" s="35" t="str">
        <f>VLOOKUP(Tabla1[[#This Row],[AREA]],Hoja1!A:B,2,FALSE)</f>
        <v>02. Planeamiento urbanístico y vivienda</v>
      </c>
      <c r="U2102" s="35" t="str">
        <f>MID(Tabla1[[#This Row],[Aplicación]],9,4)</f>
        <v>1511</v>
      </c>
      <c r="V2102" s="35" t="str">
        <f>VLOOKUP(Tabla1[[#This Row],[PROGRAMA]],Hoja1!A:B,2,FALSE)</f>
        <v>1511. Planficación y gestión del urbanismo</v>
      </c>
      <c r="W2102" s="56" t="str">
        <f>MID(Tabla1[[#This Row],[Aplicación]],14,2)</f>
        <v>60</v>
      </c>
      <c r="X2102" s="56" t="str">
        <f>MID(Tabla1[[#This Row],[Aplicación]],14,6)</f>
        <v>609</v>
      </c>
    </row>
    <row r="2103" spans="1:24" x14ac:dyDescent="0.25">
      <c r="A2103" s="55">
        <v>220220062202</v>
      </c>
      <c r="B2103" s="47" t="s">
        <v>507</v>
      </c>
      <c r="C2103" s="52">
        <v>45014</v>
      </c>
      <c r="D2103" s="46">
        <v>22022007488</v>
      </c>
      <c r="E2103" s="47" t="s">
        <v>3586</v>
      </c>
      <c r="F2103" s="53">
        <v>138.44999999999999</v>
      </c>
      <c r="G2103" s="47" t="s">
        <v>476</v>
      </c>
      <c r="H2103" s="47" t="s">
        <v>3587</v>
      </c>
      <c r="I2103" s="46" t="s">
        <v>511</v>
      </c>
      <c r="J2103" s="47" t="s">
        <v>947</v>
      </c>
      <c r="K2103" s="47" t="s">
        <v>947</v>
      </c>
      <c r="L2103" s="47" t="s">
        <v>520</v>
      </c>
      <c r="M2103" s="47" t="s">
        <v>514</v>
      </c>
      <c r="N2103" s="47" t="s">
        <v>515</v>
      </c>
      <c r="O2103" s="54" t="s">
        <v>382</v>
      </c>
      <c r="P2103" s="44" t="s">
        <v>309</v>
      </c>
      <c r="Q2103" s="59" t="str">
        <f>MID(Tabla1[[#This Row],[Aplicación]],14,1)</f>
        <v>6</v>
      </c>
      <c r="R2103" s="35" t="s">
        <v>299</v>
      </c>
      <c r="S2103" s="59" t="str">
        <f>MID(Tabla1[[#This Row],[Aplicación]],6,2)</f>
        <v>06</v>
      </c>
      <c r="T2103" s="35" t="str">
        <f>VLOOKUP(Tabla1[[#This Row],[AREA]],Hoja1!A:B,2,FALSE)</f>
        <v>06. Educación, infancia, juventud e igualdad</v>
      </c>
      <c r="U2103" s="35" t="str">
        <f>MID(Tabla1[[#This Row],[Aplicación]],9,4)</f>
        <v>2314</v>
      </c>
      <c r="V2103" s="35" t="str">
        <f>VLOOKUP(Tabla1[[#This Row],[PROGRAMA]],Hoja1!A:B,2,FALSE)</f>
        <v>2314. Centro de programas juveniles</v>
      </c>
      <c r="W2103" s="56" t="str">
        <f>MID(Tabla1[[#This Row],[Aplicación]],14,2)</f>
        <v>63</v>
      </c>
      <c r="X2103" s="56" t="str">
        <f>MID(Tabla1[[#This Row],[Aplicación]],14,6)</f>
        <v>632</v>
      </c>
    </row>
    <row r="2104" spans="1:24" x14ac:dyDescent="0.25">
      <c r="A2104" s="55">
        <v>220230009498</v>
      </c>
      <c r="B2104" s="47" t="s">
        <v>507</v>
      </c>
      <c r="C2104" s="52">
        <v>45006</v>
      </c>
      <c r="D2104" s="46">
        <v>22023003486</v>
      </c>
      <c r="E2104" s="47" t="s">
        <v>741</v>
      </c>
      <c r="F2104" s="53">
        <v>7200</v>
      </c>
      <c r="G2104" s="47" t="s">
        <v>3588</v>
      </c>
      <c r="H2104" s="47" t="s">
        <v>3589</v>
      </c>
      <c r="I2104" s="46" t="s">
        <v>511</v>
      </c>
      <c r="J2104" s="47" t="s">
        <v>519</v>
      </c>
      <c r="K2104" s="47" t="s">
        <v>519</v>
      </c>
      <c r="L2104" s="47" t="s">
        <v>552</v>
      </c>
      <c r="M2104" s="47" t="s">
        <v>976</v>
      </c>
      <c r="N2104" s="47" t="s">
        <v>839</v>
      </c>
      <c r="O2104" s="54" t="s">
        <v>383</v>
      </c>
      <c r="P2104" s="44" t="s">
        <v>309</v>
      </c>
      <c r="Q2104" s="59" t="str">
        <f>MID(Tabla1[[#This Row],[Aplicación]],14,1)</f>
        <v>6</v>
      </c>
      <c r="R2104" s="35" t="s">
        <v>299</v>
      </c>
      <c r="S2104" s="59" t="str">
        <f>MID(Tabla1[[#This Row],[Aplicación]],6,2)</f>
        <v>07</v>
      </c>
      <c r="T2104" s="35" t="str">
        <f>VLOOKUP(Tabla1[[#This Row],[AREA]],Hoja1!A:B,2,FALSE)</f>
        <v>07. Medio ambiente y desarrollo sostenible</v>
      </c>
      <c r="U2104" s="35" t="str">
        <f>MID(Tabla1[[#This Row],[Aplicación]],9,4)</f>
        <v>1711</v>
      </c>
      <c r="V2104" s="35" t="str">
        <f>VLOOKUP(Tabla1[[#This Row],[PROGRAMA]],Hoja1!A:B,2,FALSE)</f>
        <v>1711. Parques y jardines</v>
      </c>
      <c r="W2104" s="56" t="str">
        <f>MID(Tabla1[[#This Row],[Aplicación]],14,2)</f>
        <v>61</v>
      </c>
      <c r="X2104" s="56" t="str">
        <f>MID(Tabla1[[#This Row],[Aplicación]],14,6)</f>
        <v>619</v>
      </c>
    </row>
    <row r="2105" spans="1:24" x14ac:dyDescent="0.25">
      <c r="A2105" s="55">
        <v>220230011773</v>
      </c>
      <c r="B2105" s="47" t="s">
        <v>507</v>
      </c>
      <c r="C2105" s="52">
        <v>45014</v>
      </c>
      <c r="D2105" s="46">
        <v>22023003079</v>
      </c>
      <c r="E2105" s="47" t="s">
        <v>1341</v>
      </c>
      <c r="F2105" s="53">
        <v>3025</v>
      </c>
      <c r="G2105" s="47" t="s">
        <v>1764</v>
      </c>
      <c r="H2105" s="47" t="s">
        <v>3340</v>
      </c>
      <c r="I2105" s="46" t="s">
        <v>2168</v>
      </c>
      <c r="J2105" s="47" t="s">
        <v>519</v>
      </c>
      <c r="K2105" s="47" t="s">
        <v>519</v>
      </c>
      <c r="L2105" s="47" t="s">
        <v>520</v>
      </c>
      <c r="M2105" s="47" t="s">
        <v>514</v>
      </c>
      <c r="N2105" s="47" t="s">
        <v>515</v>
      </c>
      <c r="O2105" s="54" t="s">
        <v>382</v>
      </c>
      <c r="P2105" s="44" t="s">
        <v>309</v>
      </c>
      <c r="Q2105" s="59" t="str">
        <f>MID(Tabla1[[#This Row],[Aplicación]],14,1)</f>
        <v>2</v>
      </c>
      <c r="R2105" s="35" t="s">
        <v>298</v>
      </c>
      <c r="S2105" s="59" t="str">
        <f>MID(Tabla1[[#This Row],[Aplicación]],6,2)</f>
        <v>05</v>
      </c>
      <c r="T2105" s="35" t="str">
        <f>VLOOKUP(Tabla1[[#This Row],[AREA]],Hoja1!A:B,2,FALSE)</f>
        <v>05. Innovación, desarrollo económico, empleo y comercio</v>
      </c>
      <c r="U2105" s="35" t="str">
        <f>MID(Tabla1[[#This Row],[Aplicación]],9,4)</f>
        <v>4331</v>
      </c>
      <c r="V2105" s="35" t="str">
        <f>VLOOKUP(Tabla1[[#This Row],[PROGRAMA]],Hoja1!A:B,2,FALSE)</f>
        <v>4331. Desarrollo empresarial</v>
      </c>
      <c r="W2105" s="56" t="str">
        <f>MID(Tabla1[[#This Row],[Aplicación]],14,2)</f>
        <v>22</v>
      </c>
      <c r="X2105" s="56" t="str">
        <f>MID(Tabla1[[#This Row],[Aplicación]],14,6)</f>
        <v>22602</v>
      </c>
    </row>
    <row r="2106" spans="1:24" x14ac:dyDescent="0.25">
      <c r="A2106" s="55">
        <v>220210032816</v>
      </c>
      <c r="B2106" s="47" t="s">
        <v>507</v>
      </c>
      <c r="C2106" s="52">
        <v>45014</v>
      </c>
      <c r="D2106" s="46">
        <v>22021005005</v>
      </c>
      <c r="E2106" s="47" t="s">
        <v>1272</v>
      </c>
      <c r="F2106" s="53">
        <v>933.97</v>
      </c>
      <c r="G2106" s="47" t="s">
        <v>1351</v>
      </c>
      <c r="H2106" s="47" t="s">
        <v>3590</v>
      </c>
      <c r="I2106" s="46" t="s">
        <v>511</v>
      </c>
      <c r="J2106" s="47" t="s">
        <v>519</v>
      </c>
      <c r="K2106" s="47" t="s">
        <v>519</v>
      </c>
      <c r="L2106" s="47" t="s">
        <v>552</v>
      </c>
      <c r="M2106" s="47" t="s">
        <v>514</v>
      </c>
      <c r="N2106" s="47" t="s">
        <v>515</v>
      </c>
      <c r="O2106" s="54" t="s">
        <v>382</v>
      </c>
      <c r="P2106" s="44" t="s">
        <v>309</v>
      </c>
      <c r="Q2106" s="59" t="str">
        <f>MID(Tabla1[[#This Row],[Aplicación]],14,1)</f>
        <v>6</v>
      </c>
      <c r="R2106" s="35" t="s">
        <v>299</v>
      </c>
      <c r="S2106" s="59" t="str">
        <f>MID(Tabla1[[#This Row],[Aplicación]],6,2)</f>
        <v>02</v>
      </c>
      <c r="T2106" s="35" t="str">
        <f>VLOOKUP(Tabla1[[#This Row],[AREA]],Hoja1!A:B,2,FALSE)</f>
        <v>02. Planeamiento urbanístico y vivienda</v>
      </c>
      <c r="U2106" s="35" t="str">
        <f>MID(Tabla1[[#This Row],[Aplicación]],9,4)</f>
        <v>9332</v>
      </c>
      <c r="V2106" s="35" t="str">
        <f>VLOOKUP(Tabla1[[#This Row],[PROGRAMA]],Hoja1!A:B,2,FALSE)</f>
        <v>9332. Mantenimiento de edificios e instalaciones municipales</v>
      </c>
      <c r="W2106" s="56" t="str">
        <f>MID(Tabla1[[#This Row],[Aplicación]],14,2)</f>
        <v>63</v>
      </c>
      <c r="X2106" s="56" t="str">
        <f>MID(Tabla1[[#This Row],[Aplicación]],14,6)</f>
        <v>632</v>
      </c>
    </row>
    <row r="2107" spans="1:24" x14ac:dyDescent="0.25">
      <c r="A2107" s="55">
        <v>220210058920</v>
      </c>
      <c r="B2107" s="47" t="s">
        <v>507</v>
      </c>
      <c r="C2107" s="52">
        <v>45014</v>
      </c>
      <c r="D2107" s="46">
        <v>22021005975</v>
      </c>
      <c r="E2107" s="47" t="s">
        <v>583</v>
      </c>
      <c r="F2107" s="53">
        <v>3402.57</v>
      </c>
      <c r="G2107" s="47" t="s">
        <v>1360</v>
      </c>
      <c r="H2107" s="47" t="s">
        <v>3591</v>
      </c>
      <c r="I2107" s="46" t="s">
        <v>511</v>
      </c>
      <c r="J2107" s="47" t="s">
        <v>519</v>
      </c>
      <c r="K2107" s="47" t="s">
        <v>519</v>
      </c>
      <c r="L2107" s="47" t="s">
        <v>520</v>
      </c>
      <c r="M2107" s="47" t="s">
        <v>514</v>
      </c>
      <c r="N2107" s="47" t="s">
        <v>515</v>
      </c>
      <c r="O2107" s="54" t="s">
        <v>382</v>
      </c>
      <c r="P2107" s="44" t="s">
        <v>309</v>
      </c>
      <c r="Q2107" s="59" t="str">
        <f>MID(Tabla1[[#This Row],[Aplicación]],14,1)</f>
        <v>6</v>
      </c>
      <c r="R2107" s="35" t="s">
        <v>299</v>
      </c>
      <c r="S2107" s="59" t="str">
        <f>MID(Tabla1[[#This Row],[Aplicación]],6,2)</f>
        <v>02</v>
      </c>
      <c r="T2107" s="35" t="str">
        <f>VLOOKUP(Tabla1[[#This Row],[AREA]],Hoja1!A:B,2,FALSE)</f>
        <v>02. Planeamiento urbanístico y vivienda</v>
      </c>
      <c r="U2107" s="35" t="str">
        <f>MID(Tabla1[[#This Row],[Aplicación]],9,4)</f>
        <v>1511</v>
      </c>
      <c r="V2107" s="35" t="str">
        <f>VLOOKUP(Tabla1[[#This Row],[PROGRAMA]],Hoja1!A:B,2,FALSE)</f>
        <v>1511. Planficación y gestión del urbanismo</v>
      </c>
      <c r="W2107" s="56" t="str">
        <f>MID(Tabla1[[#This Row],[Aplicación]],14,2)</f>
        <v>60</v>
      </c>
      <c r="X2107" s="56" t="str">
        <f>MID(Tabla1[[#This Row],[Aplicación]],14,6)</f>
        <v>609</v>
      </c>
    </row>
    <row r="2108" spans="1:24" x14ac:dyDescent="0.25">
      <c r="A2108" s="55">
        <v>220219000691</v>
      </c>
      <c r="B2108" s="47" t="s">
        <v>507</v>
      </c>
      <c r="C2108" s="52">
        <v>45014</v>
      </c>
      <c r="D2108" s="46">
        <v>22022002217</v>
      </c>
      <c r="E2108" s="47" t="s">
        <v>583</v>
      </c>
      <c r="F2108" s="53">
        <v>19192.169999999998</v>
      </c>
      <c r="G2108" s="47" t="s">
        <v>1360</v>
      </c>
      <c r="H2108" s="47" t="s">
        <v>1361</v>
      </c>
      <c r="I2108" s="46" t="s">
        <v>511</v>
      </c>
      <c r="J2108" s="47" t="s">
        <v>519</v>
      </c>
      <c r="K2108" s="47" t="s">
        <v>519</v>
      </c>
      <c r="L2108" s="47" t="s">
        <v>520</v>
      </c>
      <c r="M2108" s="47" t="s">
        <v>514</v>
      </c>
      <c r="N2108" s="47" t="s">
        <v>515</v>
      </c>
      <c r="O2108" s="54" t="s">
        <v>382</v>
      </c>
      <c r="P2108" s="44" t="s">
        <v>309</v>
      </c>
      <c r="Q2108" s="59" t="str">
        <f>MID(Tabla1[[#This Row],[Aplicación]],14,1)</f>
        <v>6</v>
      </c>
      <c r="R2108" s="35" t="s">
        <v>299</v>
      </c>
      <c r="S2108" s="59" t="str">
        <f>MID(Tabla1[[#This Row],[Aplicación]],6,2)</f>
        <v>02</v>
      </c>
      <c r="T2108" s="35" t="str">
        <f>VLOOKUP(Tabla1[[#This Row],[AREA]],Hoja1!A:B,2,FALSE)</f>
        <v>02. Planeamiento urbanístico y vivienda</v>
      </c>
      <c r="U2108" s="35" t="str">
        <f>MID(Tabla1[[#This Row],[Aplicación]],9,4)</f>
        <v>1511</v>
      </c>
      <c r="V2108" s="35" t="str">
        <f>VLOOKUP(Tabla1[[#This Row],[PROGRAMA]],Hoja1!A:B,2,FALSE)</f>
        <v>1511. Planficación y gestión del urbanismo</v>
      </c>
      <c r="W2108" s="56" t="str">
        <f>MID(Tabla1[[#This Row],[Aplicación]],14,2)</f>
        <v>60</v>
      </c>
      <c r="X2108" s="56" t="str">
        <f>MID(Tabla1[[#This Row],[Aplicación]],14,6)</f>
        <v>609</v>
      </c>
    </row>
    <row r="2109" spans="1:24" x14ac:dyDescent="0.25">
      <c r="A2109" s="55">
        <v>220220003949</v>
      </c>
      <c r="B2109" s="47" t="s">
        <v>507</v>
      </c>
      <c r="C2109" s="52">
        <v>45014</v>
      </c>
      <c r="D2109" s="46">
        <v>22022002253</v>
      </c>
      <c r="E2109" s="47" t="s">
        <v>1281</v>
      </c>
      <c r="F2109" s="53">
        <v>295.82</v>
      </c>
      <c r="G2109" s="47" t="s">
        <v>1360</v>
      </c>
      <c r="H2109" s="47" t="s">
        <v>3592</v>
      </c>
      <c r="I2109" s="46" t="s">
        <v>511</v>
      </c>
      <c r="J2109" s="47" t="s">
        <v>519</v>
      </c>
      <c r="K2109" s="47" t="s">
        <v>519</v>
      </c>
      <c r="L2109" s="47" t="s">
        <v>527</v>
      </c>
      <c r="M2109" s="47" t="s">
        <v>514</v>
      </c>
      <c r="N2109" s="47" t="s">
        <v>515</v>
      </c>
      <c r="O2109" s="54" t="s">
        <v>382</v>
      </c>
      <c r="P2109" s="44" t="s">
        <v>309</v>
      </c>
      <c r="Q2109" s="59" t="str">
        <f>MID(Tabla1[[#This Row],[Aplicación]],14,1)</f>
        <v>6</v>
      </c>
      <c r="R2109" s="35" t="s">
        <v>299</v>
      </c>
      <c r="S2109" s="59" t="str">
        <f>MID(Tabla1[[#This Row],[Aplicación]],6,2)</f>
        <v>08</v>
      </c>
      <c r="T2109" s="35" t="str">
        <f>VLOOKUP(Tabla1[[#This Row],[AREA]],Hoja1!A:B,2,FALSE)</f>
        <v>08. Movilidad y espacio urbano</v>
      </c>
      <c r="U2109" s="35" t="str">
        <f>MID(Tabla1[[#This Row],[Aplicación]],9,4)</f>
        <v>1532</v>
      </c>
      <c r="V2109" s="35" t="str">
        <f>VLOOKUP(Tabla1[[#This Row],[PROGRAMA]],Hoja1!A:B,2,FALSE)</f>
        <v>1532. Pavimentación vias públicas y otros servicios urbanísticos</v>
      </c>
      <c r="W2109" s="56" t="str">
        <f>MID(Tabla1[[#This Row],[Aplicación]],14,2)</f>
        <v>62</v>
      </c>
      <c r="X2109" s="56" t="str">
        <f>MID(Tabla1[[#This Row],[Aplicación]],14,6)</f>
        <v>622</v>
      </c>
    </row>
    <row r="2110" spans="1:24" x14ac:dyDescent="0.25">
      <c r="A2110" s="55">
        <v>220220046630</v>
      </c>
      <c r="B2110" s="47" t="s">
        <v>507</v>
      </c>
      <c r="C2110" s="52">
        <v>45014</v>
      </c>
      <c r="D2110" s="46">
        <v>22022003306</v>
      </c>
      <c r="E2110" s="47" t="s">
        <v>524</v>
      </c>
      <c r="F2110" s="53">
        <v>9874.39</v>
      </c>
      <c r="G2110" s="47" t="s">
        <v>1360</v>
      </c>
      <c r="H2110" s="47" t="s">
        <v>3593</v>
      </c>
      <c r="I2110" s="46" t="s">
        <v>511</v>
      </c>
      <c r="J2110" s="47" t="s">
        <v>519</v>
      </c>
      <c r="K2110" s="47" t="s">
        <v>519</v>
      </c>
      <c r="L2110" s="47" t="s">
        <v>520</v>
      </c>
      <c r="M2110" s="47" t="s">
        <v>514</v>
      </c>
      <c r="N2110" s="47" t="s">
        <v>515</v>
      </c>
      <c r="O2110" s="54" t="s">
        <v>382</v>
      </c>
      <c r="P2110" s="44" t="s">
        <v>309</v>
      </c>
      <c r="Q2110" s="59" t="str">
        <f>MID(Tabla1[[#This Row],[Aplicación]],14,1)</f>
        <v>6</v>
      </c>
      <c r="R2110" s="35" t="s">
        <v>299</v>
      </c>
      <c r="S2110" s="59" t="str">
        <f>MID(Tabla1[[#This Row],[Aplicación]],6,2)</f>
        <v>02</v>
      </c>
      <c r="T2110" s="35" t="str">
        <f>VLOOKUP(Tabla1[[#This Row],[AREA]],Hoja1!A:B,2,FALSE)</f>
        <v>02. Planeamiento urbanístico y vivienda</v>
      </c>
      <c r="U2110" s="35" t="str">
        <f>MID(Tabla1[[#This Row],[Aplicación]],9,4)</f>
        <v>1511</v>
      </c>
      <c r="V2110" s="35" t="str">
        <f>VLOOKUP(Tabla1[[#This Row],[PROGRAMA]],Hoja1!A:B,2,FALSE)</f>
        <v>1511. Planficación y gestión del urbanismo</v>
      </c>
      <c r="W2110" s="56" t="str">
        <f>MID(Tabla1[[#This Row],[Aplicación]],14,2)</f>
        <v>61</v>
      </c>
      <c r="X2110" s="56" t="str">
        <f>MID(Tabla1[[#This Row],[Aplicación]],14,6)</f>
        <v>619</v>
      </c>
    </row>
    <row r="2111" spans="1:24" x14ac:dyDescent="0.25">
      <c r="A2111" s="46">
        <v>220230001790</v>
      </c>
      <c r="B2111" s="47" t="s">
        <v>507</v>
      </c>
      <c r="C2111" s="52">
        <v>44960</v>
      </c>
      <c r="D2111" s="46">
        <v>22023000189</v>
      </c>
      <c r="E2111" s="47" t="s">
        <v>1685</v>
      </c>
      <c r="F2111" s="53">
        <v>16.73</v>
      </c>
      <c r="G2111" s="47" t="s">
        <v>88</v>
      </c>
      <c r="H2111" s="47" t="s">
        <v>3594</v>
      </c>
      <c r="I2111" s="46" t="s">
        <v>511</v>
      </c>
      <c r="J2111" s="47" t="s">
        <v>519</v>
      </c>
      <c r="K2111" s="47" t="s">
        <v>519</v>
      </c>
      <c r="L2111" s="47" t="s">
        <v>520</v>
      </c>
      <c r="M2111" s="47" t="s">
        <v>976</v>
      </c>
      <c r="N2111" s="47" t="s">
        <v>839</v>
      </c>
      <c r="O2111" s="45" t="s">
        <v>383</v>
      </c>
      <c r="P2111" s="44" t="s">
        <v>309</v>
      </c>
      <c r="Q2111" s="59" t="str">
        <f>MID(Tabla1[[#This Row],[Aplicación]],14,1)</f>
        <v>2</v>
      </c>
      <c r="R2111" s="35" t="s">
        <v>298</v>
      </c>
      <c r="S2111" s="59" t="str">
        <f>MID(Tabla1[[#This Row],[Aplicación]],6,2)</f>
        <v>09</v>
      </c>
      <c r="T2111" s="35" t="str">
        <f>VLOOKUP(Tabla1[[#This Row],[AREA]],Hoja1!A:B,2,FALSE)</f>
        <v>09. Cultura y turismo</v>
      </c>
      <c r="U2111" s="35" t="str">
        <f>MID(Tabla1[[#This Row],[Aplicación]],9,4)</f>
        <v>3301</v>
      </c>
      <c r="V2111" s="35" t="str">
        <f>VLOOKUP(Tabla1[[#This Row],[PROGRAMA]],Hoja1!A:B,2,FALSE)</f>
        <v>3301. Dirección del área de cultura</v>
      </c>
      <c r="W2111" s="56" t="str">
        <f>MID(Tabla1[[#This Row],[Aplicación]],14,2)</f>
        <v>22</v>
      </c>
      <c r="X2111" s="56" t="str">
        <f>MID(Tabla1[[#This Row],[Aplicación]],14,6)</f>
        <v>22699</v>
      </c>
    </row>
    <row r="2112" spans="1:24" x14ac:dyDescent="0.25">
      <c r="A2112" s="46">
        <v>220230003257</v>
      </c>
      <c r="B2112" s="47" t="s">
        <v>507</v>
      </c>
      <c r="C2112" s="52">
        <v>44971</v>
      </c>
      <c r="D2112" s="46">
        <v>22023002210</v>
      </c>
      <c r="E2112" s="47" t="s">
        <v>3595</v>
      </c>
      <c r="F2112" s="53">
        <v>968</v>
      </c>
      <c r="G2112" s="47" t="s">
        <v>88</v>
      </c>
      <c r="H2112" s="47" t="s">
        <v>3596</v>
      </c>
      <c r="I2112" s="46" t="s">
        <v>511</v>
      </c>
      <c r="J2112" s="47" t="s">
        <v>519</v>
      </c>
      <c r="K2112" s="47" t="s">
        <v>519</v>
      </c>
      <c r="L2112" s="47" t="s">
        <v>520</v>
      </c>
      <c r="M2112" s="47" t="s">
        <v>976</v>
      </c>
      <c r="N2112" s="47" t="s">
        <v>839</v>
      </c>
      <c r="O2112" s="45" t="s">
        <v>383</v>
      </c>
      <c r="P2112" s="44" t="s">
        <v>309</v>
      </c>
      <c r="Q2112" s="59" t="str">
        <f>MID(Tabla1[[#This Row],[Aplicación]],14,1)</f>
        <v>2</v>
      </c>
      <c r="R2112" s="35" t="s">
        <v>298</v>
      </c>
      <c r="S2112" s="59" t="str">
        <f>MID(Tabla1[[#This Row],[Aplicación]],6,2)</f>
        <v>07</v>
      </c>
      <c r="T2112" s="35" t="str">
        <f>VLOOKUP(Tabla1[[#This Row],[AREA]],Hoja1!A:B,2,FALSE)</f>
        <v>07. Medio ambiente y desarrollo sostenible</v>
      </c>
      <c r="U2112" s="35" t="str">
        <f>MID(Tabla1[[#This Row],[Aplicación]],9,4)</f>
        <v>1721</v>
      </c>
      <c r="V2112" s="35" t="str">
        <f>VLOOKUP(Tabla1[[#This Row],[PROGRAMA]],Hoja1!A:B,2,FALSE)</f>
        <v>1721. Protección del medio ambiente</v>
      </c>
      <c r="W2112" s="56" t="str">
        <f>MID(Tabla1[[#This Row],[Aplicación]],14,2)</f>
        <v>22</v>
      </c>
      <c r="X2112" s="56" t="str">
        <f>MID(Tabla1[[#This Row],[Aplicación]],14,6)</f>
        <v>223</v>
      </c>
    </row>
    <row r="2113" spans="1:24" x14ac:dyDescent="0.25">
      <c r="A2113" s="55">
        <v>220230008948</v>
      </c>
      <c r="B2113" s="47" t="s">
        <v>507</v>
      </c>
      <c r="C2113" s="52">
        <v>45002</v>
      </c>
      <c r="D2113" s="46">
        <v>22023003165</v>
      </c>
      <c r="E2113" s="47" t="s">
        <v>3140</v>
      </c>
      <c r="F2113" s="53">
        <v>500</v>
      </c>
      <c r="G2113" s="47" t="s">
        <v>88</v>
      </c>
      <c r="H2113" s="47" t="s">
        <v>3597</v>
      </c>
      <c r="I2113" s="46" t="s">
        <v>511</v>
      </c>
      <c r="J2113" s="47" t="s">
        <v>519</v>
      </c>
      <c r="K2113" s="47" t="s">
        <v>519</v>
      </c>
      <c r="L2113" s="47" t="s">
        <v>520</v>
      </c>
      <c r="M2113" s="47" t="s">
        <v>976</v>
      </c>
      <c r="N2113" s="47" t="s">
        <v>839</v>
      </c>
      <c r="O2113" s="54" t="s">
        <v>383</v>
      </c>
      <c r="P2113" s="44" t="s">
        <v>309</v>
      </c>
      <c r="Q2113" s="59" t="str">
        <f>MID(Tabla1[[#This Row],[Aplicación]],14,1)</f>
        <v>2</v>
      </c>
      <c r="R2113" s="35" t="s">
        <v>298</v>
      </c>
      <c r="S2113" s="59" t="str">
        <f>MID(Tabla1[[#This Row],[Aplicación]],6,2)</f>
        <v>11</v>
      </c>
      <c r="T2113" s="35" t="str">
        <f>VLOOKUP(Tabla1[[#This Row],[AREA]],Hoja1!A:B,2,FALSE)</f>
        <v>11. Salud pública y seguridad ciudadana</v>
      </c>
      <c r="U2113" s="35" t="str">
        <f>MID(Tabla1[[#This Row],[Aplicación]],9,4)</f>
        <v>1321</v>
      </c>
      <c r="V2113" s="35" t="str">
        <f>VLOOKUP(Tabla1[[#This Row],[PROGRAMA]],Hoja1!A:B,2,FALSE)</f>
        <v>1321. Policía municipal</v>
      </c>
      <c r="W2113" s="56" t="str">
        <f>MID(Tabla1[[#This Row],[Aplicación]],14,2)</f>
        <v>22</v>
      </c>
      <c r="X2113" s="56" t="str">
        <f>MID(Tabla1[[#This Row],[Aplicación]],14,6)</f>
        <v>223</v>
      </c>
    </row>
    <row r="2114" spans="1:24" x14ac:dyDescent="0.25">
      <c r="A2114" s="46">
        <v>220230008574</v>
      </c>
      <c r="B2114" s="47" t="s">
        <v>507</v>
      </c>
      <c r="C2114" s="52">
        <v>45000</v>
      </c>
      <c r="D2114" s="46">
        <v>22023002939</v>
      </c>
      <c r="E2114" s="47" t="s">
        <v>1479</v>
      </c>
      <c r="F2114" s="53">
        <v>500</v>
      </c>
      <c r="G2114" s="47" t="s">
        <v>449</v>
      </c>
      <c r="H2114" s="47" t="s">
        <v>3598</v>
      </c>
      <c r="I2114" s="46" t="s">
        <v>511</v>
      </c>
      <c r="J2114" s="47" t="s">
        <v>519</v>
      </c>
      <c r="K2114" s="47" t="s">
        <v>519</v>
      </c>
      <c r="L2114" s="47" t="s">
        <v>520</v>
      </c>
      <c r="M2114" s="47" t="s">
        <v>976</v>
      </c>
      <c r="N2114" s="47" t="s">
        <v>839</v>
      </c>
      <c r="O2114" s="54" t="s">
        <v>383</v>
      </c>
      <c r="P2114" s="44" t="s">
        <v>309</v>
      </c>
      <c r="Q2114" s="59" t="str">
        <f>MID(Tabla1[[#This Row],[Aplicación]],14,1)</f>
        <v>2</v>
      </c>
      <c r="R2114" s="35" t="s">
        <v>298</v>
      </c>
      <c r="S2114" s="59" t="str">
        <f>MID(Tabla1[[#This Row],[Aplicación]],6,2)</f>
        <v>03</v>
      </c>
      <c r="T2114" s="35" t="str">
        <f>VLOOKUP(Tabla1[[#This Row],[AREA]],Hoja1!A:B,2,FALSE)</f>
        <v>03. Participación ciudadana y deportes</v>
      </c>
      <c r="U2114" s="35" t="str">
        <f>MID(Tabla1[[#This Row],[Aplicación]],9,4)</f>
        <v>9241</v>
      </c>
      <c r="V2114" s="35" t="str">
        <f>VLOOKUP(Tabla1[[#This Row],[PROGRAMA]],Hoja1!A:B,2,FALSE)</f>
        <v>9241. Participación ciudadana</v>
      </c>
      <c r="W2114" s="56" t="str">
        <f>MID(Tabla1[[#This Row],[Aplicación]],14,2)</f>
        <v>22</v>
      </c>
      <c r="X2114" s="56" t="str">
        <f>MID(Tabla1[[#This Row],[Aplicación]],14,6)</f>
        <v>22609</v>
      </c>
    </row>
    <row r="2115" spans="1:24" x14ac:dyDescent="0.25">
      <c r="A2115" s="46">
        <v>220230000041</v>
      </c>
      <c r="B2115" s="47" t="s">
        <v>507</v>
      </c>
      <c r="C2115" s="52">
        <v>44927</v>
      </c>
      <c r="D2115" s="46">
        <v>22023000528</v>
      </c>
      <c r="E2115" s="47" t="s">
        <v>699</v>
      </c>
      <c r="F2115" s="53">
        <v>1669.8</v>
      </c>
      <c r="G2115" s="47" t="s">
        <v>350</v>
      </c>
      <c r="H2115" s="47" t="s">
        <v>3599</v>
      </c>
      <c r="I2115" s="46" t="s">
        <v>511</v>
      </c>
      <c r="J2115" s="47" t="s">
        <v>519</v>
      </c>
      <c r="K2115" s="47" t="s">
        <v>519</v>
      </c>
      <c r="L2115" s="47" t="s">
        <v>520</v>
      </c>
      <c r="M2115" s="47" t="s">
        <v>514</v>
      </c>
      <c r="N2115" s="47" t="s">
        <v>604</v>
      </c>
      <c r="O2115" s="45" t="s">
        <v>371</v>
      </c>
      <c r="P2115" s="44" t="s">
        <v>309</v>
      </c>
      <c r="Q2115" s="59" t="str">
        <f>MID(Tabla1[[#This Row],[Aplicación]],14,1)</f>
        <v>2</v>
      </c>
      <c r="R2115" s="35" t="s">
        <v>298</v>
      </c>
      <c r="S2115" s="59" t="str">
        <f>MID(Tabla1[[#This Row],[Aplicación]],6,2)</f>
        <v>03</v>
      </c>
      <c r="T2115" s="35" t="str">
        <f>VLOOKUP(Tabla1[[#This Row],[AREA]],Hoja1!A:B,2,FALSE)</f>
        <v>03. Participación ciudadana y deportes</v>
      </c>
      <c r="U2115" s="35" t="str">
        <f>MID(Tabla1[[#This Row],[Aplicación]],9,4)</f>
        <v>9241</v>
      </c>
      <c r="V2115" s="35" t="str">
        <f>VLOOKUP(Tabla1[[#This Row],[PROGRAMA]],Hoja1!A:B,2,FALSE)</f>
        <v>9241. Participación ciudadana</v>
      </c>
      <c r="W2115" s="56" t="str">
        <f>MID(Tabla1[[#This Row],[Aplicación]],14,2)</f>
        <v>22</v>
      </c>
      <c r="X2115" s="56" t="str">
        <f>MID(Tabla1[[#This Row],[Aplicación]],14,6)</f>
        <v>22700</v>
      </c>
    </row>
    <row r="2116" spans="1:24" x14ac:dyDescent="0.25">
      <c r="A2116" s="46">
        <v>220229000068</v>
      </c>
      <c r="B2116" s="47" t="s">
        <v>507</v>
      </c>
      <c r="C2116" s="52">
        <v>44927</v>
      </c>
      <c r="D2116" s="46">
        <v>22023000877</v>
      </c>
      <c r="E2116" s="47" t="s">
        <v>3600</v>
      </c>
      <c r="F2116" s="53">
        <v>40344.65</v>
      </c>
      <c r="G2116" s="47" t="s">
        <v>330</v>
      </c>
      <c r="H2116" s="47" t="s">
        <v>3601</v>
      </c>
      <c r="I2116" s="46" t="s">
        <v>511</v>
      </c>
      <c r="J2116" s="47" t="s">
        <v>837</v>
      </c>
      <c r="K2116" s="47" t="s">
        <v>837</v>
      </c>
      <c r="L2116" s="47" t="s">
        <v>520</v>
      </c>
      <c r="M2116" s="47" t="s">
        <v>514</v>
      </c>
      <c r="N2116" s="47" t="s">
        <v>515</v>
      </c>
      <c r="O2116" s="54" t="s">
        <v>371</v>
      </c>
      <c r="P2116" s="44" t="s">
        <v>309</v>
      </c>
      <c r="Q2116" s="59" t="str">
        <f>MID(Tabla1[[#This Row],[Aplicación]],14,1)</f>
        <v>6</v>
      </c>
      <c r="R2116" s="35" t="s">
        <v>299</v>
      </c>
      <c r="S2116" s="59" t="str">
        <f>MID(Tabla1[[#This Row],[Aplicación]],6,2)</f>
        <v>04</v>
      </c>
      <c r="T2116" s="35" t="str">
        <f>VLOOKUP(Tabla1[[#This Row],[AREA]],Hoja1!A:B,2,FALSE)</f>
        <v>04. Planificación y recursos</v>
      </c>
      <c r="U2116" s="35" t="str">
        <f>MID(Tabla1[[#This Row],[Aplicación]],9,4)</f>
        <v>9321</v>
      </c>
      <c r="V2116" s="35" t="str">
        <f>VLOOKUP(Tabla1[[#This Row],[PROGRAMA]],Hoja1!A:B,2,FALSE)</f>
        <v>9321. Gestión de ingresos e inspección</v>
      </c>
      <c r="W2116" s="56" t="str">
        <f>MID(Tabla1[[#This Row],[Aplicación]],14,2)</f>
        <v>64</v>
      </c>
      <c r="X2116" s="56" t="str">
        <f>MID(Tabla1[[#This Row],[Aplicación]],14,6)</f>
        <v>641</v>
      </c>
    </row>
    <row r="2117" spans="1:24" x14ac:dyDescent="0.25">
      <c r="A2117" s="46">
        <v>220229000728</v>
      </c>
      <c r="B2117" s="47" t="s">
        <v>507</v>
      </c>
      <c r="C2117" s="52">
        <v>44927</v>
      </c>
      <c r="D2117" s="46">
        <v>22023001308</v>
      </c>
      <c r="E2117" s="47" t="s">
        <v>669</v>
      </c>
      <c r="F2117" s="53">
        <v>389.3</v>
      </c>
      <c r="G2117" s="47" t="s">
        <v>3602</v>
      </c>
      <c r="H2117" s="47" t="s">
        <v>3603</v>
      </c>
      <c r="I2117" s="46" t="s">
        <v>511</v>
      </c>
      <c r="J2117" s="47" t="s">
        <v>1737</v>
      </c>
      <c r="K2117" s="47" t="s">
        <v>512</v>
      </c>
      <c r="L2117" s="47" t="s">
        <v>520</v>
      </c>
      <c r="M2117" s="47" t="s">
        <v>514</v>
      </c>
      <c r="N2117" s="47" t="s">
        <v>604</v>
      </c>
      <c r="O2117" s="45" t="s">
        <v>371</v>
      </c>
      <c r="P2117" s="44" t="s">
        <v>309</v>
      </c>
      <c r="Q2117" s="59" t="str">
        <f>MID(Tabla1[[#This Row],[Aplicación]],14,1)</f>
        <v>2</v>
      </c>
      <c r="R2117" s="35" t="s">
        <v>298</v>
      </c>
      <c r="S2117" s="59" t="str">
        <f>MID(Tabla1[[#This Row],[Aplicación]],6,2)</f>
        <v>06</v>
      </c>
      <c r="T2117" s="35" t="str">
        <f>VLOOKUP(Tabla1[[#This Row],[AREA]],Hoja1!A:B,2,FALSE)</f>
        <v>06. Educación, infancia, juventud e igualdad</v>
      </c>
      <c r="U2117" s="35" t="str">
        <f>MID(Tabla1[[#This Row],[Aplicación]],9,4)</f>
        <v>3232</v>
      </c>
      <c r="V2117" s="35" t="str">
        <f>VLOOKUP(Tabla1[[#This Row],[PROGRAMA]],Hoja1!A:B,2,FALSE)</f>
        <v>3232. Conservación y mantenimiento centros educación infantil y primaria</v>
      </c>
      <c r="W2117" s="56" t="str">
        <f>MID(Tabla1[[#This Row],[Aplicación]],14,2)</f>
        <v>21</v>
      </c>
      <c r="X2117" s="56" t="str">
        <f>MID(Tabla1[[#This Row],[Aplicación]],14,6)</f>
        <v>213</v>
      </c>
    </row>
    <row r="2118" spans="1:24" x14ac:dyDescent="0.25">
      <c r="A2118" s="46">
        <v>220229000788</v>
      </c>
      <c r="B2118" s="47" t="s">
        <v>507</v>
      </c>
      <c r="C2118" s="52">
        <v>44927</v>
      </c>
      <c r="D2118" s="46">
        <v>22023001869</v>
      </c>
      <c r="E2118" s="47" t="s">
        <v>1055</v>
      </c>
      <c r="F2118" s="53">
        <v>583.94000000000005</v>
      </c>
      <c r="G2118" s="47" t="s">
        <v>3602</v>
      </c>
      <c r="H2118" s="47" t="s">
        <v>3604</v>
      </c>
      <c r="I2118" s="46" t="s">
        <v>511</v>
      </c>
      <c r="J2118" s="47" t="s">
        <v>1737</v>
      </c>
      <c r="K2118" s="47" t="s">
        <v>512</v>
      </c>
      <c r="L2118" s="47" t="s">
        <v>520</v>
      </c>
      <c r="M2118" s="47" t="s">
        <v>514</v>
      </c>
      <c r="N2118" s="47" t="s">
        <v>515</v>
      </c>
      <c r="O2118" s="45" t="s">
        <v>371</v>
      </c>
      <c r="P2118" s="44" t="s">
        <v>309</v>
      </c>
      <c r="Q2118" s="59" t="str">
        <f>MID(Tabla1[[#This Row],[Aplicación]],14,1)</f>
        <v>2</v>
      </c>
      <c r="R2118" s="35" t="s">
        <v>298</v>
      </c>
      <c r="S2118" s="59" t="str">
        <f>MID(Tabla1[[#This Row],[Aplicación]],6,2)</f>
        <v>02</v>
      </c>
      <c r="T2118" s="35" t="str">
        <f>VLOOKUP(Tabla1[[#This Row],[AREA]],Hoja1!A:B,2,FALSE)</f>
        <v>02. Planeamiento urbanístico y vivienda</v>
      </c>
      <c r="U2118" s="35" t="str">
        <f>MID(Tabla1[[#This Row],[Aplicación]],9,4)</f>
        <v>9332</v>
      </c>
      <c r="V2118" s="35" t="str">
        <f>VLOOKUP(Tabla1[[#This Row],[PROGRAMA]],Hoja1!A:B,2,FALSE)</f>
        <v>9332. Mantenimiento de edificios e instalaciones municipales</v>
      </c>
      <c r="W2118" s="56" t="str">
        <f>MID(Tabla1[[#This Row],[Aplicación]],14,2)</f>
        <v>21</v>
      </c>
      <c r="X2118" s="56" t="str">
        <f>MID(Tabla1[[#This Row],[Aplicación]],14,6)</f>
        <v>213</v>
      </c>
    </row>
    <row r="2119" spans="1:24" x14ac:dyDescent="0.25">
      <c r="A2119" s="46">
        <v>220229000722</v>
      </c>
      <c r="B2119" s="47" t="s">
        <v>507</v>
      </c>
      <c r="C2119" s="52">
        <v>44927</v>
      </c>
      <c r="D2119" s="46">
        <v>22023001303</v>
      </c>
      <c r="E2119" s="47" t="s">
        <v>1241</v>
      </c>
      <c r="F2119" s="53">
        <v>64.88</v>
      </c>
      <c r="G2119" s="47" t="s">
        <v>3602</v>
      </c>
      <c r="H2119" s="47" t="s">
        <v>3605</v>
      </c>
      <c r="I2119" s="46" t="s">
        <v>511</v>
      </c>
      <c r="J2119" s="47" t="s">
        <v>1737</v>
      </c>
      <c r="K2119" s="47" t="s">
        <v>512</v>
      </c>
      <c r="L2119" s="47" t="s">
        <v>520</v>
      </c>
      <c r="M2119" s="47" t="s">
        <v>514</v>
      </c>
      <c r="N2119" s="47" t="s">
        <v>604</v>
      </c>
      <c r="O2119" s="45" t="s">
        <v>371</v>
      </c>
      <c r="P2119" s="44" t="s">
        <v>309</v>
      </c>
      <c r="Q2119" s="59" t="str">
        <f>MID(Tabla1[[#This Row],[Aplicación]],14,1)</f>
        <v>2</v>
      </c>
      <c r="R2119" s="35" t="s">
        <v>298</v>
      </c>
      <c r="S2119" s="59" t="str">
        <f>MID(Tabla1[[#This Row],[Aplicación]],6,2)</f>
        <v>06</v>
      </c>
      <c r="T2119" s="35" t="str">
        <f>VLOOKUP(Tabla1[[#This Row],[AREA]],Hoja1!A:B,2,FALSE)</f>
        <v>06. Educación, infancia, juventud e igualdad</v>
      </c>
      <c r="U2119" s="35" t="str">
        <f>MID(Tabla1[[#This Row],[Aplicación]],9,4)</f>
        <v>3231</v>
      </c>
      <c r="V2119" s="35" t="str">
        <f>VLOOKUP(Tabla1[[#This Row],[PROGRAMA]],Hoja1!A:B,2,FALSE)</f>
        <v>3231. Escuelas infantiles</v>
      </c>
      <c r="W2119" s="56" t="str">
        <f>MID(Tabla1[[#This Row],[Aplicación]],14,2)</f>
        <v>21</v>
      </c>
      <c r="X2119" s="56" t="str">
        <f>MID(Tabla1[[#This Row],[Aplicación]],14,6)</f>
        <v>213</v>
      </c>
    </row>
    <row r="2120" spans="1:24" x14ac:dyDescent="0.25">
      <c r="A2120" s="46">
        <v>220229000786</v>
      </c>
      <c r="B2120" s="47" t="s">
        <v>507</v>
      </c>
      <c r="C2120" s="52">
        <v>44927</v>
      </c>
      <c r="D2120" s="46">
        <v>22023001868</v>
      </c>
      <c r="E2120" s="47" t="s">
        <v>1155</v>
      </c>
      <c r="F2120" s="53">
        <v>64.88</v>
      </c>
      <c r="G2120" s="47" t="s">
        <v>3602</v>
      </c>
      <c r="H2120" s="47" t="s">
        <v>3606</v>
      </c>
      <c r="I2120" s="46" t="s">
        <v>511</v>
      </c>
      <c r="J2120" s="47" t="s">
        <v>1737</v>
      </c>
      <c r="K2120" s="47" t="s">
        <v>512</v>
      </c>
      <c r="L2120" s="47" t="s">
        <v>520</v>
      </c>
      <c r="M2120" s="47" t="s">
        <v>514</v>
      </c>
      <c r="N2120" s="47" t="s">
        <v>604</v>
      </c>
      <c r="O2120" s="45" t="s">
        <v>371</v>
      </c>
      <c r="P2120" s="44" t="s">
        <v>309</v>
      </c>
      <c r="Q2120" s="59" t="str">
        <f>MID(Tabla1[[#This Row],[Aplicación]],14,1)</f>
        <v>2</v>
      </c>
      <c r="R2120" s="35" t="s">
        <v>298</v>
      </c>
      <c r="S2120" s="59" t="str">
        <f>MID(Tabla1[[#This Row],[Aplicación]],6,2)</f>
        <v>06</v>
      </c>
      <c r="T2120" s="35" t="str">
        <f>VLOOKUP(Tabla1[[#This Row],[AREA]],Hoja1!A:B,2,FALSE)</f>
        <v>06. Educación, infancia, juventud e igualdad</v>
      </c>
      <c r="U2120" s="35" t="str">
        <f>MID(Tabla1[[#This Row],[Aplicación]],9,4)</f>
        <v>2314</v>
      </c>
      <c r="V2120" s="35" t="str">
        <f>VLOOKUP(Tabla1[[#This Row],[PROGRAMA]],Hoja1!A:B,2,FALSE)</f>
        <v>2314. Centro de programas juveniles</v>
      </c>
      <c r="W2120" s="56" t="str">
        <f>MID(Tabla1[[#This Row],[Aplicación]],14,2)</f>
        <v>21</v>
      </c>
      <c r="X2120" s="56" t="str">
        <f>MID(Tabla1[[#This Row],[Aplicación]],14,6)</f>
        <v>213</v>
      </c>
    </row>
    <row r="2121" spans="1:24" x14ac:dyDescent="0.25">
      <c r="A2121" s="46">
        <v>220230001800</v>
      </c>
      <c r="B2121" s="47" t="s">
        <v>507</v>
      </c>
      <c r="C2121" s="52">
        <v>44960</v>
      </c>
      <c r="D2121" s="46">
        <v>22023000285</v>
      </c>
      <c r="E2121" s="47" t="s">
        <v>659</v>
      </c>
      <c r="F2121" s="53">
        <v>100</v>
      </c>
      <c r="G2121" s="47" t="s">
        <v>3602</v>
      </c>
      <c r="H2121" s="47" t="s">
        <v>3607</v>
      </c>
      <c r="I2121" s="46" t="s">
        <v>511</v>
      </c>
      <c r="J2121" s="47" t="s">
        <v>1737</v>
      </c>
      <c r="K2121" s="47" t="s">
        <v>512</v>
      </c>
      <c r="L2121" s="47" t="s">
        <v>520</v>
      </c>
      <c r="M2121" s="47" t="s">
        <v>976</v>
      </c>
      <c r="N2121" s="47" t="s">
        <v>839</v>
      </c>
      <c r="O2121" s="45" t="s">
        <v>383</v>
      </c>
      <c r="P2121" s="44" t="s">
        <v>309</v>
      </c>
      <c r="Q2121" s="59" t="str">
        <f>MID(Tabla1[[#This Row],[Aplicación]],14,1)</f>
        <v>2</v>
      </c>
      <c r="R2121" s="35" t="s">
        <v>298</v>
      </c>
      <c r="S2121" s="59" t="str">
        <f>MID(Tabla1[[#This Row],[Aplicación]],6,2)</f>
        <v>11</v>
      </c>
      <c r="T2121" s="35" t="str">
        <f>VLOOKUP(Tabla1[[#This Row],[AREA]],Hoja1!A:B,2,FALSE)</f>
        <v>11. Salud pública y seguridad ciudadana</v>
      </c>
      <c r="U2121" s="35" t="str">
        <f>MID(Tabla1[[#This Row],[Aplicación]],9,4)</f>
        <v>1321</v>
      </c>
      <c r="V2121" s="35" t="str">
        <f>VLOOKUP(Tabla1[[#This Row],[PROGRAMA]],Hoja1!A:B,2,FALSE)</f>
        <v>1321. Policía municipal</v>
      </c>
      <c r="W2121" s="56" t="str">
        <f>MID(Tabla1[[#This Row],[Aplicación]],14,2)</f>
        <v>21</v>
      </c>
      <c r="X2121" s="56" t="str">
        <f>MID(Tabla1[[#This Row],[Aplicación]],14,6)</f>
        <v>213</v>
      </c>
    </row>
    <row r="2122" spans="1:24" x14ac:dyDescent="0.25">
      <c r="A2122" s="46">
        <v>220230005922</v>
      </c>
      <c r="B2122" s="47" t="s">
        <v>507</v>
      </c>
      <c r="C2122" s="52">
        <v>44980</v>
      </c>
      <c r="D2122" s="46">
        <v>22023002633</v>
      </c>
      <c r="E2122" s="47" t="s">
        <v>613</v>
      </c>
      <c r="F2122" s="53">
        <v>1888.55</v>
      </c>
      <c r="G2122" s="47" t="s">
        <v>1621</v>
      </c>
      <c r="H2122" s="47" t="s">
        <v>3572</v>
      </c>
      <c r="I2122" s="46" t="s">
        <v>511</v>
      </c>
      <c r="J2122" s="47" t="s">
        <v>1623</v>
      </c>
      <c r="K2122" s="47" t="s">
        <v>1624</v>
      </c>
      <c r="L2122" s="47" t="s">
        <v>520</v>
      </c>
      <c r="M2122" s="47" t="s">
        <v>514</v>
      </c>
      <c r="N2122" s="47" t="s">
        <v>515</v>
      </c>
      <c r="O2122" s="45" t="s">
        <v>371</v>
      </c>
      <c r="P2122" s="44" t="s">
        <v>309</v>
      </c>
      <c r="Q2122" s="59" t="str">
        <f>MID(Tabla1[[#This Row],[Aplicación]],14,1)</f>
        <v>2</v>
      </c>
      <c r="R2122" s="35" t="s">
        <v>298</v>
      </c>
      <c r="S2122" s="59" t="str">
        <f>MID(Tabla1[[#This Row],[Aplicación]],6,2)</f>
        <v>10</v>
      </c>
      <c r="T2122" s="35" t="str">
        <f>VLOOKUP(Tabla1[[#This Row],[AREA]],Hoja1!A:B,2,FALSE)</f>
        <v>10. Servicios sociales y mediación comunitaria</v>
      </c>
      <c r="U2122" s="35" t="str">
        <f>MID(Tabla1[[#This Row],[Aplicación]],9,4)</f>
        <v>2312</v>
      </c>
      <c r="V2122" s="35" t="str">
        <f>VLOOKUP(Tabla1[[#This Row],[PROGRAMA]],Hoja1!A:B,2,FALSE)</f>
        <v>2312. Iniciativas sociales</v>
      </c>
      <c r="W2122" s="56" t="str">
        <f>MID(Tabla1[[#This Row],[Aplicación]],14,2)</f>
        <v>21</v>
      </c>
      <c r="X2122" s="56" t="str">
        <f>MID(Tabla1[[#This Row],[Aplicación]],14,6)</f>
        <v>213</v>
      </c>
    </row>
    <row r="2123" spans="1:24" x14ac:dyDescent="0.25">
      <c r="A2123" s="46">
        <v>220230000167</v>
      </c>
      <c r="B2123" s="47" t="s">
        <v>507</v>
      </c>
      <c r="C2123" s="52">
        <v>44927</v>
      </c>
      <c r="D2123" s="46">
        <v>22023000800</v>
      </c>
      <c r="E2123" s="47" t="s">
        <v>613</v>
      </c>
      <c r="F2123" s="53">
        <v>3237.52</v>
      </c>
      <c r="G2123" s="47" t="s">
        <v>1621</v>
      </c>
      <c r="H2123" s="47" t="s">
        <v>3608</v>
      </c>
      <c r="I2123" s="46" t="s">
        <v>511</v>
      </c>
      <c r="J2123" s="47" t="s">
        <v>1623</v>
      </c>
      <c r="K2123" s="47" t="s">
        <v>1624</v>
      </c>
      <c r="L2123" s="47" t="s">
        <v>520</v>
      </c>
      <c r="M2123" s="47" t="s">
        <v>514</v>
      </c>
      <c r="N2123" s="47" t="s">
        <v>515</v>
      </c>
      <c r="O2123" s="45" t="s">
        <v>371</v>
      </c>
      <c r="P2123" s="44" t="s">
        <v>309</v>
      </c>
      <c r="Q2123" s="59" t="str">
        <f>MID(Tabla1[[#This Row],[Aplicación]],14,1)</f>
        <v>2</v>
      </c>
      <c r="R2123" s="35" t="s">
        <v>298</v>
      </c>
      <c r="S2123" s="59" t="str">
        <f>MID(Tabla1[[#This Row],[Aplicación]],6,2)</f>
        <v>10</v>
      </c>
      <c r="T2123" s="35" t="str">
        <f>VLOOKUP(Tabla1[[#This Row],[AREA]],Hoja1!A:B,2,FALSE)</f>
        <v>10. Servicios sociales y mediación comunitaria</v>
      </c>
      <c r="U2123" s="35" t="str">
        <f>MID(Tabla1[[#This Row],[Aplicación]],9,4)</f>
        <v>2312</v>
      </c>
      <c r="V2123" s="35" t="str">
        <f>VLOOKUP(Tabla1[[#This Row],[PROGRAMA]],Hoja1!A:B,2,FALSE)</f>
        <v>2312. Iniciativas sociales</v>
      </c>
      <c r="W2123" s="56" t="str">
        <f>MID(Tabla1[[#This Row],[Aplicación]],14,2)</f>
        <v>21</v>
      </c>
      <c r="X2123" s="56" t="str">
        <f>MID(Tabla1[[#This Row],[Aplicación]],14,6)</f>
        <v>213</v>
      </c>
    </row>
    <row r="2124" spans="1:24" x14ac:dyDescent="0.25">
      <c r="A2124" s="46">
        <v>220229000281</v>
      </c>
      <c r="B2124" s="47" t="s">
        <v>507</v>
      </c>
      <c r="C2124" s="52">
        <v>44927</v>
      </c>
      <c r="D2124" s="46">
        <v>22023000446</v>
      </c>
      <c r="E2124" s="47" t="s">
        <v>1022</v>
      </c>
      <c r="F2124" s="53">
        <v>6993.8</v>
      </c>
      <c r="G2124" s="47" t="s">
        <v>3609</v>
      </c>
      <c r="H2124" s="47" t="s">
        <v>3610</v>
      </c>
      <c r="I2124" s="46" t="s">
        <v>511</v>
      </c>
      <c r="J2124" s="47" t="s">
        <v>947</v>
      </c>
      <c r="K2124" s="47" t="s">
        <v>947</v>
      </c>
      <c r="L2124" s="47" t="s">
        <v>552</v>
      </c>
      <c r="M2124" s="47" t="s">
        <v>514</v>
      </c>
      <c r="N2124" s="47" t="s">
        <v>515</v>
      </c>
      <c r="O2124" s="45" t="s">
        <v>371</v>
      </c>
      <c r="P2124" s="44" t="s">
        <v>309</v>
      </c>
      <c r="Q2124" s="59" t="str">
        <f>MID(Tabla1[[#This Row],[Aplicación]],14,1)</f>
        <v>2</v>
      </c>
      <c r="R2124" s="35" t="s">
        <v>298</v>
      </c>
      <c r="S2124" s="59" t="str">
        <f>MID(Tabla1[[#This Row],[Aplicación]],6,2)</f>
        <v>11</v>
      </c>
      <c r="T2124" s="35" t="str">
        <f>VLOOKUP(Tabla1[[#This Row],[AREA]],Hoja1!A:B,2,FALSE)</f>
        <v>11. Salud pública y seguridad ciudadana</v>
      </c>
      <c r="U2124" s="35" t="str">
        <f>MID(Tabla1[[#This Row],[Aplicación]],9,4)</f>
        <v>1631</v>
      </c>
      <c r="V2124" s="35" t="str">
        <f>VLOOKUP(Tabla1[[#This Row],[PROGRAMA]],Hoja1!A:B,2,FALSE)</f>
        <v>1631. Limpieza viaria</v>
      </c>
      <c r="W2124" s="56" t="str">
        <f>MID(Tabla1[[#This Row],[Aplicación]],14,2)</f>
        <v>22</v>
      </c>
      <c r="X2124" s="56" t="str">
        <f>MID(Tabla1[[#This Row],[Aplicación]],14,6)</f>
        <v>22104</v>
      </c>
    </row>
    <row r="2125" spans="1:24" x14ac:dyDescent="0.25">
      <c r="A2125" s="46">
        <v>220229000278</v>
      </c>
      <c r="B2125" s="47" t="s">
        <v>507</v>
      </c>
      <c r="C2125" s="52">
        <v>44927</v>
      </c>
      <c r="D2125" s="46">
        <v>22023000322</v>
      </c>
      <c r="E2125" s="47" t="s">
        <v>1084</v>
      </c>
      <c r="F2125" s="53">
        <v>3291.2</v>
      </c>
      <c r="G2125" s="47" t="s">
        <v>3609</v>
      </c>
      <c r="H2125" s="47" t="s">
        <v>3611</v>
      </c>
      <c r="I2125" s="46" t="s">
        <v>511</v>
      </c>
      <c r="J2125" s="47" t="s">
        <v>947</v>
      </c>
      <c r="K2125" s="47" t="s">
        <v>947</v>
      </c>
      <c r="L2125" s="47" t="s">
        <v>552</v>
      </c>
      <c r="M2125" s="47" t="s">
        <v>514</v>
      </c>
      <c r="N2125" s="47" t="s">
        <v>515</v>
      </c>
      <c r="O2125" s="45" t="s">
        <v>371</v>
      </c>
      <c r="P2125" s="44" t="s">
        <v>309</v>
      </c>
      <c r="Q2125" s="59" t="str">
        <f>MID(Tabla1[[#This Row],[Aplicación]],14,1)</f>
        <v>2</v>
      </c>
      <c r="R2125" s="35" t="s">
        <v>298</v>
      </c>
      <c r="S2125" s="59" t="str">
        <f>MID(Tabla1[[#This Row],[Aplicación]],6,2)</f>
        <v>11</v>
      </c>
      <c r="T2125" s="35" t="str">
        <f>VLOOKUP(Tabla1[[#This Row],[AREA]],Hoja1!A:B,2,FALSE)</f>
        <v>11. Salud pública y seguridad ciudadana</v>
      </c>
      <c r="U2125" s="35" t="str">
        <f>MID(Tabla1[[#This Row],[Aplicación]],9,4)</f>
        <v>1621</v>
      </c>
      <c r="V2125" s="35" t="str">
        <f>VLOOKUP(Tabla1[[#This Row],[PROGRAMA]],Hoja1!A:B,2,FALSE)</f>
        <v>1621. Servicio de limpieza</v>
      </c>
      <c r="W2125" s="56" t="str">
        <f>MID(Tabla1[[#This Row],[Aplicación]],14,2)</f>
        <v>22</v>
      </c>
      <c r="X2125" s="56" t="str">
        <f>MID(Tabla1[[#This Row],[Aplicación]],14,6)</f>
        <v>22104</v>
      </c>
    </row>
    <row r="2126" spans="1:24" x14ac:dyDescent="0.25">
      <c r="A2126" s="46">
        <v>220229000176</v>
      </c>
      <c r="B2126" s="47" t="s">
        <v>507</v>
      </c>
      <c r="C2126" s="52">
        <v>44927</v>
      </c>
      <c r="D2126" s="46">
        <v>22023000920</v>
      </c>
      <c r="E2126" s="47" t="s">
        <v>1217</v>
      </c>
      <c r="F2126" s="53">
        <v>1827.07</v>
      </c>
      <c r="G2126" s="47" t="s">
        <v>3609</v>
      </c>
      <c r="H2126" s="47" t="s">
        <v>3612</v>
      </c>
      <c r="I2126" s="46" t="s">
        <v>511</v>
      </c>
      <c r="J2126" s="47" t="s">
        <v>947</v>
      </c>
      <c r="K2126" s="47" t="s">
        <v>947</v>
      </c>
      <c r="L2126" s="47" t="s">
        <v>552</v>
      </c>
      <c r="M2126" s="47" t="s">
        <v>514</v>
      </c>
      <c r="N2126" s="47" t="s">
        <v>515</v>
      </c>
      <c r="O2126" s="45" t="s">
        <v>371</v>
      </c>
      <c r="P2126" s="44" t="s">
        <v>309</v>
      </c>
      <c r="Q2126" s="59" t="str">
        <f>MID(Tabla1[[#This Row],[Aplicación]],14,1)</f>
        <v>2</v>
      </c>
      <c r="R2126" s="35" t="s">
        <v>298</v>
      </c>
      <c r="S2126" s="59" t="str">
        <f>MID(Tabla1[[#This Row],[Aplicación]],6,2)</f>
        <v>03</v>
      </c>
      <c r="T2126" s="35" t="str">
        <f>VLOOKUP(Tabla1[[#This Row],[AREA]],Hoja1!A:B,2,FALSE)</f>
        <v>03. Participación ciudadana y deportes</v>
      </c>
      <c r="U2126" s="35" t="str">
        <f>MID(Tabla1[[#This Row],[Aplicación]],9,4)</f>
        <v>9241</v>
      </c>
      <c r="V2126" s="35" t="str">
        <f>VLOOKUP(Tabla1[[#This Row],[PROGRAMA]],Hoja1!A:B,2,FALSE)</f>
        <v>9241. Participación ciudadana</v>
      </c>
      <c r="W2126" s="56" t="str">
        <f>MID(Tabla1[[#This Row],[Aplicación]],14,2)</f>
        <v>22</v>
      </c>
      <c r="X2126" s="56" t="str">
        <f>MID(Tabla1[[#This Row],[Aplicación]],14,6)</f>
        <v>22104</v>
      </c>
    </row>
    <row r="2127" spans="1:24" x14ac:dyDescent="0.25">
      <c r="A2127" s="46">
        <v>220229000177</v>
      </c>
      <c r="B2127" s="47" t="s">
        <v>507</v>
      </c>
      <c r="C2127" s="52">
        <v>44927</v>
      </c>
      <c r="D2127" s="46">
        <v>22023000921</v>
      </c>
      <c r="E2127" s="47" t="s">
        <v>1219</v>
      </c>
      <c r="F2127" s="53">
        <v>1391.5</v>
      </c>
      <c r="G2127" s="47" t="s">
        <v>3609</v>
      </c>
      <c r="H2127" s="47" t="s">
        <v>3613</v>
      </c>
      <c r="I2127" s="46" t="s">
        <v>511</v>
      </c>
      <c r="J2127" s="47" t="s">
        <v>947</v>
      </c>
      <c r="K2127" s="47" t="s">
        <v>947</v>
      </c>
      <c r="L2127" s="47" t="s">
        <v>552</v>
      </c>
      <c r="M2127" s="47" t="s">
        <v>514</v>
      </c>
      <c r="N2127" s="47" t="s">
        <v>515</v>
      </c>
      <c r="O2127" s="45" t="s">
        <v>371</v>
      </c>
      <c r="P2127" s="44" t="s">
        <v>309</v>
      </c>
      <c r="Q2127" s="59" t="str">
        <f>MID(Tabla1[[#This Row],[Aplicación]],14,1)</f>
        <v>2</v>
      </c>
      <c r="R2127" s="35" t="s">
        <v>298</v>
      </c>
      <c r="S2127" s="59" t="str">
        <f>MID(Tabla1[[#This Row],[Aplicación]],6,2)</f>
        <v>01</v>
      </c>
      <c r="T2127" s="35" t="str">
        <f>VLOOKUP(Tabla1[[#This Row],[AREA]],Hoja1!A:B,2,FALSE)</f>
        <v>01. Alcaldía</v>
      </c>
      <c r="U2127" s="35" t="str">
        <f>MID(Tabla1[[#This Row],[Aplicación]],9,4)</f>
        <v>9203</v>
      </c>
      <c r="V2127" s="35" t="str">
        <f>VLOOKUP(Tabla1[[#This Row],[PROGRAMA]],Hoja1!A:B,2,FALSE)</f>
        <v>9203. Unidad de régimen interior</v>
      </c>
      <c r="W2127" s="56" t="str">
        <f>MID(Tabla1[[#This Row],[Aplicación]],14,2)</f>
        <v>22</v>
      </c>
      <c r="X2127" s="56" t="str">
        <f>MID(Tabla1[[#This Row],[Aplicación]],14,6)</f>
        <v>22104</v>
      </c>
    </row>
    <row r="2128" spans="1:24" x14ac:dyDescent="0.25">
      <c r="A2128" s="46">
        <v>220230002949</v>
      </c>
      <c r="B2128" s="47" t="s">
        <v>507</v>
      </c>
      <c r="C2128" s="52">
        <v>44967</v>
      </c>
      <c r="D2128" s="46">
        <v>22023002088</v>
      </c>
      <c r="E2128" s="47" t="s">
        <v>1895</v>
      </c>
      <c r="F2128" s="53">
        <v>169.4</v>
      </c>
      <c r="G2128" s="47" t="s">
        <v>3609</v>
      </c>
      <c r="H2128" s="47" t="s">
        <v>3614</v>
      </c>
      <c r="I2128" s="46" t="s">
        <v>511</v>
      </c>
      <c r="J2128" s="47" t="s">
        <v>947</v>
      </c>
      <c r="K2128" s="47" t="s">
        <v>947</v>
      </c>
      <c r="L2128" s="47" t="s">
        <v>552</v>
      </c>
      <c r="M2128" s="47" t="s">
        <v>976</v>
      </c>
      <c r="N2128" s="47" t="s">
        <v>839</v>
      </c>
      <c r="O2128" s="45" t="s">
        <v>383</v>
      </c>
      <c r="P2128" s="44" t="s">
        <v>309</v>
      </c>
      <c r="Q2128" s="59" t="str">
        <f>MID(Tabla1[[#This Row],[Aplicación]],14,1)</f>
        <v>2</v>
      </c>
      <c r="R2128" s="35" t="s">
        <v>298</v>
      </c>
      <c r="S2128" s="59" t="str">
        <f>MID(Tabla1[[#This Row],[Aplicación]],6,2)</f>
        <v>05</v>
      </c>
      <c r="T2128" s="35" t="str">
        <f>VLOOKUP(Tabla1[[#This Row],[AREA]],Hoja1!A:B,2,FALSE)</f>
        <v>05. Innovación, desarrollo económico, empleo y comercio</v>
      </c>
      <c r="U2128" s="35" t="str">
        <f>MID(Tabla1[[#This Row],[Aplicación]],9,4)</f>
        <v>4312</v>
      </c>
      <c r="V2128" s="35" t="str">
        <f>VLOOKUP(Tabla1[[#This Row],[PROGRAMA]],Hoja1!A:B,2,FALSE)</f>
        <v>4312. Mercados, abastos y lonjas</v>
      </c>
      <c r="W2128" s="56" t="str">
        <f>MID(Tabla1[[#This Row],[Aplicación]],14,2)</f>
        <v>22</v>
      </c>
      <c r="X2128" s="56" t="str">
        <f>MID(Tabla1[[#This Row],[Aplicación]],14,6)</f>
        <v>22104</v>
      </c>
    </row>
    <row r="2129" spans="1:24" x14ac:dyDescent="0.25">
      <c r="A2129" s="46">
        <v>220230002038</v>
      </c>
      <c r="B2129" s="47" t="s">
        <v>507</v>
      </c>
      <c r="C2129" s="52">
        <v>44960</v>
      </c>
      <c r="D2129" s="46">
        <v>22023001692</v>
      </c>
      <c r="E2129" s="47" t="s">
        <v>1084</v>
      </c>
      <c r="F2129" s="53">
        <v>1452.02</v>
      </c>
      <c r="G2129" s="47" t="s">
        <v>492</v>
      </c>
      <c r="H2129" s="47" t="s">
        <v>3615</v>
      </c>
      <c r="I2129" s="46" t="s">
        <v>511</v>
      </c>
      <c r="J2129" s="47" t="s">
        <v>519</v>
      </c>
      <c r="K2129" s="47" t="s">
        <v>519</v>
      </c>
      <c r="L2129" s="47" t="s">
        <v>552</v>
      </c>
      <c r="M2129" s="47" t="s">
        <v>976</v>
      </c>
      <c r="N2129" s="47" t="s">
        <v>839</v>
      </c>
      <c r="O2129" s="45" t="s">
        <v>383</v>
      </c>
      <c r="P2129" s="44" t="s">
        <v>309</v>
      </c>
      <c r="Q2129" s="59" t="str">
        <f>MID(Tabla1[[#This Row],[Aplicación]],14,1)</f>
        <v>2</v>
      </c>
      <c r="R2129" s="35" t="s">
        <v>298</v>
      </c>
      <c r="S2129" s="59" t="str">
        <f>MID(Tabla1[[#This Row],[Aplicación]],6,2)</f>
        <v>11</v>
      </c>
      <c r="T2129" s="35" t="str">
        <f>VLOOKUP(Tabla1[[#This Row],[AREA]],Hoja1!A:B,2,FALSE)</f>
        <v>11. Salud pública y seguridad ciudadana</v>
      </c>
      <c r="U2129" s="35" t="str">
        <f>MID(Tabla1[[#This Row],[Aplicación]],9,4)</f>
        <v>1621</v>
      </c>
      <c r="V2129" s="35" t="str">
        <f>VLOOKUP(Tabla1[[#This Row],[PROGRAMA]],Hoja1!A:B,2,FALSE)</f>
        <v>1621. Servicio de limpieza</v>
      </c>
      <c r="W2129" s="56" t="str">
        <f>MID(Tabla1[[#This Row],[Aplicación]],14,2)</f>
        <v>22</v>
      </c>
      <c r="X2129" s="56" t="str">
        <f>MID(Tabla1[[#This Row],[Aplicación]],14,6)</f>
        <v>22104</v>
      </c>
    </row>
    <row r="2130" spans="1:24" x14ac:dyDescent="0.25">
      <c r="A2130" s="46">
        <v>220230003260</v>
      </c>
      <c r="B2130" s="47" t="s">
        <v>507</v>
      </c>
      <c r="C2130" s="52">
        <v>44971</v>
      </c>
      <c r="D2130" s="46">
        <v>22023002213</v>
      </c>
      <c r="E2130" s="47" t="s">
        <v>1390</v>
      </c>
      <c r="F2130" s="53">
        <v>387.2</v>
      </c>
      <c r="G2130" s="47" t="s">
        <v>402</v>
      </c>
      <c r="H2130" s="47" t="s">
        <v>3616</v>
      </c>
      <c r="I2130" s="46" t="s">
        <v>511</v>
      </c>
      <c r="J2130" s="47" t="s">
        <v>519</v>
      </c>
      <c r="K2130" s="47" t="s">
        <v>519</v>
      </c>
      <c r="L2130" s="47" t="s">
        <v>520</v>
      </c>
      <c r="M2130" s="47" t="s">
        <v>976</v>
      </c>
      <c r="N2130" s="47" t="s">
        <v>839</v>
      </c>
      <c r="O2130" s="45" t="s">
        <v>383</v>
      </c>
      <c r="P2130" s="44" t="s">
        <v>309</v>
      </c>
      <c r="Q2130" s="59" t="str">
        <f>MID(Tabla1[[#This Row],[Aplicación]],14,1)</f>
        <v>2</v>
      </c>
      <c r="R2130" s="35" t="s">
        <v>298</v>
      </c>
      <c r="S2130" s="59" t="str">
        <f>MID(Tabla1[[#This Row],[Aplicación]],6,2)</f>
        <v>07</v>
      </c>
      <c r="T2130" s="35" t="str">
        <f>VLOOKUP(Tabla1[[#This Row],[AREA]],Hoja1!A:B,2,FALSE)</f>
        <v>07. Medio ambiente y desarrollo sostenible</v>
      </c>
      <c r="U2130" s="35" t="str">
        <f>MID(Tabla1[[#This Row],[Aplicación]],9,4)</f>
        <v>1721</v>
      </c>
      <c r="V2130" s="35" t="str">
        <f>VLOOKUP(Tabla1[[#This Row],[PROGRAMA]],Hoja1!A:B,2,FALSE)</f>
        <v>1721. Protección del medio ambiente</v>
      </c>
      <c r="W2130" s="56" t="str">
        <f>MID(Tabla1[[#This Row],[Aplicación]],14,2)</f>
        <v>22</v>
      </c>
      <c r="X2130" s="56" t="str">
        <f>MID(Tabla1[[#This Row],[Aplicación]],14,6)</f>
        <v>22799</v>
      </c>
    </row>
    <row r="2131" spans="1:24" x14ac:dyDescent="0.25">
      <c r="A2131" s="46">
        <v>220230003259</v>
      </c>
      <c r="B2131" s="47" t="s">
        <v>507</v>
      </c>
      <c r="C2131" s="52">
        <v>44971</v>
      </c>
      <c r="D2131" s="46">
        <v>22023002212</v>
      </c>
      <c r="E2131" s="47" t="s">
        <v>1390</v>
      </c>
      <c r="F2131" s="53">
        <v>7260</v>
      </c>
      <c r="G2131" s="47" t="s">
        <v>402</v>
      </c>
      <c r="H2131" s="47" t="s">
        <v>3617</v>
      </c>
      <c r="I2131" s="46" t="s">
        <v>511</v>
      </c>
      <c r="J2131" s="47" t="s">
        <v>519</v>
      </c>
      <c r="K2131" s="47" t="s">
        <v>519</v>
      </c>
      <c r="L2131" s="47" t="s">
        <v>520</v>
      </c>
      <c r="M2131" s="47" t="s">
        <v>976</v>
      </c>
      <c r="N2131" s="47" t="s">
        <v>839</v>
      </c>
      <c r="O2131" s="45" t="s">
        <v>383</v>
      </c>
      <c r="P2131" s="44" t="s">
        <v>309</v>
      </c>
      <c r="Q2131" s="59" t="str">
        <f>MID(Tabla1[[#This Row],[Aplicación]],14,1)</f>
        <v>2</v>
      </c>
      <c r="R2131" s="35" t="s">
        <v>298</v>
      </c>
      <c r="S2131" s="59" t="str">
        <f>MID(Tabla1[[#This Row],[Aplicación]],6,2)</f>
        <v>07</v>
      </c>
      <c r="T2131" s="35" t="str">
        <f>VLOOKUP(Tabla1[[#This Row],[AREA]],Hoja1!A:B,2,FALSE)</f>
        <v>07. Medio ambiente y desarrollo sostenible</v>
      </c>
      <c r="U2131" s="35" t="str">
        <f>MID(Tabla1[[#This Row],[Aplicación]],9,4)</f>
        <v>1721</v>
      </c>
      <c r="V2131" s="35" t="str">
        <f>VLOOKUP(Tabla1[[#This Row],[PROGRAMA]],Hoja1!A:B,2,FALSE)</f>
        <v>1721. Protección del medio ambiente</v>
      </c>
      <c r="W2131" s="56" t="str">
        <f>MID(Tabla1[[#This Row],[Aplicación]],14,2)</f>
        <v>22</v>
      </c>
      <c r="X2131" s="56" t="str">
        <f>MID(Tabla1[[#This Row],[Aplicación]],14,6)</f>
        <v>22799</v>
      </c>
    </row>
    <row r="2132" spans="1:24" x14ac:dyDescent="0.25">
      <c r="A2132" s="46">
        <v>220229000538</v>
      </c>
      <c r="B2132" s="47" t="s">
        <v>507</v>
      </c>
      <c r="C2132" s="52">
        <v>44927</v>
      </c>
      <c r="D2132" s="46">
        <v>22023001212</v>
      </c>
      <c r="E2132" s="47" t="s">
        <v>1822</v>
      </c>
      <c r="F2132" s="53">
        <v>5280</v>
      </c>
      <c r="G2132" s="47" t="s">
        <v>575</v>
      </c>
      <c r="H2132" s="47" t="s">
        <v>3618</v>
      </c>
      <c r="I2132" s="46" t="s">
        <v>511</v>
      </c>
      <c r="J2132" s="47" t="s">
        <v>512</v>
      </c>
      <c r="K2132" s="47" t="s">
        <v>512</v>
      </c>
      <c r="L2132" s="47" t="s">
        <v>520</v>
      </c>
      <c r="M2132" s="47" t="s">
        <v>976</v>
      </c>
      <c r="N2132" s="47" t="s">
        <v>839</v>
      </c>
      <c r="O2132" s="45" t="s">
        <v>383</v>
      </c>
      <c r="P2132" s="44" t="s">
        <v>309</v>
      </c>
      <c r="Q2132" s="59" t="str">
        <f>MID(Tabla1[[#This Row],[Aplicación]],14,1)</f>
        <v>2</v>
      </c>
      <c r="R2132" s="35" t="s">
        <v>298</v>
      </c>
      <c r="S2132" s="59" t="str">
        <f>MID(Tabla1[[#This Row],[Aplicación]],6,2)</f>
        <v>05</v>
      </c>
      <c r="T2132" s="35" t="str">
        <f>VLOOKUP(Tabla1[[#This Row],[AREA]],Hoja1!A:B,2,FALSE)</f>
        <v>05. Innovación, desarrollo económico, empleo y comercio</v>
      </c>
      <c r="U2132" s="35" t="str">
        <f>MID(Tabla1[[#This Row],[Aplicación]],9,4)</f>
        <v>4312</v>
      </c>
      <c r="V2132" s="35" t="str">
        <f>VLOOKUP(Tabla1[[#This Row],[PROGRAMA]],Hoja1!A:B,2,FALSE)</f>
        <v>4312. Mercados, abastos y lonjas</v>
      </c>
      <c r="W2132" s="56" t="str">
        <f>MID(Tabla1[[#This Row],[Aplicación]],14,2)</f>
        <v>22</v>
      </c>
      <c r="X2132" s="56" t="str">
        <f>MID(Tabla1[[#This Row],[Aplicación]],14,6)</f>
        <v>22799</v>
      </c>
    </row>
    <row r="2133" spans="1:24" x14ac:dyDescent="0.25">
      <c r="A2133" s="46">
        <v>220230007158</v>
      </c>
      <c r="B2133" s="47" t="s">
        <v>507</v>
      </c>
      <c r="C2133" s="52">
        <v>44987</v>
      </c>
      <c r="D2133" s="46">
        <v>22023002875</v>
      </c>
      <c r="E2133" s="47" t="s">
        <v>1260</v>
      </c>
      <c r="F2133" s="53">
        <v>1437.48</v>
      </c>
      <c r="G2133" s="47" t="s">
        <v>3619</v>
      </c>
      <c r="H2133" s="47" t="s">
        <v>3620</v>
      </c>
      <c r="I2133" s="46" t="s">
        <v>511</v>
      </c>
      <c r="J2133" s="47" t="s">
        <v>519</v>
      </c>
      <c r="K2133" s="47" t="s">
        <v>519</v>
      </c>
      <c r="L2133" s="47" t="s">
        <v>520</v>
      </c>
      <c r="M2133" s="47" t="s">
        <v>976</v>
      </c>
      <c r="N2133" s="47" t="s">
        <v>839</v>
      </c>
      <c r="O2133" s="45" t="s">
        <v>383</v>
      </c>
      <c r="P2133" s="44" t="s">
        <v>309</v>
      </c>
      <c r="Q2133" s="59" t="str">
        <f>MID(Tabla1[[#This Row],[Aplicación]],14,1)</f>
        <v>2</v>
      </c>
      <c r="R2133" s="35" t="s">
        <v>298</v>
      </c>
      <c r="S2133" s="59" t="str">
        <f>MID(Tabla1[[#This Row],[Aplicación]],6,2)</f>
        <v>03</v>
      </c>
      <c r="T2133" s="35" t="str">
        <f>VLOOKUP(Tabla1[[#This Row],[AREA]],Hoja1!A:B,2,FALSE)</f>
        <v>03. Participación ciudadana y deportes</v>
      </c>
      <c r="U2133" s="35" t="str">
        <f>MID(Tabla1[[#This Row],[Aplicación]],9,4)</f>
        <v>9241</v>
      </c>
      <c r="V2133" s="35" t="str">
        <f>VLOOKUP(Tabla1[[#This Row],[PROGRAMA]],Hoja1!A:B,2,FALSE)</f>
        <v>9241. Participación ciudadana</v>
      </c>
      <c r="W2133" s="56" t="str">
        <f>MID(Tabla1[[#This Row],[Aplicación]],14,2)</f>
        <v>22</v>
      </c>
      <c r="X2133" s="56" t="str">
        <f>MID(Tabla1[[#This Row],[Aplicación]],14,6)</f>
        <v>22602</v>
      </c>
    </row>
    <row r="2134" spans="1:24" x14ac:dyDescent="0.25">
      <c r="A2134" s="46">
        <v>220229000751</v>
      </c>
      <c r="B2134" s="47" t="s">
        <v>507</v>
      </c>
      <c r="C2134" s="52">
        <v>44927</v>
      </c>
      <c r="D2134" s="46">
        <v>22023001320</v>
      </c>
      <c r="E2134" s="47" t="s">
        <v>1618</v>
      </c>
      <c r="F2134" s="53">
        <v>7946.07</v>
      </c>
      <c r="G2134" s="47" t="s">
        <v>917</v>
      </c>
      <c r="H2134" s="47" t="s">
        <v>3621</v>
      </c>
      <c r="I2134" s="46" t="s">
        <v>511</v>
      </c>
      <c r="J2134" s="47" t="s">
        <v>519</v>
      </c>
      <c r="K2134" s="47" t="s">
        <v>519</v>
      </c>
      <c r="L2134" s="47" t="s">
        <v>520</v>
      </c>
      <c r="M2134" s="47" t="s">
        <v>514</v>
      </c>
      <c r="N2134" s="47" t="s">
        <v>515</v>
      </c>
      <c r="O2134" s="45" t="s">
        <v>371</v>
      </c>
      <c r="P2134" s="44" t="s">
        <v>309</v>
      </c>
      <c r="Q2134" s="59" t="str">
        <f>MID(Tabla1[[#This Row],[Aplicación]],14,1)</f>
        <v>2</v>
      </c>
      <c r="R2134" s="35" t="s">
        <v>298</v>
      </c>
      <c r="S2134" s="59" t="str">
        <f>MID(Tabla1[[#This Row],[Aplicación]],6,2)</f>
        <v>09</v>
      </c>
      <c r="T2134" s="35" t="str">
        <f>VLOOKUP(Tabla1[[#This Row],[AREA]],Hoja1!A:B,2,FALSE)</f>
        <v>09. Cultura y turismo</v>
      </c>
      <c r="U2134" s="35" t="str">
        <f>MID(Tabla1[[#This Row],[Aplicación]],9,4)</f>
        <v>3341</v>
      </c>
      <c r="V2134" s="35" t="str">
        <f>VLOOKUP(Tabla1[[#This Row],[PROGRAMA]],Hoja1!A:B,2,FALSE)</f>
        <v>3341. Coordinación de políticas culturales</v>
      </c>
      <c r="W2134" s="56" t="str">
        <f>MID(Tabla1[[#This Row],[Aplicación]],14,2)</f>
        <v>22</v>
      </c>
      <c r="X2134" s="56" t="str">
        <f>MID(Tabla1[[#This Row],[Aplicación]],14,6)</f>
        <v>22700</v>
      </c>
    </row>
    <row r="2135" spans="1:24" x14ac:dyDescent="0.25">
      <c r="A2135" s="46">
        <v>220229000763</v>
      </c>
      <c r="B2135" s="47" t="s">
        <v>507</v>
      </c>
      <c r="C2135" s="52">
        <v>44927</v>
      </c>
      <c r="D2135" s="46">
        <v>22023000747</v>
      </c>
      <c r="E2135" s="47" t="s">
        <v>3622</v>
      </c>
      <c r="F2135" s="53">
        <v>7510.47</v>
      </c>
      <c r="G2135" s="47" t="s">
        <v>917</v>
      </c>
      <c r="H2135" s="47" t="s">
        <v>3623</v>
      </c>
      <c r="I2135" s="46" t="s">
        <v>511</v>
      </c>
      <c r="J2135" s="47" t="s">
        <v>519</v>
      </c>
      <c r="K2135" s="47" t="s">
        <v>519</v>
      </c>
      <c r="L2135" s="47" t="s">
        <v>520</v>
      </c>
      <c r="M2135" s="47" t="s">
        <v>514</v>
      </c>
      <c r="N2135" s="47" t="s">
        <v>515</v>
      </c>
      <c r="O2135" s="45" t="s">
        <v>371</v>
      </c>
      <c r="P2135" s="44" t="s">
        <v>309</v>
      </c>
      <c r="Q2135" s="59" t="str">
        <f>MID(Tabla1[[#This Row],[Aplicación]],14,1)</f>
        <v>2</v>
      </c>
      <c r="R2135" s="35" t="s">
        <v>298</v>
      </c>
      <c r="S2135" s="59" t="str">
        <f>MID(Tabla1[[#This Row],[Aplicación]],6,2)</f>
        <v>04</v>
      </c>
      <c r="T2135" s="35" t="str">
        <f>VLOOKUP(Tabla1[[#This Row],[AREA]],Hoja1!A:B,2,FALSE)</f>
        <v>04. Planificación y recursos</v>
      </c>
      <c r="U2135" s="35" t="str">
        <f>MID(Tabla1[[#This Row],[Aplicación]],9,4)</f>
        <v>9204</v>
      </c>
      <c r="V2135" s="35" t="str">
        <f>VLOOKUP(Tabla1[[#This Row],[PROGRAMA]],Hoja1!A:B,2,FALSE)</f>
        <v>9204. Tecnologías de la información y comunicación</v>
      </c>
      <c r="W2135" s="56" t="str">
        <f>MID(Tabla1[[#This Row],[Aplicación]],14,2)</f>
        <v>22</v>
      </c>
      <c r="X2135" s="56" t="str">
        <f>MID(Tabla1[[#This Row],[Aplicación]],14,6)</f>
        <v>22700</v>
      </c>
    </row>
    <row r="2136" spans="1:24" x14ac:dyDescent="0.25">
      <c r="A2136" s="46">
        <v>220230005921</v>
      </c>
      <c r="B2136" s="47" t="s">
        <v>1337</v>
      </c>
      <c r="C2136" s="52">
        <v>44980</v>
      </c>
      <c r="D2136" s="46">
        <v>22023000800</v>
      </c>
      <c r="E2136" s="47" t="s">
        <v>613</v>
      </c>
      <c r="F2136" s="53">
        <v>-3237.52</v>
      </c>
      <c r="G2136" s="47" t="s">
        <v>1621</v>
      </c>
      <c r="H2136" s="47" t="s">
        <v>3624</v>
      </c>
      <c r="I2136" s="46" t="s">
        <v>511</v>
      </c>
      <c r="J2136" s="47" t="s">
        <v>1623</v>
      </c>
      <c r="K2136" s="47" t="s">
        <v>1624</v>
      </c>
      <c r="L2136" s="47" t="s">
        <v>520</v>
      </c>
      <c r="M2136" s="47" t="s">
        <v>514</v>
      </c>
      <c r="N2136" s="47" t="s">
        <v>515</v>
      </c>
      <c r="O2136" s="54" t="s">
        <v>371</v>
      </c>
      <c r="P2136" s="44" t="s">
        <v>309</v>
      </c>
      <c r="Q2136" s="59" t="str">
        <f>MID(Tabla1[[#This Row],[Aplicación]],14,1)</f>
        <v>2</v>
      </c>
      <c r="R2136" s="35" t="s">
        <v>298</v>
      </c>
      <c r="S2136" s="59" t="str">
        <f>MID(Tabla1[[#This Row],[Aplicación]],6,2)</f>
        <v>10</v>
      </c>
      <c r="T2136" s="35" t="str">
        <f>VLOOKUP(Tabla1[[#This Row],[AREA]],Hoja1!A:B,2,FALSE)</f>
        <v>10. Servicios sociales y mediación comunitaria</v>
      </c>
      <c r="U2136" s="35" t="str">
        <f>MID(Tabla1[[#This Row],[Aplicación]],9,4)</f>
        <v>2312</v>
      </c>
      <c r="V2136" s="35" t="str">
        <f>VLOOKUP(Tabla1[[#This Row],[PROGRAMA]],Hoja1!A:B,2,FALSE)</f>
        <v>2312. Iniciativas sociales</v>
      </c>
      <c r="W2136" s="56" t="str">
        <f>MID(Tabla1[[#This Row],[Aplicación]],14,2)</f>
        <v>21</v>
      </c>
      <c r="X2136" s="56" t="str">
        <f>MID(Tabla1[[#This Row],[Aplicación]],14,6)</f>
        <v>213</v>
      </c>
    </row>
    <row r="2137" spans="1:24" x14ac:dyDescent="0.25">
      <c r="A2137" s="46">
        <v>220219000771</v>
      </c>
      <c r="B2137" s="47" t="s">
        <v>507</v>
      </c>
      <c r="C2137" s="52">
        <v>44927</v>
      </c>
      <c r="D2137" s="46">
        <v>22023003343</v>
      </c>
      <c r="E2137" s="47" t="s">
        <v>559</v>
      </c>
      <c r="F2137" s="53">
        <v>1449.25</v>
      </c>
      <c r="G2137" s="47" t="s">
        <v>400</v>
      </c>
      <c r="H2137" s="47" t="s">
        <v>3625</v>
      </c>
      <c r="I2137" s="46" t="s">
        <v>511</v>
      </c>
      <c r="J2137" s="47" t="s">
        <v>519</v>
      </c>
      <c r="K2137" s="47" t="s">
        <v>519</v>
      </c>
      <c r="L2137" s="47" t="s">
        <v>520</v>
      </c>
      <c r="M2137" s="47" t="s">
        <v>514</v>
      </c>
      <c r="N2137" s="47" t="s">
        <v>515</v>
      </c>
      <c r="O2137" s="54" t="s">
        <v>382</v>
      </c>
      <c r="P2137" s="44" t="s">
        <v>309</v>
      </c>
      <c r="Q2137" s="59" t="str">
        <f>MID(Tabla1[[#This Row],[Aplicación]],14,1)</f>
        <v>6</v>
      </c>
      <c r="R2137" s="35" t="s">
        <v>299</v>
      </c>
      <c r="S2137" s="59" t="str">
        <f>MID(Tabla1[[#This Row],[Aplicación]],6,2)</f>
        <v>08</v>
      </c>
      <c r="T2137" s="35" t="str">
        <f>VLOOKUP(Tabla1[[#This Row],[AREA]],Hoja1!A:B,2,FALSE)</f>
        <v>08. Movilidad y espacio urbano</v>
      </c>
      <c r="U2137" s="35" t="str">
        <f>MID(Tabla1[[#This Row],[Aplicación]],9,4)</f>
        <v>1651</v>
      </c>
      <c r="V2137" s="35" t="str">
        <f>VLOOKUP(Tabla1[[#This Row],[PROGRAMA]],Hoja1!A:B,2,FALSE)</f>
        <v>1651. Alumbrado público</v>
      </c>
      <c r="W2137" s="56" t="str">
        <f>MID(Tabla1[[#This Row],[Aplicación]],14,2)</f>
        <v>61</v>
      </c>
      <c r="X2137" s="56" t="str">
        <f>MID(Tabla1[[#This Row],[Aplicación]],14,6)</f>
        <v>619</v>
      </c>
    </row>
    <row r="2138" spans="1:24" x14ac:dyDescent="0.25">
      <c r="A2138" s="46">
        <v>220230001974</v>
      </c>
      <c r="B2138" s="47" t="s">
        <v>507</v>
      </c>
      <c r="C2138" s="52">
        <v>44960</v>
      </c>
      <c r="D2138" s="46">
        <v>22023001509</v>
      </c>
      <c r="E2138" s="47" t="s">
        <v>736</v>
      </c>
      <c r="F2138" s="53">
        <v>305.20999999999998</v>
      </c>
      <c r="G2138" s="47" t="s">
        <v>3626</v>
      </c>
      <c r="H2138" s="47" t="s">
        <v>3627</v>
      </c>
      <c r="I2138" s="46" t="s">
        <v>511</v>
      </c>
      <c r="J2138" s="47" t="s">
        <v>519</v>
      </c>
      <c r="K2138" s="47" t="s">
        <v>519</v>
      </c>
      <c r="L2138" s="47" t="s">
        <v>520</v>
      </c>
      <c r="M2138" s="47" t="s">
        <v>976</v>
      </c>
      <c r="N2138" s="47" t="s">
        <v>839</v>
      </c>
      <c r="O2138" s="45" t="s">
        <v>383</v>
      </c>
      <c r="P2138" s="44" t="s">
        <v>309</v>
      </c>
      <c r="Q2138" s="59" t="str">
        <f>MID(Tabla1[[#This Row],[Aplicación]],14,1)</f>
        <v>2</v>
      </c>
      <c r="R2138" s="35" t="s">
        <v>298</v>
      </c>
      <c r="S2138" s="59" t="str">
        <f>MID(Tabla1[[#This Row],[Aplicación]],6,2)</f>
        <v>06</v>
      </c>
      <c r="T2138" s="35" t="str">
        <f>VLOOKUP(Tabla1[[#This Row],[AREA]],Hoja1!A:B,2,FALSE)</f>
        <v>06. Educación, infancia, juventud e igualdad</v>
      </c>
      <c r="U2138" s="35" t="str">
        <f>MID(Tabla1[[#This Row],[Aplicación]],9,4)</f>
        <v>3261</v>
      </c>
      <c r="V2138" s="35" t="str">
        <f>VLOOKUP(Tabla1[[#This Row],[PROGRAMA]],Hoja1!A:B,2,FALSE)</f>
        <v>3261. Servicios complementarios de educación</v>
      </c>
      <c r="W2138" s="56" t="str">
        <f>MID(Tabla1[[#This Row],[Aplicación]],14,2)</f>
        <v>22</v>
      </c>
      <c r="X2138" s="56" t="str">
        <f>MID(Tabla1[[#This Row],[Aplicación]],14,6)</f>
        <v>22799</v>
      </c>
    </row>
    <row r="2139" spans="1:24" x14ac:dyDescent="0.25">
      <c r="A2139" s="46">
        <v>220230002630</v>
      </c>
      <c r="B2139" s="47" t="s">
        <v>507</v>
      </c>
      <c r="C2139" s="52">
        <v>44966</v>
      </c>
      <c r="D2139" s="46">
        <v>22023002250</v>
      </c>
      <c r="E2139" s="47" t="s">
        <v>1362</v>
      </c>
      <c r="F2139" s="53">
        <v>363</v>
      </c>
      <c r="G2139" s="47" t="s">
        <v>3628</v>
      </c>
      <c r="H2139" s="47" t="s">
        <v>3629</v>
      </c>
      <c r="I2139" s="46" t="s">
        <v>511</v>
      </c>
      <c r="J2139" s="47" t="s">
        <v>519</v>
      </c>
      <c r="K2139" s="47" t="s">
        <v>519</v>
      </c>
      <c r="L2139" s="47" t="s">
        <v>652</v>
      </c>
      <c r="M2139" s="47" t="s">
        <v>976</v>
      </c>
      <c r="N2139" s="47" t="s">
        <v>839</v>
      </c>
      <c r="O2139" s="45" t="s">
        <v>383</v>
      </c>
      <c r="P2139" s="44" t="s">
        <v>309</v>
      </c>
      <c r="Q2139" s="59" t="str">
        <f>MID(Tabla1[[#This Row],[Aplicación]],14,1)</f>
        <v>2</v>
      </c>
      <c r="R2139" s="35" t="s">
        <v>298</v>
      </c>
      <c r="S2139" s="59" t="str">
        <f>MID(Tabla1[[#This Row],[Aplicación]],6,2)</f>
        <v>09</v>
      </c>
      <c r="T2139" s="35" t="str">
        <f>VLOOKUP(Tabla1[[#This Row],[AREA]],Hoja1!A:B,2,FALSE)</f>
        <v>09. Cultura y turismo</v>
      </c>
      <c r="U2139" s="35" t="str">
        <f>MID(Tabla1[[#This Row],[Aplicación]],9,4)</f>
        <v>3341</v>
      </c>
      <c r="V2139" s="35" t="str">
        <f>VLOOKUP(Tabla1[[#This Row],[PROGRAMA]],Hoja1!A:B,2,FALSE)</f>
        <v>3341. Coordinación de políticas culturales</v>
      </c>
      <c r="W2139" s="56" t="str">
        <f>MID(Tabla1[[#This Row],[Aplicación]],14,2)</f>
        <v>21</v>
      </c>
      <c r="X2139" s="56" t="str">
        <f>MID(Tabla1[[#This Row],[Aplicación]],14,6)</f>
        <v>213</v>
      </c>
    </row>
    <row r="2140" spans="1:24" x14ac:dyDescent="0.25">
      <c r="A2140" s="46">
        <v>220230000022</v>
      </c>
      <c r="B2140" s="47" t="s">
        <v>507</v>
      </c>
      <c r="C2140" s="52">
        <v>44927</v>
      </c>
      <c r="D2140" s="46">
        <v>22023000498</v>
      </c>
      <c r="E2140" s="47" t="s">
        <v>539</v>
      </c>
      <c r="F2140" s="53">
        <v>5885</v>
      </c>
      <c r="G2140" s="47" t="s">
        <v>3630</v>
      </c>
      <c r="H2140" s="47" t="s">
        <v>3631</v>
      </c>
      <c r="I2140" s="46" t="s">
        <v>511</v>
      </c>
      <c r="J2140" s="47" t="s">
        <v>953</v>
      </c>
      <c r="K2140" s="47" t="s">
        <v>519</v>
      </c>
      <c r="L2140" s="47" t="s">
        <v>520</v>
      </c>
      <c r="M2140" s="47" t="s">
        <v>514</v>
      </c>
      <c r="N2140" s="47" t="s">
        <v>515</v>
      </c>
      <c r="O2140" s="45" t="s">
        <v>371</v>
      </c>
      <c r="P2140" s="44" t="s">
        <v>309</v>
      </c>
      <c r="Q2140" s="59" t="str">
        <f>MID(Tabla1[[#This Row],[Aplicación]],14,1)</f>
        <v>2</v>
      </c>
      <c r="R2140" s="35" t="s">
        <v>298</v>
      </c>
      <c r="S2140" s="59" t="str">
        <f>MID(Tabla1[[#This Row],[Aplicación]],6,2)</f>
        <v>10</v>
      </c>
      <c r="T2140" s="35" t="str">
        <f>VLOOKUP(Tabla1[[#This Row],[AREA]],Hoja1!A:B,2,FALSE)</f>
        <v>10. Servicios sociales y mediación comunitaria</v>
      </c>
      <c r="U2140" s="35" t="str">
        <f>MID(Tabla1[[#This Row],[Aplicación]],9,4)</f>
        <v>2312</v>
      </c>
      <c r="V2140" s="35" t="str">
        <f>VLOOKUP(Tabla1[[#This Row],[PROGRAMA]],Hoja1!A:B,2,FALSE)</f>
        <v>2312. Iniciativas sociales</v>
      </c>
      <c r="W2140" s="56" t="str">
        <f>MID(Tabla1[[#This Row],[Aplicación]],14,2)</f>
        <v>22</v>
      </c>
      <c r="X2140" s="56" t="str">
        <f>MID(Tabla1[[#This Row],[Aplicación]],14,6)</f>
        <v>22799</v>
      </c>
    </row>
    <row r="2141" spans="1:24" x14ac:dyDescent="0.25">
      <c r="A2141" s="46">
        <v>220229000820</v>
      </c>
      <c r="B2141" s="47" t="s">
        <v>507</v>
      </c>
      <c r="C2141" s="52">
        <v>44927</v>
      </c>
      <c r="D2141" s="46">
        <v>22023001887</v>
      </c>
      <c r="E2141" s="47" t="s">
        <v>539</v>
      </c>
      <c r="F2141" s="53">
        <v>29425</v>
      </c>
      <c r="G2141" s="47" t="s">
        <v>3630</v>
      </c>
      <c r="H2141" s="47" t="s">
        <v>3632</v>
      </c>
      <c r="I2141" s="46" t="s">
        <v>511</v>
      </c>
      <c r="J2141" s="47" t="s">
        <v>953</v>
      </c>
      <c r="K2141" s="47" t="s">
        <v>519</v>
      </c>
      <c r="L2141" s="47" t="s">
        <v>520</v>
      </c>
      <c r="M2141" s="47" t="s">
        <v>514</v>
      </c>
      <c r="N2141" s="47" t="s">
        <v>515</v>
      </c>
      <c r="O2141" s="45" t="s">
        <v>371</v>
      </c>
      <c r="P2141" s="44" t="s">
        <v>309</v>
      </c>
      <c r="Q2141" s="59" t="str">
        <f>MID(Tabla1[[#This Row],[Aplicación]],14,1)</f>
        <v>2</v>
      </c>
      <c r="R2141" s="35" t="s">
        <v>298</v>
      </c>
      <c r="S2141" s="59" t="str">
        <f>MID(Tabla1[[#This Row],[Aplicación]],6,2)</f>
        <v>10</v>
      </c>
      <c r="T2141" s="35" t="str">
        <f>VLOOKUP(Tabla1[[#This Row],[AREA]],Hoja1!A:B,2,FALSE)</f>
        <v>10. Servicios sociales y mediación comunitaria</v>
      </c>
      <c r="U2141" s="35" t="str">
        <f>MID(Tabla1[[#This Row],[Aplicación]],9,4)</f>
        <v>2312</v>
      </c>
      <c r="V2141" s="35" t="str">
        <f>VLOOKUP(Tabla1[[#This Row],[PROGRAMA]],Hoja1!A:B,2,FALSE)</f>
        <v>2312. Iniciativas sociales</v>
      </c>
      <c r="W2141" s="56" t="str">
        <f>MID(Tabla1[[#This Row],[Aplicación]],14,2)</f>
        <v>22</v>
      </c>
      <c r="X2141" s="56" t="str">
        <f>MID(Tabla1[[#This Row],[Aplicación]],14,6)</f>
        <v>22799</v>
      </c>
    </row>
    <row r="2142" spans="1:24" x14ac:dyDescent="0.25">
      <c r="A2142" s="46">
        <v>220230002020</v>
      </c>
      <c r="B2142" s="47" t="s">
        <v>507</v>
      </c>
      <c r="C2142" s="52">
        <v>44960</v>
      </c>
      <c r="D2142" s="46">
        <v>22023001429</v>
      </c>
      <c r="E2142" s="47" t="s">
        <v>1627</v>
      </c>
      <c r="F2142" s="53">
        <v>37.090000000000003</v>
      </c>
      <c r="G2142" s="47" t="s">
        <v>96</v>
      </c>
      <c r="H2142" s="47" t="s">
        <v>3633</v>
      </c>
      <c r="I2142" s="46" t="s">
        <v>511</v>
      </c>
      <c r="J2142" s="47" t="s">
        <v>519</v>
      </c>
      <c r="K2142" s="47" t="s">
        <v>519</v>
      </c>
      <c r="L2142" s="47" t="s">
        <v>552</v>
      </c>
      <c r="M2142" s="47" t="s">
        <v>976</v>
      </c>
      <c r="N2142" s="47" t="s">
        <v>839</v>
      </c>
      <c r="O2142" s="45" t="s">
        <v>383</v>
      </c>
      <c r="P2142" s="44" t="s">
        <v>309</v>
      </c>
      <c r="Q2142" s="59" t="str">
        <f>MID(Tabla1[[#This Row],[Aplicación]],14,1)</f>
        <v>2</v>
      </c>
      <c r="R2142" s="35" t="s">
        <v>298</v>
      </c>
      <c r="S2142" s="59" t="str">
        <f>MID(Tabla1[[#This Row],[Aplicación]],6,2)</f>
        <v>03</v>
      </c>
      <c r="T2142" s="35" t="str">
        <f>VLOOKUP(Tabla1[[#This Row],[AREA]],Hoja1!A:B,2,FALSE)</f>
        <v>03. Participación ciudadana y deportes</v>
      </c>
      <c r="U2142" s="35" t="str">
        <f>MID(Tabla1[[#This Row],[Aplicación]],9,4)</f>
        <v>9241</v>
      </c>
      <c r="V2142" s="35" t="str">
        <f>VLOOKUP(Tabla1[[#This Row],[PROGRAMA]],Hoja1!A:B,2,FALSE)</f>
        <v>9241. Participación ciudadana</v>
      </c>
      <c r="W2142" s="56" t="str">
        <f>MID(Tabla1[[#This Row],[Aplicación]],14,2)</f>
        <v>22</v>
      </c>
      <c r="X2142" s="56" t="str">
        <f>MID(Tabla1[[#This Row],[Aplicación]],14,6)</f>
        <v>22199</v>
      </c>
    </row>
    <row r="2143" spans="1:24" x14ac:dyDescent="0.25">
      <c r="A2143" s="46">
        <v>220230001985</v>
      </c>
      <c r="B2143" s="47" t="s">
        <v>507</v>
      </c>
      <c r="C2143" s="52">
        <v>44960</v>
      </c>
      <c r="D2143" s="46">
        <v>22023001566</v>
      </c>
      <c r="E2143" s="47" t="s">
        <v>1303</v>
      </c>
      <c r="F2143" s="53">
        <v>2500</v>
      </c>
      <c r="G2143" s="47" t="s">
        <v>96</v>
      </c>
      <c r="H2143" s="47" t="s">
        <v>3634</v>
      </c>
      <c r="I2143" s="46" t="s">
        <v>511</v>
      </c>
      <c r="J2143" s="47" t="s">
        <v>519</v>
      </c>
      <c r="K2143" s="47" t="s">
        <v>519</v>
      </c>
      <c r="L2143" s="47" t="s">
        <v>552</v>
      </c>
      <c r="M2143" s="47" t="s">
        <v>976</v>
      </c>
      <c r="N2143" s="47" t="s">
        <v>839</v>
      </c>
      <c r="O2143" s="45" t="s">
        <v>383</v>
      </c>
      <c r="P2143" s="44" t="s">
        <v>309</v>
      </c>
      <c r="Q2143" s="59" t="str">
        <f>MID(Tabla1[[#This Row],[Aplicación]],14,1)</f>
        <v>2</v>
      </c>
      <c r="R2143" s="35" t="s">
        <v>298</v>
      </c>
      <c r="S2143" s="59" t="str">
        <f>MID(Tabla1[[#This Row],[Aplicación]],6,2)</f>
        <v>11</v>
      </c>
      <c r="T2143" s="35" t="str">
        <f>VLOOKUP(Tabla1[[#This Row],[AREA]],Hoja1!A:B,2,FALSE)</f>
        <v>11. Salud pública y seguridad ciudadana</v>
      </c>
      <c r="U2143" s="35" t="str">
        <f>MID(Tabla1[[#This Row],[Aplicación]],9,4)</f>
        <v>1321</v>
      </c>
      <c r="V2143" s="35" t="str">
        <f>VLOOKUP(Tabla1[[#This Row],[PROGRAMA]],Hoja1!A:B,2,FALSE)</f>
        <v>1321. Policía municipal</v>
      </c>
      <c r="W2143" s="56" t="str">
        <f>MID(Tabla1[[#This Row],[Aplicación]],14,2)</f>
        <v>22</v>
      </c>
      <c r="X2143" s="56" t="str">
        <f>MID(Tabla1[[#This Row],[Aplicación]],14,6)</f>
        <v>22699</v>
      </c>
    </row>
    <row r="2144" spans="1:24" x14ac:dyDescent="0.25">
      <c r="A2144" s="46">
        <v>220230001939</v>
      </c>
      <c r="B2144" s="47" t="s">
        <v>507</v>
      </c>
      <c r="C2144" s="52">
        <v>44960</v>
      </c>
      <c r="D2144" s="46">
        <v>22023001332</v>
      </c>
      <c r="E2144" s="47" t="s">
        <v>1667</v>
      </c>
      <c r="F2144" s="53">
        <v>7253.95</v>
      </c>
      <c r="G2144" s="47" t="s">
        <v>96</v>
      </c>
      <c r="H2144" s="47" t="s">
        <v>3635</v>
      </c>
      <c r="I2144" s="46" t="s">
        <v>511</v>
      </c>
      <c r="J2144" s="47" t="s">
        <v>519</v>
      </c>
      <c r="K2144" s="47" t="s">
        <v>519</v>
      </c>
      <c r="L2144" s="47" t="s">
        <v>552</v>
      </c>
      <c r="M2144" s="47" t="s">
        <v>976</v>
      </c>
      <c r="N2144" s="47" t="s">
        <v>839</v>
      </c>
      <c r="O2144" s="45" t="s">
        <v>383</v>
      </c>
      <c r="P2144" s="44" t="s">
        <v>309</v>
      </c>
      <c r="Q2144" s="59" t="str">
        <f>MID(Tabla1[[#This Row],[Aplicación]],14,1)</f>
        <v>2</v>
      </c>
      <c r="R2144" s="35" t="s">
        <v>298</v>
      </c>
      <c r="S2144" s="59" t="str">
        <f>MID(Tabla1[[#This Row],[Aplicación]],6,2)</f>
        <v>01</v>
      </c>
      <c r="T2144" s="35" t="str">
        <f>VLOOKUP(Tabla1[[#This Row],[AREA]],Hoja1!A:B,2,FALSE)</f>
        <v>01. Alcaldía</v>
      </c>
      <c r="U2144" s="35" t="str">
        <f>MID(Tabla1[[#This Row],[Aplicación]],9,4)</f>
        <v>9205</v>
      </c>
      <c r="V2144" s="35" t="str">
        <f>VLOOKUP(Tabla1[[#This Row],[PROGRAMA]],Hoja1!A:B,2,FALSE)</f>
        <v>9205. Imprenta municipal</v>
      </c>
      <c r="W2144" s="56" t="str">
        <f>MID(Tabla1[[#This Row],[Aplicación]],14,2)</f>
        <v>22</v>
      </c>
      <c r="X2144" s="56" t="str">
        <f>MID(Tabla1[[#This Row],[Aplicación]],14,6)</f>
        <v>22199</v>
      </c>
    </row>
    <row r="2145" spans="1:24" x14ac:dyDescent="0.25">
      <c r="A2145" s="46">
        <v>220230002079</v>
      </c>
      <c r="B2145" s="47" t="s">
        <v>507</v>
      </c>
      <c r="C2145" s="52">
        <v>44963</v>
      </c>
      <c r="D2145" s="46">
        <v>22023002046</v>
      </c>
      <c r="E2145" s="47" t="s">
        <v>1688</v>
      </c>
      <c r="F2145" s="53">
        <v>500</v>
      </c>
      <c r="G2145" s="47" t="s">
        <v>96</v>
      </c>
      <c r="H2145" s="47" t="s">
        <v>3636</v>
      </c>
      <c r="I2145" s="46" t="s">
        <v>511</v>
      </c>
      <c r="J2145" s="47" t="s">
        <v>519</v>
      </c>
      <c r="K2145" s="47" t="s">
        <v>519</v>
      </c>
      <c r="L2145" s="47" t="s">
        <v>552</v>
      </c>
      <c r="M2145" s="47" t="s">
        <v>976</v>
      </c>
      <c r="N2145" s="47" t="s">
        <v>839</v>
      </c>
      <c r="O2145" s="45" t="s">
        <v>383</v>
      </c>
      <c r="P2145" s="44" t="s">
        <v>309</v>
      </c>
      <c r="Q2145" s="59" t="str">
        <f>MID(Tabla1[[#This Row],[Aplicación]],14,1)</f>
        <v>2</v>
      </c>
      <c r="R2145" s="35" t="s">
        <v>298</v>
      </c>
      <c r="S2145" s="59" t="str">
        <f>MID(Tabla1[[#This Row],[Aplicación]],6,2)</f>
        <v>06</v>
      </c>
      <c r="T2145" s="35" t="str">
        <f>VLOOKUP(Tabla1[[#This Row],[AREA]],Hoja1!A:B,2,FALSE)</f>
        <v>06. Educación, infancia, juventud e igualdad</v>
      </c>
      <c r="U2145" s="35" t="str">
        <f>MID(Tabla1[[#This Row],[Aplicación]],9,4)</f>
        <v>3261</v>
      </c>
      <c r="V2145" s="35" t="str">
        <f>VLOOKUP(Tabla1[[#This Row],[PROGRAMA]],Hoja1!A:B,2,FALSE)</f>
        <v>3261. Servicios complementarios de educación</v>
      </c>
      <c r="W2145" s="56" t="str">
        <f>MID(Tabla1[[#This Row],[Aplicación]],14,2)</f>
        <v>22</v>
      </c>
      <c r="X2145" s="56" t="str">
        <f>MID(Tabla1[[#This Row],[Aplicación]],14,6)</f>
        <v>22699</v>
      </c>
    </row>
    <row r="2146" spans="1:24" x14ac:dyDescent="0.25">
      <c r="A2146" s="46">
        <v>220230002933</v>
      </c>
      <c r="B2146" s="47" t="s">
        <v>507</v>
      </c>
      <c r="C2146" s="52">
        <v>44967</v>
      </c>
      <c r="D2146" s="46">
        <v>22023002222</v>
      </c>
      <c r="E2146" s="47" t="s">
        <v>1532</v>
      </c>
      <c r="F2146" s="53">
        <v>152.46</v>
      </c>
      <c r="G2146" s="47" t="s">
        <v>96</v>
      </c>
      <c r="H2146" s="47" t="s">
        <v>2080</v>
      </c>
      <c r="I2146" s="46" t="s">
        <v>511</v>
      </c>
      <c r="J2146" s="47" t="s">
        <v>519</v>
      </c>
      <c r="K2146" s="47" t="s">
        <v>519</v>
      </c>
      <c r="L2146" s="47" t="s">
        <v>552</v>
      </c>
      <c r="M2146" s="47" t="s">
        <v>976</v>
      </c>
      <c r="N2146" s="47" t="s">
        <v>839</v>
      </c>
      <c r="O2146" s="45" t="s">
        <v>383</v>
      </c>
      <c r="P2146" s="44" t="s">
        <v>309</v>
      </c>
      <c r="Q2146" s="59" t="str">
        <f>MID(Tabla1[[#This Row],[Aplicación]],14,1)</f>
        <v>2</v>
      </c>
      <c r="R2146" s="35" t="s">
        <v>298</v>
      </c>
      <c r="S2146" s="59" t="str">
        <f>MID(Tabla1[[#This Row],[Aplicación]],6,2)</f>
        <v>09</v>
      </c>
      <c r="T2146" s="35" t="str">
        <f>VLOOKUP(Tabla1[[#This Row],[AREA]],Hoja1!A:B,2,FALSE)</f>
        <v>09. Cultura y turismo</v>
      </c>
      <c r="U2146" s="35" t="str">
        <f>MID(Tabla1[[#This Row],[Aplicación]],9,4)</f>
        <v>3341</v>
      </c>
      <c r="V2146" s="35" t="str">
        <f>VLOOKUP(Tabla1[[#This Row],[PROGRAMA]],Hoja1!A:B,2,FALSE)</f>
        <v>3341. Coordinación de políticas culturales</v>
      </c>
      <c r="W2146" s="56" t="str">
        <f>MID(Tabla1[[#This Row],[Aplicación]],14,2)</f>
        <v>22</v>
      </c>
      <c r="X2146" s="56" t="str">
        <f>MID(Tabla1[[#This Row],[Aplicación]],14,6)</f>
        <v>22699</v>
      </c>
    </row>
    <row r="2147" spans="1:24" x14ac:dyDescent="0.25">
      <c r="A2147" s="46">
        <v>220230003429</v>
      </c>
      <c r="B2147" s="47" t="s">
        <v>507</v>
      </c>
      <c r="C2147" s="52">
        <v>44971</v>
      </c>
      <c r="D2147" s="46">
        <v>22023002348</v>
      </c>
      <c r="E2147" s="47" t="s">
        <v>2138</v>
      </c>
      <c r="F2147" s="53">
        <v>100</v>
      </c>
      <c r="G2147" s="47" t="s">
        <v>96</v>
      </c>
      <c r="H2147" s="47" t="s">
        <v>3637</v>
      </c>
      <c r="I2147" s="46" t="s">
        <v>511</v>
      </c>
      <c r="J2147" s="47" t="s">
        <v>519</v>
      </c>
      <c r="K2147" s="47" t="s">
        <v>519</v>
      </c>
      <c r="L2147" s="47" t="s">
        <v>520</v>
      </c>
      <c r="M2147" s="47" t="s">
        <v>976</v>
      </c>
      <c r="N2147" s="47" t="s">
        <v>839</v>
      </c>
      <c r="O2147" s="45" t="s">
        <v>383</v>
      </c>
      <c r="P2147" s="44" t="s">
        <v>309</v>
      </c>
      <c r="Q2147" s="59" t="str">
        <f>MID(Tabla1[[#This Row],[Aplicación]],14,1)</f>
        <v>2</v>
      </c>
      <c r="R2147" s="35" t="s">
        <v>298</v>
      </c>
      <c r="S2147" s="59" t="str">
        <f>MID(Tabla1[[#This Row],[Aplicación]],6,2)</f>
        <v>10</v>
      </c>
      <c r="T2147" s="35" t="str">
        <f>VLOOKUP(Tabla1[[#This Row],[AREA]],Hoja1!A:B,2,FALSE)</f>
        <v>10. Servicios sociales y mediación comunitaria</v>
      </c>
      <c r="U2147" s="35" t="str">
        <f>MID(Tabla1[[#This Row],[Aplicación]],9,4)</f>
        <v>2312</v>
      </c>
      <c r="V2147" s="35" t="str">
        <f>VLOOKUP(Tabla1[[#This Row],[PROGRAMA]],Hoja1!A:B,2,FALSE)</f>
        <v>2312. Iniciativas sociales</v>
      </c>
      <c r="W2147" s="56" t="str">
        <f>MID(Tabla1[[#This Row],[Aplicación]],14,2)</f>
        <v>22</v>
      </c>
      <c r="X2147" s="56" t="str">
        <f>MID(Tabla1[[#This Row],[Aplicación]],14,6)</f>
        <v>22615</v>
      </c>
    </row>
    <row r="2148" spans="1:24" x14ac:dyDescent="0.25">
      <c r="A2148" s="46">
        <v>220230001141</v>
      </c>
      <c r="B2148" s="47" t="s">
        <v>1249</v>
      </c>
      <c r="C2148" s="52">
        <v>44959</v>
      </c>
      <c r="D2148" s="46">
        <v>22023001384</v>
      </c>
      <c r="E2148" s="47" t="s">
        <v>616</v>
      </c>
      <c r="F2148" s="53">
        <v>497.86</v>
      </c>
      <c r="G2148" s="47" t="s">
        <v>1621</v>
      </c>
      <c r="H2148" s="47" t="s">
        <v>3638</v>
      </c>
      <c r="I2148" s="46" t="s">
        <v>1251</v>
      </c>
      <c r="J2148" s="47" t="s">
        <v>1623</v>
      </c>
      <c r="K2148" s="47" t="s">
        <v>1624</v>
      </c>
      <c r="L2148" s="47" t="s">
        <v>520</v>
      </c>
      <c r="M2148" s="47" t="s">
        <v>514</v>
      </c>
      <c r="N2148" s="47" t="s">
        <v>515</v>
      </c>
      <c r="O2148" s="45" t="s">
        <v>371</v>
      </c>
      <c r="P2148" s="44" t="s">
        <v>309</v>
      </c>
      <c r="Q2148" s="59" t="str">
        <f>MID(Tabla1[[#This Row],[Aplicación]],14,1)</f>
        <v>2</v>
      </c>
      <c r="R2148" s="35" t="s">
        <v>298</v>
      </c>
      <c r="S2148" s="59" t="str">
        <f>MID(Tabla1[[#This Row],[Aplicación]],6,2)</f>
        <v>10</v>
      </c>
      <c r="T2148" s="35" t="str">
        <f>VLOOKUP(Tabla1[[#This Row],[AREA]],Hoja1!A:B,2,FALSE)</f>
        <v>10. Servicios sociales y mediación comunitaria</v>
      </c>
      <c r="U2148" s="35" t="str">
        <f>MID(Tabla1[[#This Row],[Aplicación]],9,4)</f>
        <v>2412</v>
      </c>
      <c r="V2148" s="35" t="str">
        <f>VLOOKUP(Tabla1[[#This Row],[PROGRAMA]],Hoja1!A:B,2,FALSE)</f>
        <v>2412. Formación para el empleo</v>
      </c>
      <c r="W2148" s="56" t="str">
        <f>MID(Tabla1[[#This Row],[Aplicación]],14,2)</f>
        <v>21</v>
      </c>
      <c r="X2148" s="56" t="str">
        <f>MID(Tabla1[[#This Row],[Aplicación]],14,6)</f>
        <v>213</v>
      </c>
    </row>
    <row r="2149" spans="1:24" x14ac:dyDescent="0.25">
      <c r="A2149" s="46">
        <v>220230001165</v>
      </c>
      <c r="B2149" s="47" t="s">
        <v>1249</v>
      </c>
      <c r="C2149" s="52">
        <v>44959</v>
      </c>
      <c r="D2149" s="46">
        <v>22023001455</v>
      </c>
      <c r="E2149" s="47" t="s">
        <v>613</v>
      </c>
      <c r="F2149" s="53">
        <v>3564.77</v>
      </c>
      <c r="G2149" s="47" t="s">
        <v>1621</v>
      </c>
      <c r="H2149" s="47" t="s">
        <v>3639</v>
      </c>
      <c r="I2149" s="46" t="s">
        <v>1251</v>
      </c>
      <c r="J2149" s="47" t="s">
        <v>1623</v>
      </c>
      <c r="K2149" s="47" t="s">
        <v>1624</v>
      </c>
      <c r="L2149" s="47" t="s">
        <v>520</v>
      </c>
      <c r="M2149" s="47" t="s">
        <v>514</v>
      </c>
      <c r="N2149" s="47" t="s">
        <v>515</v>
      </c>
      <c r="O2149" s="45" t="s">
        <v>371</v>
      </c>
      <c r="P2149" s="44" t="s">
        <v>309</v>
      </c>
      <c r="Q2149" s="59" t="str">
        <f>MID(Tabla1[[#This Row],[Aplicación]],14,1)</f>
        <v>2</v>
      </c>
      <c r="R2149" s="35" t="s">
        <v>298</v>
      </c>
      <c r="S2149" s="59" t="str">
        <f>MID(Tabla1[[#This Row],[Aplicación]],6,2)</f>
        <v>10</v>
      </c>
      <c r="T2149" s="35" t="str">
        <f>VLOOKUP(Tabla1[[#This Row],[AREA]],Hoja1!A:B,2,FALSE)</f>
        <v>10. Servicios sociales y mediación comunitaria</v>
      </c>
      <c r="U2149" s="35" t="str">
        <f>MID(Tabla1[[#This Row],[Aplicación]],9,4)</f>
        <v>2312</v>
      </c>
      <c r="V2149" s="35" t="str">
        <f>VLOOKUP(Tabla1[[#This Row],[PROGRAMA]],Hoja1!A:B,2,FALSE)</f>
        <v>2312. Iniciativas sociales</v>
      </c>
      <c r="W2149" s="56" t="str">
        <f>MID(Tabla1[[#This Row],[Aplicación]],14,2)</f>
        <v>21</v>
      </c>
      <c r="X2149" s="56" t="str">
        <f>MID(Tabla1[[#This Row],[Aplicación]],14,6)</f>
        <v>213</v>
      </c>
    </row>
    <row r="2150" spans="1:24" x14ac:dyDescent="0.25">
      <c r="A2150" s="46">
        <v>220230001116</v>
      </c>
      <c r="B2150" s="47" t="s">
        <v>1249</v>
      </c>
      <c r="C2150" s="52">
        <v>44959</v>
      </c>
      <c r="D2150" s="46">
        <v>22023001326</v>
      </c>
      <c r="E2150" s="47" t="s">
        <v>1403</v>
      </c>
      <c r="F2150" s="53">
        <v>234.86</v>
      </c>
      <c r="G2150" s="47" t="s">
        <v>1621</v>
      </c>
      <c r="H2150" s="47" t="s">
        <v>3640</v>
      </c>
      <c r="I2150" s="46" t="s">
        <v>1251</v>
      </c>
      <c r="J2150" s="47" t="s">
        <v>1623</v>
      </c>
      <c r="K2150" s="47" t="s">
        <v>1624</v>
      </c>
      <c r="L2150" s="47" t="s">
        <v>520</v>
      </c>
      <c r="M2150" s="47" t="s">
        <v>514</v>
      </c>
      <c r="N2150" s="47" t="s">
        <v>515</v>
      </c>
      <c r="O2150" s="45" t="s">
        <v>371</v>
      </c>
      <c r="P2150" s="44" t="s">
        <v>309</v>
      </c>
      <c r="Q2150" s="59" t="str">
        <f>MID(Tabla1[[#This Row],[Aplicación]],14,1)</f>
        <v>2</v>
      </c>
      <c r="R2150" s="35" t="s">
        <v>298</v>
      </c>
      <c r="S2150" s="59" t="str">
        <f>MID(Tabla1[[#This Row],[Aplicación]],6,2)</f>
        <v>07</v>
      </c>
      <c r="T2150" s="35" t="str">
        <f>VLOOKUP(Tabla1[[#This Row],[AREA]],Hoja1!A:B,2,FALSE)</f>
        <v>07. Medio ambiente y desarrollo sostenible</v>
      </c>
      <c r="U2150" s="35" t="str">
        <f>MID(Tabla1[[#This Row],[Aplicación]],9,4)</f>
        <v>1721</v>
      </c>
      <c r="V2150" s="35" t="str">
        <f>VLOOKUP(Tabla1[[#This Row],[PROGRAMA]],Hoja1!A:B,2,FALSE)</f>
        <v>1721. Protección del medio ambiente</v>
      </c>
      <c r="W2150" s="56" t="str">
        <f>MID(Tabla1[[#This Row],[Aplicación]],14,2)</f>
        <v>21</v>
      </c>
      <c r="X2150" s="56" t="str">
        <f>MID(Tabla1[[#This Row],[Aplicación]],14,6)</f>
        <v>213</v>
      </c>
    </row>
    <row r="2151" spans="1:24" x14ac:dyDescent="0.25">
      <c r="A2151" s="46">
        <v>220230000156</v>
      </c>
      <c r="B2151" s="47" t="s">
        <v>507</v>
      </c>
      <c r="C2151" s="52">
        <v>44927</v>
      </c>
      <c r="D2151" s="46">
        <v>22023000789</v>
      </c>
      <c r="E2151" s="47" t="s">
        <v>669</v>
      </c>
      <c r="F2151" s="53">
        <v>7501.59</v>
      </c>
      <c r="G2151" s="47" t="s">
        <v>1621</v>
      </c>
      <c r="H2151" s="47" t="s">
        <v>3641</v>
      </c>
      <c r="I2151" s="46" t="s">
        <v>511</v>
      </c>
      <c r="J2151" s="47" t="s">
        <v>1623</v>
      </c>
      <c r="K2151" s="47" t="s">
        <v>1624</v>
      </c>
      <c r="L2151" s="47" t="s">
        <v>520</v>
      </c>
      <c r="M2151" s="47" t="s">
        <v>514</v>
      </c>
      <c r="N2151" s="47" t="s">
        <v>515</v>
      </c>
      <c r="O2151" s="45" t="s">
        <v>371</v>
      </c>
      <c r="P2151" s="44" t="s">
        <v>309</v>
      </c>
      <c r="Q2151" s="59" t="str">
        <f>MID(Tabla1[[#This Row],[Aplicación]],14,1)</f>
        <v>2</v>
      </c>
      <c r="R2151" s="35" t="s">
        <v>298</v>
      </c>
      <c r="S2151" s="59" t="str">
        <f>MID(Tabla1[[#This Row],[Aplicación]],6,2)</f>
        <v>06</v>
      </c>
      <c r="T2151" s="35" t="str">
        <f>VLOOKUP(Tabla1[[#This Row],[AREA]],Hoja1!A:B,2,FALSE)</f>
        <v>06. Educación, infancia, juventud e igualdad</v>
      </c>
      <c r="U2151" s="35" t="str">
        <f>MID(Tabla1[[#This Row],[Aplicación]],9,4)</f>
        <v>3232</v>
      </c>
      <c r="V2151" s="35" t="str">
        <f>VLOOKUP(Tabla1[[#This Row],[PROGRAMA]],Hoja1!A:B,2,FALSE)</f>
        <v>3232. Conservación y mantenimiento centros educación infantil y primaria</v>
      </c>
      <c r="W2151" s="56" t="str">
        <f>MID(Tabla1[[#This Row],[Aplicación]],14,2)</f>
        <v>21</v>
      </c>
      <c r="X2151" s="56" t="str">
        <f>MID(Tabla1[[#This Row],[Aplicación]],14,6)</f>
        <v>213</v>
      </c>
    </row>
    <row r="2152" spans="1:24" x14ac:dyDescent="0.25">
      <c r="A2152" s="46">
        <v>220230003429</v>
      </c>
      <c r="B2152" s="47" t="s">
        <v>507</v>
      </c>
      <c r="C2152" s="52">
        <v>44971</v>
      </c>
      <c r="D2152" s="46">
        <v>22023002347</v>
      </c>
      <c r="E2152" s="47" t="s">
        <v>1043</v>
      </c>
      <c r="F2152" s="53">
        <v>300</v>
      </c>
      <c r="G2152" s="47" t="s">
        <v>96</v>
      </c>
      <c r="H2152" s="47" t="s">
        <v>3637</v>
      </c>
      <c r="I2152" s="46" t="s">
        <v>511</v>
      </c>
      <c r="J2152" s="47" t="s">
        <v>519</v>
      </c>
      <c r="K2152" s="47" t="s">
        <v>519</v>
      </c>
      <c r="L2152" s="47" t="s">
        <v>520</v>
      </c>
      <c r="M2152" s="47" t="s">
        <v>976</v>
      </c>
      <c r="N2152" s="47" t="s">
        <v>839</v>
      </c>
      <c r="O2152" s="45" t="s">
        <v>383</v>
      </c>
      <c r="P2152" s="44" t="s">
        <v>309</v>
      </c>
      <c r="Q2152" s="59" t="str">
        <f>MID(Tabla1[[#This Row],[Aplicación]],14,1)</f>
        <v>2</v>
      </c>
      <c r="R2152" s="35" t="s">
        <v>298</v>
      </c>
      <c r="S2152" s="59" t="str">
        <f>MID(Tabla1[[#This Row],[Aplicación]],6,2)</f>
        <v>10</v>
      </c>
      <c r="T2152" s="35" t="str">
        <f>VLOOKUP(Tabla1[[#This Row],[AREA]],Hoja1!A:B,2,FALSE)</f>
        <v>10. Servicios sociales y mediación comunitaria</v>
      </c>
      <c r="U2152" s="35" t="str">
        <f>MID(Tabla1[[#This Row],[Aplicación]],9,4)</f>
        <v>2312</v>
      </c>
      <c r="V2152" s="35" t="str">
        <f>VLOOKUP(Tabla1[[#This Row],[PROGRAMA]],Hoja1!A:B,2,FALSE)</f>
        <v>2312. Iniciativas sociales</v>
      </c>
      <c r="W2152" s="56" t="str">
        <f>MID(Tabla1[[#This Row],[Aplicación]],14,2)</f>
        <v>22</v>
      </c>
      <c r="X2152" s="56" t="str">
        <f>MID(Tabla1[[#This Row],[Aplicación]],14,6)</f>
        <v>22699</v>
      </c>
    </row>
    <row r="2153" spans="1:24" x14ac:dyDescent="0.25">
      <c r="A2153" s="46">
        <v>220230000163</v>
      </c>
      <c r="B2153" s="47" t="s">
        <v>507</v>
      </c>
      <c r="C2153" s="52">
        <v>44927</v>
      </c>
      <c r="D2153" s="46">
        <v>22023000796</v>
      </c>
      <c r="E2153" s="47" t="s">
        <v>1153</v>
      </c>
      <c r="F2153" s="53">
        <v>127.38</v>
      </c>
      <c r="G2153" s="47" t="s">
        <v>1621</v>
      </c>
      <c r="H2153" s="47" t="s">
        <v>3642</v>
      </c>
      <c r="I2153" s="46" t="s">
        <v>511</v>
      </c>
      <c r="J2153" s="47" t="s">
        <v>1623</v>
      </c>
      <c r="K2153" s="47" t="s">
        <v>1624</v>
      </c>
      <c r="L2153" s="47" t="s">
        <v>520</v>
      </c>
      <c r="M2153" s="47" t="s">
        <v>514</v>
      </c>
      <c r="N2153" s="47" t="s">
        <v>515</v>
      </c>
      <c r="O2153" s="45" t="s">
        <v>371</v>
      </c>
      <c r="P2153" s="44" t="s">
        <v>309</v>
      </c>
      <c r="Q2153" s="59" t="str">
        <f>MID(Tabla1[[#This Row],[Aplicación]],14,1)</f>
        <v>2</v>
      </c>
      <c r="R2153" s="35" t="s">
        <v>298</v>
      </c>
      <c r="S2153" s="59" t="str">
        <f>MID(Tabla1[[#This Row],[Aplicación]],6,2)</f>
        <v>06</v>
      </c>
      <c r="T2153" s="35" t="str">
        <f>VLOOKUP(Tabla1[[#This Row],[AREA]],Hoja1!A:B,2,FALSE)</f>
        <v>06. Educación, infancia, juventud e igualdad</v>
      </c>
      <c r="U2153" s="35" t="str">
        <f>MID(Tabla1[[#This Row],[Aplicación]],9,4)</f>
        <v>3261</v>
      </c>
      <c r="V2153" s="35" t="str">
        <f>VLOOKUP(Tabla1[[#This Row],[PROGRAMA]],Hoja1!A:B,2,FALSE)</f>
        <v>3261. Servicios complementarios de educación</v>
      </c>
      <c r="W2153" s="56" t="str">
        <f>MID(Tabla1[[#This Row],[Aplicación]],14,2)</f>
        <v>21</v>
      </c>
      <c r="X2153" s="56" t="str">
        <f>MID(Tabla1[[#This Row],[Aplicación]],14,6)</f>
        <v>213</v>
      </c>
    </row>
    <row r="2154" spans="1:24" x14ac:dyDescent="0.25">
      <c r="A2154" s="46">
        <v>220230003006</v>
      </c>
      <c r="B2154" s="47" t="s">
        <v>507</v>
      </c>
      <c r="C2154" s="52">
        <v>44970</v>
      </c>
      <c r="D2154" s="46">
        <v>22023002391</v>
      </c>
      <c r="E2154" s="47" t="s">
        <v>1965</v>
      </c>
      <c r="F2154" s="53">
        <v>6292</v>
      </c>
      <c r="G2154" s="47" t="s">
        <v>3643</v>
      </c>
      <c r="H2154" s="47" t="s">
        <v>3644</v>
      </c>
      <c r="I2154" s="46" t="s">
        <v>511</v>
      </c>
      <c r="J2154" s="47" t="s">
        <v>512</v>
      </c>
      <c r="K2154" s="47" t="s">
        <v>512</v>
      </c>
      <c r="L2154" s="47" t="s">
        <v>520</v>
      </c>
      <c r="M2154" s="47" t="s">
        <v>976</v>
      </c>
      <c r="N2154" s="47" t="s">
        <v>839</v>
      </c>
      <c r="O2154" s="45" t="s">
        <v>383</v>
      </c>
      <c r="P2154" s="44" t="s">
        <v>309</v>
      </c>
      <c r="Q2154" s="59" t="str">
        <f>MID(Tabla1[[#This Row],[Aplicación]],14,1)</f>
        <v>2</v>
      </c>
      <c r="R2154" s="35" t="s">
        <v>298</v>
      </c>
      <c r="S2154" s="59" t="str">
        <f>MID(Tabla1[[#This Row],[Aplicación]],6,2)</f>
        <v>02</v>
      </c>
      <c r="T2154" s="35" t="str">
        <f>VLOOKUP(Tabla1[[#This Row],[AREA]],Hoja1!A:B,2,FALSE)</f>
        <v>02. Planeamiento urbanístico y vivienda</v>
      </c>
      <c r="U2154" s="35" t="str">
        <f>MID(Tabla1[[#This Row],[Aplicación]],9,4)</f>
        <v>1511</v>
      </c>
      <c r="V2154" s="35" t="str">
        <f>VLOOKUP(Tabla1[[#This Row],[PROGRAMA]],Hoja1!A:B,2,FALSE)</f>
        <v>1511. Planficación y gestión del urbanismo</v>
      </c>
      <c r="W2154" s="56" t="str">
        <f>MID(Tabla1[[#This Row],[Aplicación]],14,2)</f>
        <v>22</v>
      </c>
      <c r="X2154" s="56" t="str">
        <f>MID(Tabla1[[#This Row],[Aplicación]],14,6)</f>
        <v>22706</v>
      </c>
    </row>
    <row r="2155" spans="1:24" x14ac:dyDescent="0.25">
      <c r="A2155" s="46">
        <v>220230000158</v>
      </c>
      <c r="B2155" s="47" t="s">
        <v>507</v>
      </c>
      <c r="C2155" s="52">
        <v>44927</v>
      </c>
      <c r="D2155" s="46">
        <v>22023000791</v>
      </c>
      <c r="E2155" s="47" t="s">
        <v>1241</v>
      </c>
      <c r="F2155" s="53">
        <v>730.45</v>
      </c>
      <c r="G2155" s="47" t="s">
        <v>1621</v>
      </c>
      <c r="H2155" s="47" t="s">
        <v>3645</v>
      </c>
      <c r="I2155" s="46" t="s">
        <v>511</v>
      </c>
      <c r="J2155" s="47" t="s">
        <v>1623</v>
      </c>
      <c r="K2155" s="47" t="s">
        <v>1624</v>
      </c>
      <c r="L2155" s="47" t="s">
        <v>520</v>
      </c>
      <c r="M2155" s="47" t="s">
        <v>514</v>
      </c>
      <c r="N2155" s="47" t="s">
        <v>515</v>
      </c>
      <c r="O2155" s="45" t="s">
        <v>371</v>
      </c>
      <c r="P2155" s="44" t="s">
        <v>309</v>
      </c>
      <c r="Q2155" s="59" t="str">
        <f>MID(Tabla1[[#This Row],[Aplicación]],14,1)</f>
        <v>2</v>
      </c>
      <c r="R2155" s="35" t="s">
        <v>298</v>
      </c>
      <c r="S2155" s="59" t="str">
        <f>MID(Tabla1[[#This Row],[Aplicación]],6,2)</f>
        <v>06</v>
      </c>
      <c r="T2155" s="35" t="str">
        <f>VLOOKUP(Tabla1[[#This Row],[AREA]],Hoja1!A:B,2,FALSE)</f>
        <v>06. Educación, infancia, juventud e igualdad</v>
      </c>
      <c r="U2155" s="35" t="str">
        <f>MID(Tabla1[[#This Row],[Aplicación]],9,4)</f>
        <v>3231</v>
      </c>
      <c r="V2155" s="35" t="str">
        <f>VLOOKUP(Tabla1[[#This Row],[PROGRAMA]],Hoja1!A:B,2,FALSE)</f>
        <v>3231. Escuelas infantiles</v>
      </c>
      <c r="W2155" s="56" t="str">
        <f>MID(Tabla1[[#This Row],[Aplicación]],14,2)</f>
        <v>21</v>
      </c>
      <c r="X2155" s="56" t="str">
        <f>MID(Tabla1[[#This Row],[Aplicación]],14,6)</f>
        <v>213</v>
      </c>
    </row>
    <row r="2156" spans="1:24" x14ac:dyDescent="0.25">
      <c r="A2156" s="46">
        <v>220230003009</v>
      </c>
      <c r="B2156" s="47" t="s">
        <v>507</v>
      </c>
      <c r="C2156" s="52">
        <v>44970</v>
      </c>
      <c r="D2156" s="46">
        <v>22023002362</v>
      </c>
      <c r="E2156" s="47" t="s">
        <v>1667</v>
      </c>
      <c r="F2156" s="53">
        <v>5541.8</v>
      </c>
      <c r="G2156" s="47" t="s">
        <v>3646</v>
      </c>
      <c r="H2156" s="47" t="s">
        <v>3647</v>
      </c>
      <c r="I2156" s="46" t="s">
        <v>511</v>
      </c>
      <c r="J2156" s="47" t="s">
        <v>3122</v>
      </c>
      <c r="K2156" s="47" t="s">
        <v>3123</v>
      </c>
      <c r="L2156" s="47" t="s">
        <v>552</v>
      </c>
      <c r="M2156" s="47" t="s">
        <v>976</v>
      </c>
      <c r="N2156" s="47" t="s">
        <v>839</v>
      </c>
      <c r="O2156" s="45" t="s">
        <v>383</v>
      </c>
      <c r="P2156" s="44" t="s">
        <v>309</v>
      </c>
      <c r="Q2156" s="59" t="str">
        <f>MID(Tabla1[[#This Row],[Aplicación]],14,1)</f>
        <v>2</v>
      </c>
      <c r="R2156" s="35" t="s">
        <v>298</v>
      </c>
      <c r="S2156" s="59" t="str">
        <f>MID(Tabla1[[#This Row],[Aplicación]],6,2)</f>
        <v>01</v>
      </c>
      <c r="T2156" s="35" t="str">
        <f>VLOOKUP(Tabla1[[#This Row],[AREA]],Hoja1!A:B,2,FALSE)</f>
        <v>01. Alcaldía</v>
      </c>
      <c r="U2156" s="35" t="str">
        <f>MID(Tabla1[[#This Row],[Aplicación]],9,4)</f>
        <v>9205</v>
      </c>
      <c r="V2156" s="35" t="str">
        <f>VLOOKUP(Tabla1[[#This Row],[PROGRAMA]],Hoja1!A:B,2,FALSE)</f>
        <v>9205. Imprenta municipal</v>
      </c>
      <c r="W2156" s="56" t="str">
        <f>MID(Tabla1[[#This Row],[Aplicación]],14,2)</f>
        <v>22</v>
      </c>
      <c r="X2156" s="56" t="str">
        <f>MID(Tabla1[[#This Row],[Aplicación]],14,6)</f>
        <v>22199</v>
      </c>
    </row>
    <row r="2157" spans="1:24" x14ac:dyDescent="0.25">
      <c r="A2157" s="46">
        <v>220230001955</v>
      </c>
      <c r="B2157" s="47" t="s">
        <v>507</v>
      </c>
      <c r="C2157" s="52">
        <v>44960</v>
      </c>
      <c r="D2157" s="46">
        <v>22023001379</v>
      </c>
      <c r="E2157" s="47" t="s">
        <v>1719</v>
      </c>
      <c r="F2157" s="53">
        <v>150</v>
      </c>
      <c r="G2157" s="47" t="s">
        <v>3648</v>
      </c>
      <c r="H2157" s="47" t="s">
        <v>3649</v>
      </c>
      <c r="I2157" s="46" t="s">
        <v>511</v>
      </c>
      <c r="J2157" s="47" t="s">
        <v>750</v>
      </c>
      <c r="K2157" s="47" t="s">
        <v>512</v>
      </c>
      <c r="L2157" s="47" t="s">
        <v>552</v>
      </c>
      <c r="M2157" s="47" t="s">
        <v>976</v>
      </c>
      <c r="N2157" s="47" t="s">
        <v>839</v>
      </c>
      <c r="O2157" s="45" t="s">
        <v>383</v>
      </c>
      <c r="P2157" s="44" t="s">
        <v>309</v>
      </c>
      <c r="Q2157" s="59" t="str">
        <f>MID(Tabla1[[#This Row],[Aplicación]],14,1)</f>
        <v>2</v>
      </c>
      <c r="R2157" s="35" t="s">
        <v>298</v>
      </c>
      <c r="S2157" s="59" t="str">
        <f>MID(Tabla1[[#This Row],[Aplicación]],6,2)</f>
        <v>01</v>
      </c>
      <c r="T2157" s="35" t="str">
        <f>VLOOKUP(Tabla1[[#This Row],[AREA]],Hoja1!A:B,2,FALSE)</f>
        <v>01. Alcaldía</v>
      </c>
      <c r="U2157" s="35" t="str">
        <f>MID(Tabla1[[#This Row],[Aplicación]],9,4)</f>
        <v>9206</v>
      </c>
      <c r="V2157" s="35" t="str">
        <f>VLOOKUP(Tabla1[[#This Row],[PROGRAMA]],Hoja1!A:B,2,FALSE)</f>
        <v>9206. Archivo municipal</v>
      </c>
      <c r="W2157" s="56" t="str">
        <f>MID(Tabla1[[#This Row],[Aplicación]],14,2)</f>
        <v>22</v>
      </c>
      <c r="X2157" s="56" t="str">
        <f>MID(Tabla1[[#This Row],[Aplicación]],14,6)</f>
        <v>22001</v>
      </c>
    </row>
    <row r="2158" spans="1:24" x14ac:dyDescent="0.25">
      <c r="A2158" s="46">
        <v>220229000131</v>
      </c>
      <c r="B2158" s="47" t="s">
        <v>507</v>
      </c>
      <c r="C2158" s="52">
        <v>44927</v>
      </c>
      <c r="D2158" s="46">
        <v>22023000306</v>
      </c>
      <c r="E2158" s="47" t="s">
        <v>1011</v>
      </c>
      <c r="F2158" s="53">
        <v>16777.86</v>
      </c>
      <c r="G2158" s="47" t="s">
        <v>3650</v>
      </c>
      <c r="H2158" s="47" t="s">
        <v>3651</v>
      </c>
      <c r="I2158" s="46" t="s">
        <v>511</v>
      </c>
      <c r="J2158" s="47" t="s">
        <v>519</v>
      </c>
      <c r="K2158" s="47" t="s">
        <v>519</v>
      </c>
      <c r="L2158" s="47" t="s">
        <v>520</v>
      </c>
      <c r="M2158" s="47" t="s">
        <v>514</v>
      </c>
      <c r="N2158" s="47" t="s">
        <v>515</v>
      </c>
      <c r="O2158" s="45" t="s">
        <v>371</v>
      </c>
      <c r="P2158" s="44" t="s">
        <v>309</v>
      </c>
      <c r="Q2158" s="59" t="str">
        <f>MID(Tabla1[[#This Row],[Aplicación]],14,1)</f>
        <v>2</v>
      </c>
      <c r="R2158" s="35" t="s">
        <v>298</v>
      </c>
      <c r="S2158" s="59" t="str">
        <f>MID(Tabla1[[#This Row],[Aplicación]],6,2)</f>
        <v>09</v>
      </c>
      <c r="T2158" s="35" t="str">
        <f>VLOOKUP(Tabla1[[#This Row],[AREA]],Hoja1!A:B,2,FALSE)</f>
        <v>09. Cultura y turismo</v>
      </c>
      <c r="U2158" s="35" t="str">
        <f>MID(Tabla1[[#This Row],[Aplicación]],9,4)</f>
        <v>3341</v>
      </c>
      <c r="V2158" s="35" t="str">
        <f>VLOOKUP(Tabla1[[#This Row],[PROGRAMA]],Hoja1!A:B,2,FALSE)</f>
        <v>3341. Coordinación de políticas culturales</v>
      </c>
      <c r="W2158" s="56" t="str">
        <f>MID(Tabla1[[#This Row],[Aplicación]],14,2)</f>
        <v>22</v>
      </c>
      <c r="X2158" s="56" t="str">
        <f>MID(Tabla1[[#This Row],[Aplicación]],14,6)</f>
        <v>22609</v>
      </c>
    </row>
    <row r="2159" spans="1:24" x14ac:dyDescent="0.25">
      <c r="A2159" s="46">
        <v>220230006734</v>
      </c>
      <c r="B2159" s="47" t="s">
        <v>507</v>
      </c>
      <c r="C2159" s="52">
        <v>44986</v>
      </c>
      <c r="D2159" s="46">
        <v>22023002646</v>
      </c>
      <c r="E2159" s="47" t="s">
        <v>1344</v>
      </c>
      <c r="F2159" s="53">
        <v>1900</v>
      </c>
      <c r="G2159" s="47" t="s">
        <v>3650</v>
      </c>
      <c r="H2159" s="47" t="s">
        <v>3652</v>
      </c>
      <c r="I2159" s="46" t="s">
        <v>511</v>
      </c>
      <c r="J2159" s="47" t="s">
        <v>519</v>
      </c>
      <c r="K2159" s="47" t="s">
        <v>519</v>
      </c>
      <c r="L2159" s="47" t="s">
        <v>520</v>
      </c>
      <c r="M2159" s="47" t="s">
        <v>976</v>
      </c>
      <c r="N2159" s="47" t="s">
        <v>839</v>
      </c>
      <c r="O2159" s="45" t="s">
        <v>383</v>
      </c>
      <c r="P2159" s="44" t="s">
        <v>309</v>
      </c>
      <c r="Q2159" s="59" t="str">
        <f>MID(Tabla1[[#This Row],[Aplicación]],14,1)</f>
        <v>2</v>
      </c>
      <c r="R2159" s="35" t="s">
        <v>298</v>
      </c>
      <c r="S2159" s="59" t="str">
        <f>MID(Tabla1[[#This Row],[Aplicación]],6,2)</f>
        <v>10</v>
      </c>
      <c r="T2159" s="35" t="str">
        <f>VLOOKUP(Tabla1[[#This Row],[AREA]],Hoja1!A:B,2,FALSE)</f>
        <v>10. Servicios sociales y mediación comunitaria</v>
      </c>
      <c r="U2159" s="35" t="str">
        <f>MID(Tabla1[[#This Row],[Aplicación]],9,4)</f>
        <v>2312</v>
      </c>
      <c r="V2159" s="35" t="str">
        <f>VLOOKUP(Tabla1[[#This Row],[PROGRAMA]],Hoja1!A:B,2,FALSE)</f>
        <v>2312. Iniciativas sociales</v>
      </c>
      <c r="W2159" s="56" t="str">
        <f>MID(Tabla1[[#This Row],[Aplicación]],14,2)</f>
        <v>22</v>
      </c>
      <c r="X2159" s="56" t="str">
        <f>MID(Tabla1[[#This Row],[Aplicación]],14,6)</f>
        <v>22606</v>
      </c>
    </row>
    <row r="2160" spans="1:24" x14ac:dyDescent="0.25">
      <c r="A2160" s="46">
        <v>220230002087</v>
      </c>
      <c r="B2160" s="47" t="s">
        <v>507</v>
      </c>
      <c r="C2160" s="52">
        <v>44963</v>
      </c>
      <c r="D2160" s="46">
        <v>22023002100</v>
      </c>
      <c r="E2160" s="47" t="s">
        <v>2387</v>
      </c>
      <c r="F2160" s="53">
        <v>7260</v>
      </c>
      <c r="G2160" s="47" t="s">
        <v>3653</v>
      </c>
      <c r="H2160" s="47" t="s">
        <v>3654</v>
      </c>
      <c r="I2160" s="46" t="s">
        <v>511</v>
      </c>
      <c r="J2160" s="47" t="s">
        <v>519</v>
      </c>
      <c r="K2160" s="47" t="s">
        <v>519</v>
      </c>
      <c r="L2160" s="47" t="s">
        <v>520</v>
      </c>
      <c r="M2160" s="47" t="s">
        <v>976</v>
      </c>
      <c r="N2160" s="47" t="s">
        <v>839</v>
      </c>
      <c r="O2160" s="45" t="s">
        <v>383</v>
      </c>
      <c r="P2160" s="44" t="s">
        <v>309</v>
      </c>
      <c r="Q2160" s="59" t="str">
        <f>MID(Tabla1[[#This Row],[Aplicación]],14,1)</f>
        <v>2</v>
      </c>
      <c r="R2160" s="35" t="s">
        <v>298</v>
      </c>
      <c r="S2160" s="59" t="str">
        <f>MID(Tabla1[[#This Row],[Aplicación]],6,2)</f>
        <v>11</v>
      </c>
      <c r="T2160" s="35" t="str">
        <f>VLOOKUP(Tabla1[[#This Row],[AREA]],Hoja1!A:B,2,FALSE)</f>
        <v>11. Salud pública y seguridad ciudadana</v>
      </c>
      <c r="U2160" s="35" t="str">
        <f>MID(Tabla1[[#This Row],[Aplicación]],9,4)</f>
        <v>3111</v>
      </c>
      <c r="V2160" s="35" t="str">
        <f>VLOOKUP(Tabla1[[#This Row],[PROGRAMA]],Hoja1!A:B,2,FALSE)</f>
        <v>3111. Protección de la salubridad pública</v>
      </c>
      <c r="W2160" s="56" t="str">
        <f>MID(Tabla1[[#This Row],[Aplicación]],14,2)</f>
        <v>22</v>
      </c>
      <c r="X2160" s="56" t="str">
        <f>MID(Tabla1[[#This Row],[Aplicación]],14,6)</f>
        <v>22606</v>
      </c>
    </row>
    <row r="2161" spans="1:24" x14ac:dyDescent="0.25">
      <c r="A2161" s="46">
        <v>220230000161</v>
      </c>
      <c r="B2161" s="47" t="s">
        <v>507</v>
      </c>
      <c r="C2161" s="52">
        <v>44927</v>
      </c>
      <c r="D2161" s="46">
        <v>22023000794</v>
      </c>
      <c r="E2161" s="47" t="s">
        <v>1155</v>
      </c>
      <c r="F2161" s="53">
        <v>81.06</v>
      </c>
      <c r="G2161" s="47" t="s">
        <v>1621</v>
      </c>
      <c r="H2161" s="47" t="s">
        <v>3655</v>
      </c>
      <c r="I2161" s="46" t="s">
        <v>511</v>
      </c>
      <c r="J2161" s="47" t="s">
        <v>1623</v>
      </c>
      <c r="K2161" s="47" t="s">
        <v>1624</v>
      </c>
      <c r="L2161" s="47" t="s">
        <v>520</v>
      </c>
      <c r="M2161" s="47" t="s">
        <v>514</v>
      </c>
      <c r="N2161" s="47" t="s">
        <v>515</v>
      </c>
      <c r="O2161" s="45" t="s">
        <v>371</v>
      </c>
      <c r="P2161" s="44" t="s">
        <v>309</v>
      </c>
      <c r="Q2161" s="59" t="str">
        <f>MID(Tabla1[[#This Row],[Aplicación]],14,1)</f>
        <v>2</v>
      </c>
      <c r="R2161" s="35" t="s">
        <v>298</v>
      </c>
      <c r="S2161" s="59" t="str">
        <f>MID(Tabla1[[#This Row],[Aplicación]],6,2)</f>
        <v>06</v>
      </c>
      <c r="T2161" s="35" t="str">
        <f>VLOOKUP(Tabla1[[#This Row],[AREA]],Hoja1!A:B,2,FALSE)</f>
        <v>06. Educación, infancia, juventud e igualdad</v>
      </c>
      <c r="U2161" s="35" t="str">
        <f>MID(Tabla1[[#This Row],[Aplicación]],9,4)</f>
        <v>2314</v>
      </c>
      <c r="V2161" s="35" t="str">
        <f>VLOOKUP(Tabla1[[#This Row],[PROGRAMA]],Hoja1!A:B,2,FALSE)</f>
        <v>2314. Centro de programas juveniles</v>
      </c>
      <c r="W2161" s="56" t="str">
        <f>MID(Tabla1[[#This Row],[Aplicación]],14,2)</f>
        <v>21</v>
      </c>
      <c r="X2161" s="56" t="str">
        <f>MID(Tabla1[[#This Row],[Aplicación]],14,6)</f>
        <v>213</v>
      </c>
    </row>
    <row r="2162" spans="1:24" x14ac:dyDescent="0.25">
      <c r="A2162" s="46">
        <v>220230004187</v>
      </c>
      <c r="B2162" s="47" t="s">
        <v>507</v>
      </c>
      <c r="C2162" s="52">
        <v>44977</v>
      </c>
      <c r="D2162" s="46">
        <v>22023002532</v>
      </c>
      <c r="E2162" s="47" t="s">
        <v>936</v>
      </c>
      <c r="F2162" s="53">
        <v>89.39</v>
      </c>
      <c r="G2162" s="47" t="s">
        <v>3656</v>
      </c>
      <c r="H2162" s="47" t="s">
        <v>3657</v>
      </c>
      <c r="I2162" s="46" t="s">
        <v>511</v>
      </c>
      <c r="J2162" s="47" t="s">
        <v>947</v>
      </c>
      <c r="K2162" s="47" t="s">
        <v>947</v>
      </c>
      <c r="L2162" s="47" t="s">
        <v>520</v>
      </c>
      <c r="M2162" s="47" t="s">
        <v>976</v>
      </c>
      <c r="N2162" s="47" t="s">
        <v>839</v>
      </c>
      <c r="O2162" s="45" t="s">
        <v>383</v>
      </c>
      <c r="P2162" s="44" t="s">
        <v>309</v>
      </c>
      <c r="Q2162" s="59" t="str">
        <f>MID(Tabla1[[#This Row],[Aplicación]],14,1)</f>
        <v>2</v>
      </c>
      <c r="R2162" s="35" t="s">
        <v>298</v>
      </c>
      <c r="S2162" s="59" t="str">
        <f>MID(Tabla1[[#This Row],[Aplicación]],6,2)</f>
        <v>04</v>
      </c>
      <c r="T2162" s="35" t="str">
        <f>VLOOKUP(Tabla1[[#This Row],[AREA]],Hoja1!A:B,2,FALSE)</f>
        <v>04. Planificación y recursos</v>
      </c>
      <c r="U2162" s="35" t="str">
        <f>MID(Tabla1[[#This Row],[Aplicación]],9,4)</f>
        <v>9341</v>
      </c>
      <c r="V2162" s="35" t="str">
        <f>VLOOKUP(Tabla1[[#This Row],[PROGRAMA]],Hoja1!A:B,2,FALSE)</f>
        <v>9341. Tesorería y recaudación</v>
      </c>
      <c r="W2162" s="56" t="str">
        <f>MID(Tabla1[[#This Row],[Aplicación]],14,2)</f>
        <v>22</v>
      </c>
      <c r="X2162" s="56" t="str">
        <f>MID(Tabla1[[#This Row],[Aplicación]],14,6)</f>
        <v>22699</v>
      </c>
    </row>
    <row r="2163" spans="1:24" x14ac:dyDescent="0.25">
      <c r="A2163" s="46">
        <v>220230008087</v>
      </c>
      <c r="B2163" s="47" t="s">
        <v>1249</v>
      </c>
      <c r="C2163" s="52">
        <v>44994</v>
      </c>
      <c r="D2163" s="46">
        <v>22023002667</v>
      </c>
      <c r="E2163" s="47" t="s">
        <v>2466</v>
      </c>
      <c r="F2163" s="53">
        <v>1447.75</v>
      </c>
      <c r="G2163" s="47" t="s">
        <v>409</v>
      </c>
      <c r="H2163" s="47" t="s">
        <v>3658</v>
      </c>
      <c r="I2163" s="46" t="s">
        <v>1251</v>
      </c>
      <c r="J2163" s="47" t="s">
        <v>519</v>
      </c>
      <c r="K2163" s="47" t="s">
        <v>519</v>
      </c>
      <c r="L2163" s="47" t="s">
        <v>520</v>
      </c>
      <c r="M2163" s="47" t="s">
        <v>976</v>
      </c>
      <c r="N2163" s="47" t="s">
        <v>839</v>
      </c>
      <c r="O2163" s="54" t="s">
        <v>383</v>
      </c>
      <c r="P2163" s="44" t="s">
        <v>309</v>
      </c>
      <c r="Q2163" s="59" t="str">
        <f>MID(Tabla1[[#This Row],[Aplicación]],14,1)</f>
        <v>2</v>
      </c>
      <c r="R2163" s="35" t="s">
        <v>298</v>
      </c>
      <c r="S2163" s="59" t="str">
        <f>MID(Tabla1[[#This Row],[Aplicación]],6,2)</f>
        <v>11</v>
      </c>
      <c r="T2163" s="35" t="str">
        <f>VLOOKUP(Tabla1[[#This Row],[AREA]],Hoja1!A:B,2,FALSE)</f>
        <v>11. Salud pública y seguridad ciudadana</v>
      </c>
      <c r="U2163" s="35" t="str">
        <f>MID(Tabla1[[#This Row],[Aplicación]],9,4)</f>
        <v>1351</v>
      </c>
      <c r="V2163" s="35" t="str">
        <f>VLOOKUP(Tabla1[[#This Row],[PROGRAMA]],Hoja1!A:B,2,FALSE)</f>
        <v>1351. Protección civil</v>
      </c>
      <c r="W2163" s="56" t="str">
        <f>MID(Tabla1[[#This Row],[Aplicación]],14,2)</f>
        <v>22</v>
      </c>
      <c r="X2163" s="56" t="str">
        <f>MID(Tabla1[[#This Row],[Aplicación]],14,6)</f>
        <v>224</v>
      </c>
    </row>
    <row r="2164" spans="1:24" x14ac:dyDescent="0.25">
      <c r="A2164" s="55">
        <v>220230011767</v>
      </c>
      <c r="B2164" s="47" t="s">
        <v>507</v>
      </c>
      <c r="C2164" s="52">
        <v>45014</v>
      </c>
      <c r="D2164" s="46">
        <v>22023003079</v>
      </c>
      <c r="E2164" s="47" t="s">
        <v>1341</v>
      </c>
      <c r="F2164" s="53">
        <v>1815</v>
      </c>
      <c r="G2164" s="47" t="s">
        <v>3659</v>
      </c>
      <c r="H2164" s="47" t="s">
        <v>3660</v>
      </c>
      <c r="I2164" s="46" t="s">
        <v>2168</v>
      </c>
      <c r="J2164" s="47" t="s">
        <v>519</v>
      </c>
      <c r="K2164" s="47" t="s">
        <v>519</v>
      </c>
      <c r="L2164" s="47" t="s">
        <v>520</v>
      </c>
      <c r="M2164" s="47" t="s">
        <v>514</v>
      </c>
      <c r="N2164" s="47" t="s">
        <v>515</v>
      </c>
      <c r="O2164" s="54" t="s">
        <v>382</v>
      </c>
      <c r="P2164" s="44" t="s">
        <v>309</v>
      </c>
      <c r="Q2164" s="59" t="str">
        <f>MID(Tabla1[[#This Row],[Aplicación]],14,1)</f>
        <v>2</v>
      </c>
      <c r="R2164" s="35" t="s">
        <v>298</v>
      </c>
      <c r="S2164" s="59" t="str">
        <f>MID(Tabla1[[#This Row],[Aplicación]],6,2)</f>
        <v>05</v>
      </c>
      <c r="T2164" s="35" t="str">
        <f>VLOOKUP(Tabla1[[#This Row],[AREA]],Hoja1!A:B,2,FALSE)</f>
        <v>05. Innovación, desarrollo económico, empleo y comercio</v>
      </c>
      <c r="U2164" s="35" t="str">
        <f>MID(Tabla1[[#This Row],[Aplicación]],9,4)</f>
        <v>4331</v>
      </c>
      <c r="V2164" s="35" t="str">
        <f>VLOOKUP(Tabla1[[#This Row],[PROGRAMA]],Hoja1!A:B,2,FALSE)</f>
        <v>4331. Desarrollo empresarial</v>
      </c>
      <c r="W2164" s="56" t="str">
        <f>MID(Tabla1[[#This Row],[Aplicación]],14,2)</f>
        <v>22</v>
      </c>
      <c r="X2164" s="56" t="str">
        <f>MID(Tabla1[[#This Row],[Aplicación]],14,6)</f>
        <v>22602</v>
      </c>
    </row>
    <row r="2165" spans="1:24" x14ac:dyDescent="0.25">
      <c r="A2165" s="55">
        <v>220210088318</v>
      </c>
      <c r="B2165" s="47" t="s">
        <v>507</v>
      </c>
      <c r="C2165" s="52">
        <v>45014</v>
      </c>
      <c r="D2165" s="46">
        <v>22021005678</v>
      </c>
      <c r="E2165" s="47" t="s">
        <v>561</v>
      </c>
      <c r="F2165" s="53">
        <v>733.32</v>
      </c>
      <c r="G2165" s="47" t="s">
        <v>3661</v>
      </c>
      <c r="H2165" s="47" t="s">
        <v>3662</v>
      </c>
      <c r="I2165" s="46" t="s">
        <v>511</v>
      </c>
      <c r="J2165" s="47" t="s">
        <v>3663</v>
      </c>
      <c r="K2165" s="47" t="s">
        <v>545</v>
      </c>
      <c r="L2165" s="47" t="s">
        <v>520</v>
      </c>
      <c r="M2165" s="47" t="s">
        <v>514</v>
      </c>
      <c r="N2165" s="47" t="s">
        <v>604</v>
      </c>
      <c r="O2165" s="54" t="s">
        <v>382</v>
      </c>
      <c r="P2165" s="44" t="s">
        <v>309</v>
      </c>
      <c r="Q2165" s="59">
        <v>6</v>
      </c>
      <c r="R2165" s="35" t="s">
        <v>299</v>
      </c>
      <c r="S2165" s="59" t="str">
        <f>MID(Tabla1[[#This Row],[Aplicación]],6,2)</f>
        <v>08</v>
      </c>
      <c r="T2165" s="35" t="str">
        <f>VLOOKUP(Tabla1[[#This Row],[AREA]],Hoja1!A:B,2,FALSE)</f>
        <v>08. Movilidad y espacio urbano</v>
      </c>
      <c r="U2165" s="56">
        <v>1341</v>
      </c>
      <c r="V2165" s="35" t="str">
        <f>VLOOKUP(Tabla1[[#This Row],[PROGRAMA]],Hoja1!A:B,2,FALSE)</f>
        <v>1341. Movilidad</v>
      </c>
      <c r="W2165" s="56">
        <v>60</v>
      </c>
      <c r="X2165" s="56">
        <v>609</v>
      </c>
    </row>
    <row r="2166" spans="1:24" x14ac:dyDescent="0.25">
      <c r="A2166" s="55">
        <v>220219001270</v>
      </c>
      <c r="B2166" s="47" t="s">
        <v>507</v>
      </c>
      <c r="C2166" s="52">
        <v>45014</v>
      </c>
      <c r="D2166" s="46">
        <v>22022001993</v>
      </c>
      <c r="E2166" s="47" t="s">
        <v>561</v>
      </c>
      <c r="F2166" s="53">
        <v>3395.57</v>
      </c>
      <c r="G2166" s="47" t="s">
        <v>3661</v>
      </c>
      <c r="H2166" s="47" t="s">
        <v>3664</v>
      </c>
      <c r="I2166" s="46" t="s">
        <v>511</v>
      </c>
      <c r="J2166" s="47" t="s">
        <v>3663</v>
      </c>
      <c r="K2166" s="47" t="s">
        <v>545</v>
      </c>
      <c r="L2166" s="47" t="s">
        <v>520</v>
      </c>
      <c r="M2166" s="47" t="s">
        <v>514</v>
      </c>
      <c r="N2166" s="47" t="s">
        <v>604</v>
      </c>
      <c r="O2166" s="54" t="s">
        <v>382</v>
      </c>
      <c r="P2166" s="44" t="s">
        <v>309</v>
      </c>
      <c r="Q2166" s="59">
        <v>6</v>
      </c>
      <c r="R2166" s="35" t="s">
        <v>299</v>
      </c>
      <c r="S2166" s="59" t="str">
        <f>MID(Tabla1[[#This Row],[Aplicación]],6,2)</f>
        <v>08</v>
      </c>
      <c r="T2166" s="35" t="str">
        <f>VLOOKUP(Tabla1[[#This Row],[AREA]],Hoja1!A:B,2,FALSE)</f>
        <v>08. Movilidad y espacio urbano</v>
      </c>
      <c r="U2166" s="56">
        <v>1341</v>
      </c>
      <c r="V2166" s="35" t="str">
        <f>VLOOKUP(Tabla1[[#This Row],[PROGRAMA]],Hoja1!A:B,2,FALSE)</f>
        <v>1341. Movilidad</v>
      </c>
      <c r="W2166" s="56">
        <v>60</v>
      </c>
      <c r="X2166" s="56">
        <v>609</v>
      </c>
    </row>
    <row r="2167" spans="1:24" x14ac:dyDescent="0.25">
      <c r="A2167" s="55">
        <v>220230011769</v>
      </c>
      <c r="B2167" s="47" t="s">
        <v>507</v>
      </c>
      <c r="C2167" s="52">
        <v>45014</v>
      </c>
      <c r="D2167" s="46">
        <v>22023003079</v>
      </c>
      <c r="E2167" s="47" t="s">
        <v>1341</v>
      </c>
      <c r="F2167" s="53">
        <v>2718.14</v>
      </c>
      <c r="G2167" s="47" t="s">
        <v>2728</v>
      </c>
      <c r="H2167" s="47" t="s">
        <v>3665</v>
      </c>
      <c r="I2167" s="46" t="s">
        <v>2168</v>
      </c>
      <c r="J2167" s="47" t="s">
        <v>519</v>
      </c>
      <c r="K2167" s="47" t="s">
        <v>519</v>
      </c>
      <c r="L2167" s="47" t="s">
        <v>520</v>
      </c>
      <c r="M2167" s="47" t="s">
        <v>514</v>
      </c>
      <c r="N2167" s="47" t="s">
        <v>515</v>
      </c>
      <c r="O2167" s="54" t="s">
        <v>382</v>
      </c>
      <c r="P2167" s="44" t="s">
        <v>309</v>
      </c>
      <c r="Q2167" s="59" t="str">
        <f>MID(Tabla1[[#This Row],[Aplicación]],14,1)</f>
        <v>2</v>
      </c>
      <c r="R2167" s="35" t="s">
        <v>298</v>
      </c>
      <c r="S2167" s="59" t="str">
        <f>MID(Tabla1[[#This Row],[Aplicación]],6,2)</f>
        <v>05</v>
      </c>
      <c r="T2167" s="35" t="str">
        <f>VLOOKUP(Tabla1[[#This Row],[AREA]],Hoja1!A:B,2,FALSE)</f>
        <v>05. Innovación, desarrollo económico, empleo y comercio</v>
      </c>
      <c r="U2167" s="35" t="str">
        <f>MID(Tabla1[[#This Row],[Aplicación]],9,4)</f>
        <v>4331</v>
      </c>
      <c r="V2167" s="35" t="str">
        <f>VLOOKUP(Tabla1[[#This Row],[PROGRAMA]],Hoja1!A:B,2,FALSE)</f>
        <v>4331. Desarrollo empresarial</v>
      </c>
      <c r="W2167" s="56" t="str">
        <f>MID(Tabla1[[#This Row],[Aplicación]],14,2)</f>
        <v>22</v>
      </c>
      <c r="X2167" s="56" t="str">
        <f>MID(Tabla1[[#This Row],[Aplicación]],14,6)</f>
        <v>22602</v>
      </c>
    </row>
    <row r="2168" spans="1:24" x14ac:dyDescent="0.25">
      <c r="A2168" s="55">
        <v>220230011772</v>
      </c>
      <c r="B2168" s="47" t="s">
        <v>507</v>
      </c>
      <c r="C2168" s="52">
        <v>45014</v>
      </c>
      <c r="D2168" s="46">
        <v>22023003079</v>
      </c>
      <c r="E2168" s="47" t="s">
        <v>1341</v>
      </c>
      <c r="F2168" s="53">
        <v>3025</v>
      </c>
      <c r="G2168" s="47" t="s">
        <v>341</v>
      </c>
      <c r="H2168" s="47" t="s">
        <v>3340</v>
      </c>
      <c r="I2168" s="46" t="s">
        <v>2168</v>
      </c>
      <c r="J2168" s="47" t="s">
        <v>519</v>
      </c>
      <c r="K2168" s="47" t="s">
        <v>519</v>
      </c>
      <c r="L2168" s="47" t="s">
        <v>520</v>
      </c>
      <c r="M2168" s="47" t="s">
        <v>514</v>
      </c>
      <c r="N2168" s="47" t="s">
        <v>515</v>
      </c>
      <c r="O2168" s="54" t="s">
        <v>382</v>
      </c>
      <c r="P2168" s="44" t="s">
        <v>309</v>
      </c>
      <c r="Q2168" s="59" t="str">
        <f>MID(Tabla1[[#This Row],[Aplicación]],14,1)</f>
        <v>2</v>
      </c>
      <c r="R2168" s="35" t="s">
        <v>298</v>
      </c>
      <c r="S2168" s="59" t="str">
        <f>MID(Tabla1[[#This Row],[Aplicación]],6,2)</f>
        <v>05</v>
      </c>
      <c r="T2168" s="35" t="str">
        <f>VLOOKUP(Tabla1[[#This Row],[AREA]],Hoja1!A:B,2,FALSE)</f>
        <v>05. Innovación, desarrollo económico, empleo y comercio</v>
      </c>
      <c r="U2168" s="35" t="str">
        <f>MID(Tabla1[[#This Row],[Aplicación]],9,4)</f>
        <v>4331</v>
      </c>
      <c r="V2168" s="35" t="str">
        <f>VLOOKUP(Tabla1[[#This Row],[PROGRAMA]],Hoja1!A:B,2,FALSE)</f>
        <v>4331. Desarrollo empresarial</v>
      </c>
      <c r="W2168" s="56" t="str">
        <f>MID(Tabla1[[#This Row],[Aplicación]],14,2)</f>
        <v>22</v>
      </c>
      <c r="X2168" s="56" t="str">
        <f>MID(Tabla1[[#This Row],[Aplicación]],14,6)</f>
        <v>22602</v>
      </c>
    </row>
    <row r="2169" spans="1:24" x14ac:dyDescent="0.25">
      <c r="A2169" s="55">
        <v>220230011768</v>
      </c>
      <c r="B2169" s="47" t="s">
        <v>507</v>
      </c>
      <c r="C2169" s="52">
        <v>45014</v>
      </c>
      <c r="D2169" s="46">
        <v>22023003079</v>
      </c>
      <c r="E2169" s="47" t="s">
        <v>1341</v>
      </c>
      <c r="F2169" s="53">
        <v>3025</v>
      </c>
      <c r="G2169" s="47" t="s">
        <v>2729</v>
      </c>
      <c r="H2169" s="47" t="s">
        <v>3666</v>
      </c>
      <c r="I2169" s="46" t="s">
        <v>2168</v>
      </c>
      <c r="J2169" s="47" t="s">
        <v>519</v>
      </c>
      <c r="K2169" s="47" t="s">
        <v>519</v>
      </c>
      <c r="L2169" s="47" t="s">
        <v>520</v>
      </c>
      <c r="M2169" s="47" t="s">
        <v>514</v>
      </c>
      <c r="N2169" s="47" t="s">
        <v>515</v>
      </c>
      <c r="O2169" s="54" t="s">
        <v>382</v>
      </c>
      <c r="P2169" s="44" t="s">
        <v>309</v>
      </c>
      <c r="Q2169" s="59" t="str">
        <f>MID(Tabla1[[#This Row],[Aplicación]],14,1)</f>
        <v>2</v>
      </c>
      <c r="R2169" s="35" t="s">
        <v>298</v>
      </c>
      <c r="S2169" s="59" t="str">
        <f>MID(Tabla1[[#This Row],[Aplicación]],6,2)</f>
        <v>05</v>
      </c>
      <c r="T2169" s="35" t="str">
        <f>VLOOKUP(Tabla1[[#This Row],[AREA]],Hoja1!A:B,2,FALSE)</f>
        <v>05. Innovación, desarrollo económico, empleo y comercio</v>
      </c>
      <c r="U2169" s="35" t="str">
        <f>MID(Tabla1[[#This Row],[Aplicación]],9,4)</f>
        <v>4331</v>
      </c>
      <c r="V2169" s="35" t="str">
        <f>VLOOKUP(Tabla1[[#This Row],[PROGRAMA]],Hoja1!A:B,2,FALSE)</f>
        <v>4331. Desarrollo empresarial</v>
      </c>
      <c r="W2169" s="56" t="str">
        <f>MID(Tabla1[[#This Row],[Aplicación]],14,2)</f>
        <v>22</v>
      </c>
      <c r="X2169" s="56" t="str">
        <f>MID(Tabla1[[#This Row],[Aplicación]],14,6)</f>
        <v>22602</v>
      </c>
    </row>
    <row r="2170" spans="1:24" x14ac:dyDescent="0.25">
      <c r="A2170" s="55">
        <v>220220074965</v>
      </c>
      <c r="B2170" s="47" t="s">
        <v>507</v>
      </c>
      <c r="C2170" s="52">
        <v>45014</v>
      </c>
      <c r="D2170" s="46">
        <v>22022007804</v>
      </c>
      <c r="E2170" s="47" t="s">
        <v>3667</v>
      </c>
      <c r="F2170" s="53">
        <v>17136.02</v>
      </c>
      <c r="G2170" s="47" t="s">
        <v>3668</v>
      </c>
      <c r="H2170" s="47" t="s">
        <v>3669</v>
      </c>
      <c r="I2170" s="46" t="s">
        <v>511</v>
      </c>
      <c r="J2170" s="47" t="s">
        <v>519</v>
      </c>
      <c r="K2170" s="47" t="s">
        <v>519</v>
      </c>
      <c r="L2170" s="47" t="s">
        <v>520</v>
      </c>
      <c r="M2170" s="47" t="s">
        <v>976</v>
      </c>
      <c r="N2170" s="47" t="s">
        <v>839</v>
      </c>
      <c r="O2170" s="54" t="s">
        <v>383</v>
      </c>
      <c r="P2170" s="44" t="s">
        <v>309</v>
      </c>
      <c r="Q2170" s="59" t="str">
        <f>MID(Tabla1[[#This Row],[Aplicación]],14,1)</f>
        <v>6</v>
      </c>
      <c r="R2170" s="35" t="s">
        <v>299</v>
      </c>
      <c r="S2170" s="59" t="str">
        <f>MID(Tabla1[[#This Row],[Aplicación]],6,2)</f>
        <v>09</v>
      </c>
      <c r="T2170" s="35" t="str">
        <f>VLOOKUP(Tabla1[[#This Row],[AREA]],Hoja1!A:B,2,FALSE)</f>
        <v>09. Cultura y turismo</v>
      </c>
      <c r="U2170" s="35" t="str">
        <f>MID(Tabla1[[#This Row],[Aplicación]],9,4)</f>
        <v>3341</v>
      </c>
      <c r="V2170" s="35" t="str">
        <f>VLOOKUP(Tabla1[[#This Row],[PROGRAMA]],Hoja1!A:B,2,FALSE)</f>
        <v>3341. Coordinación de políticas culturales</v>
      </c>
      <c r="W2170" s="56" t="str">
        <f>MID(Tabla1[[#This Row],[Aplicación]],14,2)</f>
        <v>61</v>
      </c>
      <c r="X2170" s="56" t="str">
        <f>MID(Tabla1[[#This Row],[Aplicación]],14,6)</f>
        <v>619</v>
      </c>
    </row>
    <row r="2171" spans="1:24" x14ac:dyDescent="0.25">
      <c r="A2171" s="55">
        <v>220230011676</v>
      </c>
      <c r="B2171" s="47" t="s">
        <v>507</v>
      </c>
      <c r="C2171" s="52">
        <v>45013</v>
      </c>
      <c r="D2171" s="46">
        <v>22023003078</v>
      </c>
      <c r="E2171" s="47" t="s">
        <v>835</v>
      </c>
      <c r="F2171" s="53">
        <v>2420</v>
      </c>
      <c r="G2171" s="47" t="s">
        <v>3670</v>
      </c>
      <c r="H2171" s="47" t="s">
        <v>3671</v>
      </c>
      <c r="I2171" s="46" t="s">
        <v>2168</v>
      </c>
      <c r="J2171" s="47" t="s">
        <v>519</v>
      </c>
      <c r="K2171" s="47" t="s">
        <v>519</v>
      </c>
      <c r="L2171" s="47" t="s">
        <v>520</v>
      </c>
      <c r="M2171" s="47" t="s">
        <v>976</v>
      </c>
      <c r="N2171" s="47" t="s">
        <v>839</v>
      </c>
      <c r="O2171" s="54" t="s">
        <v>383</v>
      </c>
      <c r="P2171" s="44" t="s">
        <v>309</v>
      </c>
      <c r="Q2171" s="59" t="str">
        <f>MID(Tabla1[[#This Row],[Aplicación]],14,1)</f>
        <v>2</v>
      </c>
      <c r="R2171" s="35" t="s">
        <v>298</v>
      </c>
      <c r="S2171" s="59" t="str">
        <f>MID(Tabla1[[#This Row],[Aplicación]],6,2)</f>
        <v>05</v>
      </c>
      <c r="T2171" s="35" t="str">
        <f>VLOOKUP(Tabla1[[#This Row],[AREA]],Hoja1!A:B,2,FALSE)</f>
        <v>05. Innovación, desarrollo económico, empleo y comercio</v>
      </c>
      <c r="U2171" s="35" t="str">
        <f>MID(Tabla1[[#This Row],[Aplicación]],9,4)</f>
        <v>4331</v>
      </c>
      <c r="V2171" s="35" t="str">
        <f>VLOOKUP(Tabla1[[#This Row],[PROGRAMA]],Hoja1!A:B,2,FALSE)</f>
        <v>4331. Desarrollo empresarial</v>
      </c>
      <c r="W2171" s="56" t="str">
        <f>MID(Tabla1[[#This Row],[Aplicación]],14,2)</f>
        <v>22</v>
      </c>
      <c r="X2171" s="56" t="str">
        <f>MID(Tabla1[[#This Row],[Aplicación]],14,6)</f>
        <v>22799</v>
      </c>
    </row>
    <row r="2172" spans="1:24" x14ac:dyDescent="0.25">
      <c r="A2172" s="55">
        <v>220230009486</v>
      </c>
      <c r="B2172" s="47" t="s">
        <v>507</v>
      </c>
      <c r="C2172" s="52">
        <v>45006</v>
      </c>
      <c r="D2172" s="46">
        <v>22023003190</v>
      </c>
      <c r="E2172" s="47" t="s">
        <v>1183</v>
      </c>
      <c r="F2172" s="53">
        <v>1149.5</v>
      </c>
      <c r="G2172" s="47" t="s">
        <v>3672</v>
      </c>
      <c r="H2172" s="47" t="s">
        <v>3673</v>
      </c>
      <c r="I2172" s="46" t="s">
        <v>511</v>
      </c>
      <c r="J2172" s="47" t="s">
        <v>519</v>
      </c>
      <c r="K2172" s="47" t="s">
        <v>519</v>
      </c>
      <c r="L2172" s="47" t="s">
        <v>652</v>
      </c>
      <c r="M2172" s="47" t="s">
        <v>976</v>
      </c>
      <c r="N2172" s="47" t="s">
        <v>839</v>
      </c>
      <c r="O2172" s="54" t="s">
        <v>383</v>
      </c>
      <c r="P2172" s="44" t="s">
        <v>309</v>
      </c>
      <c r="Q2172" s="59" t="str">
        <f>MID(Tabla1[[#This Row],[Aplicación]],14,1)</f>
        <v>2</v>
      </c>
      <c r="R2172" s="35" t="s">
        <v>298</v>
      </c>
      <c r="S2172" s="59" t="str">
        <f>MID(Tabla1[[#This Row],[Aplicación]],6,2)</f>
        <v>09</v>
      </c>
      <c r="T2172" s="35" t="str">
        <f>VLOOKUP(Tabla1[[#This Row],[AREA]],Hoja1!A:B,2,FALSE)</f>
        <v>09. Cultura y turismo</v>
      </c>
      <c r="U2172" s="35" t="str">
        <f>MID(Tabla1[[#This Row],[Aplicación]],9,4)</f>
        <v>3341</v>
      </c>
      <c r="V2172" s="35" t="str">
        <f>VLOOKUP(Tabla1[[#This Row],[PROGRAMA]],Hoja1!A:B,2,FALSE)</f>
        <v>3341. Coordinación de políticas culturales</v>
      </c>
      <c r="W2172" s="56" t="str">
        <f>MID(Tabla1[[#This Row],[Aplicación]],14,2)</f>
        <v>22</v>
      </c>
      <c r="X2172" s="56" t="str">
        <f>MID(Tabla1[[#This Row],[Aplicación]],14,6)</f>
        <v>22602</v>
      </c>
    </row>
    <row r="2173" spans="1:24" x14ac:dyDescent="0.25">
      <c r="A2173" s="46">
        <v>220230003261</v>
      </c>
      <c r="B2173" s="47" t="s">
        <v>507</v>
      </c>
      <c r="C2173" s="52">
        <v>44971</v>
      </c>
      <c r="D2173" s="46">
        <v>22023002214</v>
      </c>
      <c r="E2173" s="47" t="s">
        <v>1072</v>
      </c>
      <c r="F2173" s="53">
        <v>7260</v>
      </c>
      <c r="G2173" s="47" t="s">
        <v>344</v>
      </c>
      <c r="H2173" s="47" t="s">
        <v>3674</v>
      </c>
      <c r="I2173" s="46" t="s">
        <v>511</v>
      </c>
      <c r="J2173" s="47" t="s">
        <v>837</v>
      </c>
      <c r="K2173" s="47" t="s">
        <v>837</v>
      </c>
      <c r="L2173" s="47" t="s">
        <v>552</v>
      </c>
      <c r="M2173" s="47" t="s">
        <v>976</v>
      </c>
      <c r="N2173" s="47" t="s">
        <v>839</v>
      </c>
      <c r="O2173" s="45" t="s">
        <v>383</v>
      </c>
      <c r="P2173" s="44" t="s">
        <v>309</v>
      </c>
      <c r="Q2173" s="59" t="str">
        <f>MID(Tabla1[[#This Row],[Aplicación]],14,1)</f>
        <v>2</v>
      </c>
      <c r="R2173" s="35" t="s">
        <v>298</v>
      </c>
      <c r="S2173" s="59" t="str">
        <f>MID(Tabla1[[#This Row],[Aplicación]],6,2)</f>
        <v>07</v>
      </c>
      <c r="T2173" s="35" t="str">
        <f>VLOOKUP(Tabla1[[#This Row],[AREA]],Hoja1!A:B,2,FALSE)</f>
        <v>07. Medio ambiente y desarrollo sostenible</v>
      </c>
      <c r="U2173" s="35" t="str">
        <f>MID(Tabla1[[#This Row],[Aplicación]],9,4)</f>
        <v>1721</v>
      </c>
      <c r="V2173" s="35" t="str">
        <f>VLOOKUP(Tabla1[[#This Row],[PROGRAMA]],Hoja1!A:B,2,FALSE)</f>
        <v>1721. Protección del medio ambiente</v>
      </c>
      <c r="W2173" s="56" t="str">
        <f>MID(Tabla1[[#This Row],[Aplicación]],14,2)</f>
        <v>22</v>
      </c>
      <c r="X2173" s="56" t="str">
        <f>MID(Tabla1[[#This Row],[Aplicación]],14,6)</f>
        <v>22199</v>
      </c>
    </row>
    <row r="2174" spans="1:24" x14ac:dyDescent="0.25">
      <c r="A2174" s="55">
        <v>220210050961</v>
      </c>
      <c r="B2174" s="47" t="s">
        <v>507</v>
      </c>
      <c r="C2174" s="52">
        <v>45014</v>
      </c>
      <c r="D2174" s="46">
        <v>22021006430</v>
      </c>
      <c r="E2174" s="47" t="s">
        <v>1272</v>
      </c>
      <c r="F2174" s="53">
        <v>1029.07</v>
      </c>
      <c r="G2174" s="47" t="s">
        <v>2436</v>
      </c>
      <c r="H2174" s="47" t="s">
        <v>3675</v>
      </c>
      <c r="I2174" s="46" t="s">
        <v>511</v>
      </c>
      <c r="J2174" s="47" t="s">
        <v>2438</v>
      </c>
      <c r="K2174" s="47" t="s">
        <v>1359</v>
      </c>
      <c r="L2174" s="47" t="s">
        <v>552</v>
      </c>
      <c r="M2174" s="47" t="s">
        <v>514</v>
      </c>
      <c r="N2174" s="47" t="s">
        <v>515</v>
      </c>
      <c r="O2174" s="54" t="s">
        <v>382</v>
      </c>
      <c r="P2174" s="44" t="s">
        <v>309</v>
      </c>
      <c r="Q2174" s="59" t="str">
        <f>MID(Tabla1[[#This Row],[Aplicación]],14,1)</f>
        <v>6</v>
      </c>
      <c r="R2174" s="35" t="s">
        <v>299</v>
      </c>
      <c r="S2174" s="59" t="str">
        <f>MID(Tabla1[[#This Row],[Aplicación]],6,2)</f>
        <v>02</v>
      </c>
      <c r="T2174" s="35" t="str">
        <f>VLOOKUP(Tabla1[[#This Row],[AREA]],Hoja1!A:B,2,FALSE)</f>
        <v>02. Planeamiento urbanístico y vivienda</v>
      </c>
      <c r="U2174" s="35" t="str">
        <f>MID(Tabla1[[#This Row],[Aplicación]],9,4)</f>
        <v>9332</v>
      </c>
      <c r="V2174" s="35" t="str">
        <f>VLOOKUP(Tabla1[[#This Row],[PROGRAMA]],Hoja1!A:B,2,FALSE)</f>
        <v>9332. Mantenimiento de edificios e instalaciones municipales</v>
      </c>
      <c r="W2174" s="56" t="str">
        <f>MID(Tabla1[[#This Row],[Aplicación]],14,2)</f>
        <v>63</v>
      </c>
      <c r="X2174" s="56" t="str">
        <f>MID(Tabla1[[#This Row],[Aplicación]],14,6)</f>
        <v>632</v>
      </c>
    </row>
    <row r="2175" spans="1:24" x14ac:dyDescent="0.25">
      <c r="A2175" s="55">
        <v>220230009449</v>
      </c>
      <c r="B2175" s="47" t="s">
        <v>1337</v>
      </c>
      <c r="C2175" s="52">
        <v>45006</v>
      </c>
      <c r="D2175" s="46">
        <v>22023001945</v>
      </c>
      <c r="E2175" s="47" t="s">
        <v>542</v>
      </c>
      <c r="F2175" s="53">
        <v>-113424.66</v>
      </c>
      <c r="G2175" s="47" t="s">
        <v>543</v>
      </c>
      <c r="H2175" s="47" t="s">
        <v>3676</v>
      </c>
      <c r="I2175" s="46" t="s">
        <v>511</v>
      </c>
      <c r="J2175" s="47" t="s">
        <v>545</v>
      </c>
      <c r="K2175" s="47" t="s">
        <v>545</v>
      </c>
      <c r="L2175" s="47" t="s">
        <v>520</v>
      </c>
      <c r="M2175" s="47" t="s">
        <v>514</v>
      </c>
      <c r="N2175" s="47" t="s">
        <v>515</v>
      </c>
      <c r="O2175" s="54" t="s">
        <v>371</v>
      </c>
      <c r="P2175" s="44" t="s">
        <v>309</v>
      </c>
      <c r="Q2175" s="59" t="str">
        <f>MID(Tabla1[[#This Row],[Aplicación]],14,1)</f>
        <v>2</v>
      </c>
      <c r="R2175" s="35" t="s">
        <v>298</v>
      </c>
      <c r="S2175" s="59" t="str">
        <f>MID(Tabla1[[#This Row],[Aplicación]],6,2)</f>
        <v>11</v>
      </c>
      <c r="T2175" s="35" t="str">
        <f>VLOOKUP(Tabla1[[#This Row],[AREA]],Hoja1!A:B,2,FALSE)</f>
        <v>11. Salud pública y seguridad ciudadana</v>
      </c>
      <c r="U2175" s="35" t="str">
        <f>MID(Tabla1[[#This Row],[Aplicación]],9,4)</f>
        <v>1321</v>
      </c>
      <c r="V2175" s="35" t="str">
        <f>VLOOKUP(Tabla1[[#This Row],[PROGRAMA]],Hoja1!A:B,2,FALSE)</f>
        <v>1321. Policía municipal</v>
      </c>
      <c r="W2175" s="56" t="str">
        <f>MID(Tabla1[[#This Row],[Aplicación]],14,2)</f>
        <v>22</v>
      </c>
      <c r="X2175" s="56" t="str">
        <f>MID(Tabla1[[#This Row],[Aplicación]],14,6)</f>
        <v>22701</v>
      </c>
    </row>
    <row r="2176" spans="1:24" x14ac:dyDescent="0.25">
      <c r="A2176" s="46">
        <v>220230001988</v>
      </c>
      <c r="B2176" s="47" t="s">
        <v>507</v>
      </c>
      <c r="C2176" s="52">
        <v>44960</v>
      </c>
      <c r="D2176" s="46">
        <v>22023001570</v>
      </c>
      <c r="E2176" s="47" t="s">
        <v>2899</v>
      </c>
      <c r="F2176" s="53">
        <v>545.71</v>
      </c>
      <c r="G2176" s="47" t="s">
        <v>3677</v>
      </c>
      <c r="H2176" s="47" t="s">
        <v>3678</v>
      </c>
      <c r="I2176" s="46" t="s">
        <v>511</v>
      </c>
      <c r="J2176" s="47" t="s">
        <v>512</v>
      </c>
      <c r="K2176" s="47" t="s">
        <v>512</v>
      </c>
      <c r="L2176" s="47" t="s">
        <v>552</v>
      </c>
      <c r="M2176" s="47" t="s">
        <v>976</v>
      </c>
      <c r="N2176" s="47" t="s">
        <v>839</v>
      </c>
      <c r="O2176" s="45" t="s">
        <v>383</v>
      </c>
      <c r="P2176" s="44" t="s">
        <v>309</v>
      </c>
      <c r="Q2176" s="59" t="str">
        <f>MID(Tabla1[[#This Row],[Aplicación]],14,1)</f>
        <v>2</v>
      </c>
      <c r="R2176" s="35" t="s">
        <v>298</v>
      </c>
      <c r="S2176" s="59" t="str">
        <f>MID(Tabla1[[#This Row],[Aplicación]],6,2)</f>
        <v>09</v>
      </c>
      <c r="T2176" s="35" t="str">
        <f>VLOOKUP(Tabla1[[#This Row],[AREA]],Hoja1!A:B,2,FALSE)</f>
        <v>09. Cultura y turismo</v>
      </c>
      <c r="U2176" s="35" t="str">
        <f>MID(Tabla1[[#This Row],[Aplicación]],9,4)</f>
        <v>3341</v>
      </c>
      <c r="V2176" s="35" t="str">
        <f>VLOOKUP(Tabla1[[#This Row],[PROGRAMA]],Hoja1!A:B,2,FALSE)</f>
        <v>3341. Coordinación de políticas culturales</v>
      </c>
      <c r="W2176" s="56" t="str">
        <f>MID(Tabla1[[#This Row],[Aplicación]],14,2)</f>
        <v>22</v>
      </c>
      <c r="X2176" s="56" t="str">
        <f>MID(Tabla1[[#This Row],[Aplicación]],14,6)</f>
        <v>22199</v>
      </c>
    </row>
    <row r="2177" spans="1:24" x14ac:dyDescent="0.25">
      <c r="A2177" s="46">
        <v>220230008594</v>
      </c>
      <c r="B2177" s="47" t="s">
        <v>507</v>
      </c>
      <c r="C2177" s="52">
        <v>45000</v>
      </c>
      <c r="D2177" s="46">
        <v>22023003003</v>
      </c>
      <c r="E2177" s="47" t="s">
        <v>2899</v>
      </c>
      <c r="F2177" s="53">
        <v>1658.91</v>
      </c>
      <c r="G2177" s="47" t="s">
        <v>3677</v>
      </c>
      <c r="H2177" s="47" t="s">
        <v>3679</v>
      </c>
      <c r="I2177" s="46" t="s">
        <v>511</v>
      </c>
      <c r="J2177" s="47" t="s">
        <v>512</v>
      </c>
      <c r="K2177" s="47" t="s">
        <v>512</v>
      </c>
      <c r="L2177" s="47" t="s">
        <v>552</v>
      </c>
      <c r="M2177" s="47" t="s">
        <v>976</v>
      </c>
      <c r="N2177" s="47" t="s">
        <v>839</v>
      </c>
      <c r="O2177" s="54" t="s">
        <v>383</v>
      </c>
      <c r="P2177" s="44" t="s">
        <v>309</v>
      </c>
      <c r="Q2177" s="59" t="str">
        <f>MID(Tabla1[[#This Row],[Aplicación]],14,1)</f>
        <v>2</v>
      </c>
      <c r="R2177" s="35" t="s">
        <v>298</v>
      </c>
      <c r="S2177" s="59" t="str">
        <f>MID(Tabla1[[#This Row],[Aplicación]],6,2)</f>
        <v>09</v>
      </c>
      <c r="T2177" s="35" t="str">
        <f>VLOOKUP(Tabla1[[#This Row],[AREA]],Hoja1!A:B,2,FALSE)</f>
        <v>09. Cultura y turismo</v>
      </c>
      <c r="U2177" s="35" t="str">
        <f>MID(Tabla1[[#This Row],[Aplicación]],9,4)</f>
        <v>3341</v>
      </c>
      <c r="V2177" s="35" t="str">
        <f>VLOOKUP(Tabla1[[#This Row],[PROGRAMA]],Hoja1!A:B,2,FALSE)</f>
        <v>3341. Coordinación de políticas culturales</v>
      </c>
      <c r="W2177" s="56" t="str">
        <f>MID(Tabla1[[#This Row],[Aplicación]],14,2)</f>
        <v>22</v>
      </c>
      <c r="X2177" s="56" t="str">
        <f>MID(Tabla1[[#This Row],[Aplicación]],14,6)</f>
        <v>22199</v>
      </c>
    </row>
    <row r="2178" spans="1:24" x14ac:dyDescent="0.25">
      <c r="A2178" s="46">
        <v>220230001921</v>
      </c>
      <c r="B2178" s="47" t="s">
        <v>507</v>
      </c>
      <c r="C2178" s="52">
        <v>44960</v>
      </c>
      <c r="D2178" s="46">
        <v>22023000219</v>
      </c>
      <c r="E2178" s="47" t="s">
        <v>1674</v>
      </c>
      <c r="F2178" s="53">
        <v>1911.8</v>
      </c>
      <c r="G2178" s="47" t="s">
        <v>463</v>
      </c>
      <c r="H2178" s="47" t="s">
        <v>3680</v>
      </c>
      <c r="I2178" s="46" t="s">
        <v>511</v>
      </c>
      <c r="J2178" s="47" t="s">
        <v>519</v>
      </c>
      <c r="K2178" s="47" t="s">
        <v>519</v>
      </c>
      <c r="L2178" s="47" t="s">
        <v>552</v>
      </c>
      <c r="M2178" s="47" t="s">
        <v>976</v>
      </c>
      <c r="N2178" s="47" t="s">
        <v>839</v>
      </c>
      <c r="O2178" s="45" t="s">
        <v>383</v>
      </c>
      <c r="P2178" s="44" t="s">
        <v>309</v>
      </c>
      <c r="Q2178" s="59" t="str">
        <f>MID(Tabla1[[#This Row],[Aplicación]],14,1)</f>
        <v>2</v>
      </c>
      <c r="R2178" s="35" t="s">
        <v>298</v>
      </c>
      <c r="S2178" s="59" t="str">
        <f>MID(Tabla1[[#This Row],[Aplicación]],6,2)</f>
        <v>10</v>
      </c>
      <c r="T2178" s="35" t="str">
        <f>VLOOKUP(Tabla1[[#This Row],[AREA]],Hoja1!A:B,2,FALSE)</f>
        <v>10. Servicios sociales y mediación comunitaria</v>
      </c>
      <c r="U2178" s="35" t="str">
        <f>MID(Tabla1[[#This Row],[Aplicación]],9,4)</f>
        <v>2312</v>
      </c>
      <c r="V2178" s="35" t="str">
        <f>VLOOKUP(Tabla1[[#This Row],[PROGRAMA]],Hoja1!A:B,2,FALSE)</f>
        <v>2312. Iniciativas sociales</v>
      </c>
      <c r="W2178" s="56" t="str">
        <f>MID(Tabla1[[#This Row],[Aplicación]],14,2)</f>
        <v>22</v>
      </c>
      <c r="X2178" s="56" t="str">
        <f>MID(Tabla1[[#This Row],[Aplicación]],14,6)</f>
        <v>22618</v>
      </c>
    </row>
    <row r="2179" spans="1:24" x14ac:dyDescent="0.25">
      <c r="A2179" s="46">
        <v>220230006766</v>
      </c>
      <c r="B2179" s="47" t="s">
        <v>507</v>
      </c>
      <c r="C2179" s="52">
        <v>44986</v>
      </c>
      <c r="D2179" s="46">
        <v>22023002832</v>
      </c>
      <c r="E2179" s="47" t="s">
        <v>648</v>
      </c>
      <c r="F2179" s="53">
        <v>7030.32</v>
      </c>
      <c r="G2179" s="47" t="s">
        <v>415</v>
      </c>
      <c r="H2179" s="47" t="s">
        <v>3681</v>
      </c>
      <c r="I2179" s="46" t="s">
        <v>511</v>
      </c>
      <c r="J2179" s="47" t="s">
        <v>519</v>
      </c>
      <c r="K2179" s="47" t="s">
        <v>519</v>
      </c>
      <c r="L2179" s="47" t="s">
        <v>520</v>
      </c>
      <c r="M2179" s="47" t="s">
        <v>976</v>
      </c>
      <c r="N2179" s="47" t="s">
        <v>839</v>
      </c>
      <c r="O2179" s="45" t="s">
        <v>383</v>
      </c>
      <c r="P2179" s="44" t="s">
        <v>309</v>
      </c>
      <c r="Q2179" s="59" t="str">
        <f>MID(Tabla1[[#This Row],[Aplicación]],14,1)</f>
        <v>2</v>
      </c>
      <c r="R2179" s="35" t="s">
        <v>298</v>
      </c>
      <c r="S2179" s="59" t="str">
        <f>MID(Tabla1[[#This Row],[Aplicación]],6,2)</f>
        <v>01</v>
      </c>
      <c r="T2179" s="35" t="str">
        <f>VLOOKUP(Tabla1[[#This Row],[AREA]],Hoja1!A:B,2,FALSE)</f>
        <v>01. Alcaldía</v>
      </c>
      <c r="U2179" s="35" t="str">
        <f>MID(Tabla1[[#This Row],[Aplicación]],9,4)</f>
        <v>9203</v>
      </c>
      <c r="V2179" s="35" t="str">
        <f>VLOOKUP(Tabla1[[#This Row],[PROGRAMA]],Hoja1!A:B,2,FALSE)</f>
        <v>9203. Unidad de régimen interior</v>
      </c>
      <c r="W2179" s="56" t="str">
        <f>MID(Tabla1[[#This Row],[Aplicación]],14,2)</f>
        <v>21</v>
      </c>
      <c r="X2179" s="56" t="str">
        <f>MID(Tabla1[[#This Row],[Aplicación]],14,6)</f>
        <v>213</v>
      </c>
    </row>
    <row r="2180" spans="1:24" x14ac:dyDescent="0.25">
      <c r="A2180" s="46">
        <v>220230006172</v>
      </c>
      <c r="B2180" s="47" t="s">
        <v>507</v>
      </c>
      <c r="C2180" s="52">
        <v>44980</v>
      </c>
      <c r="D2180" s="46">
        <v>22023002581</v>
      </c>
      <c r="E2180" s="47" t="s">
        <v>1290</v>
      </c>
      <c r="F2180" s="53">
        <v>2000</v>
      </c>
      <c r="G2180" s="47" t="s">
        <v>322</v>
      </c>
      <c r="H2180" s="47" t="s">
        <v>3682</v>
      </c>
      <c r="I2180" s="46" t="s">
        <v>511</v>
      </c>
      <c r="J2180" s="47" t="s">
        <v>953</v>
      </c>
      <c r="K2180" s="47" t="s">
        <v>519</v>
      </c>
      <c r="L2180" s="47" t="s">
        <v>552</v>
      </c>
      <c r="M2180" s="47" t="s">
        <v>976</v>
      </c>
      <c r="N2180" s="47" t="s">
        <v>839</v>
      </c>
      <c r="O2180" s="45" t="s">
        <v>383</v>
      </c>
      <c r="P2180" s="44" t="s">
        <v>309</v>
      </c>
      <c r="Q2180" s="59" t="str">
        <f>MID(Tabla1[[#This Row],[Aplicación]],14,1)</f>
        <v>2</v>
      </c>
      <c r="R2180" s="35" t="s">
        <v>298</v>
      </c>
      <c r="S2180" s="59" t="str">
        <f>MID(Tabla1[[#This Row],[Aplicación]],6,2)</f>
        <v>11</v>
      </c>
      <c r="T2180" s="35" t="str">
        <f>VLOOKUP(Tabla1[[#This Row],[AREA]],Hoja1!A:B,2,FALSE)</f>
        <v>11. Salud pública y seguridad ciudadana</v>
      </c>
      <c r="U2180" s="35" t="str">
        <f>MID(Tabla1[[#This Row],[Aplicación]],9,4)</f>
        <v>1621</v>
      </c>
      <c r="V2180" s="35" t="str">
        <f>VLOOKUP(Tabla1[[#This Row],[PROGRAMA]],Hoja1!A:B,2,FALSE)</f>
        <v>1621. Servicio de limpieza</v>
      </c>
      <c r="W2180" s="56" t="str">
        <f>MID(Tabla1[[#This Row],[Aplicación]],14,2)</f>
        <v>21</v>
      </c>
      <c r="X2180" s="56" t="str">
        <f>MID(Tabla1[[#This Row],[Aplicación]],14,6)</f>
        <v>214</v>
      </c>
    </row>
    <row r="2181" spans="1:24" x14ac:dyDescent="0.25">
      <c r="A2181" s="55">
        <v>220230010378</v>
      </c>
      <c r="B2181" s="47" t="s">
        <v>507</v>
      </c>
      <c r="C2181" s="52">
        <v>45008</v>
      </c>
      <c r="D2181" s="46">
        <v>22023003426</v>
      </c>
      <c r="E2181" s="47" t="s">
        <v>1262</v>
      </c>
      <c r="F2181" s="53">
        <v>15700</v>
      </c>
      <c r="G2181" s="47" t="s">
        <v>3683</v>
      </c>
      <c r="H2181" s="47" t="s">
        <v>3684</v>
      </c>
      <c r="I2181" s="46" t="s">
        <v>511</v>
      </c>
      <c r="J2181" s="47" t="s">
        <v>512</v>
      </c>
      <c r="K2181" s="47" t="s">
        <v>512</v>
      </c>
      <c r="L2181" s="47" t="s">
        <v>520</v>
      </c>
      <c r="M2181" s="47" t="s">
        <v>976</v>
      </c>
      <c r="N2181" s="47" t="s">
        <v>839</v>
      </c>
      <c r="O2181" s="54" t="s">
        <v>383</v>
      </c>
      <c r="P2181" s="44" t="s">
        <v>309</v>
      </c>
      <c r="Q2181" s="59" t="str">
        <f>MID(Tabla1[[#This Row],[Aplicación]],14,1)</f>
        <v>2</v>
      </c>
      <c r="R2181" s="35" t="s">
        <v>298</v>
      </c>
      <c r="S2181" s="59" t="str">
        <f>MID(Tabla1[[#This Row],[Aplicación]],6,2)</f>
        <v>05</v>
      </c>
      <c r="T2181" s="35" t="str">
        <f>VLOOKUP(Tabla1[[#This Row],[AREA]],Hoja1!A:B,2,FALSE)</f>
        <v>05. Innovación, desarrollo económico, empleo y comercio</v>
      </c>
      <c r="U2181" s="35" t="str">
        <f>MID(Tabla1[[#This Row],[Aplicación]],9,4)</f>
        <v>4314</v>
      </c>
      <c r="V2181" s="35" t="str">
        <f>VLOOKUP(Tabla1[[#This Row],[PROGRAMA]],Hoja1!A:B,2,FALSE)</f>
        <v>4314. Fomento del comercio</v>
      </c>
      <c r="W2181" s="56" t="str">
        <f>MID(Tabla1[[#This Row],[Aplicación]],14,2)</f>
        <v>22</v>
      </c>
      <c r="X2181" s="56" t="str">
        <f>MID(Tabla1[[#This Row],[Aplicación]],14,6)</f>
        <v>22799</v>
      </c>
    </row>
    <row r="2182" spans="1:24" x14ac:dyDescent="0.25">
      <c r="A2182" s="55">
        <v>220230011770</v>
      </c>
      <c r="B2182" s="47" t="s">
        <v>507</v>
      </c>
      <c r="C2182" s="52">
        <v>45014</v>
      </c>
      <c r="D2182" s="46">
        <v>22023003079</v>
      </c>
      <c r="E2182" s="47" t="s">
        <v>1341</v>
      </c>
      <c r="F2182" s="53">
        <v>2420</v>
      </c>
      <c r="G2182" s="47" t="s">
        <v>2034</v>
      </c>
      <c r="H2182" s="47" t="s">
        <v>3685</v>
      </c>
      <c r="I2182" s="46" t="s">
        <v>2168</v>
      </c>
      <c r="J2182" s="47" t="s">
        <v>2036</v>
      </c>
      <c r="K2182" s="47" t="s">
        <v>512</v>
      </c>
      <c r="L2182" s="47" t="s">
        <v>520</v>
      </c>
      <c r="M2182" s="47" t="s">
        <v>514</v>
      </c>
      <c r="N2182" s="47" t="s">
        <v>515</v>
      </c>
      <c r="O2182" s="54" t="s">
        <v>382</v>
      </c>
      <c r="P2182" s="44" t="s">
        <v>309</v>
      </c>
      <c r="Q2182" s="59" t="str">
        <f>MID(Tabla1[[#This Row],[Aplicación]],14,1)</f>
        <v>2</v>
      </c>
      <c r="R2182" s="35" t="s">
        <v>298</v>
      </c>
      <c r="S2182" s="59" t="str">
        <f>MID(Tabla1[[#This Row],[Aplicación]],6,2)</f>
        <v>05</v>
      </c>
      <c r="T2182" s="35" t="str">
        <f>VLOOKUP(Tabla1[[#This Row],[AREA]],Hoja1!A:B,2,FALSE)</f>
        <v>05. Innovación, desarrollo económico, empleo y comercio</v>
      </c>
      <c r="U2182" s="35" t="str">
        <f>MID(Tabla1[[#This Row],[Aplicación]],9,4)</f>
        <v>4331</v>
      </c>
      <c r="V2182" s="35" t="str">
        <f>VLOOKUP(Tabla1[[#This Row],[PROGRAMA]],Hoja1!A:B,2,FALSE)</f>
        <v>4331. Desarrollo empresarial</v>
      </c>
      <c r="W2182" s="56" t="str">
        <f>MID(Tabla1[[#This Row],[Aplicación]],14,2)</f>
        <v>22</v>
      </c>
      <c r="X2182" s="56" t="str">
        <f>MID(Tabla1[[#This Row],[Aplicación]],14,6)</f>
        <v>22602</v>
      </c>
    </row>
    <row r="2183" spans="1:24" x14ac:dyDescent="0.25">
      <c r="A2183" s="55">
        <v>220220074254</v>
      </c>
      <c r="B2183" s="47" t="s">
        <v>507</v>
      </c>
      <c r="C2183" s="52">
        <v>45014</v>
      </c>
      <c r="D2183" s="46">
        <v>22022004961</v>
      </c>
      <c r="E2183" s="47" t="s">
        <v>3686</v>
      </c>
      <c r="F2183" s="53">
        <v>35894.93</v>
      </c>
      <c r="G2183" s="47" t="s">
        <v>317</v>
      </c>
      <c r="H2183" s="47" t="s">
        <v>3687</v>
      </c>
      <c r="I2183" s="46" t="s">
        <v>511</v>
      </c>
      <c r="J2183" s="47" t="s">
        <v>519</v>
      </c>
      <c r="K2183" s="47" t="s">
        <v>519</v>
      </c>
      <c r="L2183" s="47" t="s">
        <v>552</v>
      </c>
      <c r="M2183" s="47" t="s">
        <v>514</v>
      </c>
      <c r="N2183" s="47" t="s">
        <v>515</v>
      </c>
      <c r="O2183" s="54" t="s">
        <v>371</v>
      </c>
      <c r="P2183" s="44" t="s">
        <v>309</v>
      </c>
      <c r="Q2183" s="59" t="str">
        <f>MID(Tabla1[[#This Row],[Aplicación]],14,1)</f>
        <v>6</v>
      </c>
      <c r="R2183" s="35" t="s">
        <v>299</v>
      </c>
      <c r="S2183" s="59" t="str">
        <f>MID(Tabla1[[#This Row],[Aplicación]],6,2)</f>
        <v>02</v>
      </c>
      <c r="T2183" s="35" t="str">
        <f>VLOOKUP(Tabla1[[#This Row],[AREA]],Hoja1!A:B,2,FALSE)</f>
        <v>02. Planeamiento urbanístico y vivienda</v>
      </c>
      <c r="U2183" s="35" t="str">
        <f>MID(Tabla1[[#This Row],[Aplicación]],9,4)</f>
        <v>9332</v>
      </c>
      <c r="V2183" s="35" t="str">
        <f>VLOOKUP(Tabla1[[#This Row],[PROGRAMA]],Hoja1!A:B,2,FALSE)</f>
        <v>9332. Mantenimiento de edificios e instalaciones municipales</v>
      </c>
      <c r="W2183" s="56" t="str">
        <f>MID(Tabla1[[#This Row],[Aplicación]],14,2)</f>
        <v>62</v>
      </c>
      <c r="X2183" s="56" t="str">
        <f>MID(Tabla1[[#This Row],[Aplicación]],14,6)</f>
        <v>624</v>
      </c>
    </row>
    <row r="2184" spans="1:24" x14ac:dyDescent="0.25">
      <c r="A2184" s="46">
        <v>220230007355</v>
      </c>
      <c r="B2184" s="47" t="s">
        <v>507</v>
      </c>
      <c r="C2184" s="52">
        <v>44988</v>
      </c>
      <c r="D2184" s="46">
        <v>22023002416</v>
      </c>
      <c r="E2184" s="47" t="s">
        <v>3237</v>
      </c>
      <c r="F2184" s="53">
        <v>34752.33</v>
      </c>
      <c r="G2184" s="47" t="s">
        <v>3238</v>
      </c>
      <c r="H2184" s="47" t="s">
        <v>3688</v>
      </c>
      <c r="I2184" s="46" t="s">
        <v>511</v>
      </c>
      <c r="J2184" s="47" t="s">
        <v>512</v>
      </c>
      <c r="K2184" s="47" t="s">
        <v>512</v>
      </c>
      <c r="L2184" s="47" t="s">
        <v>652</v>
      </c>
      <c r="M2184" s="47" t="s">
        <v>838</v>
      </c>
      <c r="N2184" s="47" t="s">
        <v>839</v>
      </c>
      <c r="O2184" s="45" t="s">
        <v>373</v>
      </c>
      <c r="P2184" s="44" t="s">
        <v>309</v>
      </c>
      <c r="Q2184" s="59" t="str">
        <f>MID(Tabla1[[#This Row],[Aplicación]],14,1)</f>
        <v>2</v>
      </c>
      <c r="R2184" s="35" t="s">
        <v>298</v>
      </c>
      <c r="S2184" s="59" t="str">
        <f>MID(Tabla1[[#This Row],[Aplicación]],6,2)</f>
        <v>02</v>
      </c>
      <c r="T2184" s="35" t="str">
        <f>VLOOKUP(Tabla1[[#This Row],[AREA]],Hoja1!A:B,2,FALSE)</f>
        <v>02. Planeamiento urbanístico y vivienda</v>
      </c>
      <c r="U2184" s="35" t="str">
        <f>MID(Tabla1[[#This Row],[Aplicación]],9,4)</f>
        <v>1501</v>
      </c>
      <c r="V2184" s="35" t="str">
        <f>VLOOKUP(Tabla1[[#This Row],[PROGRAMA]],Hoja1!A:B,2,FALSE)</f>
        <v>1501. Dirección del área de urbanismo</v>
      </c>
      <c r="W2184" s="56" t="str">
        <f>MID(Tabla1[[#This Row],[Aplicación]],14,2)</f>
        <v>22</v>
      </c>
      <c r="X2184" s="56" t="str">
        <f>MID(Tabla1[[#This Row],[Aplicación]],14,6)</f>
        <v>224</v>
      </c>
    </row>
    <row r="2185" spans="1:24" x14ac:dyDescent="0.25">
      <c r="A2185" s="55">
        <v>220230011771</v>
      </c>
      <c r="B2185" s="47" t="s">
        <v>507</v>
      </c>
      <c r="C2185" s="52">
        <v>45014</v>
      </c>
      <c r="D2185" s="46">
        <v>22023003079</v>
      </c>
      <c r="E2185" s="47" t="s">
        <v>1341</v>
      </c>
      <c r="F2185" s="53">
        <v>1512.5</v>
      </c>
      <c r="G2185" s="47" t="s">
        <v>2730</v>
      </c>
      <c r="H2185" s="47" t="s">
        <v>3660</v>
      </c>
      <c r="I2185" s="46" t="s">
        <v>2168</v>
      </c>
      <c r="J2185" s="47" t="s">
        <v>519</v>
      </c>
      <c r="K2185" s="47" t="s">
        <v>519</v>
      </c>
      <c r="L2185" s="47" t="s">
        <v>520</v>
      </c>
      <c r="M2185" s="47" t="s">
        <v>514</v>
      </c>
      <c r="N2185" s="47" t="s">
        <v>515</v>
      </c>
      <c r="O2185" s="54" t="s">
        <v>382</v>
      </c>
      <c r="P2185" s="44" t="s">
        <v>309</v>
      </c>
      <c r="Q2185" s="59" t="str">
        <f>MID(Tabla1[[#This Row],[Aplicación]],14,1)</f>
        <v>2</v>
      </c>
      <c r="R2185" s="35" t="s">
        <v>298</v>
      </c>
      <c r="S2185" s="59" t="str">
        <f>MID(Tabla1[[#This Row],[Aplicación]],6,2)</f>
        <v>05</v>
      </c>
      <c r="T2185" s="35" t="str">
        <f>VLOOKUP(Tabla1[[#This Row],[AREA]],Hoja1!A:B,2,FALSE)</f>
        <v>05. Innovación, desarrollo económico, empleo y comercio</v>
      </c>
      <c r="U2185" s="35" t="str">
        <f>MID(Tabla1[[#This Row],[Aplicación]],9,4)</f>
        <v>4331</v>
      </c>
      <c r="V2185" s="35" t="str">
        <f>VLOOKUP(Tabla1[[#This Row],[PROGRAMA]],Hoja1!A:B,2,FALSE)</f>
        <v>4331. Desarrollo empresarial</v>
      </c>
      <c r="W2185" s="56" t="str">
        <f>MID(Tabla1[[#This Row],[Aplicación]],14,2)</f>
        <v>22</v>
      </c>
      <c r="X2185" s="56" t="str">
        <f>MID(Tabla1[[#This Row],[Aplicación]],14,6)</f>
        <v>22602</v>
      </c>
    </row>
    <row r="2186" spans="1:24" x14ac:dyDescent="0.25">
      <c r="A2186" s="46">
        <v>220230008421</v>
      </c>
      <c r="B2186" s="47" t="s">
        <v>1249</v>
      </c>
      <c r="C2186" s="52">
        <v>45000</v>
      </c>
      <c r="D2186" s="46">
        <v>22023002869</v>
      </c>
      <c r="E2186" s="47" t="s">
        <v>3689</v>
      </c>
      <c r="F2186" s="53">
        <v>316.12</v>
      </c>
      <c r="G2186" s="47" t="s">
        <v>3238</v>
      </c>
      <c r="H2186" s="47" t="s">
        <v>3690</v>
      </c>
      <c r="I2186" s="46" t="s">
        <v>1251</v>
      </c>
      <c r="J2186" s="47" t="s">
        <v>512</v>
      </c>
      <c r="K2186" s="47" t="s">
        <v>512</v>
      </c>
      <c r="L2186" s="47" t="s">
        <v>520</v>
      </c>
      <c r="M2186" s="47" t="s">
        <v>976</v>
      </c>
      <c r="N2186" s="47" t="s">
        <v>839</v>
      </c>
      <c r="O2186" s="54" t="s">
        <v>383</v>
      </c>
      <c r="P2186" s="44" t="s">
        <v>309</v>
      </c>
      <c r="Q2186" s="59" t="str">
        <f>MID(Tabla1[[#This Row],[Aplicación]],14,1)</f>
        <v>2</v>
      </c>
      <c r="R2186" s="35" t="s">
        <v>298</v>
      </c>
      <c r="S2186" s="59" t="str">
        <f>MID(Tabla1[[#This Row],[Aplicación]],6,2)</f>
        <v>10</v>
      </c>
      <c r="T2186" s="35" t="str">
        <f>VLOOKUP(Tabla1[[#This Row],[AREA]],Hoja1!A:B,2,FALSE)</f>
        <v>10. Servicios sociales y mediación comunitaria</v>
      </c>
      <c r="U2186" s="35" t="str">
        <f>MID(Tabla1[[#This Row],[Aplicación]],9,4)</f>
        <v>2412</v>
      </c>
      <c r="V2186" s="35" t="str">
        <f>VLOOKUP(Tabla1[[#This Row],[PROGRAMA]],Hoja1!A:B,2,FALSE)</f>
        <v>2412. Formación para el empleo</v>
      </c>
      <c r="W2186" s="56" t="str">
        <f>MID(Tabla1[[#This Row],[Aplicación]],14,2)</f>
        <v>22</v>
      </c>
      <c r="X2186" s="56" t="str">
        <f>MID(Tabla1[[#This Row],[Aplicación]],14,6)</f>
        <v>224</v>
      </c>
    </row>
    <row r="2187" spans="1:24" x14ac:dyDescent="0.25">
      <c r="A2187" s="46">
        <v>220230008422</v>
      </c>
      <c r="B2187" s="47" t="s">
        <v>1249</v>
      </c>
      <c r="C2187" s="52">
        <v>45000</v>
      </c>
      <c r="D2187" s="46">
        <v>22023002870</v>
      </c>
      <c r="E2187" s="47" t="s">
        <v>3689</v>
      </c>
      <c r="F2187" s="53">
        <v>316.13</v>
      </c>
      <c r="G2187" s="47" t="s">
        <v>3238</v>
      </c>
      <c r="H2187" s="47" t="s">
        <v>3691</v>
      </c>
      <c r="I2187" s="46" t="s">
        <v>1251</v>
      </c>
      <c r="J2187" s="47" t="s">
        <v>512</v>
      </c>
      <c r="K2187" s="47" t="s">
        <v>512</v>
      </c>
      <c r="L2187" s="47" t="s">
        <v>520</v>
      </c>
      <c r="M2187" s="47" t="s">
        <v>976</v>
      </c>
      <c r="N2187" s="47" t="s">
        <v>839</v>
      </c>
      <c r="O2187" s="54" t="s">
        <v>383</v>
      </c>
      <c r="P2187" s="44" t="s">
        <v>309</v>
      </c>
      <c r="Q2187" s="59" t="str">
        <f>MID(Tabla1[[#This Row],[Aplicación]],14,1)</f>
        <v>2</v>
      </c>
      <c r="R2187" s="35" t="s">
        <v>298</v>
      </c>
      <c r="S2187" s="59" t="str">
        <f>MID(Tabla1[[#This Row],[Aplicación]],6,2)</f>
        <v>10</v>
      </c>
      <c r="T2187" s="35" t="str">
        <f>VLOOKUP(Tabla1[[#This Row],[AREA]],Hoja1!A:B,2,FALSE)</f>
        <v>10. Servicios sociales y mediación comunitaria</v>
      </c>
      <c r="U2187" s="35" t="str">
        <f>MID(Tabla1[[#This Row],[Aplicación]],9,4)</f>
        <v>2412</v>
      </c>
      <c r="V2187" s="35" t="str">
        <f>VLOOKUP(Tabla1[[#This Row],[PROGRAMA]],Hoja1!A:B,2,FALSE)</f>
        <v>2412. Formación para el empleo</v>
      </c>
      <c r="W2187" s="56" t="str">
        <f>MID(Tabla1[[#This Row],[Aplicación]],14,2)</f>
        <v>22</v>
      </c>
      <c r="X2187" s="56" t="str">
        <f>MID(Tabla1[[#This Row],[Aplicación]],14,6)</f>
        <v>224</v>
      </c>
    </row>
    <row r="2188" spans="1:24" x14ac:dyDescent="0.25">
      <c r="A2188" s="55">
        <v>220230012085</v>
      </c>
      <c r="B2188" s="47" t="s">
        <v>1514</v>
      </c>
      <c r="C2188" s="52">
        <v>45015</v>
      </c>
      <c r="D2188" s="46">
        <v>22023001478</v>
      </c>
      <c r="E2188" s="47" t="s">
        <v>1502</v>
      </c>
      <c r="F2188" s="53">
        <v>1803.27</v>
      </c>
      <c r="G2188" s="47" t="s">
        <v>2936</v>
      </c>
      <c r="H2188" s="47" t="s">
        <v>3692</v>
      </c>
      <c r="I2188" s="46" t="s">
        <v>1517</v>
      </c>
      <c r="J2188" s="47" t="s">
        <v>2938</v>
      </c>
      <c r="K2188" s="47" t="s">
        <v>519</v>
      </c>
      <c r="L2188" s="47" t="s">
        <v>552</v>
      </c>
      <c r="M2188" s="47" t="s">
        <v>514</v>
      </c>
      <c r="N2188" s="47" t="s">
        <v>515</v>
      </c>
      <c r="O2188" s="54" t="s">
        <v>382</v>
      </c>
      <c r="P2188" s="44" t="s">
        <v>309</v>
      </c>
      <c r="Q2188" s="59" t="str">
        <f>MID(Tabla1[[#This Row],[Aplicación]],14,1)</f>
        <v>2</v>
      </c>
      <c r="R2188" s="35" t="s">
        <v>298</v>
      </c>
      <c r="S2188" s="59" t="str">
        <f>MID(Tabla1[[#This Row],[Aplicación]],6,2)</f>
        <v>10</v>
      </c>
      <c r="T2188" s="35" t="str">
        <f>VLOOKUP(Tabla1[[#This Row],[AREA]],Hoja1!A:B,2,FALSE)</f>
        <v>10. Servicios sociales y mediación comunitaria</v>
      </c>
      <c r="U2188" s="35" t="str">
        <f>MID(Tabla1[[#This Row],[Aplicación]],9,4)</f>
        <v>2412</v>
      </c>
      <c r="V2188" s="35" t="str">
        <f>VLOOKUP(Tabla1[[#This Row],[PROGRAMA]],Hoja1!A:B,2,FALSE)</f>
        <v>2412. Formación para el empleo</v>
      </c>
      <c r="W2188" s="56" t="str">
        <f>MID(Tabla1[[#This Row],[Aplicación]],14,2)</f>
        <v>22</v>
      </c>
      <c r="X2188" s="56" t="str">
        <f>MID(Tabla1[[#This Row],[Aplicación]],14,6)</f>
        <v>22199</v>
      </c>
    </row>
    <row r="2189" spans="1:24" x14ac:dyDescent="0.25">
      <c r="A2189" s="55">
        <v>220230011890</v>
      </c>
      <c r="B2189" s="47" t="s">
        <v>1514</v>
      </c>
      <c r="C2189" s="52">
        <v>45015</v>
      </c>
      <c r="D2189" s="46">
        <v>22023001578</v>
      </c>
      <c r="E2189" s="47" t="s">
        <v>2275</v>
      </c>
      <c r="F2189" s="53">
        <v>15.91</v>
      </c>
      <c r="G2189" s="47" t="s">
        <v>1979</v>
      </c>
      <c r="H2189" s="47" t="s">
        <v>3693</v>
      </c>
      <c r="I2189" s="46" t="s">
        <v>1517</v>
      </c>
      <c r="J2189" s="47" t="s">
        <v>519</v>
      </c>
      <c r="K2189" s="47" t="s">
        <v>519</v>
      </c>
      <c r="L2189" s="47" t="s">
        <v>552</v>
      </c>
      <c r="M2189" s="47" t="s">
        <v>514</v>
      </c>
      <c r="N2189" s="47" t="s">
        <v>515</v>
      </c>
      <c r="O2189" s="54" t="s">
        <v>382</v>
      </c>
      <c r="P2189" s="44" t="s">
        <v>309</v>
      </c>
      <c r="Q2189" s="59" t="str">
        <f>MID(Tabla1[[#This Row],[Aplicación]],14,1)</f>
        <v>2</v>
      </c>
      <c r="R2189" s="35" t="s">
        <v>298</v>
      </c>
      <c r="S2189" s="59" t="str">
        <f>MID(Tabla1[[#This Row],[Aplicación]],6,2)</f>
        <v>11</v>
      </c>
      <c r="T2189" s="35" t="str">
        <f>VLOOKUP(Tabla1[[#This Row],[AREA]],Hoja1!A:B,2,FALSE)</f>
        <v>11. Salud pública y seguridad ciudadana</v>
      </c>
      <c r="U2189" s="35" t="str">
        <f>MID(Tabla1[[#This Row],[Aplicación]],9,4)</f>
        <v>3111</v>
      </c>
      <c r="V2189" s="35" t="str">
        <f>VLOOKUP(Tabla1[[#This Row],[PROGRAMA]],Hoja1!A:B,2,FALSE)</f>
        <v>3111. Protección de la salubridad pública</v>
      </c>
      <c r="W2189" s="56" t="str">
        <f>MID(Tabla1[[#This Row],[Aplicación]],14,2)</f>
        <v>22</v>
      </c>
      <c r="X2189" s="56" t="str">
        <f>MID(Tabla1[[#This Row],[Aplicación]],14,6)</f>
        <v>22199</v>
      </c>
    </row>
    <row r="2190" spans="1:24" x14ac:dyDescent="0.25">
      <c r="A2190" s="55">
        <v>220230012077</v>
      </c>
      <c r="B2190" s="47" t="s">
        <v>1514</v>
      </c>
      <c r="C2190" s="52">
        <v>45015</v>
      </c>
      <c r="D2190" s="46">
        <v>22023002460</v>
      </c>
      <c r="E2190" s="47" t="s">
        <v>1978</v>
      </c>
      <c r="F2190" s="53">
        <v>29.65</v>
      </c>
      <c r="G2190" s="47" t="s">
        <v>1979</v>
      </c>
      <c r="H2190" s="47" t="s">
        <v>3694</v>
      </c>
      <c r="I2190" s="46" t="s">
        <v>1517</v>
      </c>
      <c r="J2190" s="47" t="s">
        <v>519</v>
      </c>
      <c r="K2190" s="47" t="s">
        <v>519</v>
      </c>
      <c r="L2190" s="47" t="s">
        <v>552</v>
      </c>
      <c r="M2190" s="47" t="s">
        <v>514</v>
      </c>
      <c r="N2190" s="47" t="s">
        <v>515</v>
      </c>
      <c r="O2190" s="54" t="s">
        <v>382</v>
      </c>
      <c r="P2190" s="44" t="s">
        <v>309</v>
      </c>
      <c r="Q2190" s="59" t="str">
        <f>MID(Tabla1[[#This Row],[Aplicación]],14,1)</f>
        <v>2</v>
      </c>
      <c r="R2190" s="35" t="s">
        <v>298</v>
      </c>
      <c r="S2190" s="59" t="str">
        <f>MID(Tabla1[[#This Row],[Aplicación]],6,2)</f>
        <v>05</v>
      </c>
      <c r="T2190" s="35" t="str">
        <f>VLOOKUP(Tabla1[[#This Row],[AREA]],Hoja1!A:B,2,FALSE)</f>
        <v>05. Innovación, desarrollo económico, empleo y comercio</v>
      </c>
      <c r="U2190" s="35" t="str">
        <f>MID(Tabla1[[#This Row],[Aplicación]],9,4)</f>
        <v>4331</v>
      </c>
      <c r="V2190" s="35" t="str">
        <f>VLOOKUP(Tabla1[[#This Row],[PROGRAMA]],Hoja1!A:B,2,FALSE)</f>
        <v>4331. Desarrollo empresarial</v>
      </c>
      <c r="W2190" s="56" t="str">
        <f>MID(Tabla1[[#This Row],[Aplicación]],14,2)</f>
        <v>21</v>
      </c>
      <c r="X2190" s="56" t="str">
        <f>MID(Tabla1[[#This Row],[Aplicación]],14,6)</f>
        <v>212</v>
      </c>
    </row>
    <row r="2191" spans="1:24" x14ac:dyDescent="0.25">
      <c r="A2191" s="55">
        <v>220230012082</v>
      </c>
      <c r="B2191" s="47" t="s">
        <v>1514</v>
      </c>
      <c r="C2191" s="52">
        <v>45015</v>
      </c>
      <c r="D2191" s="46">
        <v>22023000268</v>
      </c>
      <c r="E2191" s="47" t="s">
        <v>659</v>
      </c>
      <c r="F2191" s="53">
        <v>33.86</v>
      </c>
      <c r="G2191" s="47" t="s">
        <v>1979</v>
      </c>
      <c r="H2191" s="47" t="s">
        <v>3695</v>
      </c>
      <c r="I2191" s="46" t="s">
        <v>1517</v>
      </c>
      <c r="J2191" s="47" t="s">
        <v>519</v>
      </c>
      <c r="K2191" s="47" t="s">
        <v>519</v>
      </c>
      <c r="L2191" s="47" t="s">
        <v>552</v>
      </c>
      <c r="M2191" s="47" t="s">
        <v>514</v>
      </c>
      <c r="N2191" s="47" t="s">
        <v>515</v>
      </c>
      <c r="O2191" s="54" t="s">
        <v>382</v>
      </c>
      <c r="P2191" s="44" t="s">
        <v>309</v>
      </c>
      <c r="Q2191" s="59" t="str">
        <f>MID(Tabla1[[#This Row],[Aplicación]],14,1)</f>
        <v>2</v>
      </c>
      <c r="R2191" s="35" t="s">
        <v>298</v>
      </c>
      <c r="S2191" s="59" t="str">
        <f>MID(Tabla1[[#This Row],[Aplicación]],6,2)</f>
        <v>11</v>
      </c>
      <c r="T2191" s="35" t="str">
        <f>VLOOKUP(Tabla1[[#This Row],[AREA]],Hoja1!A:B,2,FALSE)</f>
        <v>11. Salud pública y seguridad ciudadana</v>
      </c>
      <c r="U2191" s="35" t="str">
        <f>MID(Tabla1[[#This Row],[Aplicación]],9,4)</f>
        <v>1321</v>
      </c>
      <c r="V2191" s="35" t="str">
        <f>VLOOKUP(Tabla1[[#This Row],[PROGRAMA]],Hoja1!A:B,2,FALSE)</f>
        <v>1321. Policía municipal</v>
      </c>
      <c r="W2191" s="56" t="str">
        <f>MID(Tabla1[[#This Row],[Aplicación]],14,2)</f>
        <v>21</v>
      </c>
      <c r="X2191" s="56" t="str">
        <f>MID(Tabla1[[#This Row],[Aplicación]],14,6)</f>
        <v>213</v>
      </c>
    </row>
    <row r="2192" spans="1:24" x14ac:dyDescent="0.25">
      <c r="A2192" s="55">
        <v>220230011906</v>
      </c>
      <c r="B2192" s="47" t="s">
        <v>1514</v>
      </c>
      <c r="C2192" s="52">
        <v>45015</v>
      </c>
      <c r="D2192" s="46">
        <v>22023000213</v>
      </c>
      <c r="E2192" s="47" t="s">
        <v>1694</v>
      </c>
      <c r="F2192" s="53">
        <v>291.88</v>
      </c>
      <c r="G2192" s="47" t="s">
        <v>1985</v>
      </c>
      <c r="H2192" s="47" t="s">
        <v>3696</v>
      </c>
      <c r="I2192" s="46" t="s">
        <v>1517</v>
      </c>
      <c r="J2192" s="47" t="s">
        <v>519</v>
      </c>
      <c r="K2192" s="47" t="s">
        <v>519</v>
      </c>
      <c r="L2192" s="47" t="s">
        <v>520</v>
      </c>
      <c r="M2192" s="47" t="s">
        <v>514</v>
      </c>
      <c r="N2192" s="47" t="s">
        <v>515</v>
      </c>
      <c r="O2192" s="54" t="s">
        <v>382</v>
      </c>
      <c r="P2192" s="44" t="s">
        <v>309</v>
      </c>
      <c r="Q2192" s="59" t="str">
        <f>MID(Tabla1[[#This Row],[Aplicación]],14,1)</f>
        <v>2</v>
      </c>
      <c r="R2192" s="35" t="s">
        <v>298</v>
      </c>
      <c r="S2192" s="59" t="str">
        <f>MID(Tabla1[[#This Row],[Aplicación]],6,2)</f>
        <v>11</v>
      </c>
      <c r="T2192" s="35" t="str">
        <f>VLOOKUP(Tabla1[[#This Row],[AREA]],Hoja1!A:B,2,FALSE)</f>
        <v>11. Salud pública y seguridad ciudadana</v>
      </c>
      <c r="U2192" s="35" t="str">
        <f>MID(Tabla1[[#This Row],[Aplicación]],9,4)</f>
        <v>1321</v>
      </c>
      <c r="V2192" s="35" t="str">
        <f>VLOOKUP(Tabla1[[#This Row],[PROGRAMA]],Hoja1!A:B,2,FALSE)</f>
        <v>1321. Policía municipal</v>
      </c>
      <c r="W2192" s="56" t="str">
        <f>MID(Tabla1[[#This Row],[Aplicación]],14,2)</f>
        <v>21</v>
      </c>
      <c r="X2192" s="56" t="str">
        <f>MID(Tabla1[[#This Row],[Aplicación]],14,6)</f>
        <v>214</v>
      </c>
    </row>
    <row r="2193" spans="1:24" x14ac:dyDescent="0.25">
      <c r="A2193" s="55">
        <v>220230012057</v>
      </c>
      <c r="B2193" s="47" t="s">
        <v>1514</v>
      </c>
      <c r="C2193" s="52">
        <v>45015</v>
      </c>
      <c r="D2193" s="46">
        <v>22023001608</v>
      </c>
      <c r="E2193" s="47" t="s">
        <v>1728</v>
      </c>
      <c r="F2193" s="53">
        <v>491.21</v>
      </c>
      <c r="G2193" s="47" t="s">
        <v>1985</v>
      </c>
      <c r="H2193" s="47" t="s">
        <v>3697</v>
      </c>
      <c r="I2193" s="46" t="s">
        <v>1517</v>
      </c>
      <c r="J2193" s="47" t="s">
        <v>519</v>
      </c>
      <c r="K2193" s="47" t="s">
        <v>519</v>
      </c>
      <c r="L2193" s="47" t="s">
        <v>520</v>
      </c>
      <c r="M2193" s="47" t="s">
        <v>514</v>
      </c>
      <c r="N2193" s="47" t="s">
        <v>515</v>
      </c>
      <c r="O2193" s="54" t="s">
        <v>382</v>
      </c>
      <c r="P2193" s="44" t="s">
        <v>309</v>
      </c>
      <c r="Q2193" s="59" t="str">
        <f>MID(Tabla1[[#This Row],[Aplicación]],14,1)</f>
        <v>2</v>
      </c>
      <c r="R2193" s="35" t="s">
        <v>298</v>
      </c>
      <c r="S2193" s="59" t="str">
        <f>MID(Tabla1[[#This Row],[Aplicación]],6,2)</f>
        <v>08</v>
      </c>
      <c r="T2193" s="35" t="str">
        <f>VLOOKUP(Tabla1[[#This Row],[AREA]],Hoja1!A:B,2,FALSE)</f>
        <v>08. Movilidad y espacio urbano</v>
      </c>
      <c r="U2193" s="35" t="str">
        <f>MID(Tabla1[[#This Row],[Aplicación]],9,4)</f>
        <v>1532</v>
      </c>
      <c r="V2193" s="35" t="str">
        <f>VLOOKUP(Tabla1[[#This Row],[PROGRAMA]],Hoja1!A:B,2,FALSE)</f>
        <v>1532. Pavimentación vias públicas y otros servicios urbanísticos</v>
      </c>
      <c r="W2193" s="56" t="str">
        <f>MID(Tabla1[[#This Row],[Aplicación]],14,2)</f>
        <v>21</v>
      </c>
      <c r="X2193" s="56" t="str">
        <f>MID(Tabla1[[#This Row],[Aplicación]],14,6)</f>
        <v>214</v>
      </c>
    </row>
    <row r="2194" spans="1:24" x14ac:dyDescent="0.25">
      <c r="A2194" s="55">
        <v>220230012095</v>
      </c>
      <c r="B2194" s="47" t="s">
        <v>1514</v>
      </c>
      <c r="C2194" s="52">
        <v>45015</v>
      </c>
      <c r="D2194" s="46">
        <v>22023001608</v>
      </c>
      <c r="E2194" s="47" t="s">
        <v>1728</v>
      </c>
      <c r="F2194" s="53">
        <v>533.94000000000005</v>
      </c>
      <c r="G2194" s="47" t="s">
        <v>1985</v>
      </c>
      <c r="H2194" s="47" t="s">
        <v>3698</v>
      </c>
      <c r="I2194" s="46" t="s">
        <v>1517</v>
      </c>
      <c r="J2194" s="47" t="s">
        <v>519</v>
      </c>
      <c r="K2194" s="47" t="s">
        <v>519</v>
      </c>
      <c r="L2194" s="47" t="s">
        <v>520</v>
      </c>
      <c r="M2194" s="47" t="s">
        <v>514</v>
      </c>
      <c r="N2194" s="47" t="s">
        <v>515</v>
      </c>
      <c r="O2194" s="54" t="s">
        <v>382</v>
      </c>
      <c r="P2194" s="44" t="s">
        <v>309</v>
      </c>
      <c r="Q2194" s="59" t="str">
        <f>MID(Tabla1[[#This Row],[Aplicación]],14,1)</f>
        <v>2</v>
      </c>
      <c r="R2194" s="35" t="s">
        <v>298</v>
      </c>
      <c r="S2194" s="59" t="str">
        <f>MID(Tabla1[[#This Row],[Aplicación]],6,2)</f>
        <v>08</v>
      </c>
      <c r="T2194" s="35" t="str">
        <f>VLOOKUP(Tabla1[[#This Row],[AREA]],Hoja1!A:B,2,FALSE)</f>
        <v>08. Movilidad y espacio urbano</v>
      </c>
      <c r="U2194" s="35" t="str">
        <f>MID(Tabla1[[#This Row],[Aplicación]],9,4)</f>
        <v>1532</v>
      </c>
      <c r="V2194" s="35" t="str">
        <f>VLOOKUP(Tabla1[[#This Row],[PROGRAMA]],Hoja1!A:B,2,FALSE)</f>
        <v>1532. Pavimentación vias públicas y otros servicios urbanísticos</v>
      </c>
      <c r="W2194" s="56" t="str">
        <f>MID(Tabla1[[#This Row],[Aplicación]],14,2)</f>
        <v>21</v>
      </c>
      <c r="X2194" s="56" t="str">
        <f>MID(Tabla1[[#This Row],[Aplicación]],14,6)</f>
        <v>214</v>
      </c>
    </row>
    <row r="2195" spans="1:24" x14ac:dyDescent="0.25">
      <c r="A2195" s="55">
        <v>220230012068</v>
      </c>
      <c r="B2195" s="47" t="s">
        <v>1514</v>
      </c>
      <c r="C2195" s="52">
        <v>45015</v>
      </c>
      <c r="D2195" s="46">
        <v>22023001478</v>
      </c>
      <c r="E2195" s="47" t="s">
        <v>1502</v>
      </c>
      <c r="F2195" s="53">
        <v>103.63</v>
      </c>
      <c r="G2195" s="47" t="s">
        <v>2969</v>
      </c>
      <c r="H2195" s="47" t="s">
        <v>3699</v>
      </c>
      <c r="I2195" s="46" t="s">
        <v>1517</v>
      </c>
      <c r="J2195" s="47" t="s">
        <v>519</v>
      </c>
      <c r="K2195" s="47" t="s">
        <v>519</v>
      </c>
      <c r="L2195" s="47" t="s">
        <v>552</v>
      </c>
      <c r="M2195" s="47" t="s">
        <v>514</v>
      </c>
      <c r="N2195" s="47" t="s">
        <v>515</v>
      </c>
      <c r="O2195" s="54" t="s">
        <v>382</v>
      </c>
      <c r="P2195" s="44" t="s">
        <v>309</v>
      </c>
      <c r="Q2195" s="59" t="str">
        <f>MID(Tabla1[[#This Row],[Aplicación]],14,1)</f>
        <v>2</v>
      </c>
      <c r="R2195" s="35" t="s">
        <v>298</v>
      </c>
      <c r="S2195" s="59" t="str">
        <f>MID(Tabla1[[#This Row],[Aplicación]],6,2)</f>
        <v>10</v>
      </c>
      <c r="T2195" s="35" t="str">
        <f>VLOOKUP(Tabla1[[#This Row],[AREA]],Hoja1!A:B,2,FALSE)</f>
        <v>10. Servicios sociales y mediación comunitaria</v>
      </c>
      <c r="U2195" s="35" t="str">
        <f>MID(Tabla1[[#This Row],[Aplicación]],9,4)</f>
        <v>2412</v>
      </c>
      <c r="V2195" s="35" t="str">
        <f>VLOOKUP(Tabla1[[#This Row],[PROGRAMA]],Hoja1!A:B,2,FALSE)</f>
        <v>2412. Formación para el empleo</v>
      </c>
      <c r="W2195" s="56" t="str">
        <f>MID(Tabla1[[#This Row],[Aplicación]],14,2)</f>
        <v>22</v>
      </c>
      <c r="X2195" s="56" t="str">
        <f>MID(Tabla1[[#This Row],[Aplicación]],14,6)</f>
        <v>22199</v>
      </c>
    </row>
    <row r="2196" spans="1:24" x14ac:dyDescent="0.25">
      <c r="A2196" s="55">
        <v>220230011946</v>
      </c>
      <c r="B2196" s="47" t="s">
        <v>1514</v>
      </c>
      <c r="C2196" s="52">
        <v>45015</v>
      </c>
      <c r="D2196" s="46">
        <v>22023000273</v>
      </c>
      <c r="E2196" s="47" t="s">
        <v>2310</v>
      </c>
      <c r="F2196" s="53">
        <v>421.62</v>
      </c>
      <c r="G2196" s="47" t="s">
        <v>70</v>
      </c>
      <c r="H2196" s="47" t="s">
        <v>3700</v>
      </c>
      <c r="I2196" s="46" t="s">
        <v>1517</v>
      </c>
      <c r="J2196" s="47" t="s">
        <v>519</v>
      </c>
      <c r="K2196" s="47" t="s">
        <v>519</v>
      </c>
      <c r="L2196" s="47" t="s">
        <v>552</v>
      </c>
      <c r="M2196" s="47" t="s">
        <v>514</v>
      </c>
      <c r="N2196" s="47" t="s">
        <v>515</v>
      </c>
      <c r="O2196" s="54" t="s">
        <v>382</v>
      </c>
      <c r="P2196" s="44" t="s">
        <v>309</v>
      </c>
      <c r="Q2196" s="59" t="str">
        <f>MID(Tabla1[[#This Row],[Aplicación]],14,1)</f>
        <v>2</v>
      </c>
      <c r="R2196" s="35" t="s">
        <v>298</v>
      </c>
      <c r="S2196" s="59" t="str">
        <f>MID(Tabla1[[#This Row],[Aplicación]],6,2)</f>
        <v>11</v>
      </c>
      <c r="T2196" s="35" t="str">
        <f>VLOOKUP(Tabla1[[#This Row],[AREA]],Hoja1!A:B,2,FALSE)</f>
        <v>11. Salud pública y seguridad ciudadana</v>
      </c>
      <c r="U2196" s="35" t="str">
        <f>MID(Tabla1[[#This Row],[Aplicación]],9,4)</f>
        <v>1321</v>
      </c>
      <c r="V2196" s="35" t="str">
        <f>VLOOKUP(Tabla1[[#This Row],[PROGRAMA]],Hoja1!A:B,2,FALSE)</f>
        <v>1321. Policía municipal</v>
      </c>
      <c r="W2196" s="56" t="str">
        <f>MID(Tabla1[[#This Row],[Aplicación]],14,2)</f>
        <v>22</v>
      </c>
      <c r="X2196" s="56" t="str">
        <f>MID(Tabla1[[#This Row],[Aplicación]],14,6)</f>
        <v>22199</v>
      </c>
    </row>
    <row r="2197" spans="1:24" x14ac:dyDescent="0.25">
      <c r="A2197" s="55">
        <v>220230011957</v>
      </c>
      <c r="B2197" s="47" t="s">
        <v>1514</v>
      </c>
      <c r="C2197" s="52">
        <v>45015</v>
      </c>
      <c r="D2197" s="46">
        <v>22023001578</v>
      </c>
      <c r="E2197" s="47" t="s">
        <v>2275</v>
      </c>
      <c r="F2197" s="53">
        <v>317.41000000000003</v>
      </c>
      <c r="G2197" s="47" t="s">
        <v>70</v>
      </c>
      <c r="H2197" s="47" t="s">
        <v>3701</v>
      </c>
      <c r="I2197" s="46" t="s">
        <v>1517</v>
      </c>
      <c r="J2197" s="47" t="s">
        <v>519</v>
      </c>
      <c r="K2197" s="47" t="s">
        <v>519</v>
      </c>
      <c r="L2197" s="47" t="s">
        <v>552</v>
      </c>
      <c r="M2197" s="47" t="s">
        <v>514</v>
      </c>
      <c r="N2197" s="47" t="s">
        <v>515</v>
      </c>
      <c r="O2197" s="54" t="s">
        <v>382</v>
      </c>
      <c r="P2197" s="44" t="s">
        <v>309</v>
      </c>
      <c r="Q2197" s="59" t="str">
        <f>MID(Tabla1[[#This Row],[Aplicación]],14,1)</f>
        <v>2</v>
      </c>
      <c r="R2197" s="35" t="s">
        <v>298</v>
      </c>
      <c r="S2197" s="59" t="str">
        <f>MID(Tabla1[[#This Row],[Aplicación]],6,2)</f>
        <v>11</v>
      </c>
      <c r="T2197" s="35" t="str">
        <f>VLOOKUP(Tabla1[[#This Row],[AREA]],Hoja1!A:B,2,FALSE)</f>
        <v>11. Salud pública y seguridad ciudadana</v>
      </c>
      <c r="U2197" s="35" t="str">
        <f>MID(Tabla1[[#This Row],[Aplicación]],9,4)</f>
        <v>3111</v>
      </c>
      <c r="V2197" s="35" t="str">
        <f>VLOOKUP(Tabla1[[#This Row],[PROGRAMA]],Hoja1!A:B,2,FALSE)</f>
        <v>3111. Protección de la salubridad pública</v>
      </c>
      <c r="W2197" s="56" t="str">
        <f>MID(Tabla1[[#This Row],[Aplicación]],14,2)</f>
        <v>22</v>
      </c>
      <c r="X2197" s="56" t="str">
        <f>MID(Tabla1[[#This Row],[Aplicación]],14,6)</f>
        <v>22199</v>
      </c>
    </row>
    <row r="2198" spans="1:24" x14ac:dyDescent="0.25">
      <c r="A2198" s="55">
        <v>220230012025</v>
      </c>
      <c r="B2198" s="47" t="s">
        <v>1514</v>
      </c>
      <c r="C2198" s="52">
        <v>45015</v>
      </c>
      <c r="D2198" s="46">
        <v>22023001549</v>
      </c>
      <c r="E2198" s="47" t="s">
        <v>1515</v>
      </c>
      <c r="F2198" s="53">
        <v>405.5</v>
      </c>
      <c r="G2198" s="47" t="s">
        <v>70</v>
      </c>
      <c r="H2198" s="47" t="s">
        <v>3702</v>
      </c>
      <c r="I2198" s="46" t="s">
        <v>1517</v>
      </c>
      <c r="J2198" s="47" t="s">
        <v>519</v>
      </c>
      <c r="K2198" s="47" t="s">
        <v>519</v>
      </c>
      <c r="L2198" s="47" t="s">
        <v>552</v>
      </c>
      <c r="M2198" s="47" t="s">
        <v>514</v>
      </c>
      <c r="N2198" s="47" t="s">
        <v>515</v>
      </c>
      <c r="O2198" s="54" t="s">
        <v>382</v>
      </c>
      <c r="P2198" s="44" t="s">
        <v>309</v>
      </c>
      <c r="Q2198" s="59" t="str">
        <f>MID(Tabla1[[#This Row],[Aplicación]],14,1)</f>
        <v>2</v>
      </c>
      <c r="R2198" s="35" t="s">
        <v>298</v>
      </c>
      <c r="S2198" s="59" t="str">
        <f>MID(Tabla1[[#This Row],[Aplicación]],6,2)</f>
        <v>07</v>
      </c>
      <c r="T2198" s="35" t="str">
        <f>VLOOKUP(Tabla1[[#This Row],[AREA]],Hoja1!A:B,2,FALSE)</f>
        <v>07. Medio ambiente y desarrollo sostenible</v>
      </c>
      <c r="U2198" s="35" t="str">
        <f>MID(Tabla1[[#This Row],[Aplicación]],9,4)</f>
        <v>1711</v>
      </c>
      <c r="V2198" s="35" t="str">
        <f>VLOOKUP(Tabla1[[#This Row],[PROGRAMA]],Hoja1!A:B,2,FALSE)</f>
        <v>1711. Parques y jardines</v>
      </c>
      <c r="W2198" s="56" t="str">
        <f>MID(Tabla1[[#This Row],[Aplicación]],14,2)</f>
        <v>22</v>
      </c>
      <c r="X2198" s="56" t="str">
        <f>MID(Tabla1[[#This Row],[Aplicación]],14,6)</f>
        <v>22199</v>
      </c>
    </row>
    <row r="2199" spans="1:24" x14ac:dyDescent="0.25">
      <c r="A2199" s="55">
        <v>220230011879</v>
      </c>
      <c r="B2199" s="47" t="s">
        <v>1514</v>
      </c>
      <c r="C2199" s="52">
        <v>45015</v>
      </c>
      <c r="D2199" s="46">
        <v>22023000213</v>
      </c>
      <c r="E2199" s="47" t="s">
        <v>1694</v>
      </c>
      <c r="F2199" s="53">
        <v>836.11</v>
      </c>
      <c r="G2199" s="47" t="s">
        <v>1993</v>
      </c>
      <c r="H2199" s="47" t="s">
        <v>3703</v>
      </c>
      <c r="I2199" s="46" t="s">
        <v>1517</v>
      </c>
      <c r="J2199" s="47" t="s">
        <v>519</v>
      </c>
      <c r="K2199" s="47" t="s">
        <v>519</v>
      </c>
      <c r="L2199" s="47" t="s">
        <v>520</v>
      </c>
      <c r="M2199" s="47" t="s">
        <v>514</v>
      </c>
      <c r="N2199" s="47" t="s">
        <v>515</v>
      </c>
      <c r="O2199" s="54" t="s">
        <v>382</v>
      </c>
      <c r="P2199" s="44" t="s">
        <v>309</v>
      </c>
      <c r="Q2199" s="59" t="str">
        <f>MID(Tabla1[[#This Row],[Aplicación]],14,1)</f>
        <v>2</v>
      </c>
      <c r="R2199" s="35" t="s">
        <v>298</v>
      </c>
      <c r="S2199" s="59" t="str">
        <f>MID(Tabla1[[#This Row],[Aplicación]],6,2)</f>
        <v>11</v>
      </c>
      <c r="T2199" s="35" t="str">
        <f>VLOOKUP(Tabla1[[#This Row],[AREA]],Hoja1!A:B,2,FALSE)</f>
        <v>11. Salud pública y seguridad ciudadana</v>
      </c>
      <c r="U2199" s="35" t="str">
        <f>MID(Tabla1[[#This Row],[Aplicación]],9,4)</f>
        <v>1321</v>
      </c>
      <c r="V2199" s="35" t="str">
        <f>VLOOKUP(Tabla1[[#This Row],[PROGRAMA]],Hoja1!A:B,2,FALSE)</f>
        <v>1321. Policía municipal</v>
      </c>
      <c r="W2199" s="56" t="str">
        <f>MID(Tabla1[[#This Row],[Aplicación]],14,2)</f>
        <v>21</v>
      </c>
      <c r="X2199" s="56" t="str">
        <f>MID(Tabla1[[#This Row],[Aplicación]],14,6)</f>
        <v>214</v>
      </c>
    </row>
    <row r="2200" spans="1:24" x14ac:dyDescent="0.25">
      <c r="A2200" s="55">
        <v>220230012007</v>
      </c>
      <c r="B2200" s="47" t="s">
        <v>1514</v>
      </c>
      <c r="C2200" s="52">
        <v>45015</v>
      </c>
      <c r="D2200" s="46">
        <v>22023000213</v>
      </c>
      <c r="E2200" s="47" t="s">
        <v>1694</v>
      </c>
      <c r="F2200" s="53">
        <v>635.25</v>
      </c>
      <c r="G2200" s="47" t="s">
        <v>1993</v>
      </c>
      <c r="H2200" s="47" t="s">
        <v>3704</v>
      </c>
      <c r="I2200" s="46" t="s">
        <v>1517</v>
      </c>
      <c r="J2200" s="47" t="s">
        <v>519</v>
      </c>
      <c r="K2200" s="47" t="s">
        <v>519</v>
      </c>
      <c r="L2200" s="47" t="s">
        <v>520</v>
      </c>
      <c r="M2200" s="47" t="s">
        <v>514</v>
      </c>
      <c r="N2200" s="47" t="s">
        <v>515</v>
      </c>
      <c r="O2200" s="54" t="s">
        <v>382</v>
      </c>
      <c r="P2200" s="44" t="s">
        <v>309</v>
      </c>
      <c r="Q2200" s="59" t="str">
        <f>MID(Tabla1[[#This Row],[Aplicación]],14,1)</f>
        <v>2</v>
      </c>
      <c r="R2200" s="35" t="s">
        <v>298</v>
      </c>
      <c r="S2200" s="59" t="str">
        <f>MID(Tabla1[[#This Row],[Aplicación]],6,2)</f>
        <v>11</v>
      </c>
      <c r="T2200" s="35" t="str">
        <f>VLOOKUP(Tabla1[[#This Row],[AREA]],Hoja1!A:B,2,FALSE)</f>
        <v>11. Salud pública y seguridad ciudadana</v>
      </c>
      <c r="U2200" s="35" t="str">
        <f>MID(Tabla1[[#This Row],[Aplicación]],9,4)</f>
        <v>1321</v>
      </c>
      <c r="V2200" s="35" t="str">
        <f>VLOOKUP(Tabla1[[#This Row],[PROGRAMA]],Hoja1!A:B,2,FALSE)</f>
        <v>1321. Policía municipal</v>
      </c>
      <c r="W2200" s="56" t="str">
        <f>MID(Tabla1[[#This Row],[Aplicación]],14,2)</f>
        <v>21</v>
      </c>
      <c r="X2200" s="56" t="str">
        <f>MID(Tabla1[[#This Row],[Aplicación]],14,6)</f>
        <v>214</v>
      </c>
    </row>
    <row r="2201" spans="1:24" x14ac:dyDescent="0.25">
      <c r="A2201" s="55">
        <v>220230012009</v>
      </c>
      <c r="B2201" s="47" t="s">
        <v>1514</v>
      </c>
      <c r="C2201" s="52">
        <v>45015</v>
      </c>
      <c r="D2201" s="46">
        <v>22023000213</v>
      </c>
      <c r="E2201" s="47" t="s">
        <v>1694</v>
      </c>
      <c r="F2201" s="53">
        <v>167.77</v>
      </c>
      <c r="G2201" s="47" t="s">
        <v>1993</v>
      </c>
      <c r="H2201" s="47" t="s">
        <v>3705</v>
      </c>
      <c r="I2201" s="46" t="s">
        <v>1517</v>
      </c>
      <c r="J2201" s="47" t="s">
        <v>519</v>
      </c>
      <c r="K2201" s="47" t="s">
        <v>519</v>
      </c>
      <c r="L2201" s="47" t="s">
        <v>520</v>
      </c>
      <c r="M2201" s="47" t="s">
        <v>514</v>
      </c>
      <c r="N2201" s="47" t="s">
        <v>515</v>
      </c>
      <c r="O2201" s="54" t="s">
        <v>382</v>
      </c>
      <c r="P2201" s="44" t="s">
        <v>309</v>
      </c>
      <c r="Q2201" s="59" t="str">
        <f>MID(Tabla1[[#This Row],[Aplicación]],14,1)</f>
        <v>2</v>
      </c>
      <c r="R2201" s="35" t="s">
        <v>298</v>
      </c>
      <c r="S2201" s="59" t="str">
        <f>MID(Tabla1[[#This Row],[Aplicación]],6,2)</f>
        <v>11</v>
      </c>
      <c r="T2201" s="35" t="str">
        <f>VLOOKUP(Tabla1[[#This Row],[AREA]],Hoja1!A:B,2,FALSE)</f>
        <v>11. Salud pública y seguridad ciudadana</v>
      </c>
      <c r="U2201" s="35" t="str">
        <f>MID(Tabla1[[#This Row],[Aplicación]],9,4)</f>
        <v>1321</v>
      </c>
      <c r="V2201" s="35" t="str">
        <f>VLOOKUP(Tabla1[[#This Row],[PROGRAMA]],Hoja1!A:B,2,FALSE)</f>
        <v>1321. Policía municipal</v>
      </c>
      <c r="W2201" s="56" t="str">
        <f>MID(Tabla1[[#This Row],[Aplicación]],14,2)</f>
        <v>21</v>
      </c>
      <c r="X2201" s="56" t="str">
        <f>MID(Tabla1[[#This Row],[Aplicación]],14,6)</f>
        <v>214</v>
      </c>
    </row>
    <row r="2202" spans="1:24" x14ac:dyDescent="0.25">
      <c r="A2202" s="55">
        <v>220230011882</v>
      </c>
      <c r="B2202" s="47" t="s">
        <v>1514</v>
      </c>
      <c r="C2202" s="52">
        <v>45015</v>
      </c>
      <c r="D2202" s="46">
        <v>22023002181</v>
      </c>
      <c r="E2202" s="47" t="s">
        <v>1305</v>
      </c>
      <c r="F2202" s="53">
        <v>580.51</v>
      </c>
      <c r="G2202" s="47" t="s">
        <v>2115</v>
      </c>
      <c r="H2202" s="47" t="s">
        <v>3706</v>
      </c>
      <c r="I2202" s="46" t="s">
        <v>1517</v>
      </c>
      <c r="J2202" s="47" t="s">
        <v>519</v>
      </c>
      <c r="K2202" s="47" t="s">
        <v>519</v>
      </c>
      <c r="L2202" s="47" t="s">
        <v>552</v>
      </c>
      <c r="M2202" s="47" t="s">
        <v>514</v>
      </c>
      <c r="N2202" s="47" t="s">
        <v>515</v>
      </c>
      <c r="O2202" s="54" t="s">
        <v>382</v>
      </c>
      <c r="P2202" s="44" t="s">
        <v>309</v>
      </c>
      <c r="Q2202" s="59" t="str">
        <f>MID(Tabla1[[#This Row],[Aplicación]],14,1)</f>
        <v>2</v>
      </c>
      <c r="R2202" s="35" t="s">
        <v>298</v>
      </c>
      <c r="S2202" s="59" t="str">
        <f>MID(Tabla1[[#This Row],[Aplicación]],6,2)</f>
        <v>06</v>
      </c>
      <c r="T2202" s="35" t="str">
        <f>VLOOKUP(Tabla1[[#This Row],[AREA]],Hoja1!A:B,2,FALSE)</f>
        <v>06. Educación, infancia, juventud e igualdad</v>
      </c>
      <c r="U2202" s="35" t="str">
        <f>MID(Tabla1[[#This Row],[Aplicación]],9,4)</f>
        <v>3232</v>
      </c>
      <c r="V2202" s="35" t="str">
        <f>VLOOKUP(Tabla1[[#This Row],[PROGRAMA]],Hoja1!A:B,2,FALSE)</f>
        <v>3232. Conservación y mantenimiento centros educación infantil y primaria</v>
      </c>
      <c r="W2202" s="56" t="str">
        <f>MID(Tabla1[[#This Row],[Aplicación]],14,2)</f>
        <v>21</v>
      </c>
      <c r="X2202" s="56" t="str">
        <f>MID(Tabla1[[#This Row],[Aplicación]],14,6)</f>
        <v>212</v>
      </c>
    </row>
    <row r="2203" spans="1:24" x14ac:dyDescent="0.25">
      <c r="A2203" s="46">
        <v>220230005412</v>
      </c>
      <c r="B2203" s="47" t="s">
        <v>507</v>
      </c>
      <c r="C2203" s="52">
        <v>44979</v>
      </c>
      <c r="D2203" s="46">
        <v>22023002631</v>
      </c>
      <c r="E2203" s="47" t="s">
        <v>1783</v>
      </c>
      <c r="F2203" s="53">
        <v>1503.37</v>
      </c>
      <c r="G2203" s="47" t="s">
        <v>409</v>
      </c>
      <c r="H2203" s="47" t="s">
        <v>3707</v>
      </c>
      <c r="I2203" s="46" t="s">
        <v>511</v>
      </c>
      <c r="J2203" s="47" t="s">
        <v>519</v>
      </c>
      <c r="K2203" s="47" t="s">
        <v>519</v>
      </c>
      <c r="L2203" s="47" t="s">
        <v>520</v>
      </c>
      <c r="M2203" s="47" t="s">
        <v>976</v>
      </c>
      <c r="N2203" s="47" t="s">
        <v>839</v>
      </c>
      <c r="O2203" s="45" t="s">
        <v>383</v>
      </c>
      <c r="P2203" s="44" t="s">
        <v>309</v>
      </c>
      <c r="Q2203" s="59" t="str">
        <f>MID(Tabla1[[#This Row],[Aplicación]],14,1)</f>
        <v>2</v>
      </c>
      <c r="R2203" s="35" t="s">
        <v>298</v>
      </c>
      <c r="S2203" s="59" t="str">
        <f>MID(Tabla1[[#This Row],[Aplicación]],6,2)</f>
        <v>07</v>
      </c>
      <c r="T2203" s="35" t="str">
        <f>VLOOKUP(Tabla1[[#This Row],[AREA]],Hoja1!A:B,2,FALSE)</f>
        <v>07. Medio ambiente y desarrollo sostenible</v>
      </c>
      <c r="U2203" s="35" t="str">
        <f>MID(Tabla1[[#This Row],[Aplicación]],9,4)</f>
        <v>1701</v>
      </c>
      <c r="V2203" s="35" t="str">
        <f>VLOOKUP(Tabla1[[#This Row],[PROGRAMA]],Hoja1!A:B,2,FALSE)</f>
        <v>1701. Dirección del área de medio ambiente</v>
      </c>
      <c r="W2203" s="56" t="str">
        <f>MID(Tabla1[[#This Row],[Aplicación]],14,2)</f>
        <v>22</v>
      </c>
      <c r="X2203" s="56" t="str">
        <f>MID(Tabla1[[#This Row],[Aplicación]],14,6)</f>
        <v>22699</v>
      </c>
    </row>
    <row r="2204" spans="1:24" x14ac:dyDescent="0.25">
      <c r="A2204" s="55">
        <v>220230011918</v>
      </c>
      <c r="B2204" s="47" t="s">
        <v>1514</v>
      </c>
      <c r="C2204" s="52">
        <v>45015</v>
      </c>
      <c r="D2204" s="46">
        <v>22023001514</v>
      </c>
      <c r="E2204" s="47" t="s">
        <v>1285</v>
      </c>
      <c r="F2204" s="53">
        <v>24.14</v>
      </c>
      <c r="G2204" s="47" t="s">
        <v>98</v>
      </c>
      <c r="H2204" s="47" t="s">
        <v>3708</v>
      </c>
      <c r="I2204" s="46" t="s">
        <v>1517</v>
      </c>
      <c r="J2204" s="47" t="s">
        <v>519</v>
      </c>
      <c r="K2204" s="47" t="s">
        <v>519</v>
      </c>
      <c r="L2204" s="47" t="s">
        <v>552</v>
      </c>
      <c r="M2204" s="47" t="s">
        <v>514</v>
      </c>
      <c r="N2204" s="47" t="s">
        <v>515</v>
      </c>
      <c r="O2204" s="54" t="s">
        <v>382</v>
      </c>
      <c r="P2204" s="44" t="s">
        <v>309</v>
      </c>
      <c r="Q2204" s="59" t="str">
        <f>MID(Tabla1[[#This Row],[Aplicación]],14,1)</f>
        <v>2</v>
      </c>
      <c r="R2204" s="35" t="s">
        <v>298</v>
      </c>
      <c r="S2204" s="59" t="str">
        <f>MID(Tabla1[[#This Row],[Aplicación]],6,2)</f>
        <v>11</v>
      </c>
      <c r="T2204" s="35" t="str">
        <f>VLOOKUP(Tabla1[[#This Row],[AREA]],Hoja1!A:B,2,FALSE)</f>
        <v>11. Salud pública y seguridad ciudadana</v>
      </c>
      <c r="U2204" s="35" t="str">
        <f>MID(Tabla1[[#This Row],[Aplicación]],9,4)</f>
        <v>1361</v>
      </c>
      <c r="V2204" s="35" t="str">
        <f>VLOOKUP(Tabla1[[#This Row],[PROGRAMA]],Hoja1!A:B,2,FALSE)</f>
        <v>1361. Prevención y extinción de incencios</v>
      </c>
      <c r="W2204" s="56" t="str">
        <f>MID(Tabla1[[#This Row],[Aplicación]],14,2)</f>
        <v>22</v>
      </c>
      <c r="X2204" s="56" t="str">
        <f>MID(Tabla1[[#This Row],[Aplicación]],14,6)</f>
        <v>22199</v>
      </c>
    </row>
    <row r="2205" spans="1:24" x14ac:dyDescent="0.25">
      <c r="A2205" s="55">
        <v>220230011992</v>
      </c>
      <c r="B2205" s="47" t="s">
        <v>1514</v>
      </c>
      <c r="C2205" s="52">
        <v>45015</v>
      </c>
      <c r="D2205" s="46">
        <v>22023002182</v>
      </c>
      <c r="E2205" s="47" t="s">
        <v>2785</v>
      </c>
      <c r="F2205" s="53">
        <v>25.63</v>
      </c>
      <c r="G2205" s="47" t="s">
        <v>98</v>
      </c>
      <c r="H2205" s="47" t="s">
        <v>3709</v>
      </c>
      <c r="I2205" s="46" t="s">
        <v>1517</v>
      </c>
      <c r="J2205" s="47" t="s">
        <v>519</v>
      </c>
      <c r="K2205" s="47" t="s">
        <v>519</v>
      </c>
      <c r="L2205" s="47" t="s">
        <v>552</v>
      </c>
      <c r="M2205" s="47" t="s">
        <v>514</v>
      </c>
      <c r="N2205" s="47" t="s">
        <v>515</v>
      </c>
      <c r="O2205" s="54" t="s">
        <v>382</v>
      </c>
      <c r="P2205" s="44" t="s">
        <v>309</v>
      </c>
      <c r="Q2205" s="59" t="str">
        <f>MID(Tabla1[[#This Row],[Aplicación]],14,1)</f>
        <v>2</v>
      </c>
      <c r="R2205" s="35" t="s">
        <v>298</v>
      </c>
      <c r="S2205" s="59" t="str">
        <f>MID(Tabla1[[#This Row],[Aplicación]],6,2)</f>
        <v>06</v>
      </c>
      <c r="T2205" s="35" t="str">
        <f>VLOOKUP(Tabla1[[#This Row],[AREA]],Hoja1!A:B,2,FALSE)</f>
        <v>06. Educación, infancia, juventud e igualdad</v>
      </c>
      <c r="U2205" s="35" t="str">
        <f>MID(Tabla1[[#This Row],[Aplicación]],9,4)</f>
        <v>3321</v>
      </c>
      <c r="V2205" s="35" t="str">
        <f>VLOOKUP(Tabla1[[#This Row],[PROGRAMA]],Hoja1!A:B,2,FALSE)</f>
        <v>3321. Bibliotecas públicas</v>
      </c>
      <c r="W2205" s="56" t="str">
        <f>MID(Tabla1[[#This Row],[Aplicación]],14,2)</f>
        <v>21</v>
      </c>
      <c r="X2205" s="56" t="str">
        <f>MID(Tabla1[[#This Row],[Aplicación]],14,6)</f>
        <v>212</v>
      </c>
    </row>
    <row r="2206" spans="1:24" x14ac:dyDescent="0.25">
      <c r="A2206" s="55">
        <v>220230012070</v>
      </c>
      <c r="B2206" s="47" t="s">
        <v>1514</v>
      </c>
      <c r="C2206" s="52">
        <v>45015</v>
      </c>
      <c r="D2206" s="46">
        <v>22023001343</v>
      </c>
      <c r="E2206" s="47" t="s">
        <v>1506</v>
      </c>
      <c r="F2206" s="53">
        <v>390.29</v>
      </c>
      <c r="G2206" s="47" t="s">
        <v>98</v>
      </c>
      <c r="H2206" s="47" t="s">
        <v>3710</v>
      </c>
      <c r="I2206" s="46" t="s">
        <v>1517</v>
      </c>
      <c r="J2206" s="47" t="s">
        <v>519</v>
      </c>
      <c r="K2206" s="47" t="s">
        <v>519</v>
      </c>
      <c r="L2206" s="47" t="s">
        <v>552</v>
      </c>
      <c r="M2206" s="47" t="s">
        <v>514</v>
      </c>
      <c r="N2206" s="47" t="s">
        <v>604</v>
      </c>
      <c r="O2206" s="54" t="s">
        <v>382</v>
      </c>
      <c r="P2206" s="44" t="s">
        <v>309</v>
      </c>
      <c r="Q2206" s="59" t="str">
        <f>MID(Tabla1[[#This Row],[Aplicación]],14,1)</f>
        <v>2</v>
      </c>
      <c r="R2206" s="35" t="s">
        <v>298</v>
      </c>
      <c r="S2206" s="59" t="str">
        <f>MID(Tabla1[[#This Row],[Aplicación]],6,2)</f>
        <v>03</v>
      </c>
      <c r="T2206" s="35" t="str">
        <f>VLOOKUP(Tabla1[[#This Row],[AREA]],Hoja1!A:B,2,FALSE)</f>
        <v>03. Participación ciudadana y deportes</v>
      </c>
      <c r="U2206" s="35" t="str">
        <f>MID(Tabla1[[#This Row],[Aplicación]],9,4)</f>
        <v>9241</v>
      </c>
      <c r="V2206" s="35" t="str">
        <f>VLOOKUP(Tabla1[[#This Row],[PROGRAMA]],Hoja1!A:B,2,FALSE)</f>
        <v>9241. Participación ciudadana</v>
      </c>
      <c r="W2206" s="56" t="str">
        <f>MID(Tabla1[[#This Row],[Aplicación]],14,2)</f>
        <v>21</v>
      </c>
      <c r="X2206" s="56" t="str">
        <f>MID(Tabla1[[#This Row],[Aplicación]],14,6)</f>
        <v>212</v>
      </c>
    </row>
    <row r="2207" spans="1:24" x14ac:dyDescent="0.25">
      <c r="A2207" s="55">
        <v>220230012093</v>
      </c>
      <c r="B2207" s="47" t="s">
        <v>1514</v>
      </c>
      <c r="C2207" s="52">
        <v>45015</v>
      </c>
      <c r="D2207" s="46">
        <v>22023001549</v>
      </c>
      <c r="E2207" s="47" t="s">
        <v>1515</v>
      </c>
      <c r="F2207" s="53">
        <v>145.19999999999999</v>
      </c>
      <c r="G2207" s="47" t="s">
        <v>98</v>
      </c>
      <c r="H2207" s="47" t="s">
        <v>3711</v>
      </c>
      <c r="I2207" s="46" t="s">
        <v>1517</v>
      </c>
      <c r="J2207" s="47" t="s">
        <v>519</v>
      </c>
      <c r="K2207" s="47" t="s">
        <v>519</v>
      </c>
      <c r="L2207" s="47" t="s">
        <v>552</v>
      </c>
      <c r="M2207" s="47" t="s">
        <v>514</v>
      </c>
      <c r="N2207" s="47" t="s">
        <v>515</v>
      </c>
      <c r="O2207" s="54" t="s">
        <v>382</v>
      </c>
      <c r="P2207" s="44" t="s">
        <v>309</v>
      </c>
      <c r="Q2207" s="59" t="str">
        <f>MID(Tabla1[[#This Row],[Aplicación]],14,1)</f>
        <v>2</v>
      </c>
      <c r="R2207" s="35" t="s">
        <v>298</v>
      </c>
      <c r="S2207" s="59" t="str">
        <f>MID(Tabla1[[#This Row],[Aplicación]],6,2)</f>
        <v>07</v>
      </c>
      <c r="T2207" s="35" t="str">
        <f>VLOOKUP(Tabla1[[#This Row],[AREA]],Hoja1!A:B,2,FALSE)</f>
        <v>07. Medio ambiente y desarrollo sostenible</v>
      </c>
      <c r="U2207" s="35" t="str">
        <f>MID(Tabla1[[#This Row],[Aplicación]],9,4)</f>
        <v>1711</v>
      </c>
      <c r="V2207" s="35" t="str">
        <f>VLOOKUP(Tabla1[[#This Row],[PROGRAMA]],Hoja1!A:B,2,FALSE)</f>
        <v>1711. Parques y jardines</v>
      </c>
      <c r="W2207" s="56" t="str">
        <f>MID(Tabla1[[#This Row],[Aplicación]],14,2)</f>
        <v>22</v>
      </c>
      <c r="X2207" s="56" t="str">
        <f>MID(Tabla1[[#This Row],[Aplicación]],14,6)</f>
        <v>22199</v>
      </c>
    </row>
    <row r="2208" spans="1:24" x14ac:dyDescent="0.25">
      <c r="A2208" s="55">
        <v>220230011922</v>
      </c>
      <c r="B2208" s="47" t="s">
        <v>1514</v>
      </c>
      <c r="C2208" s="52">
        <v>45015</v>
      </c>
      <c r="D2208" s="46">
        <v>22023001514</v>
      </c>
      <c r="E2208" s="47" t="s">
        <v>1285</v>
      </c>
      <c r="F2208" s="53">
        <v>349.51</v>
      </c>
      <c r="G2208" s="47" t="s">
        <v>2823</v>
      </c>
      <c r="H2208" s="47" t="s">
        <v>3712</v>
      </c>
      <c r="I2208" s="46" t="s">
        <v>1517</v>
      </c>
      <c r="J2208" s="47" t="s">
        <v>519</v>
      </c>
      <c r="K2208" s="47" t="s">
        <v>519</v>
      </c>
      <c r="L2208" s="47" t="s">
        <v>552</v>
      </c>
      <c r="M2208" s="47" t="s">
        <v>514</v>
      </c>
      <c r="N2208" s="47" t="s">
        <v>515</v>
      </c>
      <c r="O2208" s="54" t="s">
        <v>382</v>
      </c>
      <c r="P2208" s="44" t="s">
        <v>309</v>
      </c>
      <c r="Q2208" s="59" t="str">
        <f>MID(Tabla1[[#This Row],[Aplicación]],14,1)</f>
        <v>2</v>
      </c>
      <c r="R2208" s="35" t="s">
        <v>298</v>
      </c>
      <c r="S2208" s="59" t="str">
        <f>MID(Tabla1[[#This Row],[Aplicación]],6,2)</f>
        <v>11</v>
      </c>
      <c r="T2208" s="35" t="str">
        <f>VLOOKUP(Tabla1[[#This Row],[AREA]],Hoja1!A:B,2,FALSE)</f>
        <v>11. Salud pública y seguridad ciudadana</v>
      </c>
      <c r="U2208" s="35" t="str">
        <f>MID(Tabla1[[#This Row],[Aplicación]],9,4)</f>
        <v>1361</v>
      </c>
      <c r="V2208" s="35" t="str">
        <f>VLOOKUP(Tabla1[[#This Row],[PROGRAMA]],Hoja1!A:B,2,FALSE)</f>
        <v>1361. Prevención y extinción de incencios</v>
      </c>
      <c r="W2208" s="56" t="str">
        <f>MID(Tabla1[[#This Row],[Aplicación]],14,2)</f>
        <v>22</v>
      </c>
      <c r="X2208" s="56" t="str">
        <f>MID(Tabla1[[#This Row],[Aplicación]],14,6)</f>
        <v>22199</v>
      </c>
    </row>
    <row r="2209" spans="1:24" x14ac:dyDescent="0.25">
      <c r="A2209" s="55">
        <v>220230012100</v>
      </c>
      <c r="B2209" s="47" t="s">
        <v>1514</v>
      </c>
      <c r="C2209" s="52">
        <v>45015</v>
      </c>
      <c r="D2209" s="46">
        <v>22023001607</v>
      </c>
      <c r="E2209" s="47" t="s">
        <v>1603</v>
      </c>
      <c r="F2209" s="53">
        <v>1054.33</v>
      </c>
      <c r="G2209" s="47" t="s">
        <v>2823</v>
      </c>
      <c r="H2209" s="47" t="s">
        <v>3713</v>
      </c>
      <c r="I2209" s="46" t="s">
        <v>1517</v>
      </c>
      <c r="J2209" s="47" t="s">
        <v>519</v>
      </c>
      <c r="K2209" s="47" t="s">
        <v>519</v>
      </c>
      <c r="L2209" s="47" t="s">
        <v>552</v>
      </c>
      <c r="M2209" s="47" t="s">
        <v>514</v>
      </c>
      <c r="N2209" s="47" t="s">
        <v>515</v>
      </c>
      <c r="O2209" s="54" t="s">
        <v>382</v>
      </c>
      <c r="P2209" s="44" t="s">
        <v>309</v>
      </c>
      <c r="Q2209" s="59" t="str">
        <f>MID(Tabla1[[#This Row],[Aplicación]],14,1)</f>
        <v>2</v>
      </c>
      <c r="R2209" s="35" t="s">
        <v>298</v>
      </c>
      <c r="S2209" s="59" t="str">
        <f>MID(Tabla1[[#This Row],[Aplicación]],6,2)</f>
        <v>08</v>
      </c>
      <c r="T2209" s="35" t="str">
        <f>VLOOKUP(Tabla1[[#This Row],[AREA]],Hoja1!A:B,2,FALSE)</f>
        <v>08. Movilidad y espacio urbano</v>
      </c>
      <c r="U2209" s="35" t="str">
        <f>MID(Tabla1[[#This Row],[Aplicación]],9,4)</f>
        <v>1532</v>
      </c>
      <c r="V2209" s="35" t="str">
        <f>VLOOKUP(Tabla1[[#This Row],[PROGRAMA]],Hoja1!A:B,2,FALSE)</f>
        <v>1532. Pavimentación vias públicas y otros servicios urbanísticos</v>
      </c>
      <c r="W2209" s="56" t="str">
        <f>MID(Tabla1[[#This Row],[Aplicación]],14,2)</f>
        <v>21</v>
      </c>
      <c r="X2209" s="56" t="str">
        <f>MID(Tabla1[[#This Row],[Aplicación]],14,6)</f>
        <v>210</v>
      </c>
    </row>
    <row r="2210" spans="1:24" x14ac:dyDescent="0.25">
      <c r="A2210" s="55">
        <v>220230012016</v>
      </c>
      <c r="B2210" s="47" t="s">
        <v>1514</v>
      </c>
      <c r="C2210" s="52">
        <v>45015</v>
      </c>
      <c r="D2210" s="46">
        <v>22023001608</v>
      </c>
      <c r="E2210" s="47" t="s">
        <v>1728</v>
      </c>
      <c r="F2210" s="53">
        <v>2990.58</v>
      </c>
      <c r="G2210" s="47" t="s">
        <v>1372</v>
      </c>
      <c r="H2210" s="47" t="s">
        <v>3714</v>
      </c>
      <c r="I2210" s="46" t="s">
        <v>1517</v>
      </c>
      <c r="J2210" s="47" t="s">
        <v>519</v>
      </c>
      <c r="K2210" s="47" t="s">
        <v>519</v>
      </c>
      <c r="L2210" s="47" t="s">
        <v>520</v>
      </c>
      <c r="M2210" s="47" t="s">
        <v>514</v>
      </c>
      <c r="N2210" s="47" t="s">
        <v>515</v>
      </c>
      <c r="O2210" s="54" t="s">
        <v>382</v>
      </c>
      <c r="P2210" s="44" t="s">
        <v>309</v>
      </c>
      <c r="Q2210" s="59" t="str">
        <f>MID(Tabla1[[#This Row],[Aplicación]],14,1)</f>
        <v>2</v>
      </c>
      <c r="R2210" s="35" t="s">
        <v>298</v>
      </c>
      <c r="S2210" s="59" t="str">
        <f>MID(Tabla1[[#This Row],[Aplicación]],6,2)</f>
        <v>08</v>
      </c>
      <c r="T2210" s="35" t="str">
        <f>VLOOKUP(Tabla1[[#This Row],[AREA]],Hoja1!A:B,2,FALSE)</f>
        <v>08. Movilidad y espacio urbano</v>
      </c>
      <c r="U2210" s="35" t="str">
        <f>MID(Tabla1[[#This Row],[Aplicación]],9,4)</f>
        <v>1532</v>
      </c>
      <c r="V2210" s="35" t="str">
        <f>VLOOKUP(Tabla1[[#This Row],[PROGRAMA]],Hoja1!A:B,2,FALSE)</f>
        <v>1532. Pavimentación vias públicas y otros servicios urbanísticos</v>
      </c>
      <c r="W2210" s="56" t="str">
        <f>MID(Tabla1[[#This Row],[Aplicación]],14,2)</f>
        <v>21</v>
      </c>
      <c r="X2210" s="56" t="str">
        <f>MID(Tabla1[[#This Row],[Aplicación]],14,6)</f>
        <v>214</v>
      </c>
    </row>
    <row r="2211" spans="1:24" x14ac:dyDescent="0.25">
      <c r="A2211" s="55">
        <v>220230011931</v>
      </c>
      <c r="B2211" s="47" t="s">
        <v>1514</v>
      </c>
      <c r="C2211" s="52">
        <v>45015</v>
      </c>
      <c r="D2211" s="46">
        <v>22023001548</v>
      </c>
      <c r="E2211" s="47" t="s">
        <v>2509</v>
      </c>
      <c r="F2211" s="53">
        <v>812.71</v>
      </c>
      <c r="G2211" s="47" t="s">
        <v>2510</v>
      </c>
      <c r="H2211" s="47" t="s">
        <v>3715</v>
      </c>
      <c r="I2211" s="46" t="s">
        <v>1517</v>
      </c>
      <c r="J2211" s="47" t="s">
        <v>2512</v>
      </c>
      <c r="K2211" s="47" t="s">
        <v>519</v>
      </c>
      <c r="L2211" s="47" t="s">
        <v>552</v>
      </c>
      <c r="M2211" s="47" t="s">
        <v>514</v>
      </c>
      <c r="N2211" s="47" t="s">
        <v>515</v>
      </c>
      <c r="O2211" s="54" t="s">
        <v>382</v>
      </c>
      <c r="P2211" s="44" t="s">
        <v>309</v>
      </c>
      <c r="Q2211" s="59" t="str">
        <f>MID(Tabla1[[#This Row],[Aplicación]],14,1)</f>
        <v>2</v>
      </c>
      <c r="R2211" s="35" t="s">
        <v>298</v>
      </c>
      <c r="S2211" s="59" t="str">
        <f>MID(Tabla1[[#This Row],[Aplicación]],6,2)</f>
        <v>07</v>
      </c>
      <c r="T2211" s="35" t="str">
        <f>VLOOKUP(Tabla1[[#This Row],[AREA]],Hoja1!A:B,2,FALSE)</f>
        <v>07. Medio ambiente y desarrollo sostenible</v>
      </c>
      <c r="U2211" s="35" t="str">
        <f>MID(Tabla1[[#This Row],[Aplicación]],9,4)</f>
        <v>1711</v>
      </c>
      <c r="V2211" s="35" t="str">
        <f>VLOOKUP(Tabla1[[#This Row],[PROGRAMA]],Hoja1!A:B,2,FALSE)</f>
        <v>1711. Parques y jardines</v>
      </c>
      <c r="W2211" s="56" t="str">
        <f>MID(Tabla1[[#This Row],[Aplicación]],14,2)</f>
        <v>22</v>
      </c>
      <c r="X2211" s="56" t="str">
        <f>MID(Tabla1[[#This Row],[Aplicación]],14,6)</f>
        <v>22106</v>
      </c>
    </row>
    <row r="2212" spans="1:24" x14ac:dyDescent="0.25">
      <c r="A2212" s="55">
        <v>220230011706</v>
      </c>
      <c r="B2212" s="47" t="s">
        <v>507</v>
      </c>
      <c r="C2212" s="52">
        <v>45014</v>
      </c>
      <c r="D2212" s="46">
        <v>22023003662</v>
      </c>
      <c r="E2212" s="47" t="s">
        <v>3068</v>
      </c>
      <c r="F2212" s="53">
        <v>53.52</v>
      </c>
      <c r="G2212" s="47" t="s">
        <v>52</v>
      </c>
      <c r="H2212" s="47" t="s">
        <v>3716</v>
      </c>
      <c r="I2212" s="46" t="s">
        <v>511</v>
      </c>
      <c r="J2212" s="47" t="s">
        <v>556</v>
      </c>
      <c r="K2212" s="47" t="s">
        <v>512</v>
      </c>
      <c r="L2212" s="47" t="s">
        <v>520</v>
      </c>
      <c r="M2212" s="47" t="s">
        <v>976</v>
      </c>
      <c r="N2212" s="47" t="s">
        <v>839</v>
      </c>
      <c r="O2212" s="54" t="s">
        <v>383</v>
      </c>
      <c r="P2212" s="44" t="s">
        <v>309</v>
      </c>
      <c r="Q2212" s="59" t="str">
        <f>MID(Tabla1[[#This Row],[Aplicación]],14,1)</f>
        <v>2</v>
      </c>
      <c r="R2212" s="35" t="s">
        <v>298</v>
      </c>
      <c r="S2212" s="59" t="str">
        <f>MID(Tabla1[[#This Row],[Aplicación]],6,2)</f>
        <v>05</v>
      </c>
      <c r="T2212" s="35" t="str">
        <f>VLOOKUP(Tabla1[[#This Row],[AREA]],Hoja1!A:B,2,FALSE)</f>
        <v>05. Innovación, desarrollo económico, empleo y comercio</v>
      </c>
      <c r="U2212" s="35" t="str">
        <f>MID(Tabla1[[#This Row],[Aplicación]],9,4)</f>
        <v>4312</v>
      </c>
      <c r="V2212" s="35" t="str">
        <f>VLOOKUP(Tabla1[[#This Row],[PROGRAMA]],Hoja1!A:B,2,FALSE)</f>
        <v>4312. Mercados, abastos y lonjas</v>
      </c>
      <c r="W2212" s="56" t="str">
        <f>MID(Tabla1[[#This Row],[Aplicación]],14,2)</f>
        <v>22</v>
      </c>
      <c r="X2212" s="56" t="str">
        <f>MID(Tabla1[[#This Row],[Aplicación]],14,6)</f>
        <v>22199</v>
      </c>
    </row>
    <row r="2213" spans="1:24" x14ac:dyDescent="0.25">
      <c r="A2213" s="55">
        <v>220230012023</v>
      </c>
      <c r="B2213" s="47" t="s">
        <v>1514</v>
      </c>
      <c r="C2213" s="52">
        <v>45015</v>
      </c>
      <c r="D2213" s="46">
        <v>22023001549</v>
      </c>
      <c r="E2213" s="47" t="s">
        <v>1515</v>
      </c>
      <c r="F2213" s="53">
        <v>4365.8999999999996</v>
      </c>
      <c r="G2213" s="47" t="s">
        <v>1372</v>
      </c>
      <c r="H2213" s="47" t="s">
        <v>3717</v>
      </c>
      <c r="I2213" s="46" t="s">
        <v>1517</v>
      </c>
      <c r="J2213" s="47" t="s">
        <v>519</v>
      </c>
      <c r="K2213" s="47" t="s">
        <v>519</v>
      </c>
      <c r="L2213" s="47" t="s">
        <v>552</v>
      </c>
      <c r="M2213" s="47" t="s">
        <v>514</v>
      </c>
      <c r="N2213" s="47" t="s">
        <v>515</v>
      </c>
      <c r="O2213" s="54" t="s">
        <v>382</v>
      </c>
      <c r="P2213" s="44" t="s">
        <v>309</v>
      </c>
      <c r="Q2213" s="59" t="str">
        <f>MID(Tabla1[[#This Row],[Aplicación]],14,1)</f>
        <v>2</v>
      </c>
      <c r="R2213" s="35" t="s">
        <v>298</v>
      </c>
      <c r="S2213" s="59" t="str">
        <f>MID(Tabla1[[#This Row],[Aplicación]],6,2)</f>
        <v>07</v>
      </c>
      <c r="T2213" s="35" t="str">
        <f>VLOOKUP(Tabla1[[#This Row],[AREA]],Hoja1!A:B,2,FALSE)</f>
        <v>07. Medio ambiente y desarrollo sostenible</v>
      </c>
      <c r="U2213" s="35" t="str">
        <f>MID(Tabla1[[#This Row],[Aplicación]],9,4)</f>
        <v>1711</v>
      </c>
      <c r="V2213" s="35" t="str">
        <f>VLOOKUP(Tabla1[[#This Row],[PROGRAMA]],Hoja1!A:B,2,FALSE)</f>
        <v>1711. Parques y jardines</v>
      </c>
      <c r="W2213" s="56" t="str">
        <f>MID(Tabla1[[#This Row],[Aplicación]],14,2)</f>
        <v>22</v>
      </c>
      <c r="X2213" s="56" t="str">
        <f>MID(Tabla1[[#This Row],[Aplicación]],14,6)</f>
        <v>22199</v>
      </c>
    </row>
    <row r="2214" spans="1:24" x14ac:dyDescent="0.25">
      <c r="A2214" s="55">
        <v>220230011920</v>
      </c>
      <c r="B2214" s="47" t="s">
        <v>1514</v>
      </c>
      <c r="C2214" s="52">
        <v>45015</v>
      </c>
      <c r="D2214" s="46">
        <v>22023001513</v>
      </c>
      <c r="E2214" s="47" t="s">
        <v>2019</v>
      </c>
      <c r="F2214" s="53">
        <v>1517.74</v>
      </c>
      <c r="G2214" s="47" t="s">
        <v>2424</v>
      </c>
      <c r="H2214" s="47" t="s">
        <v>3718</v>
      </c>
      <c r="I2214" s="46" t="s">
        <v>1517</v>
      </c>
      <c r="J2214" s="47" t="s">
        <v>519</v>
      </c>
      <c r="K2214" s="47" t="s">
        <v>519</v>
      </c>
      <c r="L2214" s="47" t="s">
        <v>520</v>
      </c>
      <c r="M2214" s="47" t="s">
        <v>514</v>
      </c>
      <c r="N2214" s="47" t="s">
        <v>515</v>
      </c>
      <c r="O2214" s="54" t="s">
        <v>382</v>
      </c>
      <c r="P2214" s="44" t="s">
        <v>309</v>
      </c>
      <c r="Q2214" s="59" t="str">
        <f>MID(Tabla1[[#This Row],[Aplicación]],14,1)</f>
        <v>2</v>
      </c>
      <c r="R2214" s="35" t="s">
        <v>298</v>
      </c>
      <c r="S2214" s="59" t="str">
        <f>MID(Tabla1[[#This Row],[Aplicación]],6,2)</f>
        <v>11</v>
      </c>
      <c r="T2214" s="35" t="str">
        <f>VLOOKUP(Tabla1[[#This Row],[AREA]],Hoja1!A:B,2,FALSE)</f>
        <v>11. Salud pública y seguridad ciudadana</v>
      </c>
      <c r="U2214" s="35" t="str">
        <f>MID(Tabla1[[#This Row],[Aplicación]],9,4)</f>
        <v>1361</v>
      </c>
      <c r="V2214" s="35" t="str">
        <f>VLOOKUP(Tabla1[[#This Row],[PROGRAMA]],Hoja1!A:B,2,FALSE)</f>
        <v>1361. Prevención y extinción de incencios</v>
      </c>
      <c r="W2214" s="56" t="str">
        <f>MID(Tabla1[[#This Row],[Aplicación]],14,2)</f>
        <v>21</v>
      </c>
      <c r="X2214" s="56" t="str">
        <f>MID(Tabla1[[#This Row],[Aplicación]],14,6)</f>
        <v>214</v>
      </c>
    </row>
    <row r="2215" spans="1:24" x14ac:dyDescent="0.25">
      <c r="A2215" s="55">
        <v>220230012097</v>
      </c>
      <c r="B2215" s="47" t="s">
        <v>1514</v>
      </c>
      <c r="C2215" s="52">
        <v>45015</v>
      </c>
      <c r="D2215" s="46">
        <v>22023000270</v>
      </c>
      <c r="E2215" s="47" t="s">
        <v>1694</v>
      </c>
      <c r="F2215" s="53">
        <v>262.44</v>
      </c>
      <c r="G2215" s="47" t="s">
        <v>2430</v>
      </c>
      <c r="H2215" s="47" t="s">
        <v>3719</v>
      </c>
      <c r="I2215" s="46" t="s">
        <v>1517</v>
      </c>
      <c r="J2215" s="47" t="s">
        <v>573</v>
      </c>
      <c r="K2215" s="47" t="s">
        <v>573</v>
      </c>
      <c r="L2215" s="47" t="s">
        <v>552</v>
      </c>
      <c r="M2215" s="47" t="s">
        <v>514</v>
      </c>
      <c r="N2215" s="47" t="s">
        <v>515</v>
      </c>
      <c r="O2215" s="54" t="s">
        <v>382</v>
      </c>
      <c r="P2215" s="44" t="s">
        <v>309</v>
      </c>
      <c r="Q2215" s="59" t="str">
        <f>MID(Tabla1[[#This Row],[Aplicación]],14,1)</f>
        <v>2</v>
      </c>
      <c r="R2215" s="35" t="s">
        <v>298</v>
      </c>
      <c r="S2215" s="59" t="str">
        <f>MID(Tabla1[[#This Row],[Aplicación]],6,2)</f>
        <v>11</v>
      </c>
      <c r="T2215" s="35" t="str">
        <f>VLOOKUP(Tabla1[[#This Row],[AREA]],Hoja1!A:B,2,FALSE)</f>
        <v>11. Salud pública y seguridad ciudadana</v>
      </c>
      <c r="U2215" s="35" t="str">
        <f>MID(Tabla1[[#This Row],[Aplicación]],9,4)</f>
        <v>1321</v>
      </c>
      <c r="V2215" s="35" t="str">
        <f>VLOOKUP(Tabla1[[#This Row],[PROGRAMA]],Hoja1!A:B,2,FALSE)</f>
        <v>1321. Policía municipal</v>
      </c>
      <c r="W2215" s="56" t="str">
        <f>MID(Tabla1[[#This Row],[Aplicación]],14,2)</f>
        <v>21</v>
      </c>
      <c r="X2215" s="56" t="str">
        <f>MID(Tabla1[[#This Row],[Aplicación]],14,6)</f>
        <v>214</v>
      </c>
    </row>
    <row r="2216" spans="1:24" x14ac:dyDescent="0.25">
      <c r="A2216" s="55">
        <v>220230011989</v>
      </c>
      <c r="B2216" s="47" t="s">
        <v>1514</v>
      </c>
      <c r="C2216" s="52">
        <v>45015</v>
      </c>
      <c r="D2216" s="46">
        <v>22023001468</v>
      </c>
      <c r="E2216" s="47" t="s">
        <v>1512</v>
      </c>
      <c r="F2216" s="53">
        <v>8.64</v>
      </c>
      <c r="G2216" s="47" t="s">
        <v>2432</v>
      </c>
      <c r="H2216" s="47" t="s">
        <v>3720</v>
      </c>
      <c r="I2216" s="46" t="s">
        <v>1517</v>
      </c>
      <c r="J2216" s="47" t="s">
        <v>519</v>
      </c>
      <c r="K2216" s="47" t="s">
        <v>519</v>
      </c>
      <c r="L2216" s="47" t="s">
        <v>552</v>
      </c>
      <c r="M2216" s="47" t="s">
        <v>514</v>
      </c>
      <c r="N2216" s="47" t="s">
        <v>515</v>
      </c>
      <c r="O2216" s="54" t="s">
        <v>382</v>
      </c>
      <c r="P2216" s="44" t="s">
        <v>309</v>
      </c>
      <c r="Q2216" s="59" t="str">
        <f>MID(Tabla1[[#This Row],[Aplicación]],14,1)</f>
        <v>2</v>
      </c>
      <c r="R2216" s="35" t="s">
        <v>298</v>
      </c>
      <c r="S2216" s="59" t="str">
        <f>MID(Tabla1[[#This Row],[Aplicación]],6,2)</f>
        <v>10</v>
      </c>
      <c r="T2216" s="35" t="str">
        <f>VLOOKUP(Tabla1[[#This Row],[AREA]],Hoja1!A:B,2,FALSE)</f>
        <v>10. Servicios sociales y mediación comunitaria</v>
      </c>
      <c r="U2216" s="35" t="str">
        <f>MID(Tabla1[[#This Row],[Aplicación]],9,4)</f>
        <v>2312</v>
      </c>
      <c r="V2216" s="35" t="str">
        <f>VLOOKUP(Tabla1[[#This Row],[PROGRAMA]],Hoja1!A:B,2,FALSE)</f>
        <v>2312. Iniciativas sociales</v>
      </c>
      <c r="W2216" s="56" t="str">
        <f>MID(Tabla1[[#This Row],[Aplicación]],14,2)</f>
        <v>21</v>
      </c>
      <c r="X2216" s="56" t="str">
        <f>MID(Tabla1[[#This Row],[Aplicación]],14,6)</f>
        <v>212</v>
      </c>
    </row>
    <row r="2217" spans="1:24" x14ac:dyDescent="0.25">
      <c r="A2217" s="55">
        <v>220230011927</v>
      </c>
      <c r="B2217" s="47" t="s">
        <v>1514</v>
      </c>
      <c r="C2217" s="52">
        <v>45015</v>
      </c>
      <c r="D2217" s="46">
        <v>22023001549</v>
      </c>
      <c r="E2217" s="47" t="s">
        <v>1515</v>
      </c>
      <c r="F2217" s="53">
        <v>13.54</v>
      </c>
      <c r="G2217" s="47" t="s">
        <v>2687</v>
      </c>
      <c r="H2217" s="47" t="s">
        <v>3721</v>
      </c>
      <c r="I2217" s="46" t="s">
        <v>1517</v>
      </c>
      <c r="J2217" s="47" t="s">
        <v>519</v>
      </c>
      <c r="K2217" s="47" t="s">
        <v>519</v>
      </c>
      <c r="L2217" s="47" t="s">
        <v>552</v>
      </c>
      <c r="M2217" s="47" t="s">
        <v>514</v>
      </c>
      <c r="N2217" s="47" t="s">
        <v>515</v>
      </c>
      <c r="O2217" s="54" t="s">
        <v>382</v>
      </c>
      <c r="P2217" s="44" t="s">
        <v>309</v>
      </c>
      <c r="Q2217" s="59" t="str">
        <f>MID(Tabla1[[#This Row],[Aplicación]],14,1)</f>
        <v>2</v>
      </c>
      <c r="R2217" s="35" t="s">
        <v>298</v>
      </c>
      <c r="S2217" s="59" t="str">
        <f>MID(Tabla1[[#This Row],[Aplicación]],6,2)</f>
        <v>07</v>
      </c>
      <c r="T2217" s="35" t="str">
        <f>VLOOKUP(Tabla1[[#This Row],[AREA]],Hoja1!A:B,2,FALSE)</f>
        <v>07. Medio ambiente y desarrollo sostenible</v>
      </c>
      <c r="U2217" s="35" t="str">
        <f>MID(Tabla1[[#This Row],[Aplicación]],9,4)</f>
        <v>1711</v>
      </c>
      <c r="V2217" s="35" t="str">
        <f>VLOOKUP(Tabla1[[#This Row],[PROGRAMA]],Hoja1!A:B,2,FALSE)</f>
        <v>1711. Parques y jardines</v>
      </c>
      <c r="W2217" s="56" t="str">
        <f>MID(Tabla1[[#This Row],[Aplicación]],14,2)</f>
        <v>22</v>
      </c>
      <c r="X2217" s="56" t="str">
        <f>MID(Tabla1[[#This Row],[Aplicación]],14,6)</f>
        <v>22199</v>
      </c>
    </row>
    <row r="2218" spans="1:24" x14ac:dyDescent="0.25">
      <c r="A2218" s="55">
        <v>220230012102</v>
      </c>
      <c r="B2218" s="47" t="s">
        <v>1514</v>
      </c>
      <c r="C2218" s="52">
        <v>45015</v>
      </c>
      <c r="D2218" s="46">
        <v>22023001610</v>
      </c>
      <c r="E2218" s="47" t="s">
        <v>3722</v>
      </c>
      <c r="F2218" s="53">
        <v>422.53</v>
      </c>
      <c r="G2218" s="47" t="s">
        <v>324</v>
      </c>
      <c r="H2218" s="47" t="s">
        <v>3723</v>
      </c>
      <c r="I2218" s="46" t="s">
        <v>1517</v>
      </c>
      <c r="J2218" s="47" t="s">
        <v>519</v>
      </c>
      <c r="K2218" s="47" t="s">
        <v>519</v>
      </c>
      <c r="L2218" s="47" t="s">
        <v>552</v>
      </c>
      <c r="M2218" s="47" t="s">
        <v>514</v>
      </c>
      <c r="N2218" s="47" t="s">
        <v>515</v>
      </c>
      <c r="O2218" s="54" t="s">
        <v>382</v>
      </c>
      <c r="P2218" s="44" t="s">
        <v>309</v>
      </c>
      <c r="Q2218" s="59" t="str">
        <f>MID(Tabla1[[#This Row],[Aplicación]],14,1)</f>
        <v>2</v>
      </c>
      <c r="R2218" s="35" t="s">
        <v>298</v>
      </c>
      <c r="S2218" s="59" t="str">
        <f>MID(Tabla1[[#This Row],[Aplicación]],6,2)</f>
        <v>08</v>
      </c>
      <c r="T2218" s="35" t="str">
        <f>VLOOKUP(Tabla1[[#This Row],[AREA]],Hoja1!A:B,2,FALSE)</f>
        <v>08. Movilidad y espacio urbano</v>
      </c>
      <c r="U2218" s="35" t="str">
        <f>MID(Tabla1[[#This Row],[Aplicación]],9,4)</f>
        <v>1532</v>
      </c>
      <c r="V2218" s="35" t="str">
        <f>VLOOKUP(Tabla1[[#This Row],[PROGRAMA]],Hoja1!A:B,2,FALSE)</f>
        <v>1532. Pavimentación vias públicas y otros servicios urbanísticos</v>
      </c>
      <c r="W2218" s="56" t="str">
        <f>MID(Tabla1[[#This Row],[Aplicación]],14,2)</f>
        <v>20</v>
      </c>
      <c r="X2218" s="56" t="str">
        <f>MID(Tabla1[[#This Row],[Aplicación]],14,6)</f>
        <v>204</v>
      </c>
    </row>
    <row r="2219" spans="1:24" x14ac:dyDescent="0.25">
      <c r="A2219" s="55">
        <v>220230012861</v>
      </c>
      <c r="B2219" s="47" t="s">
        <v>507</v>
      </c>
      <c r="C2219" s="52">
        <v>45016</v>
      </c>
      <c r="D2219" s="46">
        <v>22023002398</v>
      </c>
      <c r="E2219" s="47" t="s">
        <v>3724</v>
      </c>
      <c r="F2219" s="53">
        <v>252244.76</v>
      </c>
      <c r="G2219" s="47" t="s">
        <v>3725</v>
      </c>
      <c r="H2219" s="47" t="s">
        <v>3726</v>
      </c>
      <c r="I2219" s="46" t="s">
        <v>511</v>
      </c>
      <c r="J2219" s="47" t="s">
        <v>1002</v>
      </c>
      <c r="K2219" s="47" t="s">
        <v>1003</v>
      </c>
      <c r="L2219" s="47" t="s">
        <v>520</v>
      </c>
      <c r="M2219" s="47" t="s">
        <v>514</v>
      </c>
      <c r="N2219" s="47" t="s">
        <v>515</v>
      </c>
      <c r="O2219" s="54" t="s">
        <v>371</v>
      </c>
      <c r="P2219" s="44" t="s">
        <v>309</v>
      </c>
      <c r="Q2219" s="59" t="str">
        <f>MID(Tabla1[[#This Row],[Aplicación]],14,1)</f>
        <v>6</v>
      </c>
      <c r="R2219" s="35" t="s">
        <v>299</v>
      </c>
      <c r="S2219" s="59" t="str">
        <f>MID(Tabla1[[#This Row],[Aplicación]],6,2)</f>
        <v>11</v>
      </c>
      <c r="T2219" s="35" t="str">
        <f>VLOOKUP(Tabla1[[#This Row],[AREA]],Hoja1!A:B,2,FALSE)</f>
        <v>11. Salud pública y seguridad ciudadana</v>
      </c>
      <c r="U2219" s="35" t="str">
        <f>MID(Tabla1[[#This Row],[Aplicación]],9,4)</f>
        <v>1621</v>
      </c>
      <c r="V2219" s="35" t="str">
        <f>VLOOKUP(Tabla1[[#This Row],[PROGRAMA]],Hoja1!A:B,2,FALSE)</f>
        <v>1621. Servicio de limpieza</v>
      </c>
      <c r="W2219" s="56" t="str">
        <f>MID(Tabla1[[#This Row],[Aplicación]],14,2)</f>
        <v>64</v>
      </c>
      <c r="X2219" s="56" t="str">
        <f>MID(Tabla1[[#This Row],[Aplicación]],14,6)</f>
        <v>641</v>
      </c>
    </row>
    <row r="2220" spans="1:24" x14ac:dyDescent="0.25">
      <c r="A2220" s="55">
        <v>220230012861</v>
      </c>
      <c r="B2220" s="47" t="s">
        <v>507</v>
      </c>
      <c r="C2220" s="52">
        <v>45016</v>
      </c>
      <c r="D2220" s="46">
        <v>22023002397</v>
      </c>
      <c r="E2220" s="47" t="s">
        <v>3727</v>
      </c>
      <c r="F2220" s="53">
        <v>99999.24</v>
      </c>
      <c r="G2220" s="47" t="s">
        <v>3725</v>
      </c>
      <c r="H2220" s="47" t="s">
        <v>3726</v>
      </c>
      <c r="I2220" s="46" t="s">
        <v>511</v>
      </c>
      <c r="J2220" s="47" t="s">
        <v>1002</v>
      </c>
      <c r="K2220" s="47" t="s">
        <v>1003</v>
      </c>
      <c r="L2220" s="47" t="s">
        <v>520</v>
      </c>
      <c r="M2220" s="47" t="s">
        <v>514</v>
      </c>
      <c r="N2220" s="47" t="s">
        <v>515</v>
      </c>
      <c r="O2220" s="54" t="s">
        <v>371</v>
      </c>
      <c r="P2220" s="44" t="s">
        <v>309</v>
      </c>
      <c r="Q2220" s="59" t="str">
        <f>MID(Tabla1[[#This Row],[Aplicación]],14,1)</f>
        <v>6</v>
      </c>
      <c r="R2220" s="35" t="s">
        <v>299</v>
      </c>
      <c r="S2220" s="59" t="str">
        <f>MID(Tabla1[[#This Row],[Aplicación]],6,2)</f>
        <v>11</v>
      </c>
      <c r="T2220" s="35" t="str">
        <f>VLOOKUP(Tabla1[[#This Row],[AREA]],Hoja1!A:B,2,FALSE)</f>
        <v>11. Salud pública y seguridad ciudadana</v>
      </c>
      <c r="U2220" s="35" t="str">
        <f>MID(Tabla1[[#This Row],[Aplicación]],9,4)</f>
        <v>1621</v>
      </c>
      <c r="V2220" s="35" t="str">
        <f>VLOOKUP(Tabla1[[#This Row],[PROGRAMA]],Hoja1!A:B,2,FALSE)</f>
        <v>1621. Servicio de limpieza</v>
      </c>
      <c r="W2220" s="56" t="str">
        <f>MID(Tabla1[[#This Row],[Aplicación]],14,2)</f>
        <v>64</v>
      </c>
      <c r="X2220" s="56" t="str">
        <f>MID(Tabla1[[#This Row],[Aplicación]],14,6)</f>
        <v>640</v>
      </c>
    </row>
    <row r="2221" spans="1:24" x14ac:dyDescent="0.25">
      <c r="A2221" s="55">
        <v>220230012856</v>
      </c>
      <c r="B2221" s="47" t="s">
        <v>507</v>
      </c>
      <c r="C2221" s="52">
        <v>45016</v>
      </c>
      <c r="D2221" s="46">
        <v>22023003677</v>
      </c>
      <c r="E2221" s="47" t="s">
        <v>835</v>
      </c>
      <c r="F2221" s="53">
        <v>3039.52</v>
      </c>
      <c r="G2221" s="47" t="s">
        <v>2214</v>
      </c>
      <c r="H2221" s="47" t="s">
        <v>3728</v>
      </c>
      <c r="I2221" s="46" t="s">
        <v>511</v>
      </c>
      <c r="J2221" s="47" t="s">
        <v>519</v>
      </c>
      <c r="K2221" s="47" t="s">
        <v>519</v>
      </c>
      <c r="L2221" s="47" t="s">
        <v>520</v>
      </c>
      <c r="M2221" s="47" t="s">
        <v>976</v>
      </c>
      <c r="N2221" s="47" t="s">
        <v>839</v>
      </c>
      <c r="O2221" s="54" t="s">
        <v>383</v>
      </c>
      <c r="P2221" s="44" t="s">
        <v>309</v>
      </c>
      <c r="Q2221" s="59" t="str">
        <f>MID(Tabla1[[#This Row],[Aplicación]],14,1)</f>
        <v>2</v>
      </c>
      <c r="R2221" s="35" t="s">
        <v>298</v>
      </c>
      <c r="S2221" s="59" t="str">
        <f>MID(Tabla1[[#This Row],[Aplicación]],6,2)</f>
        <v>05</v>
      </c>
      <c r="T2221" s="35" t="str">
        <f>VLOOKUP(Tabla1[[#This Row],[AREA]],Hoja1!A:B,2,FALSE)</f>
        <v>05. Innovación, desarrollo económico, empleo y comercio</v>
      </c>
      <c r="U2221" s="35" t="str">
        <f>MID(Tabla1[[#This Row],[Aplicación]],9,4)</f>
        <v>4331</v>
      </c>
      <c r="V2221" s="35" t="str">
        <f>VLOOKUP(Tabla1[[#This Row],[PROGRAMA]],Hoja1!A:B,2,FALSE)</f>
        <v>4331. Desarrollo empresarial</v>
      </c>
      <c r="W2221" s="56" t="str">
        <f>MID(Tabla1[[#This Row],[Aplicación]],14,2)</f>
        <v>22</v>
      </c>
      <c r="X2221" s="56" t="str">
        <f>MID(Tabla1[[#This Row],[Aplicación]],14,6)</f>
        <v>22799</v>
      </c>
    </row>
    <row r="2222" spans="1:24" x14ac:dyDescent="0.25">
      <c r="A2222" s="55">
        <v>220230012872</v>
      </c>
      <c r="B2222" s="47" t="s">
        <v>507</v>
      </c>
      <c r="C2222" s="52">
        <v>45016</v>
      </c>
      <c r="D2222" s="46">
        <v>22023003689</v>
      </c>
      <c r="E2222" s="47" t="s">
        <v>1191</v>
      </c>
      <c r="F2222" s="53">
        <v>205.7</v>
      </c>
      <c r="G2222" s="47" t="s">
        <v>3729</v>
      </c>
      <c r="H2222" s="47" t="s">
        <v>3730</v>
      </c>
      <c r="I2222" s="46" t="s">
        <v>511</v>
      </c>
      <c r="J2222" s="47" t="s">
        <v>519</v>
      </c>
      <c r="K2222" s="47" t="s">
        <v>519</v>
      </c>
      <c r="L2222" s="47" t="s">
        <v>520</v>
      </c>
      <c r="M2222" s="47" t="s">
        <v>976</v>
      </c>
      <c r="N2222" s="47" t="s">
        <v>839</v>
      </c>
      <c r="O2222" s="54" t="s">
        <v>383</v>
      </c>
      <c r="P2222" s="44" t="s">
        <v>309</v>
      </c>
      <c r="Q2222" s="59" t="str">
        <f>MID(Tabla1[[#This Row],[Aplicación]],14,1)</f>
        <v>2</v>
      </c>
      <c r="R2222" s="35" t="s">
        <v>298</v>
      </c>
      <c r="S2222" s="59" t="str">
        <f>MID(Tabla1[[#This Row],[Aplicación]],6,2)</f>
        <v>06</v>
      </c>
      <c r="T2222" s="35" t="str">
        <f>VLOOKUP(Tabla1[[#This Row],[AREA]],Hoja1!A:B,2,FALSE)</f>
        <v>06. Educación, infancia, juventud e igualdad</v>
      </c>
      <c r="U2222" s="35" t="str">
        <f>MID(Tabla1[[#This Row],[Aplicación]],9,4)</f>
        <v>2315</v>
      </c>
      <c r="V2222" s="35" t="str">
        <f>VLOOKUP(Tabla1[[#This Row],[PROGRAMA]],Hoja1!A:B,2,FALSE)</f>
        <v>2315. Políticas de Igualdad e infancia</v>
      </c>
      <c r="W2222" s="56" t="str">
        <f>MID(Tabla1[[#This Row],[Aplicación]],14,2)</f>
        <v>22</v>
      </c>
      <c r="X2222" s="56" t="str">
        <f>MID(Tabla1[[#This Row],[Aplicación]],14,6)</f>
        <v>22611</v>
      </c>
    </row>
    <row r="2223" spans="1:24" x14ac:dyDescent="0.25">
      <c r="A2223" s="55">
        <v>220230012854</v>
      </c>
      <c r="B2223" s="47" t="s">
        <v>507</v>
      </c>
      <c r="C2223" s="52">
        <v>45016</v>
      </c>
      <c r="D2223" s="46">
        <v>22023003446</v>
      </c>
      <c r="E2223" s="47" t="s">
        <v>2275</v>
      </c>
      <c r="F2223" s="53">
        <v>3000</v>
      </c>
      <c r="G2223" s="47" t="s">
        <v>43</v>
      </c>
      <c r="H2223" s="47" t="s">
        <v>3731</v>
      </c>
      <c r="I2223" s="46" t="s">
        <v>511</v>
      </c>
      <c r="J2223" s="47" t="s">
        <v>519</v>
      </c>
      <c r="K2223" s="47" t="s">
        <v>519</v>
      </c>
      <c r="L2223" s="47" t="s">
        <v>552</v>
      </c>
      <c r="M2223" s="47" t="s">
        <v>976</v>
      </c>
      <c r="N2223" s="47" t="s">
        <v>839</v>
      </c>
      <c r="O2223" s="54" t="s">
        <v>383</v>
      </c>
      <c r="P2223" s="44" t="s">
        <v>309</v>
      </c>
      <c r="Q2223" s="59" t="str">
        <f>MID(Tabla1[[#This Row],[Aplicación]],14,1)</f>
        <v>2</v>
      </c>
      <c r="R2223" s="35" t="s">
        <v>298</v>
      </c>
      <c r="S2223" s="59" t="str">
        <f>MID(Tabla1[[#This Row],[Aplicación]],6,2)</f>
        <v>11</v>
      </c>
      <c r="T2223" s="35" t="str">
        <f>VLOOKUP(Tabla1[[#This Row],[AREA]],Hoja1!A:B,2,FALSE)</f>
        <v>11. Salud pública y seguridad ciudadana</v>
      </c>
      <c r="U2223" s="35" t="str">
        <f>MID(Tabla1[[#This Row],[Aplicación]],9,4)</f>
        <v>3111</v>
      </c>
      <c r="V2223" s="35" t="str">
        <f>VLOOKUP(Tabla1[[#This Row],[PROGRAMA]],Hoja1!A:B,2,FALSE)</f>
        <v>3111. Protección de la salubridad pública</v>
      </c>
      <c r="W2223" s="56" t="str">
        <f>MID(Tabla1[[#This Row],[Aplicación]],14,2)</f>
        <v>22</v>
      </c>
      <c r="X2223" s="56" t="str">
        <f>MID(Tabla1[[#This Row],[Aplicación]],14,6)</f>
        <v>22199</v>
      </c>
    </row>
    <row r="2224" spans="1:24" x14ac:dyDescent="0.25">
      <c r="A2224" s="46">
        <v>220230006732</v>
      </c>
      <c r="B2224" s="47" t="s">
        <v>507</v>
      </c>
      <c r="C2224" s="52">
        <v>44986</v>
      </c>
      <c r="D2224" s="46">
        <v>22023002524</v>
      </c>
      <c r="E2224" s="47" t="s">
        <v>1234</v>
      </c>
      <c r="F2224" s="53">
        <v>834.9</v>
      </c>
      <c r="G2224" s="47" t="s">
        <v>3732</v>
      </c>
      <c r="H2224" s="47" t="s">
        <v>3733</v>
      </c>
      <c r="I2224" s="46" t="s">
        <v>511</v>
      </c>
      <c r="J2224" s="47" t="s">
        <v>519</v>
      </c>
      <c r="K2224" s="47" t="s">
        <v>519</v>
      </c>
      <c r="L2224" s="47" t="s">
        <v>520</v>
      </c>
      <c r="M2224" s="47" t="s">
        <v>976</v>
      </c>
      <c r="N2224" s="47" t="s">
        <v>839</v>
      </c>
      <c r="O2224" s="45" t="s">
        <v>383</v>
      </c>
      <c r="P2224" s="44" t="s">
        <v>309</v>
      </c>
      <c r="Q2224" s="59" t="str">
        <f>MID(Tabla1[[#This Row],[Aplicación]],14,1)</f>
        <v>2</v>
      </c>
      <c r="R2224" s="35" t="s">
        <v>298</v>
      </c>
      <c r="S2224" s="59" t="str">
        <f>MID(Tabla1[[#This Row],[Aplicación]],6,2)</f>
        <v>10</v>
      </c>
      <c r="T2224" s="35" t="str">
        <f>VLOOKUP(Tabla1[[#This Row],[AREA]],Hoja1!A:B,2,FALSE)</f>
        <v>10. Servicios sociales y mediación comunitaria</v>
      </c>
      <c r="U2224" s="35" t="str">
        <f>MID(Tabla1[[#This Row],[Aplicación]],9,4)</f>
        <v>2316</v>
      </c>
      <c r="V2224" s="35" t="str">
        <f>VLOOKUP(Tabla1[[#This Row],[PROGRAMA]],Hoja1!A:B,2,FALSE)</f>
        <v>2316. Mediación comunitaria</v>
      </c>
      <c r="W2224" s="56" t="str">
        <f>MID(Tabla1[[#This Row],[Aplicación]],14,2)</f>
        <v>22</v>
      </c>
      <c r="X2224" s="56" t="str">
        <f>MID(Tabla1[[#This Row],[Aplicación]],14,6)</f>
        <v>22616</v>
      </c>
    </row>
    <row r="2225" spans="1:24" x14ac:dyDescent="0.25">
      <c r="A2225" s="55">
        <v>220230012858</v>
      </c>
      <c r="B2225" s="47" t="s">
        <v>507</v>
      </c>
      <c r="C2225" s="52">
        <v>45016</v>
      </c>
      <c r="D2225" s="46">
        <v>22023003561</v>
      </c>
      <c r="E2225" s="47" t="s">
        <v>1315</v>
      </c>
      <c r="F2225" s="53">
        <v>1815</v>
      </c>
      <c r="G2225" s="47" t="s">
        <v>2800</v>
      </c>
      <c r="H2225" s="47" t="s">
        <v>3734</v>
      </c>
      <c r="I2225" s="46" t="s">
        <v>511</v>
      </c>
      <c r="J2225" s="47" t="s">
        <v>519</v>
      </c>
      <c r="K2225" s="47" t="s">
        <v>519</v>
      </c>
      <c r="L2225" s="47" t="s">
        <v>520</v>
      </c>
      <c r="M2225" s="47" t="s">
        <v>514</v>
      </c>
      <c r="N2225" s="47" t="s">
        <v>515</v>
      </c>
      <c r="O2225" s="54" t="s">
        <v>382</v>
      </c>
      <c r="P2225" s="44" t="s">
        <v>309</v>
      </c>
      <c r="Q2225" s="59" t="str">
        <f>MID(Tabla1[[#This Row],[Aplicación]],14,1)</f>
        <v>2</v>
      </c>
      <c r="R2225" s="35" t="s">
        <v>298</v>
      </c>
      <c r="S2225" s="59" t="str">
        <f>MID(Tabla1[[#This Row],[Aplicación]],6,2)</f>
        <v>01</v>
      </c>
      <c r="T2225" s="35" t="str">
        <f>VLOOKUP(Tabla1[[#This Row],[AREA]],Hoja1!A:B,2,FALSE)</f>
        <v>01. Alcaldía</v>
      </c>
      <c r="U2225" s="35" t="str">
        <f>MID(Tabla1[[#This Row],[Aplicación]],9,4)</f>
        <v>9207</v>
      </c>
      <c r="V2225" s="35" t="str">
        <f>VLOOKUP(Tabla1[[#This Row],[PROGRAMA]],Hoja1!A:B,2,FALSE)</f>
        <v>9207. Gobierno y relaciones</v>
      </c>
      <c r="W2225" s="56" t="str">
        <f>MID(Tabla1[[#This Row],[Aplicación]],14,2)</f>
        <v>22</v>
      </c>
      <c r="X2225" s="56" t="str">
        <f>MID(Tabla1[[#This Row],[Aplicación]],14,6)</f>
        <v>22602</v>
      </c>
    </row>
    <row r="2226" spans="1:24" x14ac:dyDescent="0.25">
      <c r="A2226" s="55">
        <v>220230012860</v>
      </c>
      <c r="B2226" s="47" t="s">
        <v>1514</v>
      </c>
      <c r="C2226" s="52">
        <v>45016</v>
      </c>
      <c r="D2226" s="46">
        <v>22023002273</v>
      </c>
      <c r="E2226" s="47" t="s">
        <v>546</v>
      </c>
      <c r="F2226" s="53">
        <v>55354.63</v>
      </c>
      <c r="G2226" s="47" t="s">
        <v>67</v>
      </c>
      <c r="H2226" s="47" t="s">
        <v>3735</v>
      </c>
      <c r="I2226" s="46" t="s">
        <v>1517</v>
      </c>
      <c r="J2226" s="47" t="s">
        <v>953</v>
      </c>
      <c r="K2226" s="47" t="s">
        <v>519</v>
      </c>
      <c r="L2226" s="47" t="s">
        <v>520</v>
      </c>
      <c r="M2226" s="47" t="s">
        <v>514</v>
      </c>
      <c r="N2226" s="47" t="s">
        <v>515</v>
      </c>
      <c r="O2226" s="54" t="s">
        <v>382</v>
      </c>
      <c r="P2226" s="44" t="s">
        <v>309</v>
      </c>
      <c r="Q2226" s="59" t="str">
        <f>MID(Tabla1[[#This Row],[Aplicación]],14,1)</f>
        <v>6</v>
      </c>
      <c r="R2226" s="35" t="s">
        <v>299</v>
      </c>
      <c r="S2226" s="59" t="str">
        <f>MID(Tabla1[[#This Row],[Aplicación]],6,2)</f>
        <v>08</v>
      </c>
      <c r="T2226" s="35" t="str">
        <f>VLOOKUP(Tabla1[[#This Row],[AREA]],Hoja1!A:B,2,FALSE)</f>
        <v>08. Movilidad y espacio urbano</v>
      </c>
      <c r="U2226" s="35" t="str">
        <f>MID(Tabla1[[#This Row],[Aplicación]],9,4)</f>
        <v>1532</v>
      </c>
      <c r="V2226" s="35" t="str">
        <f>VLOOKUP(Tabla1[[#This Row],[PROGRAMA]],Hoja1!A:B,2,FALSE)</f>
        <v>1532. Pavimentación vias públicas y otros servicios urbanísticos</v>
      </c>
      <c r="W2226" s="56" t="str">
        <f>MID(Tabla1[[#This Row],[Aplicación]],14,2)</f>
        <v>61</v>
      </c>
      <c r="X2226" s="56" t="str">
        <f>MID(Tabla1[[#This Row],[Aplicación]],14,6)</f>
        <v>619</v>
      </c>
    </row>
    <row r="2227" spans="1:24" x14ac:dyDescent="0.25">
      <c r="A2227" s="55">
        <v>220230012859</v>
      </c>
      <c r="B2227" s="47" t="s">
        <v>1514</v>
      </c>
      <c r="C2227" s="52">
        <v>45016</v>
      </c>
      <c r="D2227" s="46">
        <v>22023002272</v>
      </c>
      <c r="E2227" s="47" t="s">
        <v>546</v>
      </c>
      <c r="F2227" s="53">
        <v>39264.5</v>
      </c>
      <c r="G2227" s="47" t="s">
        <v>3661</v>
      </c>
      <c r="H2227" s="47" t="s">
        <v>3736</v>
      </c>
      <c r="I2227" s="46" t="s">
        <v>1517</v>
      </c>
      <c r="J2227" s="47" t="s">
        <v>3663</v>
      </c>
      <c r="K2227" s="47" t="s">
        <v>545</v>
      </c>
      <c r="L2227" s="47" t="s">
        <v>520</v>
      </c>
      <c r="M2227" s="47" t="s">
        <v>514</v>
      </c>
      <c r="N2227" s="47" t="s">
        <v>515</v>
      </c>
      <c r="O2227" s="54" t="s">
        <v>382</v>
      </c>
      <c r="P2227" s="44" t="s">
        <v>309</v>
      </c>
      <c r="Q2227" s="59" t="str">
        <f>MID(Tabla1[[#This Row],[Aplicación]],14,1)</f>
        <v>6</v>
      </c>
      <c r="R2227" s="35" t="s">
        <v>299</v>
      </c>
      <c r="S2227" s="59" t="str">
        <f>MID(Tabla1[[#This Row],[Aplicación]],6,2)</f>
        <v>08</v>
      </c>
      <c r="T2227" s="35" t="str">
        <f>VLOOKUP(Tabla1[[#This Row],[AREA]],Hoja1!A:B,2,FALSE)</f>
        <v>08. Movilidad y espacio urbano</v>
      </c>
      <c r="U2227" s="35" t="str">
        <f>MID(Tabla1[[#This Row],[Aplicación]],9,4)</f>
        <v>1532</v>
      </c>
      <c r="V2227" s="35" t="str">
        <f>VLOOKUP(Tabla1[[#This Row],[PROGRAMA]],Hoja1!A:B,2,FALSE)</f>
        <v>1532. Pavimentación vias públicas y otros servicios urbanísticos</v>
      </c>
      <c r="W2227" s="56" t="str">
        <f>MID(Tabla1[[#This Row],[Aplicación]],14,2)</f>
        <v>61</v>
      </c>
      <c r="X2227" s="56" t="str">
        <f>MID(Tabla1[[#This Row],[Aplicación]],14,6)</f>
        <v>619</v>
      </c>
    </row>
    <row r="2228" spans="1:24" x14ac:dyDescent="0.25">
      <c r="A2228" s="55">
        <v>220230008946</v>
      </c>
      <c r="B2228" s="47" t="s">
        <v>507</v>
      </c>
      <c r="C2228" s="52">
        <v>45002</v>
      </c>
      <c r="D2228" s="46">
        <v>22023003141</v>
      </c>
      <c r="E2228" s="47" t="s">
        <v>1234</v>
      </c>
      <c r="F2228" s="53">
        <v>381.15</v>
      </c>
      <c r="G2228" s="47" t="s">
        <v>3732</v>
      </c>
      <c r="H2228" s="47" t="s">
        <v>3737</v>
      </c>
      <c r="I2228" s="46" t="s">
        <v>511</v>
      </c>
      <c r="J2228" s="47" t="s">
        <v>519</v>
      </c>
      <c r="K2228" s="47" t="s">
        <v>519</v>
      </c>
      <c r="L2228" s="47" t="s">
        <v>520</v>
      </c>
      <c r="M2228" s="47" t="s">
        <v>976</v>
      </c>
      <c r="N2228" s="47" t="s">
        <v>839</v>
      </c>
      <c r="O2228" s="54" t="s">
        <v>383</v>
      </c>
      <c r="P2228" s="44" t="s">
        <v>309</v>
      </c>
      <c r="Q2228" s="59" t="str">
        <f>MID(Tabla1[[#This Row],[Aplicación]],14,1)</f>
        <v>2</v>
      </c>
      <c r="R2228" s="35" t="s">
        <v>298</v>
      </c>
      <c r="S2228" s="59" t="str">
        <f>MID(Tabla1[[#This Row],[Aplicación]],6,2)</f>
        <v>10</v>
      </c>
      <c r="T2228" s="35" t="str">
        <f>VLOOKUP(Tabla1[[#This Row],[AREA]],Hoja1!A:B,2,FALSE)</f>
        <v>10. Servicios sociales y mediación comunitaria</v>
      </c>
      <c r="U2228" s="35" t="str">
        <f>MID(Tabla1[[#This Row],[Aplicación]],9,4)</f>
        <v>2316</v>
      </c>
      <c r="V2228" s="35" t="str">
        <f>VLOOKUP(Tabla1[[#This Row],[PROGRAMA]],Hoja1!A:B,2,FALSE)</f>
        <v>2316. Mediación comunitaria</v>
      </c>
      <c r="W2228" s="56" t="str">
        <f>MID(Tabla1[[#This Row],[Aplicación]],14,2)</f>
        <v>22</v>
      </c>
      <c r="X2228" s="56" t="str">
        <f>MID(Tabla1[[#This Row],[Aplicación]],14,6)</f>
        <v>22616</v>
      </c>
    </row>
    <row r="2229" spans="1:24" x14ac:dyDescent="0.25">
      <c r="A2229" s="55">
        <v>220230012862</v>
      </c>
      <c r="B2229" s="47" t="s">
        <v>507</v>
      </c>
      <c r="C2229" s="52">
        <v>45016</v>
      </c>
      <c r="D2229" s="46">
        <v>22023003045</v>
      </c>
      <c r="E2229" s="47" t="s">
        <v>1234</v>
      </c>
      <c r="F2229" s="53">
        <v>435.6</v>
      </c>
      <c r="G2229" s="47" t="s">
        <v>3732</v>
      </c>
      <c r="H2229" s="47" t="s">
        <v>3738</v>
      </c>
      <c r="I2229" s="46" t="s">
        <v>511</v>
      </c>
      <c r="J2229" s="47" t="s">
        <v>519</v>
      </c>
      <c r="K2229" s="47" t="s">
        <v>519</v>
      </c>
      <c r="L2229" s="47" t="s">
        <v>520</v>
      </c>
      <c r="M2229" s="47" t="s">
        <v>976</v>
      </c>
      <c r="N2229" s="47" t="s">
        <v>839</v>
      </c>
      <c r="O2229" s="54" t="s">
        <v>383</v>
      </c>
      <c r="P2229" s="44" t="s">
        <v>309</v>
      </c>
      <c r="Q2229" s="59" t="str">
        <f>MID(Tabla1[[#This Row],[Aplicación]],14,1)</f>
        <v>2</v>
      </c>
      <c r="R2229" s="35" t="s">
        <v>298</v>
      </c>
      <c r="S2229" s="59" t="str">
        <f>MID(Tabla1[[#This Row],[Aplicación]],6,2)</f>
        <v>10</v>
      </c>
      <c r="T2229" s="35" t="str">
        <f>VLOOKUP(Tabla1[[#This Row],[AREA]],Hoja1!A:B,2,FALSE)</f>
        <v>10. Servicios sociales y mediación comunitaria</v>
      </c>
      <c r="U2229" s="35" t="str">
        <f>MID(Tabla1[[#This Row],[Aplicación]],9,4)</f>
        <v>2316</v>
      </c>
      <c r="V2229" s="35" t="str">
        <f>VLOOKUP(Tabla1[[#This Row],[PROGRAMA]],Hoja1!A:B,2,FALSE)</f>
        <v>2316. Mediación comunitaria</v>
      </c>
      <c r="W2229" s="56" t="str">
        <f>MID(Tabla1[[#This Row],[Aplicación]],14,2)</f>
        <v>22</v>
      </c>
      <c r="X2229" s="56" t="str">
        <f>MID(Tabla1[[#This Row],[Aplicación]],14,6)</f>
        <v>22616</v>
      </c>
    </row>
    <row r="2230" spans="1:24" x14ac:dyDescent="0.25">
      <c r="A2230" s="46">
        <v>220230002584</v>
      </c>
      <c r="B2230" s="47" t="s">
        <v>507</v>
      </c>
      <c r="C2230" s="52">
        <v>44965</v>
      </c>
      <c r="D2230" s="46">
        <v>22023001672</v>
      </c>
      <c r="E2230" s="47" t="s">
        <v>1719</v>
      </c>
      <c r="F2230" s="53">
        <v>32190.68</v>
      </c>
      <c r="G2230" s="47" t="s">
        <v>3739</v>
      </c>
      <c r="H2230" s="47" t="s">
        <v>3740</v>
      </c>
      <c r="I2230" s="46" t="s">
        <v>511</v>
      </c>
      <c r="J2230" s="47" t="s">
        <v>765</v>
      </c>
      <c r="K2230" s="47" t="s">
        <v>512</v>
      </c>
      <c r="L2230" s="47" t="s">
        <v>552</v>
      </c>
      <c r="M2230" s="47" t="s">
        <v>976</v>
      </c>
      <c r="N2230" s="47" t="s">
        <v>839</v>
      </c>
      <c r="O2230" s="45" t="s">
        <v>383</v>
      </c>
      <c r="P2230" s="44" t="s">
        <v>309</v>
      </c>
      <c r="Q2230" s="59" t="str">
        <f>MID(Tabla1[[#This Row],[Aplicación]],14,1)</f>
        <v>2</v>
      </c>
      <c r="R2230" s="35" t="s">
        <v>298</v>
      </c>
      <c r="S2230" s="59" t="str">
        <f>MID(Tabla1[[#This Row],[Aplicación]],6,2)</f>
        <v>01</v>
      </c>
      <c r="T2230" s="35" t="str">
        <f>VLOOKUP(Tabla1[[#This Row],[AREA]],Hoja1!A:B,2,FALSE)</f>
        <v>01. Alcaldía</v>
      </c>
      <c r="U2230" s="35" t="str">
        <f>MID(Tabla1[[#This Row],[Aplicación]],9,4)</f>
        <v>9206</v>
      </c>
      <c r="V2230" s="35" t="str">
        <f>VLOOKUP(Tabla1[[#This Row],[PROGRAMA]],Hoja1!A:B,2,FALSE)</f>
        <v>9206. Archivo municipal</v>
      </c>
      <c r="W2230" s="56" t="str">
        <f>MID(Tabla1[[#This Row],[Aplicación]],14,2)</f>
        <v>22</v>
      </c>
      <c r="X2230" s="56" t="str">
        <f>MID(Tabla1[[#This Row],[Aplicación]],14,6)</f>
        <v>22001</v>
      </c>
    </row>
    <row r="2231" spans="1:24" x14ac:dyDescent="0.25">
      <c r="A2231" s="55">
        <v>220230012857</v>
      </c>
      <c r="B2231" s="47" t="s">
        <v>507</v>
      </c>
      <c r="C2231" s="52">
        <v>45016</v>
      </c>
      <c r="D2231" s="46">
        <v>22023003491</v>
      </c>
      <c r="E2231" s="47" t="s">
        <v>1719</v>
      </c>
      <c r="F2231" s="53">
        <v>283.79000000000002</v>
      </c>
      <c r="G2231" s="47" t="s">
        <v>3739</v>
      </c>
      <c r="H2231" s="47" t="s">
        <v>3741</v>
      </c>
      <c r="I2231" s="46" t="s">
        <v>511</v>
      </c>
      <c r="J2231" s="47" t="s">
        <v>765</v>
      </c>
      <c r="K2231" s="47" t="s">
        <v>512</v>
      </c>
      <c r="L2231" s="47" t="s">
        <v>552</v>
      </c>
      <c r="M2231" s="47" t="s">
        <v>976</v>
      </c>
      <c r="N2231" s="47" t="s">
        <v>839</v>
      </c>
      <c r="O2231" s="54" t="s">
        <v>383</v>
      </c>
      <c r="P2231" s="44" t="s">
        <v>309</v>
      </c>
      <c r="Q2231" s="59" t="str">
        <f>MID(Tabla1[[#This Row],[Aplicación]],14,1)</f>
        <v>2</v>
      </c>
      <c r="R2231" s="35" t="s">
        <v>298</v>
      </c>
      <c r="S2231" s="59" t="str">
        <f>MID(Tabla1[[#This Row],[Aplicación]],6,2)</f>
        <v>01</v>
      </c>
      <c r="T2231" s="35" t="str">
        <f>VLOOKUP(Tabla1[[#This Row],[AREA]],Hoja1!A:B,2,FALSE)</f>
        <v>01. Alcaldía</v>
      </c>
      <c r="U2231" s="35" t="str">
        <f>MID(Tabla1[[#This Row],[Aplicación]],9,4)</f>
        <v>9206</v>
      </c>
      <c r="V2231" s="35" t="str">
        <f>VLOOKUP(Tabla1[[#This Row],[PROGRAMA]],Hoja1!A:B,2,FALSE)</f>
        <v>9206. Archivo municipal</v>
      </c>
      <c r="W2231" s="56" t="str">
        <f>MID(Tabla1[[#This Row],[Aplicación]],14,2)</f>
        <v>22</v>
      </c>
      <c r="X2231" s="56" t="str">
        <f>MID(Tabla1[[#This Row],[Aplicación]],14,6)</f>
        <v>22001</v>
      </c>
    </row>
    <row r="2232" spans="1:24" x14ac:dyDescent="0.25">
      <c r="A2232" s="55">
        <v>220230011722</v>
      </c>
      <c r="B2232" s="47" t="s">
        <v>507</v>
      </c>
      <c r="C2232" s="52">
        <v>45014</v>
      </c>
      <c r="D2232" s="46">
        <v>22023003555</v>
      </c>
      <c r="E2232" s="47" t="s">
        <v>1490</v>
      </c>
      <c r="F2232" s="53">
        <v>1161.5999999999999</v>
      </c>
      <c r="G2232" s="47" t="s">
        <v>3742</v>
      </c>
      <c r="H2232" s="47" t="s">
        <v>3743</v>
      </c>
      <c r="I2232" s="46" t="s">
        <v>511</v>
      </c>
      <c r="J2232" s="47" t="s">
        <v>519</v>
      </c>
      <c r="K2232" s="47" t="s">
        <v>519</v>
      </c>
      <c r="L2232" s="47" t="s">
        <v>520</v>
      </c>
      <c r="M2232" s="47" t="s">
        <v>976</v>
      </c>
      <c r="N2232" s="47" t="s">
        <v>839</v>
      </c>
      <c r="O2232" s="54" t="s">
        <v>383</v>
      </c>
      <c r="P2232" s="44" t="s">
        <v>309</v>
      </c>
      <c r="Q2232" s="59" t="str">
        <f>MID(Tabla1[[#This Row],[Aplicación]],14,1)</f>
        <v>2</v>
      </c>
      <c r="R2232" s="35" t="s">
        <v>298</v>
      </c>
      <c r="S2232" s="59" t="str">
        <f>MID(Tabla1[[#This Row],[Aplicación]],6,2)</f>
        <v>06</v>
      </c>
      <c r="T2232" s="35" t="str">
        <f>VLOOKUP(Tabla1[[#This Row],[AREA]],Hoja1!A:B,2,FALSE)</f>
        <v>06. Educación, infancia, juventud e igualdad</v>
      </c>
      <c r="U2232" s="35" t="str">
        <f>MID(Tabla1[[#This Row],[Aplicación]],9,4)</f>
        <v>2314</v>
      </c>
      <c r="V2232" s="35" t="str">
        <f>VLOOKUP(Tabla1[[#This Row],[PROGRAMA]],Hoja1!A:B,2,FALSE)</f>
        <v>2314. Centro de programas juveniles</v>
      </c>
      <c r="W2232" s="56" t="str">
        <f>MID(Tabla1[[#This Row],[Aplicación]],14,2)</f>
        <v>22</v>
      </c>
      <c r="X2232" s="56" t="str">
        <f>MID(Tabla1[[#This Row],[Aplicación]],14,6)</f>
        <v>22613</v>
      </c>
    </row>
    <row r="2233" spans="1:24" x14ac:dyDescent="0.25">
      <c r="A2233" s="46">
        <v>220230001945</v>
      </c>
      <c r="B2233" s="47" t="s">
        <v>507</v>
      </c>
      <c r="C2233" s="52">
        <v>44960</v>
      </c>
      <c r="D2233" s="46">
        <v>22023001399</v>
      </c>
      <c r="E2233" s="47" t="s">
        <v>659</v>
      </c>
      <c r="F2233" s="53">
        <v>2301</v>
      </c>
      <c r="G2233" s="47" t="s">
        <v>3744</v>
      </c>
      <c r="H2233" s="47" t="s">
        <v>3745</v>
      </c>
      <c r="I2233" s="46" t="s">
        <v>511</v>
      </c>
      <c r="J2233" s="47" t="s">
        <v>519</v>
      </c>
      <c r="K2233" s="47" t="s">
        <v>519</v>
      </c>
      <c r="L2233" s="47" t="s">
        <v>520</v>
      </c>
      <c r="M2233" s="47" t="s">
        <v>976</v>
      </c>
      <c r="N2233" s="47" t="s">
        <v>839</v>
      </c>
      <c r="O2233" s="45" t="s">
        <v>383</v>
      </c>
      <c r="P2233" s="44" t="s">
        <v>309</v>
      </c>
      <c r="Q2233" s="59" t="str">
        <f>MID(Tabla1[[#This Row],[Aplicación]],14,1)</f>
        <v>2</v>
      </c>
      <c r="R2233" s="35" t="s">
        <v>298</v>
      </c>
      <c r="S2233" s="59" t="str">
        <f>MID(Tabla1[[#This Row],[Aplicación]],6,2)</f>
        <v>11</v>
      </c>
      <c r="T2233" s="35" t="str">
        <f>VLOOKUP(Tabla1[[#This Row],[AREA]],Hoja1!A:B,2,FALSE)</f>
        <v>11. Salud pública y seguridad ciudadana</v>
      </c>
      <c r="U2233" s="35" t="str">
        <f>MID(Tabla1[[#This Row],[Aplicación]],9,4)</f>
        <v>1321</v>
      </c>
      <c r="V2233" s="35" t="str">
        <f>VLOOKUP(Tabla1[[#This Row],[PROGRAMA]],Hoja1!A:B,2,FALSE)</f>
        <v>1321. Policía municipal</v>
      </c>
      <c r="W2233" s="56" t="str">
        <f>MID(Tabla1[[#This Row],[Aplicación]],14,2)</f>
        <v>21</v>
      </c>
      <c r="X2233" s="56" t="str">
        <f>MID(Tabla1[[#This Row],[Aplicación]],14,6)</f>
        <v>213</v>
      </c>
    </row>
    <row r="2234" spans="1:24" x14ac:dyDescent="0.25">
      <c r="A2234" s="46">
        <v>220229000921</v>
      </c>
      <c r="B2234" s="47" t="s">
        <v>507</v>
      </c>
      <c r="C2234" s="52">
        <v>44927</v>
      </c>
      <c r="D2234" s="46">
        <v>22023002192</v>
      </c>
      <c r="E2234" s="47" t="s">
        <v>1055</v>
      </c>
      <c r="F2234" s="53">
        <v>5323.03</v>
      </c>
      <c r="G2234" s="47" t="s">
        <v>2187</v>
      </c>
      <c r="H2234" s="47" t="s">
        <v>3746</v>
      </c>
      <c r="I2234" s="46" t="s">
        <v>511</v>
      </c>
      <c r="J2234" s="47" t="s">
        <v>519</v>
      </c>
      <c r="K2234" s="47" t="s">
        <v>519</v>
      </c>
      <c r="L2234" s="47" t="s">
        <v>520</v>
      </c>
      <c r="M2234" s="47" t="s">
        <v>514</v>
      </c>
      <c r="N2234" s="47" t="s">
        <v>515</v>
      </c>
      <c r="O2234" s="45" t="s">
        <v>371</v>
      </c>
      <c r="P2234" s="44" t="s">
        <v>309</v>
      </c>
      <c r="Q2234" s="59" t="str">
        <f>MID(Tabla1[[#This Row],[Aplicación]],14,1)</f>
        <v>2</v>
      </c>
      <c r="R2234" s="35" t="s">
        <v>298</v>
      </c>
      <c r="S2234" s="59" t="str">
        <f>MID(Tabla1[[#This Row],[Aplicación]],6,2)</f>
        <v>02</v>
      </c>
      <c r="T2234" s="35" t="str">
        <f>VLOOKUP(Tabla1[[#This Row],[AREA]],Hoja1!A:B,2,FALSE)</f>
        <v>02. Planeamiento urbanístico y vivienda</v>
      </c>
      <c r="U2234" s="35" t="str">
        <f>MID(Tabla1[[#This Row],[Aplicación]],9,4)</f>
        <v>9332</v>
      </c>
      <c r="V2234" s="35" t="str">
        <f>VLOOKUP(Tabla1[[#This Row],[PROGRAMA]],Hoja1!A:B,2,FALSE)</f>
        <v>9332. Mantenimiento de edificios e instalaciones municipales</v>
      </c>
      <c r="W2234" s="56" t="str">
        <f>MID(Tabla1[[#This Row],[Aplicación]],14,2)</f>
        <v>21</v>
      </c>
      <c r="X2234" s="56" t="str">
        <f>MID(Tabla1[[#This Row],[Aplicación]],14,6)</f>
        <v>213</v>
      </c>
    </row>
    <row r="2235" spans="1:24" x14ac:dyDescent="0.25">
      <c r="A2235" s="55">
        <v>220230012855</v>
      </c>
      <c r="B2235" s="47" t="s">
        <v>507</v>
      </c>
      <c r="C2235" s="52">
        <v>45016</v>
      </c>
      <c r="D2235" s="46">
        <v>22023003676</v>
      </c>
      <c r="E2235" s="47" t="s">
        <v>1783</v>
      </c>
      <c r="F2235" s="53">
        <v>1503.37</v>
      </c>
      <c r="G2235" s="47" t="s">
        <v>409</v>
      </c>
      <c r="H2235" s="47" t="s">
        <v>3747</v>
      </c>
      <c r="I2235" s="46" t="s">
        <v>511</v>
      </c>
      <c r="J2235" s="47" t="s">
        <v>519</v>
      </c>
      <c r="K2235" s="47" t="s">
        <v>519</v>
      </c>
      <c r="L2235" s="47" t="s">
        <v>520</v>
      </c>
      <c r="M2235" s="47" t="s">
        <v>976</v>
      </c>
      <c r="N2235" s="47" t="s">
        <v>839</v>
      </c>
      <c r="O2235" s="54" t="s">
        <v>383</v>
      </c>
      <c r="P2235" s="44" t="s">
        <v>309</v>
      </c>
      <c r="Q2235" s="59" t="str">
        <f>MID(Tabla1[[#This Row],[Aplicación]],14,1)</f>
        <v>2</v>
      </c>
      <c r="R2235" s="35" t="s">
        <v>298</v>
      </c>
      <c r="S2235" s="59" t="str">
        <f>MID(Tabla1[[#This Row],[Aplicación]],6,2)</f>
        <v>07</v>
      </c>
      <c r="T2235" s="35" t="str">
        <f>VLOOKUP(Tabla1[[#This Row],[AREA]],Hoja1!A:B,2,FALSE)</f>
        <v>07. Medio ambiente y desarrollo sostenible</v>
      </c>
      <c r="U2235" s="35" t="str">
        <f>MID(Tabla1[[#This Row],[Aplicación]],9,4)</f>
        <v>1701</v>
      </c>
      <c r="V2235" s="35" t="str">
        <f>VLOOKUP(Tabla1[[#This Row],[PROGRAMA]],Hoja1!A:B,2,FALSE)</f>
        <v>1701. Dirección del área de medio ambiente</v>
      </c>
      <c r="W2235" s="56" t="str">
        <f>MID(Tabla1[[#This Row],[Aplicación]],14,2)</f>
        <v>22</v>
      </c>
      <c r="X2235" s="56" t="str">
        <f>MID(Tabla1[[#This Row],[Aplicación]],14,6)</f>
        <v>22699</v>
      </c>
    </row>
    <row r="2236" spans="1:24" x14ac:dyDescent="0.25">
      <c r="A2236" s="46">
        <v>220230003014</v>
      </c>
      <c r="B2236" s="47" t="s">
        <v>507</v>
      </c>
      <c r="C2236" s="52">
        <v>44970</v>
      </c>
      <c r="D2236" s="46">
        <v>22023002401</v>
      </c>
      <c r="E2236" s="47" t="s">
        <v>2722</v>
      </c>
      <c r="F2236" s="53">
        <v>500</v>
      </c>
      <c r="G2236" s="47" t="s">
        <v>109</v>
      </c>
      <c r="H2236" s="47" t="s">
        <v>3748</v>
      </c>
      <c r="I2236" s="46" t="s">
        <v>511</v>
      </c>
      <c r="J2236" s="47" t="s">
        <v>519</v>
      </c>
      <c r="K2236" s="47" t="s">
        <v>519</v>
      </c>
      <c r="L2236" s="47" t="s">
        <v>520</v>
      </c>
      <c r="M2236" s="47" t="s">
        <v>976</v>
      </c>
      <c r="N2236" s="47" t="s">
        <v>839</v>
      </c>
      <c r="O2236" s="45" t="s">
        <v>383</v>
      </c>
      <c r="P2236" s="44" t="s">
        <v>309</v>
      </c>
      <c r="Q2236" s="59" t="str">
        <f>MID(Tabla1[[#This Row],[Aplicación]],14,1)</f>
        <v>2</v>
      </c>
      <c r="R2236" s="35" t="s">
        <v>298</v>
      </c>
      <c r="S2236" s="59" t="str">
        <f>MID(Tabla1[[#This Row],[Aplicación]],6,2)</f>
        <v>06</v>
      </c>
      <c r="T2236" s="35" t="str">
        <f>VLOOKUP(Tabla1[[#This Row],[AREA]],Hoja1!A:B,2,FALSE)</f>
        <v>06. Educación, infancia, juventud e igualdad</v>
      </c>
      <c r="U2236" s="35" t="str">
        <f>MID(Tabla1[[#This Row],[Aplicación]],9,4)</f>
        <v>3321</v>
      </c>
      <c r="V2236" s="35" t="str">
        <f>VLOOKUP(Tabla1[[#This Row],[PROGRAMA]],Hoja1!A:B,2,FALSE)</f>
        <v>3321. Bibliotecas públicas</v>
      </c>
      <c r="W2236" s="56" t="str">
        <f>MID(Tabla1[[#This Row],[Aplicación]],14,2)</f>
        <v>22</v>
      </c>
      <c r="X2236" s="56" t="str">
        <f>MID(Tabla1[[#This Row],[Aplicación]],14,6)</f>
        <v>223</v>
      </c>
    </row>
    <row r="2237" spans="1:24" x14ac:dyDescent="0.25">
      <c r="A2237" s="46">
        <v>220230002640</v>
      </c>
      <c r="B2237" s="47" t="s">
        <v>507</v>
      </c>
      <c r="C2237" s="52">
        <v>44966</v>
      </c>
      <c r="D2237" s="46">
        <v>22023002178</v>
      </c>
      <c r="E2237" s="47" t="s">
        <v>1299</v>
      </c>
      <c r="F2237" s="53">
        <v>1004.4</v>
      </c>
      <c r="G2237" s="47" t="s">
        <v>86</v>
      </c>
      <c r="H2237" s="47" t="s">
        <v>3749</v>
      </c>
      <c r="I2237" s="46" t="s">
        <v>511</v>
      </c>
      <c r="J2237" s="47" t="s">
        <v>512</v>
      </c>
      <c r="K2237" s="47" t="s">
        <v>512</v>
      </c>
      <c r="L2237" s="47" t="s">
        <v>552</v>
      </c>
      <c r="M2237" s="47" t="s">
        <v>976</v>
      </c>
      <c r="N2237" s="47" t="s">
        <v>839</v>
      </c>
      <c r="O2237" s="45" t="s">
        <v>383</v>
      </c>
      <c r="P2237" s="44" t="s">
        <v>309</v>
      </c>
      <c r="Q2237" s="59" t="str">
        <f>MID(Tabla1[[#This Row],[Aplicación]],14,1)</f>
        <v>2</v>
      </c>
      <c r="R2237" s="35" t="s">
        <v>298</v>
      </c>
      <c r="S2237" s="59" t="str">
        <f>MID(Tabla1[[#This Row],[Aplicación]],6,2)</f>
        <v>06</v>
      </c>
      <c r="T2237" s="35" t="str">
        <f>VLOOKUP(Tabla1[[#This Row],[AREA]],Hoja1!A:B,2,FALSE)</f>
        <v>06. Educación, infancia, juventud e igualdad</v>
      </c>
      <c r="U2237" s="35" t="str">
        <f>MID(Tabla1[[#This Row],[Aplicación]],9,4)</f>
        <v>3321</v>
      </c>
      <c r="V2237" s="35" t="str">
        <f>VLOOKUP(Tabla1[[#This Row],[PROGRAMA]],Hoja1!A:B,2,FALSE)</f>
        <v>3321. Bibliotecas públicas</v>
      </c>
      <c r="W2237" s="56" t="str">
        <f>MID(Tabla1[[#This Row],[Aplicación]],14,2)</f>
        <v>22</v>
      </c>
      <c r="X2237" s="56" t="str">
        <f>MID(Tabla1[[#This Row],[Aplicación]],14,6)</f>
        <v>22001</v>
      </c>
    </row>
    <row r="2238" spans="1:24" x14ac:dyDescent="0.25">
      <c r="A2238" s="46">
        <v>220229000439</v>
      </c>
      <c r="B2238" s="47" t="s">
        <v>507</v>
      </c>
      <c r="C2238" s="52">
        <v>44927</v>
      </c>
      <c r="D2238" s="46">
        <v>22023001184</v>
      </c>
      <c r="E2238" s="47" t="s">
        <v>736</v>
      </c>
      <c r="F2238" s="53">
        <v>8640</v>
      </c>
      <c r="G2238" s="47" t="s">
        <v>3750</v>
      </c>
      <c r="H2238" s="47" t="s">
        <v>3751</v>
      </c>
      <c r="I2238" s="46" t="s">
        <v>511</v>
      </c>
      <c r="J2238" s="47" t="s">
        <v>519</v>
      </c>
      <c r="K2238" s="47" t="s">
        <v>519</v>
      </c>
      <c r="L2238" s="47" t="s">
        <v>520</v>
      </c>
      <c r="M2238" s="47" t="s">
        <v>976</v>
      </c>
      <c r="N2238" s="47" t="s">
        <v>839</v>
      </c>
      <c r="O2238" s="45" t="s">
        <v>383</v>
      </c>
      <c r="P2238" s="44" t="s">
        <v>309</v>
      </c>
      <c r="Q2238" s="59" t="str">
        <f>MID(Tabla1[[#This Row],[Aplicación]],14,1)</f>
        <v>2</v>
      </c>
      <c r="R2238" s="35" t="s">
        <v>298</v>
      </c>
      <c r="S2238" s="59" t="str">
        <f>MID(Tabla1[[#This Row],[Aplicación]],6,2)</f>
        <v>06</v>
      </c>
      <c r="T2238" s="35" t="str">
        <f>VLOOKUP(Tabla1[[#This Row],[AREA]],Hoja1!A:B,2,FALSE)</f>
        <v>06. Educación, infancia, juventud e igualdad</v>
      </c>
      <c r="U2238" s="35" t="str">
        <f>MID(Tabla1[[#This Row],[Aplicación]],9,4)</f>
        <v>3261</v>
      </c>
      <c r="V2238" s="35" t="str">
        <f>VLOOKUP(Tabla1[[#This Row],[PROGRAMA]],Hoja1!A:B,2,FALSE)</f>
        <v>3261. Servicios complementarios de educación</v>
      </c>
      <c r="W2238" s="56" t="str">
        <f>MID(Tabla1[[#This Row],[Aplicación]],14,2)</f>
        <v>22</v>
      </c>
      <c r="X2238" s="56" t="str">
        <f>MID(Tabla1[[#This Row],[Aplicación]],14,6)</f>
        <v>22799</v>
      </c>
    </row>
    <row r="2239" spans="1:24" x14ac:dyDescent="0.25">
      <c r="A2239" s="46">
        <v>220229000903</v>
      </c>
      <c r="B2239" s="47" t="s">
        <v>507</v>
      </c>
      <c r="C2239" s="52">
        <v>44927</v>
      </c>
      <c r="D2239" s="46">
        <v>22023002127</v>
      </c>
      <c r="E2239" s="47" t="s">
        <v>3752</v>
      </c>
      <c r="F2239" s="53">
        <v>80000</v>
      </c>
      <c r="G2239" s="47" t="s">
        <v>3753</v>
      </c>
      <c r="H2239" s="47" t="s">
        <v>3754</v>
      </c>
      <c r="I2239" s="46" t="s">
        <v>511</v>
      </c>
      <c r="J2239" s="47" t="s">
        <v>3755</v>
      </c>
      <c r="K2239" s="47" t="s">
        <v>590</v>
      </c>
      <c r="L2239" s="47" t="s">
        <v>652</v>
      </c>
      <c r="M2239" s="47" t="s">
        <v>514</v>
      </c>
      <c r="N2239" s="47" t="s">
        <v>515</v>
      </c>
      <c r="O2239" s="54" t="s">
        <v>371</v>
      </c>
      <c r="P2239" s="44" t="s">
        <v>309</v>
      </c>
      <c r="Q2239" s="59" t="str">
        <f>MID(Tabla1[[#This Row],[Aplicación]],14,1)</f>
        <v>6</v>
      </c>
      <c r="R2239" s="35" t="s">
        <v>299</v>
      </c>
      <c r="S2239" s="59" t="str">
        <f>MID(Tabla1[[#This Row],[Aplicación]],6,2)</f>
        <v>04</v>
      </c>
      <c r="T2239" s="35" t="str">
        <f>VLOOKUP(Tabla1[[#This Row],[AREA]],Hoja1!A:B,2,FALSE)</f>
        <v>04. Planificación y recursos</v>
      </c>
      <c r="U2239" s="35" t="str">
        <f>MID(Tabla1[[#This Row],[Aplicación]],9,4)</f>
        <v>9202</v>
      </c>
      <c r="V2239" s="35" t="str">
        <f>VLOOKUP(Tabla1[[#This Row],[PROGRAMA]],Hoja1!A:B,2,FALSE)</f>
        <v>9202. Gestión de recursos humanos</v>
      </c>
      <c r="W2239" s="56" t="str">
        <f>MID(Tabla1[[#This Row],[Aplicación]],14,2)</f>
        <v>64</v>
      </c>
      <c r="X2239" s="56" t="str">
        <f>MID(Tabla1[[#This Row],[Aplicación]],14,6)</f>
        <v>641</v>
      </c>
    </row>
    <row r="2240" spans="1:24" x14ac:dyDescent="0.25">
      <c r="A2240" s="55">
        <v>220220067879</v>
      </c>
      <c r="B2240" s="47" t="s">
        <v>507</v>
      </c>
      <c r="C2240" s="52">
        <v>45014</v>
      </c>
      <c r="D2240" s="46">
        <v>22022008441</v>
      </c>
      <c r="E2240" s="47" t="s">
        <v>3752</v>
      </c>
      <c r="F2240" s="53">
        <v>188864.7</v>
      </c>
      <c r="G2240" s="47" t="s">
        <v>3753</v>
      </c>
      <c r="H2240" s="47" t="s">
        <v>3756</v>
      </c>
      <c r="I2240" s="46" t="s">
        <v>511</v>
      </c>
      <c r="J2240" s="47" t="s">
        <v>3755</v>
      </c>
      <c r="K2240" s="47" t="s">
        <v>590</v>
      </c>
      <c r="L2240" s="47" t="s">
        <v>652</v>
      </c>
      <c r="M2240" s="47" t="s">
        <v>514</v>
      </c>
      <c r="N2240" s="47" t="s">
        <v>515</v>
      </c>
      <c r="O2240" s="54" t="s">
        <v>371</v>
      </c>
      <c r="P2240" s="44" t="s">
        <v>309</v>
      </c>
      <c r="Q2240" s="59" t="str">
        <f>MID(Tabla1[[#This Row],[Aplicación]],14,1)</f>
        <v>6</v>
      </c>
      <c r="R2240" s="35" t="s">
        <v>299</v>
      </c>
      <c r="S2240" s="59" t="str">
        <f>MID(Tabla1[[#This Row],[Aplicación]],6,2)</f>
        <v>04</v>
      </c>
      <c r="T2240" s="35" t="str">
        <f>VLOOKUP(Tabla1[[#This Row],[AREA]],Hoja1!A:B,2,FALSE)</f>
        <v>04. Planificación y recursos</v>
      </c>
      <c r="U2240" s="35" t="str">
        <f>MID(Tabla1[[#This Row],[Aplicación]],9,4)</f>
        <v>9202</v>
      </c>
      <c r="V2240" s="35" t="str">
        <f>VLOOKUP(Tabla1[[#This Row],[PROGRAMA]],Hoja1!A:B,2,FALSE)</f>
        <v>9202. Gestión de recursos humanos</v>
      </c>
      <c r="W2240" s="56" t="str">
        <f>MID(Tabla1[[#This Row],[Aplicación]],14,2)</f>
        <v>64</v>
      </c>
      <c r="X2240" s="56" t="str">
        <f>MID(Tabla1[[#This Row],[Aplicación]],14,6)</f>
        <v>641</v>
      </c>
    </row>
    <row r="2241" spans="1:24" x14ac:dyDescent="0.25">
      <c r="A2241" s="46">
        <v>220229000120</v>
      </c>
      <c r="B2241" s="47" t="s">
        <v>507</v>
      </c>
      <c r="C2241" s="52">
        <v>44927</v>
      </c>
      <c r="D2241" s="46">
        <v>22023000892</v>
      </c>
      <c r="E2241" s="47" t="s">
        <v>799</v>
      </c>
      <c r="F2241" s="53">
        <v>179986.12</v>
      </c>
      <c r="G2241" s="47" t="s">
        <v>3757</v>
      </c>
      <c r="H2241" s="47" t="s">
        <v>3758</v>
      </c>
      <c r="I2241" s="46" t="s">
        <v>511</v>
      </c>
      <c r="J2241" s="47" t="s">
        <v>837</v>
      </c>
      <c r="K2241" s="47" t="s">
        <v>837</v>
      </c>
      <c r="L2241" s="47" t="s">
        <v>652</v>
      </c>
      <c r="M2241" s="47" t="s">
        <v>514</v>
      </c>
      <c r="N2241" s="47" t="s">
        <v>515</v>
      </c>
      <c r="O2241" s="45" t="s">
        <v>382</v>
      </c>
      <c r="P2241" s="44" t="s">
        <v>309</v>
      </c>
      <c r="Q2241" s="59" t="str">
        <f>MID(Tabla1[[#This Row],[Aplicación]],14,1)</f>
        <v>2</v>
      </c>
      <c r="R2241" s="35" t="s">
        <v>298</v>
      </c>
      <c r="S2241" s="59" t="str">
        <f>MID(Tabla1[[#This Row],[Aplicación]],6,2)</f>
        <v>02</v>
      </c>
      <c r="T2241" s="35" t="str">
        <f>VLOOKUP(Tabla1[[#This Row],[AREA]],Hoja1!A:B,2,FALSE)</f>
        <v>02. Planeamiento urbanístico y vivienda</v>
      </c>
      <c r="U2241" s="35" t="str">
        <f>MID(Tabla1[[#This Row],[Aplicación]],9,4)</f>
        <v>9331</v>
      </c>
      <c r="V2241" s="35" t="str">
        <f>VLOOKUP(Tabla1[[#This Row],[PROGRAMA]],Hoja1!A:B,2,FALSE)</f>
        <v>9331. Gestión del patrimonio</v>
      </c>
      <c r="W2241" s="56" t="str">
        <f>MID(Tabla1[[#This Row],[Aplicación]],14,2)</f>
        <v>22</v>
      </c>
      <c r="X2241" s="56" t="str">
        <f>MID(Tabla1[[#This Row],[Aplicación]],14,6)</f>
        <v>224</v>
      </c>
    </row>
    <row r="2242" spans="1:24" x14ac:dyDescent="0.25">
      <c r="A2242" s="55">
        <v>220230012867</v>
      </c>
      <c r="B2242" s="47" t="s">
        <v>507</v>
      </c>
      <c r="C2242" s="52">
        <v>45016</v>
      </c>
      <c r="D2242" s="46">
        <v>22023003607</v>
      </c>
      <c r="E2242" s="47" t="s">
        <v>1315</v>
      </c>
      <c r="F2242" s="53">
        <v>3630</v>
      </c>
      <c r="G2242" s="47" t="s">
        <v>2730</v>
      </c>
      <c r="H2242" s="47" t="s">
        <v>3759</v>
      </c>
      <c r="I2242" s="46" t="s">
        <v>511</v>
      </c>
      <c r="J2242" s="47" t="s">
        <v>519</v>
      </c>
      <c r="K2242" s="47" t="s">
        <v>519</v>
      </c>
      <c r="L2242" s="47" t="s">
        <v>520</v>
      </c>
      <c r="M2242" s="47" t="s">
        <v>976</v>
      </c>
      <c r="N2242" s="47" t="s">
        <v>839</v>
      </c>
      <c r="O2242" s="54" t="s">
        <v>383</v>
      </c>
      <c r="P2242" s="44" t="s">
        <v>309</v>
      </c>
      <c r="Q2242" s="59" t="str">
        <f>MID(Tabla1[[#This Row],[Aplicación]],14,1)</f>
        <v>2</v>
      </c>
      <c r="R2242" s="35" t="s">
        <v>298</v>
      </c>
      <c r="S2242" s="59" t="str">
        <f>MID(Tabla1[[#This Row],[Aplicación]],6,2)</f>
        <v>01</v>
      </c>
      <c r="T2242" s="35" t="str">
        <f>VLOOKUP(Tabla1[[#This Row],[AREA]],Hoja1!A:B,2,FALSE)</f>
        <v>01. Alcaldía</v>
      </c>
      <c r="U2242" s="35" t="str">
        <f>MID(Tabla1[[#This Row],[Aplicación]],9,4)</f>
        <v>9207</v>
      </c>
      <c r="V2242" s="35" t="str">
        <f>VLOOKUP(Tabla1[[#This Row],[PROGRAMA]],Hoja1!A:B,2,FALSE)</f>
        <v>9207. Gobierno y relaciones</v>
      </c>
      <c r="W2242" s="56" t="str">
        <f>MID(Tabla1[[#This Row],[Aplicación]],14,2)</f>
        <v>22</v>
      </c>
      <c r="X2242" s="56" t="str">
        <f>MID(Tabla1[[#This Row],[Aplicación]],14,6)</f>
        <v>22602</v>
      </c>
    </row>
    <row r="2243" spans="1:24" x14ac:dyDescent="0.25">
      <c r="A2243" s="62">
        <v>220220012871</v>
      </c>
      <c r="B2243" s="44" t="s">
        <v>507</v>
      </c>
      <c r="C2243" s="64">
        <v>45037</v>
      </c>
      <c r="D2243" s="62">
        <v>22022002070</v>
      </c>
      <c r="E2243" s="44" t="s">
        <v>726</v>
      </c>
      <c r="F2243" s="65">
        <v>8927.17</v>
      </c>
      <c r="G2243" s="44" t="s">
        <v>1019</v>
      </c>
      <c r="H2243" s="44" t="s">
        <v>1020</v>
      </c>
      <c r="I2243" s="62" t="s">
        <v>511</v>
      </c>
      <c r="J2243" s="44" t="s">
        <v>1021</v>
      </c>
      <c r="K2243" s="44" t="s">
        <v>729</v>
      </c>
      <c r="L2243" s="44" t="s">
        <v>520</v>
      </c>
      <c r="M2243" s="44" t="s">
        <v>838</v>
      </c>
      <c r="N2243" s="44" t="s">
        <v>839</v>
      </c>
      <c r="O2243" s="45" t="s">
        <v>373</v>
      </c>
      <c r="P2243" s="45" t="s">
        <v>3760</v>
      </c>
      <c r="Q2243" s="59" t="str">
        <f>MID(Tabla1[[#This Row],[Aplicación]],14,1)</f>
        <v>6</v>
      </c>
      <c r="R2243" s="35" t="s">
        <v>299</v>
      </c>
      <c r="S2243" s="59" t="str">
        <f>MID(Tabla1[[#This Row],[Aplicación]],6,2)</f>
        <v>04</v>
      </c>
      <c r="T2243" s="35" t="str">
        <f>VLOOKUP(Tabla1[[#This Row],[AREA]],Hoja1!A:B,2,FALSE)</f>
        <v>04. Planificación y recursos</v>
      </c>
      <c r="U2243" s="56" t="str">
        <f>MID(Tabla1[[#This Row],[Aplicación]],9,4)</f>
        <v>9204</v>
      </c>
      <c r="V2243" s="35" t="str">
        <f>VLOOKUP(Tabla1[[#This Row],[PROGRAMA]],Hoja1!A:B,2,FALSE)</f>
        <v>9204. Tecnologías de la información y comunicación</v>
      </c>
      <c r="W2243" s="56" t="str">
        <f>MID(Tabla1[[#This Row],[Aplicación]],14,2)</f>
        <v>64</v>
      </c>
      <c r="X2243" s="56" t="str">
        <f>MID(Tabla1[[#This Row],[Aplicación]],14,6)</f>
        <v>641</v>
      </c>
    </row>
    <row r="2244" spans="1:24" x14ac:dyDescent="0.25">
      <c r="A2244" s="62">
        <v>220230013720</v>
      </c>
      <c r="B2244" s="44" t="s">
        <v>507</v>
      </c>
      <c r="C2244" s="64">
        <v>45027</v>
      </c>
      <c r="D2244" s="62">
        <v>22023000211</v>
      </c>
      <c r="E2244" s="44" t="s">
        <v>516</v>
      </c>
      <c r="F2244" s="65">
        <v>6855250.46</v>
      </c>
      <c r="G2244" s="44" t="s">
        <v>517</v>
      </c>
      <c r="H2244" s="44" t="s">
        <v>3761</v>
      </c>
      <c r="I2244" s="62" t="s">
        <v>511</v>
      </c>
      <c r="J2244" s="44" t="s">
        <v>519</v>
      </c>
      <c r="K2244" s="44" t="s">
        <v>519</v>
      </c>
      <c r="L2244" s="44" t="s">
        <v>520</v>
      </c>
      <c r="M2244" s="44" t="s">
        <v>514</v>
      </c>
      <c r="N2244" s="44" t="s">
        <v>515</v>
      </c>
      <c r="O2244" s="45" t="s">
        <v>371</v>
      </c>
      <c r="P2244" s="45" t="s">
        <v>3760</v>
      </c>
      <c r="Q2244" s="59" t="str">
        <f>MID(Tabla1[[#This Row],[Aplicación]],14,1)</f>
        <v>2</v>
      </c>
      <c r="R2244" s="35" t="s">
        <v>298</v>
      </c>
      <c r="S2244" s="59" t="str">
        <f>MID(Tabla1[[#This Row],[Aplicación]],6,2)</f>
        <v>10</v>
      </c>
      <c r="T2244" s="35" t="str">
        <f>VLOOKUP(Tabla1[[#This Row],[AREA]],Hoja1!A:B,2,FALSE)</f>
        <v>10. Servicios sociales y mediación comunitaria</v>
      </c>
      <c r="U2244" s="56" t="str">
        <f>MID(Tabla1[[#This Row],[Aplicación]],9,4)</f>
        <v>2311</v>
      </c>
      <c r="V2244" s="35" t="str">
        <f>VLOOKUP(Tabla1[[#This Row],[PROGRAMA]],Hoja1!A:B,2,FALSE)</f>
        <v>2311. Intervención social</v>
      </c>
      <c r="W2244" s="56" t="str">
        <f>MID(Tabla1[[#This Row],[Aplicación]],14,2)</f>
        <v>22</v>
      </c>
      <c r="X2244" s="56" t="str">
        <f>MID(Tabla1[[#This Row],[Aplicación]],14,6)</f>
        <v>22799</v>
      </c>
    </row>
    <row r="2245" spans="1:24" x14ac:dyDescent="0.25">
      <c r="A2245" s="62">
        <v>220230020057</v>
      </c>
      <c r="B2245" s="44" t="s">
        <v>507</v>
      </c>
      <c r="C2245" s="64">
        <v>45057</v>
      </c>
      <c r="D2245" s="62">
        <v>22023003455</v>
      </c>
      <c r="E2245" s="44" t="s">
        <v>3762</v>
      </c>
      <c r="F2245" s="65">
        <v>2270000</v>
      </c>
      <c r="G2245" s="44" t="s">
        <v>587</v>
      </c>
      <c r="H2245" s="44" t="s">
        <v>3763</v>
      </c>
      <c r="I2245" s="62" t="s">
        <v>511</v>
      </c>
      <c r="J2245" s="44" t="s">
        <v>589</v>
      </c>
      <c r="K2245" s="44" t="s">
        <v>590</v>
      </c>
      <c r="L2245" s="44" t="s">
        <v>552</v>
      </c>
      <c r="M2245" s="44" t="s">
        <v>514</v>
      </c>
      <c r="N2245" s="44" t="s">
        <v>515</v>
      </c>
      <c r="O2245" s="45" t="s">
        <v>371</v>
      </c>
      <c r="P2245" s="45" t="s">
        <v>3760</v>
      </c>
      <c r="Q2245" s="59" t="str">
        <f>MID(Tabla1[[#This Row],[Aplicación]],14,1)</f>
        <v>2</v>
      </c>
      <c r="R2245" s="35" t="s">
        <v>298</v>
      </c>
      <c r="S2245" s="59" t="str">
        <f>MID(Tabla1[[#This Row],[Aplicación]],6,2)</f>
        <v>08</v>
      </c>
      <c r="T2245" s="35" t="str">
        <f>VLOOKUP(Tabla1[[#This Row],[AREA]],Hoja1!A:B,2,FALSE)</f>
        <v>08. Movilidad y espacio urbano</v>
      </c>
      <c r="U2245" s="56" t="str">
        <f>MID(Tabla1[[#This Row],[Aplicación]],9,4)</f>
        <v>1651</v>
      </c>
      <c r="V2245" s="35" t="str">
        <f>VLOOKUP(Tabla1[[#This Row],[PROGRAMA]],Hoja1!A:B,2,FALSE)</f>
        <v>1651. Alumbrado público</v>
      </c>
      <c r="W2245" s="56" t="str">
        <f>MID(Tabla1[[#This Row],[Aplicación]],14,2)</f>
        <v>22</v>
      </c>
      <c r="X2245" s="56" t="str">
        <f>MID(Tabla1[[#This Row],[Aplicación]],14,6)</f>
        <v>22100</v>
      </c>
    </row>
    <row r="2246" spans="1:24" x14ac:dyDescent="0.25">
      <c r="A2246" s="62">
        <v>220230018793</v>
      </c>
      <c r="B2246" s="44" t="s">
        <v>1514</v>
      </c>
      <c r="C2246" s="64">
        <v>45055</v>
      </c>
      <c r="D2246" s="62">
        <v>22023002188</v>
      </c>
      <c r="E2246" s="44" t="s">
        <v>529</v>
      </c>
      <c r="F2246" s="65">
        <v>790513.7</v>
      </c>
      <c r="G2246" s="44" t="s">
        <v>3764</v>
      </c>
      <c r="H2246" s="44" t="s">
        <v>3765</v>
      </c>
      <c r="I2246" s="62" t="s">
        <v>1517</v>
      </c>
      <c r="J2246" s="44" t="s">
        <v>512</v>
      </c>
      <c r="K2246" s="44" t="s">
        <v>512</v>
      </c>
      <c r="L2246" s="44" t="s">
        <v>520</v>
      </c>
      <c r="M2246" s="44" t="s">
        <v>514</v>
      </c>
      <c r="N2246" s="44" t="s">
        <v>515</v>
      </c>
      <c r="O2246" s="45" t="s">
        <v>371</v>
      </c>
      <c r="P2246" s="45" t="s">
        <v>3760</v>
      </c>
      <c r="Q2246" s="59" t="str">
        <f>MID(Tabla1[[#This Row],[Aplicación]],14,1)</f>
        <v>6</v>
      </c>
      <c r="R2246" s="35" t="s">
        <v>299</v>
      </c>
      <c r="S2246" s="59" t="str">
        <f>MID(Tabla1[[#This Row],[Aplicación]],6,2)</f>
        <v>07</v>
      </c>
      <c r="T2246" s="35" t="str">
        <f>VLOOKUP(Tabla1[[#This Row],[AREA]],Hoja1!A:B,2,FALSE)</f>
        <v>07. Medio ambiente y desarrollo sostenible</v>
      </c>
      <c r="U2246" s="56" t="str">
        <f>MID(Tabla1[[#This Row],[Aplicación]],9,4)</f>
        <v>1711</v>
      </c>
      <c r="V2246" s="35" t="str">
        <f>VLOOKUP(Tabla1[[#This Row],[PROGRAMA]],Hoja1!A:B,2,FALSE)</f>
        <v>1711. Parques y jardines</v>
      </c>
      <c r="W2246" s="56" t="str">
        <f>MID(Tabla1[[#This Row],[Aplicación]],14,2)</f>
        <v>61</v>
      </c>
      <c r="X2246" s="56" t="str">
        <f>MID(Tabla1[[#This Row],[Aplicación]],14,6)</f>
        <v>610</v>
      </c>
    </row>
    <row r="2247" spans="1:24" x14ac:dyDescent="0.25">
      <c r="A2247" s="62">
        <v>220230018792</v>
      </c>
      <c r="B2247" s="44" t="s">
        <v>1514</v>
      </c>
      <c r="C2247" s="64">
        <v>45055</v>
      </c>
      <c r="D2247" s="62">
        <v>22023002188</v>
      </c>
      <c r="E2247" s="44" t="s">
        <v>529</v>
      </c>
      <c r="F2247" s="65">
        <v>780949.62</v>
      </c>
      <c r="G2247" s="44" t="s">
        <v>3766</v>
      </c>
      <c r="H2247" s="44" t="s">
        <v>3767</v>
      </c>
      <c r="I2247" s="62" t="s">
        <v>1517</v>
      </c>
      <c r="J2247" s="44" t="s">
        <v>1003</v>
      </c>
      <c r="K2247" s="44" t="s">
        <v>1003</v>
      </c>
      <c r="L2247" s="44" t="s">
        <v>520</v>
      </c>
      <c r="M2247" s="44" t="s">
        <v>514</v>
      </c>
      <c r="N2247" s="44" t="s">
        <v>515</v>
      </c>
      <c r="O2247" s="45" t="s">
        <v>371</v>
      </c>
      <c r="P2247" s="45" t="s">
        <v>3760</v>
      </c>
      <c r="Q2247" s="59" t="str">
        <f>MID(Tabla1[[#This Row],[Aplicación]],14,1)</f>
        <v>6</v>
      </c>
      <c r="R2247" s="35" t="s">
        <v>299</v>
      </c>
      <c r="S2247" s="59" t="str">
        <f>MID(Tabla1[[#This Row],[Aplicación]],6,2)</f>
        <v>07</v>
      </c>
      <c r="T2247" s="35" t="str">
        <f>VLOOKUP(Tabla1[[#This Row],[AREA]],Hoja1!A:B,2,FALSE)</f>
        <v>07. Medio ambiente y desarrollo sostenible</v>
      </c>
      <c r="U2247" s="56" t="str">
        <f>MID(Tabla1[[#This Row],[Aplicación]],9,4)</f>
        <v>1711</v>
      </c>
      <c r="V2247" s="35" t="str">
        <f>VLOOKUP(Tabla1[[#This Row],[PROGRAMA]],Hoja1!A:B,2,FALSE)</f>
        <v>1711. Parques y jardines</v>
      </c>
      <c r="W2247" s="56" t="str">
        <f>MID(Tabla1[[#This Row],[Aplicación]],14,2)</f>
        <v>61</v>
      </c>
      <c r="X2247" s="56" t="str">
        <f>MID(Tabla1[[#This Row],[Aplicación]],14,6)</f>
        <v>610</v>
      </c>
    </row>
    <row r="2248" spans="1:24" x14ac:dyDescent="0.25">
      <c r="A2248" s="62">
        <v>220230016598</v>
      </c>
      <c r="B2248" s="44" t="s">
        <v>1514</v>
      </c>
      <c r="C2248" s="64">
        <v>45043</v>
      </c>
      <c r="D2248" s="62">
        <v>22023001967</v>
      </c>
      <c r="E2248" s="44" t="s">
        <v>524</v>
      </c>
      <c r="F2248" s="65">
        <v>740950.6</v>
      </c>
      <c r="G2248" s="44" t="s">
        <v>3768</v>
      </c>
      <c r="H2248" s="44" t="s">
        <v>3769</v>
      </c>
      <c r="I2248" s="62" t="s">
        <v>1517</v>
      </c>
      <c r="J2248" s="44" t="s">
        <v>3770</v>
      </c>
      <c r="K2248" s="44" t="s">
        <v>545</v>
      </c>
      <c r="L2248" s="44" t="s">
        <v>527</v>
      </c>
      <c r="M2248" s="44" t="s">
        <v>514</v>
      </c>
      <c r="N2248" s="44" t="s">
        <v>515</v>
      </c>
      <c r="O2248" s="45" t="s">
        <v>371</v>
      </c>
      <c r="P2248" s="45" t="s">
        <v>3760</v>
      </c>
      <c r="Q2248" s="59" t="str">
        <f>MID(Tabla1[[#This Row],[Aplicación]],14,1)</f>
        <v>6</v>
      </c>
      <c r="R2248" s="35" t="s">
        <v>299</v>
      </c>
      <c r="S2248" s="59" t="str">
        <f>MID(Tabla1[[#This Row],[Aplicación]],6,2)</f>
        <v>02</v>
      </c>
      <c r="T2248" s="35" t="str">
        <f>VLOOKUP(Tabla1[[#This Row],[AREA]],Hoja1!A:B,2,FALSE)</f>
        <v>02. Planeamiento urbanístico y vivienda</v>
      </c>
      <c r="U2248" s="56" t="str">
        <f>MID(Tabla1[[#This Row],[Aplicación]],9,4)</f>
        <v>1511</v>
      </c>
      <c r="V2248" s="35" t="str">
        <f>VLOOKUP(Tabla1[[#This Row],[PROGRAMA]],Hoja1!A:B,2,FALSE)</f>
        <v>1511. Planficación y gestión del urbanismo</v>
      </c>
      <c r="W2248" s="56" t="str">
        <f>MID(Tabla1[[#This Row],[Aplicación]],14,2)</f>
        <v>61</v>
      </c>
      <c r="X2248" s="56" t="str">
        <f>MID(Tabla1[[#This Row],[Aplicación]],14,6)</f>
        <v>619</v>
      </c>
    </row>
    <row r="2249" spans="1:24" x14ac:dyDescent="0.25">
      <c r="A2249" s="62">
        <v>220230021924</v>
      </c>
      <c r="B2249" s="44" t="s">
        <v>507</v>
      </c>
      <c r="C2249" s="64">
        <v>45064</v>
      </c>
      <c r="D2249" s="62">
        <v>22023002417</v>
      </c>
      <c r="E2249" s="44" t="s">
        <v>3600</v>
      </c>
      <c r="F2249" s="65">
        <v>74750.55</v>
      </c>
      <c r="G2249" s="44" t="s">
        <v>330</v>
      </c>
      <c r="H2249" s="44" t="s">
        <v>3771</v>
      </c>
      <c r="I2249" s="62" t="s">
        <v>511</v>
      </c>
      <c r="J2249" s="44" t="s">
        <v>837</v>
      </c>
      <c r="K2249" s="44" t="s">
        <v>837</v>
      </c>
      <c r="L2249" s="44" t="s">
        <v>520</v>
      </c>
      <c r="M2249" s="44" t="s">
        <v>514</v>
      </c>
      <c r="N2249" s="44" t="s">
        <v>515</v>
      </c>
      <c r="O2249" s="45" t="s">
        <v>371</v>
      </c>
      <c r="P2249" s="45" t="s">
        <v>3760</v>
      </c>
      <c r="Q2249" s="59" t="str">
        <f>MID(Tabla1[[#This Row],[Aplicación]],14,1)</f>
        <v>6</v>
      </c>
      <c r="R2249" s="35" t="s">
        <v>299</v>
      </c>
      <c r="S2249" s="59" t="str">
        <f>MID(Tabla1[[#This Row],[Aplicación]],6,2)</f>
        <v>04</v>
      </c>
      <c r="T2249" s="35" t="str">
        <f>VLOOKUP(Tabla1[[#This Row],[AREA]],Hoja1!A:B,2,FALSE)</f>
        <v>04. Planificación y recursos</v>
      </c>
      <c r="U2249" s="56" t="str">
        <f>MID(Tabla1[[#This Row],[Aplicación]],9,4)</f>
        <v>9321</v>
      </c>
      <c r="V2249" s="35" t="str">
        <f>VLOOKUP(Tabla1[[#This Row],[PROGRAMA]],Hoja1!A:B,2,FALSE)</f>
        <v>9321. Gestión de ingresos e inspección</v>
      </c>
      <c r="W2249" s="56" t="str">
        <f>MID(Tabla1[[#This Row],[Aplicación]],14,2)</f>
        <v>64</v>
      </c>
      <c r="X2249" s="56" t="str">
        <f>MID(Tabla1[[#This Row],[Aplicación]],14,6)</f>
        <v>641</v>
      </c>
    </row>
    <row r="2250" spans="1:24" x14ac:dyDescent="0.25">
      <c r="A2250" s="62">
        <v>220230013364</v>
      </c>
      <c r="B2250" s="44" t="s">
        <v>507</v>
      </c>
      <c r="C2250" s="64">
        <v>45020</v>
      </c>
      <c r="D2250" s="62">
        <v>22023003591</v>
      </c>
      <c r="E2250" s="44" t="s">
        <v>546</v>
      </c>
      <c r="F2250" s="65">
        <v>48311.67</v>
      </c>
      <c r="G2250" s="44" t="s">
        <v>786</v>
      </c>
      <c r="H2250" s="44" t="s">
        <v>3772</v>
      </c>
      <c r="I2250" s="62" t="s">
        <v>511</v>
      </c>
      <c r="J2250" s="44" t="s">
        <v>519</v>
      </c>
      <c r="K2250" s="44" t="s">
        <v>519</v>
      </c>
      <c r="L2250" s="44" t="s">
        <v>527</v>
      </c>
      <c r="M2250" s="44" t="s">
        <v>976</v>
      </c>
      <c r="N2250" s="44" t="s">
        <v>839</v>
      </c>
      <c r="O2250" s="45" t="s">
        <v>383</v>
      </c>
      <c r="P2250" s="45" t="s">
        <v>3760</v>
      </c>
      <c r="Q2250" s="59" t="str">
        <f>MID(Tabla1[[#This Row],[Aplicación]],14,1)</f>
        <v>6</v>
      </c>
      <c r="R2250" s="35" t="s">
        <v>299</v>
      </c>
      <c r="S2250" s="59" t="str">
        <f>MID(Tabla1[[#This Row],[Aplicación]],6,2)</f>
        <v>08</v>
      </c>
      <c r="T2250" s="35" t="str">
        <f>VLOOKUP(Tabla1[[#This Row],[AREA]],Hoja1!A:B,2,FALSE)</f>
        <v>08. Movilidad y espacio urbano</v>
      </c>
      <c r="U2250" s="56" t="str">
        <f>MID(Tabla1[[#This Row],[Aplicación]],9,4)</f>
        <v>1532</v>
      </c>
      <c r="V2250" s="35" t="str">
        <f>VLOOKUP(Tabla1[[#This Row],[PROGRAMA]],Hoja1!A:B,2,FALSE)</f>
        <v>1532. Pavimentación vias públicas y otros servicios urbanísticos</v>
      </c>
      <c r="W2250" s="56" t="str">
        <f>MID(Tabla1[[#This Row],[Aplicación]],14,2)</f>
        <v>61</v>
      </c>
      <c r="X2250" s="56" t="str">
        <f>MID(Tabla1[[#This Row],[Aplicación]],14,6)</f>
        <v>619</v>
      </c>
    </row>
    <row r="2251" spans="1:24" x14ac:dyDescent="0.25">
      <c r="A2251" s="62">
        <v>220230016836</v>
      </c>
      <c r="B2251" s="44" t="s">
        <v>507</v>
      </c>
      <c r="C2251" s="64">
        <v>45048</v>
      </c>
      <c r="D2251" s="62">
        <v>22023003839</v>
      </c>
      <c r="E2251" s="44" t="s">
        <v>974</v>
      </c>
      <c r="F2251" s="65">
        <v>32104.98</v>
      </c>
      <c r="G2251" s="44" t="s">
        <v>981</v>
      </c>
      <c r="H2251" s="44" t="s">
        <v>3773</v>
      </c>
      <c r="I2251" s="62" t="s">
        <v>511</v>
      </c>
      <c r="J2251" s="44" t="s">
        <v>519</v>
      </c>
      <c r="K2251" s="44" t="s">
        <v>519</v>
      </c>
      <c r="L2251" s="44" t="s">
        <v>527</v>
      </c>
      <c r="M2251" s="44" t="s">
        <v>976</v>
      </c>
      <c r="N2251" s="44" t="s">
        <v>839</v>
      </c>
      <c r="O2251" s="45" t="s">
        <v>383</v>
      </c>
      <c r="P2251" s="45" t="s">
        <v>3760</v>
      </c>
      <c r="Q2251" s="59" t="str">
        <f>MID(Tabla1[[#This Row],[Aplicación]],14,1)</f>
        <v>2</v>
      </c>
      <c r="R2251" s="35" t="s">
        <v>298</v>
      </c>
      <c r="S2251" s="59" t="str">
        <f>MID(Tabla1[[#This Row],[Aplicación]],6,2)</f>
        <v>11</v>
      </c>
      <c r="T2251" s="35" t="str">
        <f>VLOOKUP(Tabla1[[#This Row],[AREA]],Hoja1!A:B,2,FALSE)</f>
        <v>11. Salud pública y seguridad ciudadana</v>
      </c>
      <c r="U2251" s="56" t="str">
        <f>MID(Tabla1[[#This Row],[Aplicación]],9,4)</f>
        <v>1621</v>
      </c>
      <c r="V2251" s="35" t="str">
        <f>VLOOKUP(Tabla1[[#This Row],[PROGRAMA]],Hoja1!A:B,2,FALSE)</f>
        <v>1621. Servicio de limpieza</v>
      </c>
      <c r="W2251" s="56" t="str">
        <f>MID(Tabla1[[#This Row],[Aplicación]],14,2)</f>
        <v>21</v>
      </c>
      <c r="X2251" s="56" t="str">
        <f>MID(Tabla1[[#This Row],[Aplicación]],14,6)</f>
        <v>212</v>
      </c>
    </row>
    <row r="2252" spans="1:24" x14ac:dyDescent="0.25">
      <c r="A2252" s="62">
        <v>220230013365</v>
      </c>
      <c r="B2252" s="44" t="s">
        <v>507</v>
      </c>
      <c r="C2252" s="64">
        <v>45020</v>
      </c>
      <c r="D2252" s="62">
        <v>22023003613</v>
      </c>
      <c r="E2252" s="44" t="s">
        <v>1305</v>
      </c>
      <c r="F2252" s="65">
        <v>47872.44</v>
      </c>
      <c r="G2252" s="44" t="s">
        <v>3774</v>
      </c>
      <c r="H2252" s="44" t="s">
        <v>3775</v>
      </c>
      <c r="I2252" s="62" t="s">
        <v>511</v>
      </c>
      <c r="J2252" s="44" t="s">
        <v>519</v>
      </c>
      <c r="K2252" s="44" t="s">
        <v>519</v>
      </c>
      <c r="L2252" s="44" t="s">
        <v>527</v>
      </c>
      <c r="M2252" s="44" t="s">
        <v>976</v>
      </c>
      <c r="N2252" s="44" t="s">
        <v>839</v>
      </c>
      <c r="O2252" s="45" t="s">
        <v>383</v>
      </c>
      <c r="P2252" s="45" t="s">
        <v>3760</v>
      </c>
      <c r="Q2252" s="59" t="str">
        <f>MID(Tabla1[[#This Row],[Aplicación]],14,1)</f>
        <v>2</v>
      </c>
      <c r="R2252" s="35" t="s">
        <v>298</v>
      </c>
      <c r="S2252" s="59" t="str">
        <f>MID(Tabla1[[#This Row],[Aplicación]],6,2)</f>
        <v>06</v>
      </c>
      <c r="T2252" s="35" t="str">
        <f>VLOOKUP(Tabla1[[#This Row],[AREA]],Hoja1!A:B,2,FALSE)</f>
        <v>06. Educación, infancia, juventud e igualdad</v>
      </c>
      <c r="U2252" s="56" t="str">
        <f>MID(Tabla1[[#This Row],[Aplicación]],9,4)</f>
        <v>3232</v>
      </c>
      <c r="V2252" s="35" t="str">
        <f>VLOOKUP(Tabla1[[#This Row],[PROGRAMA]],Hoja1!A:B,2,FALSE)</f>
        <v>3232. Conservación y mantenimiento centros educación infantil y primaria</v>
      </c>
      <c r="W2252" s="56" t="str">
        <f>MID(Tabla1[[#This Row],[Aplicación]],14,2)</f>
        <v>21</v>
      </c>
      <c r="X2252" s="56" t="str">
        <f>MID(Tabla1[[#This Row],[Aplicación]],14,6)</f>
        <v>212</v>
      </c>
    </row>
    <row r="2253" spans="1:24" x14ac:dyDescent="0.25">
      <c r="A2253" s="62">
        <v>220230016583</v>
      </c>
      <c r="B2253" s="44" t="s">
        <v>507</v>
      </c>
      <c r="C2253" s="64">
        <v>45043</v>
      </c>
      <c r="D2253" s="62">
        <v>22023001380</v>
      </c>
      <c r="E2253" s="44" t="s">
        <v>508</v>
      </c>
      <c r="F2253" s="65">
        <v>373709.03</v>
      </c>
      <c r="G2253" s="44" t="s">
        <v>509</v>
      </c>
      <c r="H2253" s="44" t="s">
        <v>3776</v>
      </c>
      <c r="I2253" s="62" t="s">
        <v>511</v>
      </c>
      <c r="J2253" s="44" t="s">
        <v>512</v>
      </c>
      <c r="K2253" s="44" t="s">
        <v>512</v>
      </c>
      <c r="L2253" s="44" t="s">
        <v>513</v>
      </c>
      <c r="M2253" s="44" t="s">
        <v>514</v>
      </c>
      <c r="N2253" s="44" t="s">
        <v>515</v>
      </c>
      <c r="O2253" s="45" t="s">
        <v>371</v>
      </c>
      <c r="P2253" s="45" t="s">
        <v>3760</v>
      </c>
      <c r="Q2253" s="59" t="str">
        <f>MID(Tabla1[[#This Row],[Aplicación]],14,1)</f>
        <v>2</v>
      </c>
      <c r="R2253" s="35" t="s">
        <v>298</v>
      </c>
      <c r="S2253" s="59" t="str">
        <f>MID(Tabla1[[#This Row],[Aplicación]],6,2)</f>
        <v>08</v>
      </c>
      <c r="T2253" s="35" t="str">
        <f>VLOOKUP(Tabla1[[#This Row],[AREA]],Hoja1!A:B,2,FALSE)</f>
        <v>08. Movilidad y espacio urbano</v>
      </c>
      <c r="U2253" s="56" t="str">
        <f>MID(Tabla1[[#This Row],[Aplicación]],9,4)</f>
        <v>1341</v>
      </c>
      <c r="V2253" s="35" t="str">
        <f>VLOOKUP(Tabla1[[#This Row],[PROGRAMA]],Hoja1!A:B,2,FALSE)</f>
        <v>1341. Movilidad</v>
      </c>
      <c r="W2253" s="56" t="str">
        <f>MID(Tabla1[[#This Row],[Aplicación]],14,2)</f>
        <v>22</v>
      </c>
      <c r="X2253" s="56" t="str">
        <f>MID(Tabla1[[#This Row],[Aplicación]],14,6)</f>
        <v>22799</v>
      </c>
    </row>
    <row r="2254" spans="1:24" x14ac:dyDescent="0.25">
      <c r="A2254" s="62">
        <v>220230014494</v>
      </c>
      <c r="B2254" s="44" t="s">
        <v>1249</v>
      </c>
      <c r="C2254" s="64">
        <v>45040</v>
      </c>
      <c r="D2254" s="62">
        <v>22023003595</v>
      </c>
      <c r="E2254" s="44" t="s">
        <v>799</v>
      </c>
      <c r="F2254" s="65">
        <v>12853.2</v>
      </c>
      <c r="G2254" s="44" t="s">
        <v>800</v>
      </c>
      <c r="H2254" s="44" t="s">
        <v>3777</v>
      </c>
      <c r="I2254" s="62" t="s">
        <v>1251</v>
      </c>
      <c r="J2254" s="44" t="s">
        <v>802</v>
      </c>
      <c r="K2254" s="44" t="s">
        <v>590</v>
      </c>
      <c r="L2254" s="44" t="s">
        <v>520</v>
      </c>
      <c r="M2254" s="44" t="s">
        <v>514</v>
      </c>
      <c r="N2254" s="44" t="s">
        <v>515</v>
      </c>
      <c r="O2254" s="45" t="s">
        <v>371</v>
      </c>
      <c r="P2254" s="45" t="s">
        <v>3760</v>
      </c>
      <c r="Q2254" s="59" t="str">
        <f>MID(Tabla1[[#This Row],[Aplicación]],14,1)</f>
        <v>2</v>
      </c>
      <c r="R2254" s="35" t="s">
        <v>298</v>
      </c>
      <c r="S2254" s="59" t="str">
        <f>MID(Tabla1[[#This Row],[Aplicación]],6,2)</f>
        <v>02</v>
      </c>
      <c r="T2254" s="35" t="str">
        <f>VLOOKUP(Tabla1[[#This Row],[AREA]],Hoja1!A:B,2,FALSE)</f>
        <v>02. Planeamiento urbanístico y vivienda</v>
      </c>
      <c r="U2254" s="56" t="str">
        <f>MID(Tabla1[[#This Row],[Aplicación]],9,4)</f>
        <v>9331</v>
      </c>
      <c r="V2254" s="35" t="str">
        <f>VLOOKUP(Tabla1[[#This Row],[PROGRAMA]],Hoja1!A:B,2,FALSE)</f>
        <v>9331. Gestión del patrimonio</v>
      </c>
      <c r="W2254" s="56" t="str">
        <f>MID(Tabla1[[#This Row],[Aplicación]],14,2)</f>
        <v>22</v>
      </c>
      <c r="X2254" s="56" t="str">
        <f>MID(Tabla1[[#This Row],[Aplicación]],14,6)</f>
        <v>224</v>
      </c>
    </row>
    <row r="2255" spans="1:24" x14ac:dyDescent="0.25">
      <c r="A2255" s="62">
        <v>220230026600</v>
      </c>
      <c r="B2255" s="44" t="s">
        <v>1249</v>
      </c>
      <c r="C2255" s="64">
        <v>45077</v>
      </c>
      <c r="D2255" s="62">
        <v>22023004615</v>
      </c>
      <c r="E2255" s="44" t="s">
        <v>2445</v>
      </c>
      <c r="F2255" s="65">
        <v>3630</v>
      </c>
      <c r="G2255" s="44" t="s">
        <v>315</v>
      </c>
      <c r="H2255" s="44" t="s">
        <v>3778</v>
      </c>
      <c r="I2255" s="62" t="s">
        <v>1251</v>
      </c>
      <c r="J2255" s="44" t="s">
        <v>519</v>
      </c>
      <c r="K2255" s="44" t="s">
        <v>519</v>
      </c>
      <c r="L2255" s="44" t="s">
        <v>520</v>
      </c>
      <c r="M2255" s="44" t="s">
        <v>976</v>
      </c>
      <c r="N2255" s="44" t="s">
        <v>839</v>
      </c>
      <c r="O2255" s="45" t="s">
        <v>383</v>
      </c>
      <c r="P2255" s="45" t="s">
        <v>3760</v>
      </c>
      <c r="Q2255" s="59" t="str">
        <f>MID(Tabla1[[#This Row],[Aplicación]],14,1)</f>
        <v>2</v>
      </c>
      <c r="R2255" s="35" t="s">
        <v>298</v>
      </c>
      <c r="S2255" s="59" t="str">
        <f>MID(Tabla1[[#This Row],[Aplicación]],6,2)</f>
        <v>10</v>
      </c>
      <c r="T2255" s="35" t="str">
        <f>VLOOKUP(Tabla1[[#This Row],[AREA]],Hoja1!A:B,2,FALSE)</f>
        <v>10. Servicios sociales y mediación comunitaria</v>
      </c>
      <c r="U2255" s="56" t="str">
        <f>MID(Tabla1[[#This Row],[Aplicación]],9,4)</f>
        <v>2312</v>
      </c>
      <c r="V2255" s="35" t="str">
        <f>VLOOKUP(Tabla1[[#This Row],[PROGRAMA]],Hoja1!A:B,2,FALSE)</f>
        <v>2312. Iniciativas sociales</v>
      </c>
      <c r="W2255" s="56" t="str">
        <f>MID(Tabla1[[#This Row],[Aplicación]],14,2)</f>
        <v>22</v>
      </c>
      <c r="X2255" s="56" t="str">
        <f>MID(Tabla1[[#This Row],[Aplicación]],14,6)</f>
        <v>22706</v>
      </c>
    </row>
    <row r="2256" spans="1:24" x14ac:dyDescent="0.25">
      <c r="A2256" s="62">
        <v>220220073357</v>
      </c>
      <c r="B2256" s="44" t="s">
        <v>507</v>
      </c>
      <c r="C2256" s="64">
        <v>45037</v>
      </c>
      <c r="D2256" s="62">
        <v>22022005711</v>
      </c>
      <c r="E2256" s="44" t="s">
        <v>3779</v>
      </c>
      <c r="F2256" s="65">
        <v>326022.40000000002</v>
      </c>
      <c r="G2256" s="44" t="s">
        <v>3780</v>
      </c>
      <c r="H2256" s="44" t="s">
        <v>3781</v>
      </c>
      <c r="I2256" s="62" t="s">
        <v>511</v>
      </c>
      <c r="J2256" s="44" t="s">
        <v>519</v>
      </c>
      <c r="K2256" s="44" t="s">
        <v>519</v>
      </c>
      <c r="L2256" s="44" t="s">
        <v>552</v>
      </c>
      <c r="M2256" s="44" t="s">
        <v>514</v>
      </c>
      <c r="N2256" s="44" t="s">
        <v>515</v>
      </c>
      <c r="O2256" s="45" t="s">
        <v>371</v>
      </c>
      <c r="P2256" s="45" t="s">
        <v>3760</v>
      </c>
      <c r="Q2256" s="59" t="str">
        <f>MID(Tabla1[[#This Row],[Aplicación]],14,1)</f>
        <v>6</v>
      </c>
      <c r="R2256" s="35" t="s">
        <v>299</v>
      </c>
      <c r="S2256" s="59" t="str">
        <f>MID(Tabla1[[#This Row],[Aplicación]],6,2)</f>
        <v>10</v>
      </c>
      <c r="T2256" s="35" t="str">
        <f>VLOOKUP(Tabla1[[#This Row],[AREA]],Hoja1!A:B,2,FALSE)</f>
        <v>10. Servicios sociales y mediación comunitaria</v>
      </c>
      <c r="U2256" s="56" t="str">
        <f>MID(Tabla1[[#This Row],[Aplicación]],9,4)</f>
        <v>2312</v>
      </c>
      <c r="V2256" s="35" t="str">
        <f>VLOOKUP(Tabla1[[#This Row],[PROGRAMA]],Hoja1!A:B,2,FALSE)</f>
        <v>2312. Iniciativas sociales</v>
      </c>
      <c r="W2256" s="56" t="str">
        <f>MID(Tabla1[[#This Row],[Aplicación]],14,2)</f>
        <v>62</v>
      </c>
      <c r="X2256" s="56" t="str">
        <f>MID(Tabla1[[#This Row],[Aplicación]],14,6)</f>
        <v>625</v>
      </c>
    </row>
    <row r="2257" spans="1:24" x14ac:dyDescent="0.25">
      <c r="A2257" s="62">
        <v>220230022348</v>
      </c>
      <c r="B2257" s="44" t="s">
        <v>507</v>
      </c>
      <c r="C2257" s="64">
        <v>45065</v>
      </c>
      <c r="D2257" s="62">
        <v>22023002360</v>
      </c>
      <c r="E2257" s="44" t="s">
        <v>3600</v>
      </c>
      <c r="F2257" s="65">
        <v>235950</v>
      </c>
      <c r="G2257" s="44" t="s">
        <v>330</v>
      </c>
      <c r="H2257" s="44" t="s">
        <v>3782</v>
      </c>
      <c r="I2257" s="62" t="s">
        <v>2168</v>
      </c>
      <c r="J2257" s="44" t="s">
        <v>837</v>
      </c>
      <c r="K2257" s="44" t="s">
        <v>837</v>
      </c>
      <c r="L2257" s="44" t="s">
        <v>520</v>
      </c>
      <c r="M2257" s="44" t="s">
        <v>514</v>
      </c>
      <c r="N2257" s="44" t="s">
        <v>515</v>
      </c>
      <c r="O2257" s="45" t="s">
        <v>371</v>
      </c>
      <c r="P2257" s="45" t="s">
        <v>3760</v>
      </c>
      <c r="Q2257" s="59" t="str">
        <f>MID(Tabla1[[#This Row],[Aplicación]],14,1)</f>
        <v>6</v>
      </c>
      <c r="R2257" s="35" t="s">
        <v>299</v>
      </c>
      <c r="S2257" s="59" t="str">
        <f>MID(Tabla1[[#This Row],[Aplicación]],6,2)</f>
        <v>04</v>
      </c>
      <c r="T2257" s="35" t="str">
        <f>VLOOKUP(Tabla1[[#This Row],[AREA]],Hoja1!A:B,2,FALSE)</f>
        <v>04. Planificación y recursos</v>
      </c>
      <c r="U2257" s="56" t="str">
        <f>MID(Tabla1[[#This Row],[Aplicación]],9,4)</f>
        <v>9321</v>
      </c>
      <c r="V2257" s="35" t="str">
        <f>VLOOKUP(Tabla1[[#This Row],[PROGRAMA]],Hoja1!A:B,2,FALSE)</f>
        <v>9321. Gestión de ingresos e inspección</v>
      </c>
      <c r="W2257" s="56" t="str">
        <f>MID(Tabla1[[#This Row],[Aplicación]],14,2)</f>
        <v>64</v>
      </c>
      <c r="X2257" s="56" t="str">
        <f>MID(Tabla1[[#This Row],[Aplicación]],14,6)</f>
        <v>641</v>
      </c>
    </row>
    <row r="2258" spans="1:24" x14ac:dyDescent="0.25">
      <c r="A2258" s="62">
        <v>220220027205</v>
      </c>
      <c r="B2258" s="44" t="s">
        <v>507</v>
      </c>
      <c r="C2258" s="64">
        <v>45037</v>
      </c>
      <c r="D2258" s="62">
        <v>22022002023</v>
      </c>
      <c r="E2258" s="44" t="s">
        <v>1231</v>
      </c>
      <c r="F2258" s="65">
        <v>232435.71</v>
      </c>
      <c r="G2258" s="44" t="s">
        <v>331</v>
      </c>
      <c r="H2258" s="44" t="s">
        <v>3783</v>
      </c>
      <c r="I2258" s="62" t="s">
        <v>511</v>
      </c>
      <c r="J2258" s="44" t="s">
        <v>731</v>
      </c>
      <c r="K2258" s="44" t="s">
        <v>519</v>
      </c>
      <c r="L2258" s="44" t="s">
        <v>815</v>
      </c>
      <c r="M2258" s="44" t="s">
        <v>514</v>
      </c>
      <c r="N2258" s="44" t="s">
        <v>515</v>
      </c>
      <c r="O2258" s="45" t="s">
        <v>371</v>
      </c>
      <c r="P2258" s="45" t="s">
        <v>3760</v>
      </c>
      <c r="Q2258" s="59">
        <v>6</v>
      </c>
      <c r="R2258" s="35" t="s">
        <v>299</v>
      </c>
      <c r="S2258" s="59" t="str">
        <f>MID(Tabla1[[#This Row],[Aplicación]],6,2)</f>
        <v>10</v>
      </c>
      <c r="T2258" s="35" t="str">
        <f>VLOOKUP(Tabla1[[#This Row],[AREA]],Hoja1!A:B,2,FALSE)</f>
        <v>10. Servicios sociales y mediación comunitaria</v>
      </c>
      <c r="U2258" s="56" t="str">
        <f>MID(Tabla1[[#This Row],[Aplicación]],9,4)</f>
        <v>0 23</v>
      </c>
      <c r="V2258" s="59">
        <v>3212</v>
      </c>
      <c r="W2258" s="59">
        <v>64</v>
      </c>
      <c r="X2258" s="59">
        <v>641</v>
      </c>
    </row>
    <row r="2259" spans="1:24" x14ac:dyDescent="0.25">
      <c r="A2259" s="62">
        <v>220230021925</v>
      </c>
      <c r="B2259" s="44" t="s">
        <v>507</v>
      </c>
      <c r="C2259" s="64">
        <v>45064</v>
      </c>
      <c r="D2259" s="62">
        <v>22023003760</v>
      </c>
      <c r="E2259" s="44" t="s">
        <v>1277</v>
      </c>
      <c r="F2259" s="65">
        <v>206806.97</v>
      </c>
      <c r="G2259" s="44" t="s">
        <v>809</v>
      </c>
      <c r="H2259" s="44" t="s">
        <v>3784</v>
      </c>
      <c r="I2259" s="62" t="s">
        <v>511</v>
      </c>
      <c r="J2259" s="44" t="s">
        <v>811</v>
      </c>
      <c r="K2259" s="44" t="s">
        <v>812</v>
      </c>
      <c r="L2259" s="44" t="s">
        <v>527</v>
      </c>
      <c r="M2259" s="44" t="s">
        <v>514</v>
      </c>
      <c r="N2259" s="44" t="s">
        <v>604</v>
      </c>
      <c r="O2259" s="45" t="s">
        <v>371</v>
      </c>
      <c r="P2259" s="45" t="s">
        <v>3760</v>
      </c>
      <c r="Q2259" s="59">
        <v>6</v>
      </c>
      <c r="R2259" s="35" t="s">
        <v>299</v>
      </c>
      <c r="S2259" s="59" t="str">
        <f>MID(Tabla1[[#This Row],[Aplicación]],6,2)</f>
        <v>05</v>
      </c>
      <c r="T2259" s="35" t="str">
        <f>VLOOKUP(Tabla1[[#This Row],[AREA]],Hoja1!A:B,2,FALSE)</f>
        <v>05. Innovación, desarrollo económico, empleo y comercio</v>
      </c>
      <c r="U2259" s="56" t="str">
        <f>MID(Tabla1[[#This Row],[Aplicación]],9,4)</f>
        <v>0 43</v>
      </c>
      <c r="V2259" s="59">
        <v>4312</v>
      </c>
      <c r="W2259" s="59">
        <v>63</v>
      </c>
      <c r="X2259" s="59">
        <v>632</v>
      </c>
    </row>
    <row r="2260" spans="1:24" x14ac:dyDescent="0.25">
      <c r="A2260" s="62">
        <v>220230025404</v>
      </c>
      <c r="B2260" s="44" t="s">
        <v>507</v>
      </c>
      <c r="C2260" s="64">
        <v>45072</v>
      </c>
      <c r="D2260" s="62">
        <v>22023004569</v>
      </c>
      <c r="E2260" s="44" t="s">
        <v>1090</v>
      </c>
      <c r="F2260" s="65">
        <v>40250</v>
      </c>
      <c r="G2260" s="44" t="s">
        <v>1091</v>
      </c>
      <c r="H2260" s="44" t="s">
        <v>3785</v>
      </c>
      <c r="I2260" s="62" t="s">
        <v>511</v>
      </c>
      <c r="J2260" s="44" t="s">
        <v>519</v>
      </c>
      <c r="K2260" s="44" t="s">
        <v>519</v>
      </c>
      <c r="L2260" s="44" t="s">
        <v>520</v>
      </c>
      <c r="M2260" s="44" t="s">
        <v>514</v>
      </c>
      <c r="N2260" s="44" t="s">
        <v>515</v>
      </c>
      <c r="O2260" s="45" t="s">
        <v>371</v>
      </c>
      <c r="P2260" s="45" t="s">
        <v>3760</v>
      </c>
      <c r="Q2260" s="59" t="str">
        <f>MID(Tabla1[[#This Row],[Aplicación]],14,1)</f>
        <v>2</v>
      </c>
      <c r="R2260" s="35" t="s">
        <v>298</v>
      </c>
      <c r="S2260" s="59" t="str">
        <f>MID(Tabla1[[#This Row],[Aplicación]],6,2)</f>
        <v>01</v>
      </c>
      <c r="T2260" s="35" t="str">
        <f>VLOOKUP(Tabla1[[#This Row],[AREA]],Hoja1!A:B,2,FALSE)</f>
        <v>01. Alcaldía</v>
      </c>
      <c r="U2260" s="56" t="str">
        <f>MID(Tabla1[[#This Row],[Aplicación]],9,4)</f>
        <v>9206</v>
      </c>
      <c r="V2260" s="35" t="str">
        <f>VLOOKUP(Tabla1[[#This Row],[PROGRAMA]],Hoja1!A:B,2,FALSE)</f>
        <v>9206. Archivo municipal</v>
      </c>
      <c r="W2260" s="56" t="str">
        <f>MID(Tabla1[[#This Row],[Aplicación]],14,2)</f>
        <v>22</v>
      </c>
      <c r="X2260" s="56" t="str">
        <f>MID(Tabla1[[#This Row],[Aplicación]],14,6)</f>
        <v>22706</v>
      </c>
    </row>
    <row r="2261" spans="1:24" x14ac:dyDescent="0.25">
      <c r="A2261" s="62">
        <v>220220068142</v>
      </c>
      <c r="B2261" s="44" t="s">
        <v>507</v>
      </c>
      <c r="C2261" s="64">
        <v>45037</v>
      </c>
      <c r="D2261" s="62">
        <v>22022008223</v>
      </c>
      <c r="E2261" s="44" t="s">
        <v>3786</v>
      </c>
      <c r="F2261" s="65">
        <v>38404.31</v>
      </c>
      <c r="G2261" s="44" t="s">
        <v>329</v>
      </c>
      <c r="H2261" s="44" t="s">
        <v>3787</v>
      </c>
      <c r="I2261" s="62" t="s">
        <v>511</v>
      </c>
      <c r="J2261" s="44" t="s">
        <v>519</v>
      </c>
      <c r="K2261" s="44" t="s">
        <v>519</v>
      </c>
      <c r="L2261" s="44" t="s">
        <v>527</v>
      </c>
      <c r="M2261" s="44" t="s">
        <v>976</v>
      </c>
      <c r="N2261" s="44" t="s">
        <v>839</v>
      </c>
      <c r="O2261" s="45" t="s">
        <v>383</v>
      </c>
      <c r="P2261" s="45" t="s">
        <v>3760</v>
      </c>
      <c r="Q2261" s="59" t="str">
        <f>MID(Tabla1[[#This Row],[Aplicación]],14,1)</f>
        <v>6</v>
      </c>
      <c r="R2261" s="35" t="s">
        <v>299</v>
      </c>
      <c r="S2261" s="59" t="str">
        <f>MID(Tabla1[[#This Row],[Aplicación]],6,2)</f>
        <v>10</v>
      </c>
      <c r="T2261" s="35" t="str">
        <f>VLOOKUP(Tabla1[[#This Row],[AREA]],Hoja1!A:B,2,FALSE)</f>
        <v>10. Servicios sociales y mediación comunitaria</v>
      </c>
      <c r="U2261" s="56" t="str">
        <f>MID(Tabla1[[#This Row],[Aplicación]],9,4)</f>
        <v>2312</v>
      </c>
      <c r="V2261" s="35" t="str">
        <f>VLOOKUP(Tabla1[[#This Row],[PROGRAMA]],Hoja1!A:B,2,FALSE)</f>
        <v>2312. Iniciativas sociales</v>
      </c>
      <c r="W2261" s="56" t="str">
        <f>MID(Tabla1[[#This Row],[Aplicación]],14,2)</f>
        <v>63</v>
      </c>
      <c r="X2261" s="56" t="str">
        <f>MID(Tabla1[[#This Row],[Aplicación]],14,6)</f>
        <v>632</v>
      </c>
    </row>
    <row r="2262" spans="1:24" x14ac:dyDescent="0.25">
      <c r="A2262" s="62">
        <v>220230016026</v>
      </c>
      <c r="B2262" s="44" t="s">
        <v>507</v>
      </c>
      <c r="C2262" s="64">
        <v>45042</v>
      </c>
      <c r="D2262" s="62">
        <v>22023004179</v>
      </c>
      <c r="E2262" s="44" t="s">
        <v>1272</v>
      </c>
      <c r="F2262" s="65">
        <v>3099.19</v>
      </c>
      <c r="G2262" s="44" t="s">
        <v>346</v>
      </c>
      <c r="H2262" s="44" t="s">
        <v>3788</v>
      </c>
      <c r="I2262" s="62" t="s">
        <v>511</v>
      </c>
      <c r="J2262" s="44" t="s">
        <v>519</v>
      </c>
      <c r="K2262" s="44" t="s">
        <v>519</v>
      </c>
      <c r="L2262" s="44" t="s">
        <v>520</v>
      </c>
      <c r="M2262" s="44" t="s">
        <v>976</v>
      </c>
      <c r="N2262" s="44" t="s">
        <v>839</v>
      </c>
      <c r="O2262" s="45" t="s">
        <v>383</v>
      </c>
      <c r="P2262" s="45" t="s">
        <v>3760</v>
      </c>
      <c r="Q2262" s="59" t="str">
        <f>MID(Tabla1[[#This Row],[Aplicación]],14,1)</f>
        <v>6</v>
      </c>
      <c r="R2262" s="35" t="s">
        <v>299</v>
      </c>
      <c r="S2262" s="59" t="str">
        <f>MID(Tabla1[[#This Row],[Aplicación]],6,2)</f>
        <v>02</v>
      </c>
      <c r="T2262" s="35" t="str">
        <f>VLOOKUP(Tabla1[[#This Row],[AREA]],Hoja1!A:B,2,FALSE)</f>
        <v>02. Planeamiento urbanístico y vivienda</v>
      </c>
      <c r="U2262" s="56" t="str">
        <f>MID(Tabla1[[#This Row],[Aplicación]],9,4)</f>
        <v>9332</v>
      </c>
      <c r="V2262" s="35" t="str">
        <f>VLOOKUP(Tabla1[[#This Row],[PROGRAMA]],Hoja1!A:B,2,FALSE)</f>
        <v>9332. Mantenimiento de edificios e instalaciones municipales</v>
      </c>
      <c r="W2262" s="56" t="str">
        <f>MID(Tabla1[[#This Row],[Aplicación]],14,2)</f>
        <v>63</v>
      </c>
      <c r="X2262" s="56" t="str">
        <f>MID(Tabla1[[#This Row],[Aplicación]],14,6)</f>
        <v>632</v>
      </c>
    </row>
    <row r="2263" spans="1:24" x14ac:dyDescent="0.25">
      <c r="A2263" s="62">
        <v>220230020799</v>
      </c>
      <c r="B2263" s="44" t="s">
        <v>507</v>
      </c>
      <c r="C2263" s="64">
        <v>45062</v>
      </c>
      <c r="D2263" s="62">
        <v>22023004492</v>
      </c>
      <c r="E2263" s="44" t="s">
        <v>2087</v>
      </c>
      <c r="F2263" s="65">
        <v>14.69</v>
      </c>
      <c r="G2263" s="44" t="s">
        <v>346</v>
      </c>
      <c r="H2263" s="44" t="s">
        <v>3789</v>
      </c>
      <c r="I2263" s="62" t="s">
        <v>511</v>
      </c>
      <c r="J2263" s="44" t="s">
        <v>519</v>
      </c>
      <c r="K2263" s="44" t="s">
        <v>519</v>
      </c>
      <c r="L2263" s="44" t="s">
        <v>520</v>
      </c>
      <c r="M2263" s="44" t="s">
        <v>976</v>
      </c>
      <c r="N2263" s="44" t="s">
        <v>839</v>
      </c>
      <c r="O2263" s="45" t="s">
        <v>383</v>
      </c>
      <c r="P2263" s="45" t="s">
        <v>3760</v>
      </c>
      <c r="Q2263" s="59" t="str">
        <f>MID(Tabla1[[#This Row],[Aplicación]],14,1)</f>
        <v>2</v>
      </c>
      <c r="R2263" s="35" t="s">
        <v>298</v>
      </c>
      <c r="S2263" s="59" t="str">
        <f>MID(Tabla1[[#This Row],[Aplicación]],6,2)</f>
        <v>03</v>
      </c>
      <c r="T2263" s="35" t="str">
        <f>VLOOKUP(Tabla1[[#This Row],[AREA]],Hoja1!A:B,2,FALSE)</f>
        <v>03. Participación ciudadana y deportes</v>
      </c>
      <c r="U2263" s="56" t="str">
        <f>MID(Tabla1[[#This Row],[Aplicación]],9,4)</f>
        <v>9241</v>
      </c>
      <c r="V2263" s="35" t="str">
        <f>VLOOKUP(Tabla1[[#This Row],[PROGRAMA]],Hoja1!A:B,2,FALSE)</f>
        <v>9241. Participación ciudadana</v>
      </c>
      <c r="W2263" s="56" t="str">
        <f>MID(Tabla1[[#This Row],[Aplicación]],14,2)</f>
        <v>22</v>
      </c>
      <c r="X2263" s="56" t="str">
        <f>MID(Tabla1[[#This Row],[Aplicación]],14,6)</f>
        <v>22706</v>
      </c>
    </row>
    <row r="2264" spans="1:24" x14ac:dyDescent="0.25">
      <c r="A2264" s="62">
        <v>220230025237</v>
      </c>
      <c r="B2264" s="44" t="s">
        <v>507</v>
      </c>
      <c r="C2264" s="64">
        <v>45071</v>
      </c>
      <c r="D2264" s="62">
        <v>22023004543</v>
      </c>
      <c r="E2264" s="44" t="s">
        <v>1062</v>
      </c>
      <c r="F2264" s="65">
        <v>653.4</v>
      </c>
      <c r="G2264" s="44" t="s">
        <v>103</v>
      </c>
      <c r="H2264" s="44" t="s">
        <v>3790</v>
      </c>
      <c r="I2264" s="62" t="s">
        <v>511</v>
      </c>
      <c r="J2264" s="44" t="s">
        <v>519</v>
      </c>
      <c r="K2264" s="44" t="s">
        <v>519</v>
      </c>
      <c r="L2264" s="44" t="s">
        <v>552</v>
      </c>
      <c r="M2264" s="44" t="s">
        <v>976</v>
      </c>
      <c r="N2264" s="44" t="s">
        <v>839</v>
      </c>
      <c r="O2264" s="45" t="s">
        <v>383</v>
      </c>
      <c r="P2264" s="45" t="s">
        <v>3760</v>
      </c>
      <c r="Q2264" s="59" t="str">
        <f>MID(Tabla1[[#This Row],[Aplicación]],14,1)</f>
        <v>2</v>
      </c>
      <c r="R2264" s="35" t="s">
        <v>298</v>
      </c>
      <c r="S2264" s="59" t="str">
        <f>MID(Tabla1[[#This Row],[Aplicación]],6,2)</f>
        <v>04</v>
      </c>
      <c r="T2264" s="35" t="str">
        <f>VLOOKUP(Tabla1[[#This Row],[AREA]],Hoja1!A:B,2,FALSE)</f>
        <v>04. Planificación y recursos</v>
      </c>
      <c r="U2264" s="56" t="str">
        <f>MID(Tabla1[[#This Row],[Aplicación]],9,4)</f>
        <v>9202</v>
      </c>
      <c r="V2264" s="35" t="str">
        <f>VLOOKUP(Tabla1[[#This Row],[PROGRAMA]],Hoja1!A:B,2,FALSE)</f>
        <v>9202. Gestión de recursos humanos</v>
      </c>
      <c r="W2264" s="56" t="str">
        <f>MID(Tabla1[[#This Row],[Aplicación]],14,2)</f>
        <v>22</v>
      </c>
      <c r="X2264" s="56" t="str">
        <f>MID(Tabla1[[#This Row],[Aplicación]],14,6)</f>
        <v>22799</v>
      </c>
    </row>
    <row r="2265" spans="1:24" x14ac:dyDescent="0.25">
      <c r="A2265" s="62">
        <v>220230020512</v>
      </c>
      <c r="B2265" s="44" t="s">
        <v>507</v>
      </c>
      <c r="C2265" s="64">
        <v>45058</v>
      </c>
      <c r="D2265" s="62">
        <v>22023003762</v>
      </c>
      <c r="E2265" s="44" t="s">
        <v>539</v>
      </c>
      <c r="F2265" s="65">
        <v>3200</v>
      </c>
      <c r="G2265" s="44" t="s">
        <v>3791</v>
      </c>
      <c r="H2265" s="44" t="s">
        <v>3792</v>
      </c>
      <c r="I2265" s="62" t="s">
        <v>511</v>
      </c>
      <c r="J2265" s="44" t="s">
        <v>519</v>
      </c>
      <c r="K2265" s="44" t="s">
        <v>1497</v>
      </c>
      <c r="L2265" s="44" t="s">
        <v>520</v>
      </c>
      <c r="M2265" s="44" t="s">
        <v>514</v>
      </c>
      <c r="N2265" s="44" t="s">
        <v>515</v>
      </c>
      <c r="O2265" s="45" t="s">
        <v>371</v>
      </c>
      <c r="P2265" s="45" t="s">
        <v>3760</v>
      </c>
      <c r="Q2265" s="59" t="str">
        <f>MID(Tabla1[[#This Row],[Aplicación]],14,1)</f>
        <v>2</v>
      </c>
      <c r="R2265" s="35" t="s">
        <v>298</v>
      </c>
      <c r="S2265" s="59" t="str">
        <f>MID(Tabla1[[#This Row],[Aplicación]],6,2)</f>
        <v>10</v>
      </c>
      <c r="T2265" s="35" t="str">
        <f>VLOOKUP(Tabla1[[#This Row],[AREA]],Hoja1!A:B,2,FALSE)</f>
        <v>10. Servicios sociales y mediación comunitaria</v>
      </c>
      <c r="U2265" s="56" t="str">
        <f>MID(Tabla1[[#This Row],[Aplicación]],9,4)</f>
        <v>2312</v>
      </c>
      <c r="V2265" s="35" t="str">
        <f>VLOOKUP(Tabla1[[#This Row],[PROGRAMA]],Hoja1!A:B,2,FALSE)</f>
        <v>2312. Iniciativas sociales</v>
      </c>
      <c r="W2265" s="56" t="str">
        <f>MID(Tabla1[[#This Row],[Aplicación]],14,2)</f>
        <v>22</v>
      </c>
      <c r="X2265" s="56" t="str">
        <f>MID(Tabla1[[#This Row],[Aplicación]],14,6)</f>
        <v>22799</v>
      </c>
    </row>
    <row r="2266" spans="1:24" x14ac:dyDescent="0.25">
      <c r="A2266" s="62">
        <v>220230020786</v>
      </c>
      <c r="B2266" s="44" t="s">
        <v>507</v>
      </c>
      <c r="C2266" s="64">
        <v>45062</v>
      </c>
      <c r="D2266" s="62">
        <v>22023004433</v>
      </c>
      <c r="E2266" s="44" t="s">
        <v>2138</v>
      </c>
      <c r="F2266" s="65">
        <v>1275</v>
      </c>
      <c r="G2266" s="44" t="s">
        <v>3791</v>
      </c>
      <c r="H2266" s="44" t="s">
        <v>3793</v>
      </c>
      <c r="I2266" s="62" t="s">
        <v>511</v>
      </c>
      <c r="J2266" s="44" t="s">
        <v>519</v>
      </c>
      <c r="K2266" s="44" t="s">
        <v>1497</v>
      </c>
      <c r="L2266" s="44" t="s">
        <v>520</v>
      </c>
      <c r="M2266" s="44" t="s">
        <v>976</v>
      </c>
      <c r="N2266" s="44" t="s">
        <v>839</v>
      </c>
      <c r="O2266" s="45" t="s">
        <v>383</v>
      </c>
      <c r="P2266" s="45" t="s">
        <v>3760</v>
      </c>
      <c r="Q2266" s="59" t="str">
        <f>MID(Tabla1[[#This Row],[Aplicación]],14,1)</f>
        <v>2</v>
      </c>
      <c r="R2266" s="35" t="s">
        <v>298</v>
      </c>
      <c r="S2266" s="59" t="str">
        <f>MID(Tabla1[[#This Row],[Aplicación]],6,2)</f>
        <v>10</v>
      </c>
      <c r="T2266" s="35" t="str">
        <f>VLOOKUP(Tabla1[[#This Row],[AREA]],Hoja1!A:B,2,FALSE)</f>
        <v>10. Servicios sociales y mediación comunitaria</v>
      </c>
      <c r="U2266" s="56" t="str">
        <f>MID(Tabla1[[#This Row],[Aplicación]],9,4)</f>
        <v>2312</v>
      </c>
      <c r="V2266" s="35" t="str">
        <f>VLOOKUP(Tabla1[[#This Row],[PROGRAMA]],Hoja1!A:B,2,FALSE)</f>
        <v>2312. Iniciativas sociales</v>
      </c>
      <c r="W2266" s="56" t="str">
        <f>MID(Tabla1[[#This Row],[Aplicación]],14,2)</f>
        <v>22</v>
      </c>
      <c r="X2266" s="56" t="str">
        <f>MID(Tabla1[[#This Row],[Aplicación]],14,6)</f>
        <v>22615</v>
      </c>
    </row>
    <row r="2267" spans="1:24" x14ac:dyDescent="0.25">
      <c r="A2267" s="62">
        <v>220230021938</v>
      </c>
      <c r="B2267" s="44" t="s">
        <v>507</v>
      </c>
      <c r="C2267" s="64">
        <v>45064</v>
      </c>
      <c r="D2267" s="62">
        <v>22023004519</v>
      </c>
      <c r="E2267" s="44" t="s">
        <v>2138</v>
      </c>
      <c r="F2267" s="65">
        <v>500</v>
      </c>
      <c r="G2267" s="44" t="s">
        <v>3791</v>
      </c>
      <c r="H2267" s="44" t="s">
        <v>3794</v>
      </c>
      <c r="I2267" s="62" t="s">
        <v>511</v>
      </c>
      <c r="J2267" s="44" t="s">
        <v>519</v>
      </c>
      <c r="K2267" s="44" t="s">
        <v>1497</v>
      </c>
      <c r="L2267" s="44" t="s">
        <v>520</v>
      </c>
      <c r="M2267" s="44" t="s">
        <v>976</v>
      </c>
      <c r="N2267" s="44" t="s">
        <v>839</v>
      </c>
      <c r="O2267" s="45" t="s">
        <v>383</v>
      </c>
      <c r="P2267" s="45" t="s">
        <v>3760</v>
      </c>
      <c r="Q2267" s="59" t="str">
        <f>MID(Tabla1[[#This Row],[Aplicación]],14,1)</f>
        <v>2</v>
      </c>
      <c r="R2267" s="35" t="s">
        <v>298</v>
      </c>
      <c r="S2267" s="59" t="str">
        <f>MID(Tabla1[[#This Row],[Aplicación]],6,2)</f>
        <v>10</v>
      </c>
      <c r="T2267" s="35" t="str">
        <f>VLOOKUP(Tabla1[[#This Row],[AREA]],Hoja1!A:B,2,FALSE)</f>
        <v>10. Servicios sociales y mediación comunitaria</v>
      </c>
      <c r="U2267" s="56" t="str">
        <f>MID(Tabla1[[#This Row],[Aplicación]],9,4)</f>
        <v>2312</v>
      </c>
      <c r="V2267" s="35" t="str">
        <f>VLOOKUP(Tabla1[[#This Row],[PROGRAMA]],Hoja1!A:B,2,FALSE)</f>
        <v>2312. Iniciativas sociales</v>
      </c>
      <c r="W2267" s="56" t="str">
        <f>MID(Tabla1[[#This Row],[Aplicación]],14,2)</f>
        <v>22</v>
      </c>
      <c r="X2267" s="56" t="str">
        <f>MID(Tabla1[[#This Row],[Aplicación]],14,6)</f>
        <v>22615</v>
      </c>
    </row>
    <row r="2268" spans="1:24" x14ac:dyDescent="0.25">
      <c r="A2268" s="62">
        <v>220230013384</v>
      </c>
      <c r="B2268" s="44" t="s">
        <v>507</v>
      </c>
      <c r="C2268" s="64">
        <v>45020</v>
      </c>
      <c r="D2268" s="62">
        <v>22023003735</v>
      </c>
      <c r="E2268" s="44" t="s">
        <v>607</v>
      </c>
      <c r="F2268" s="65">
        <v>423.52</v>
      </c>
      <c r="G2268" s="44" t="s">
        <v>3795</v>
      </c>
      <c r="H2268" s="44" t="s">
        <v>3796</v>
      </c>
      <c r="I2268" s="62" t="s">
        <v>511</v>
      </c>
      <c r="J2268" s="44" t="s">
        <v>3797</v>
      </c>
      <c r="K2268" s="44" t="s">
        <v>837</v>
      </c>
      <c r="L2268" s="44" t="s">
        <v>520</v>
      </c>
      <c r="M2268" s="44" t="s">
        <v>976</v>
      </c>
      <c r="N2268" s="44" t="s">
        <v>839</v>
      </c>
      <c r="O2268" s="45" t="s">
        <v>383</v>
      </c>
      <c r="P2268" s="45" t="s">
        <v>3760</v>
      </c>
      <c r="Q2268" s="59" t="str">
        <f>MID(Tabla1[[#This Row],[Aplicación]],14,1)</f>
        <v>2</v>
      </c>
      <c r="R2268" s="35" t="s">
        <v>298</v>
      </c>
      <c r="S2268" s="59" t="str">
        <f>MID(Tabla1[[#This Row],[Aplicación]],6,2)</f>
        <v>11</v>
      </c>
      <c r="T2268" s="35" t="str">
        <f>VLOOKUP(Tabla1[[#This Row],[AREA]],Hoja1!A:B,2,FALSE)</f>
        <v>11. Salud pública y seguridad ciudadana</v>
      </c>
      <c r="U2268" s="56" t="str">
        <f>MID(Tabla1[[#This Row],[Aplicación]],9,4)</f>
        <v>1621</v>
      </c>
      <c r="V2268" s="35" t="str">
        <f>VLOOKUP(Tabla1[[#This Row],[PROGRAMA]],Hoja1!A:B,2,FALSE)</f>
        <v>1621. Servicio de limpieza</v>
      </c>
      <c r="W2268" s="56" t="str">
        <f>MID(Tabla1[[#This Row],[Aplicación]],14,2)</f>
        <v>21</v>
      </c>
      <c r="X2268" s="56" t="str">
        <f>MID(Tabla1[[#This Row],[Aplicación]],14,6)</f>
        <v>213</v>
      </c>
    </row>
    <row r="2269" spans="1:24" x14ac:dyDescent="0.25">
      <c r="A2269" s="62">
        <v>220230016858</v>
      </c>
      <c r="B2269" s="44" t="s">
        <v>507</v>
      </c>
      <c r="C2269" s="64">
        <v>45048</v>
      </c>
      <c r="D2269" s="62">
        <v>22023004262</v>
      </c>
      <c r="E2269" s="44" t="s">
        <v>1510</v>
      </c>
      <c r="F2269" s="65">
        <v>411.4</v>
      </c>
      <c r="G2269" s="44" t="s">
        <v>1658</v>
      </c>
      <c r="H2269" s="44" t="s">
        <v>3798</v>
      </c>
      <c r="I2269" s="62" t="s">
        <v>511</v>
      </c>
      <c r="J2269" s="44" t="s">
        <v>519</v>
      </c>
      <c r="K2269" s="44" t="s">
        <v>519</v>
      </c>
      <c r="L2269" s="44" t="s">
        <v>520</v>
      </c>
      <c r="M2269" s="44" t="s">
        <v>976</v>
      </c>
      <c r="N2269" s="44" t="s">
        <v>839</v>
      </c>
      <c r="O2269" s="45" t="s">
        <v>383</v>
      </c>
      <c r="P2269" s="45" t="s">
        <v>3760</v>
      </c>
      <c r="Q2269" s="59" t="str">
        <f>MID(Tabla1[[#This Row],[Aplicación]],14,1)</f>
        <v>2</v>
      </c>
      <c r="R2269" s="35" t="s">
        <v>298</v>
      </c>
      <c r="S2269" s="59" t="str">
        <f>MID(Tabla1[[#This Row],[Aplicación]],6,2)</f>
        <v>10</v>
      </c>
      <c r="T2269" s="35" t="str">
        <f>VLOOKUP(Tabla1[[#This Row],[AREA]],Hoja1!A:B,2,FALSE)</f>
        <v>10. Servicios sociales y mediación comunitaria</v>
      </c>
      <c r="U2269" s="56" t="str">
        <f>MID(Tabla1[[#This Row],[Aplicación]],9,4)</f>
        <v>2311</v>
      </c>
      <c r="V2269" s="35" t="str">
        <f>VLOOKUP(Tabla1[[#This Row],[PROGRAMA]],Hoja1!A:B,2,FALSE)</f>
        <v>2311. Intervención social</v>
      </c>
      <c r="W2269" s="56" t="str">
        <f>MID(Tabla1[[#This Row],[Aplicación]],14,2)</f>
        <v>21</v>
      </c>
      <c r="X2269" s="56" t="str">
        <f>MID(Tabla1[[#This Row],[Aplicación]],14,6)</f>
        <v>212</v>
      </c>
    </row>
    <row r="2270" spans="1:24" x14ac:dyDescent="0.25">
      <c r="A2270" s="62">
        <v>220230016604</v>
      </c>
      <c r="B2270" s="44" t="s">
        <v>507</v>
      </c>
      <c r="C2270" s="64">
        <v>45043</v>
      </c>
      <c r="D2270" s="62">
        <v>22023003144</v>
      </c>
      <c r="E2270" s="44" t="s">
        <v>1326</v>
      </c>
      <c r="F2270" s="65">
        <v>11670.45</v>
      </c>
      <c r="G2270" s="44" t="s">
        <v>3799</v>
      </c>
      <c r="H2270" s="44" t="s">
        <v>3800</v>
      </c>
      <c r="I2270" s="62" t="s">
        <v>511</v>
      </c>
      <c r="J2270" s="44" t="s">
        <v>512</v>
      </c>
      <c r="K2270" s="44" t="s">
        <v>512</v>
      </c>
      <c r="L2270" s="44" t="s">
        <v>520</v>
      </c>
      <c r="M2270" s="44" t="s">
        <v>976</v>
      </c>
      <c r="N2270" s="44" t="s">
        <v>839</v>
      </c>
      <c r="O2270" s="45" t="s">
        <v>383</v>
      </c>
      <c r="P2270" s="45" t="s">
        <v>3760</v>
      </c>
      <c r="Q2270" s="59" t="str">
        <f>MID(Tabla1[[#This Row],[Aplicación]],14,1)</f>
        <v>2</v>
      </c>
      <c r="R2270" s="35" t="s">
        <v>298</v>
      </c>
      <c r="S2270" s="59" t="str">
        <f>MID(Tabla1[[#This Row],[Aplicación]],6,2)</f>
        <v>07</v>
      </c>
      <c r="T2270" s="35" t="str">
        <f>VLOOKUP(Tabla1[[#This Row],[AREA]],Hoja1!A:B,2,FALSE)</f>
        <v>07. Medio ambiente y desarrollo sostenible</v>
      </c>
      <c r="U2270" s="56" t="str">
        <f>MID(Tabla1[[#This Row],[Aplicación]],9,4)</f>
        <v>1701</v>
      </c>
      <c r="V2270" s="35" t="str">
        <f>VLOOKUP(Tabla1[[#This Row],[PROGRAMA]],Hoja1!A:B,2,FALSE)</f>
        <v>1701. Dirección del área de medio ambiente</v>
      </c>
      <c r="W2270" s="56" t="str">
        <f>MID(Tabla1[[#This Row],[Aplicación]],14,2)</f>
        <v>22</v>
      </c>
      <c r="X2270" s="56" t="str">
        <f>MID(Tabla1[[#This Row],[Aplicación]],14,6)</f>
        <v>22799</v>
      </c>
    </row>
    <row r="2271" spans="1:24" x14ac:dyDescent="0.25">
      <c r="A2271" s="62">
        <v>220230015946</v>
      </c>
      <c r="B2271" s="44" t="s">
        <v>507</v>
      </c>
      <c r="C2271" s="64">
        <v>45042</v>
      </c>
      <c r="D2271" s="62">
        <v>22023003936</v>
      </c>
      <c r="E2271" s="44" t="s">
        <v>1479</v>
      </c>
      <c r="F2271" s="65">
        <v>550</v>
      </c>
      <c r="G2271" s="44" t="s">
        <v>3801</v>
      </c>
      <c r="H2271" s="44" t="s">
        <v>3802</v>
      </c>
      <c r="I2271" s="62" t="s">
        <v>511</v>
      </c>
      <c r="J2271" s="44" t="s">
        <v>949</v>
      </c>
      <c r="K2271" s="44" t="s">
        <v>519</v>
      </c>
      <c r="L2271" s="44" t="s">
        <v>520</v>
      </c>
      <c r="M2271" s="44" t="s">
        <v>976</v>
      </c>
      <c r="N2271" s="44" t="s">
        <v>839</v>
      </c>
      <c r="O2271" s="45" t="s">
        <v>383</v>
      </c>
      <c r="P2271" s="45" t="s">
        <v>3760</v>
      </c>
      <c r="Q2271" s="59" t="str">
        <f>MID(Tabla1[[#This Row],[Aplicación]],14,1)</f>
        <v>2</v>
      </c>
      <c r="R2271" s="35" t="s">
        <v>298</v>
      </c>
      <c r="S2271" s="59" t="str">
        <f>MID(Tabla1[[#This Row],[Aplicación]],6,2)</f>
        <v>03</v>
      </c>
      <c r="T2271" s="35" t="str">
        <f>VLOOKUP(Tabla1[[#This Row],[AREA]],Hoja1!A:B,2,FALSE)</f>
        <v>03. Participación ciudadana y deportes</v>
      </c>
      <c r="U2271" s="56" t="str">
        <f>MID(Tabla1[[#This Row],[Aplicación]],9,4)</f>
        <v>9241</v>
      </c>
      <c r="V2271" s="35" t="str">
        <f>VLOOKUP(Tabla1[[#This Row],[PROGRAMA]],Hoja1!A:B,2,FALSE)</f>
        <v>9241. Participación ciudadana</v>
      </c>
      <c r="W2271" s="56" t="str">
        <f>MID(Tabla1[[#This Row],[Aplicación]],14,2)</f>
        <v>22</v>
      </c>
      <c r="X2271" s="56" t="str">
        <f>MID(Tabla1[[#This Row],[Aplicación]],14,6)</f>
        <v>22609</v>
      </c>
    </row>
    <row r="2272" spans="1:24" x14ac:dyDescent="0.25">
      <c r="A2272" s="62">
        <v>220230020531</v>
      </c>
      <c r="B2272" s="44" t="s">
        <v>507</v>
      </c>
      <c r="C2272" s="64">
        <v>45058</v>
      </c>
      <c r="D2272" s="62">
        <v>22023004363</v>
      </c>
      <c r="E2272" s="44" t="s">
        <v>1390</v>
      </c>
      <c r="F2272" s="65">
        <v>5445</v>
      </c>
      <c r="G2272" s="44" t="s">
        <v>3803</v>
      </c>
      <c r="H2272" s="44" t="s">
        <v>3804</v>
      </c>
      <c r="I2272" s="62" t="s">
        <v>511</v>
      </c>
      <c r="J2272" s="44" t="s">
        <v>771</v>
      </c>
      <c r="K2272" s="44" t="s">
        <v>771</v>
      </c>
      <c r="L2272" s="44" t="s">
        <v>520</v>
      </c>
      <c r="M2272" s="44" t="s">
        <v>976</v>
      </c>
      <c r="N2272" s="44" t="s">
        <v>839</v>
      </c>
      <c r="O2272" s="45" t="s">
        <v>383</v>
      </c>
      <c r="P2272" s="45" t="s">
        <v>3760</v>
      </c>
      <c r="Q2272" s="59" t="str">
        <f>MID(Tabla1[[#This Row],[Aplicación]],14,1)</f>
        <v>2</v>
      </c>
      <c r="R2272" s="35" t="s">
        <v>298</v>
      </c>
      <c r="S2272" s="59" t="str">
        <f>MID(Tabla1[[#This Row],[Aplicación]],6,2)</f>
        <v>07</v>
      </c>
      <c r="T2272" s="35" t="str">
        <f>VLOOKUP(Tabla1[[#This Row],[AREA]],Hoja1!A:B,2,FALSE)</f>
        <v>07. Medio ambiente y desarrollo sostenible</v>
      </c>
      <c r="U2272" s="56" t="str">
        <f>MID(Tabla1[[#This Row],[Aplicación]],9,4)</f>
        <v>1721</v>
      </c>
      <c r="V2272" s="35" t="str">
        <f>VLOOKUP(Tabla1[[#This Row],[PROGRAMA]],Hoja1!A:B,2,FALSE)</f>
        <v>1721. Protección del medio ambiente</v>
      </c>
      <c r="W2272" s="56" t="str">
        <f>MID(Tabla1[[#This Row],[Aplicación]],14,2)</f>
        <v>22</v>
      </c>
      <c r="X2272" s="56" t="str">
        <f>MID(Tabla1[[#This Row],[Aplicación]],14,6)</f>
        <v>22799</v>
      </c>
    </row>
    <row r="2273" spans="1:24" x14ac:dyDescent="0.25">
      <c r="A2273" s="62">
        <v>220230020541</v>
      </c>
      <c r="B2273" s="44" t="s">
        <v>507</v>
      </c>
      <c r="C2273" s="64">
        <v>45058</v>
      </c>
      <c r="D2273" s="62">
        <v>22023004398</v>
      </c>
      <c r="E2273" s="44" t="s">
        <v>2310</v>
      </c>
      <c r="F2273" s="65">
        <v>3542.29</v>
      </c>
      <c r="G2273" s="44" t="s">
        <v>3805</v>
      </c>
      <c r="H2273" s="44" t="s">
        <v>3806</v>
      </c>
      <c r="I2273" s="62" t="s">
        <v>511</v>
      </c>
      <c r="J2273" s="44" t="s">
        <v>3807</v>
      </c>
      <c r="K2273" s="44" t="s">
        <v>512</v>
      </c>
      <c r="L2273" s="44" t="s">
        <v>552</v>
      </c>
      <c r="M2273" s="44" t="s">
        <v>976</v>
      </c>
      <c r="N2273" s="44" t="s">
        <v>839</v>
      </c>
      <c r="O2273" s="45" t="s">
        <v>383</v>
      </c>
      <c r="P2273" s="45" t="s">
        <v>3760</v>
      </c>
      <c r="Q2273" s="59" t="str">
        <f>MID(Tabla1[[#This Row],[Aplicación]],14,1)</f>
        <v>2</v>
      </c>
      <c r="R2273" s="35" t="s">
        <v>298</v>
      </c>
      <c r="S2273" s="59" t="str">
        <f>MID(Tabla1[[#This Row],[Aplicación]],6,2)</f>
        <v>11</v>
      </c>
      <c r="T2273" s="35" t="str">
        <f>VLOOKUP(Tabla1[[#This Row],[AREA]],Hoja1!A:B,2,FALSE)</f>
        <v>11. Salud pública y seguridad ciudadana</v>
      </c>
      <c r="U2273" s="56" t="str">
        <f>MID(Tabla1[[#This Row],[Aplicación]],9,4)</f>
        <v>1321</v>
      </c>
      <c r="V2273" s="35" t="str">
        <f>VLOOKUP(Tabla1[[#This Row],[PROGRAMA]],Hoja1!A:B,2,FALSE)</f>
        <v>1321. Policía municipal</v>
      </c>
      <c r="W2273" s="56" t="str">
        <f>MID(Tabla1[[#This Row],[Aplicación]],14,2)</f>
        <v>22</v>
      </c>
      <c r="X2273" s="56" t="str">
        <f>MID(Tabla1[[#This Row],[Aplicación]],14,6)</f>
        <v>22199</v>
      </c>
    </row>
    <row r="2274" spans="1:24" x14ac:dyDescent="0.25">
      <c r="A2274" s="62">
        <v>220230020798</v>
      </c>
      <c r="B2274" s="44" t="s">
        <v>507</v>
      </c>
      <c r="C2274" s="64">
        <v>45062</v>
      </c>
      <c r="D2274" s="62">
        <v>22023004491</v>
      </c>
      <c r="E2274" s="44" t="s">
        <v>1305</v>
      </c>
      <c r="F2274" s="65">
        <v>3630</v>
      </c>
      <c r="G2274" s="44" t="s">
        <v>104</v>
      </c>
      <c r="H2274" s="44" t="s">
        <v>3808</v>
      </c>
      <c r="I2274" s="62" t="s">
        <v>511</v>
      </c>
      <c r="J2274" s="44" t="s">
        <v>519</v>
      </c>
      <c r="K2274" s="44" t="s">
        <v>519</v>
      </c>
      <c r="L2274" s="44" t="s">
        <v>552</v>
      </c>
      <c r="M2274" s="44" t="s">
        <v>976</v>
      </c>
      <c r="N2274" s="44" t="s">
        <v>839</v>
      </c>
      <c r="O2274" s="45" t="s">
        <v>383</v>
      </c>
      <c r="P2274" s="45" t="s">
        <v>3760</v>
      </c>
      <c r="Q2274" s="59" t="str">
        <f>MID(Tabla1[[#This Row],[Aplicación]],14,1)</f>
        <v>2</v>
      </c>
      <c r="R2274" s="35" t="s">
        <v>298</v>
      </c>
      <c r="S2274" s="59" t="str">
        <f>MID(Tabla1[[#This Row],[Aplicación]],6,2)</f>
        <v>06</v>
      </c>
      <c r="T2274" s="35" t="str">
        <f>VLOOKUP(Tabla1[[#This Row],[AREA]],Hoja1!A:B,2,FALSE)</f>
        <v>06. Educación, infancia, juventud e igualdad</v>
      </c>
      <c r="U2274" s="56" t="str">
        <f>MID(Tabla1[[#This Row],[Aplicación]],9,4)</f>
        <v>3232</v>
      </c>
      <c r="V2274" s="35" t="str">
        <f>VLOOKUP(Tabla1[[#This Row],[PROGRAMA]],Hoja1!A:B,2,FALSE)</f>
        <v>3232. Conservación y mantenimiento centros educación infantil y primaria</v>
      </c>
      <c r="W2274" s="56" t="str">
        <f>MID(Tabla1[[#This Row],[Aplicación]],14,2)</f>
        <v>21</v>
      </c>
      <c r="X2274" s="56" t="str">
        <f>MID(Tabla1[[#This Row],[Aplicación]],14,6)</f>
        <v>212</v>
      </c>
    </row>
    <row r="2275" spans="1:24" x14ac:dyDescent="0.25">
      <c r="A2275" s="62">
        <v>220230022642</v>
      </c>
      <c r="B2275" s="44" t="s">
        <v>507</v>
      </c>
      <c r="C2275" s="64">
        <v>45068</v>
      </c>
      <c r="D2275" s="62">
        <v>22023004617</v>
      </c>
      <c r="E2275" s="44" t="s">
        <v>2458</v>
      </c>
      <c r="F2275" s="65">
        <v>1000</v>
      </c>
      <c r="G2275" s="44" t="s">
        <v>104</v>
      </c>
      <c r="H2275" s="44" t="s">
        <v>3809</v>
      </c>
      <c r="I2275" s="62" t="s">
        <v>511</v>
      </c>
      <c r="J2275" s="44" t="s">
        <v>519</v>
      </c>
      <c r="K2275" s="44" t="s">
        <v>519</v>
      </c>
      <c r="L2275" s="44" t="s">
        <v>552</v>
      </c>
      <c r="M2275" s="44" t="s">
        <v>976</v>
      </c>
      <c r="N2275" s="44" t="s">
        <v>839</v>
      </c>
      <c r="O2275" s="45" t="s">
        <v>383</v>
      </c>
      <c r="P2275" s="45" t="s">
        <v>3760</v>
      </c>
      <c r="Q2275" s="59" t="str">
        <f>MID(Tabla1[[#This Row],[Aplicación]],14,1)</f>
        <v>2</v>
      </c>
      <c r="R2275" s="35" t="s">
        <v>298</v>
      </c>
      <c r="S2275" s="59" t="str">
        <f>MID(Tabla1[[#This Row],[Aplicación]],6,2)</f>
        <v>06</v>
      </c>
      <c r="T2275" s="35" t="str">
        <f>VLOOKUP(Tabla1[[#This Row],[AREA]],Hoja1!A:B,2,FALSE)</f>
        <v>06. Educación, infancia, juventud e igualdad</v>
      </c>
      <c r="U2275" s="56" t="str">
        <f>MID(Tabla1[[#This Row],[Aplicación]],9,4)</f>
        <v>3231</v>
      </c>
      <c r="V2275" s="35" t="str">
        <f>VLOOKUP(Tabla1[[#This Row],[PROGRAMA]],Hoja1!A:B,2,FALSE)</f>
        <v>3231. Escuelas infantiles</v>
      </c>
      <c r="W2275" s="56" t="str">
        <f>MID(Tabla1[[#This Row],[Aplicación]],14,2)</f>
        <v>21</v>
      </c>
      <c r="X2275" s="56" t="str">
        <f>MID(Tabla1[[#This Row],[Aplicación]],14,6)</f>
        <v>212</v>
      </c>
    </row>
    <row r="2276" spans="1:24" x14ac:dyDescent="0.25">
      <c r="A2276" s="62">
        <v>220230013748</v>
      </c>
      <c r="B2276" s="44" t="s">
        <v>507</v>
      </c>
      <c r="C2276" s="64">
        <v>45027</v>
      </c>
      <c r="D2276" s="62">
        <v>22023001404</v>
      </c>
      <c r="E2276" s="44" t="s">
        <v>1196</v>
      </c>
      <c r="F2276" s="65">
        <v>960.66</v>
      </c>
      <c r="G2276" s="44" t="s">
        <v>1163</v>
      </c>
      <c r="H2276" s="44" t="s">
        <v>3810</v>
      </c>
      <c r="I2276" s="62" t="s">
        <v>511</v>
      </c>
      <c r="J2276" s="44" t="s">
        <v>1165</v>
      </c>
      <c r="K2276" s="44" t="s">
        <v>837</v>
      </c>
      <c r="L2276" s="44" t="s">
        <v>520</v>
      </c>
      <c r="M2276" s="44" t="s">
        <v>514</v>
      </c>
      <c r="N2276" s="44" t="s">
        <v>515</v>
      </c>
      <c r="O2276" s="45" t="s">
        <v>382</v>
      </c>
      <c r="P2276" s="45" t="s">
        <v>3760</v>
      </c>
      <c r="Q2276" s="59">
        <v>6</v>
      </c>
      <c r="R2276" s="35" t="s">
        <v>299</v>
      </c>
      <c r="S2276" s="59" t="str">
        <f>MID(Tabla1[[#This Row],[Aplicación]],6,2)</f>
        <v>02</v>
      </c>
      <c r="T2276" s="35" t="str">
        <f>VLOOKUP(Tabla1[[#This Row],[AREA]],Hoja1!A:B,2,FALSE)</f>
        <v>02. Planeamiento urbanístico y vivienda</v>
      </c>
      <c r="U2276" s="56" t="str">
        <f>MID(Tabla1[[#This Row],[Aplicación]],9,4)</f>
        <v>0 93</v>
      </c>
      <c r="V2276" s="59">
        <v>9332</v>
      </c>
      <c r="W2276" s="59">
        <v>63</v>
      </c>
      <c r="X2276" s="59">
        <v>632</v>
      </c>
    </row>
    <row r="2277" spans="1:24" x14ac:dyDescent="0.25">
      <c r="A2277" s="62">
        <v>220230013382</v>
      </c>
      <c r="B2277" s="44" t="s">
        <v>507</v>
      </c>
      <c r="C2277" s="64">
        <v>45020</v>
      </c>
      <c r="D2277" s="62">
        <v>22023003731</v>
      </c>
      <c r="E2277" s="44" t="s">
        <v>1551</v>
      </c>
      <c r="F2277" s="65">
        <v>127.05</v>
      </c>
      <c r="G2277" s="44" t="s">
        <v>104</v>
      </c>
      <c r="H2277" s="44" t="s">
        <v>3811</v>
      </c>
      <c r="I2277" s="62" t="s">
        <v>511</v>
      </c>
      <c r="J2277" s="44" t="s">
        <v>519</v>
      </c>
      <c r="K2277" s="44" t="s">
        <v>519</v>
      </c>
      <c r="L2277" s="44" t="s">
        <v>552</v>
      </c>
      <c r="M2277" s="44" t="s">
        <v>976</v>
      </c>
      <c r="N2277" s="44" t="s">
        <v>839</v>
      </c>
      <c r="O2277" s="45" t="s">
        <v>383</v>
      </c>
      <c r="P2277" s="45" t="s">
        <v>3760</v>
      </c>
      <c r="Q2277" s="59" t="str">
        <f>MID(Tabla1[[#This Row],[Aplicación]],14,1)</f>
        <v>2</v>
      </c>
      <c r="R2277" s="35" t="s">
        <v>298</v>
      </c>
      <c r="S2277" s="59" t="str">
        <f>MID(Tabla1[[#This Row],[Aplicación]],6,2)</f>
        <v>02</v>
      </c>
      <c r="T2277" s="35" t="str">
        <f>VLOOKUP(Tabla1[[#This Row],[AREA]],Hoja1!A:B,2,FALSE)</f>
        <v>02. Planeamiento urbanístico y vivienda</v>
      </c>
      <c r="U2277" s="56" t="str">
        <f>MID(Tabla1[[#This Row],[Aplicación]],9,4)</f>
        <v>9332</v>
      </c>
      <c r="V2277" s="35" t="str">
        <f>VLOOKUP(Tabla1[[#This Row],[PROGRAMA]],Hoja1!A:B,2,FALSE)</f>
        <v>9332. Mantenimiento de edificios e instalaciones municipales</v>
      </c>
      <c r="W2277" s="56" t="str">
        <f>MID(Tabla1[[#This Row],[Aplicación]],14,2)</f>
        <v>21</v>
      </c>
      <c r="X2277" s="56" t="str">
        <f>MID(Tabla1[[#This Row],[Aplicación]],14,6)</f>
        <v>212</v>
      </c>
    </row>
    <row r="2278" spans="1:24" x14ac:dyDescent="0.25">
      <c r="A2278" s="62">
        <v>220220065894</v>
      </c>
      <c r="B2278" s="44" t="s">
        <v>507</v>
      </c>
      <c r="C2278" s="64">
        <v>45037</v>
      </c>
      <c r="D2278" s="62">
        <v>22022008102</v>
      </c>
      <c r="E2278" s="44" t="s">
        <v>3786</v>
      </c>
      <c r="F2278" s="65">
        <v>5257.95</v>
      </c>
      <c r="G2278" s="44" t="s">
        <v>3812</v>
      </c>
      <c r="H2278" s="44" t="s">
        <v>3813</v>
      </c>
      <c r="I2278" s="62" t="s">
        <v>511</v>
      </c>
      <c r="J2278" s="44" t="s">
        <v>3814</v>
      </c>
      <c r="K2278" s="44" t="s">
        <v>512</v>
      </c>
      <c r="L2278" s="44" t="s">
        <v>552</v>
      </c>
      <c r="M2278" s="44" t="s">
        <v>976</v>
      </c>
      <c r="N2278" s="44" t="s">
        <v>839</v>
      </c>
      <c r="O2278" s="45" t="s">
        <v>383</v>
      </c>
      <c r="P2278" s="45" t="s">
        <v>3760</v>
      </c>
      <c r="Q2278" s="59" t="str">
        <f>MID(Tabla1[[#This Row],[Aplicación]],14,1)</f>
        <v>6</v>
      </c>
      <c r="R2278" s="35" t="s">
        <v>299</v>
      </c>
      <c r="S2278" s="59" t="str">
        <f>MID(Tabla1[[#This Row],[Aplicación]],6,2)</f>
        <v>10</v>
      </c>
      <c r="T2278" s="35" t="str">
        <f>VLOOKUP(Tabla1[[#This Row],[AREA]],Hoja1!A:B,2,FALSE)</f>
        <v>10. Servicios sociales y mediación comunitaria</v>
      </c>
      <c r="U2278" s="56" t="str">
        <f>MID(Tabla1[[#This Row],[Aplicación]],9,4)</f>
        <v>2312</v>
      </c>
      <c r="V2278" s="35" t="str">
        <f>VLOOKUP(Tabla1[[#This Row],[PROGRAMA]],Hoja1!A:B,2,FALSE)</f>
        <v>2312. Iniciativas sociales</v>
      </c>
      <c r="W2278" s="56" t="str">
        <f>MID(Tabla1[[#This Row],[Aplicación]],14,2)</f>
        <v>63</v>
      </c>
      <c r="X2278" s="56" t="str">
        <f>MID(Tabla1[[#This Row],[Aplicación]],14,6)</f>
        <v>632</v>
      </c>
    </row>
    <row r="2279" spans="1:24" x14ac:dyDescent="0.25">
      <c r="A2279" s="62">
        <v>220220076539</v>
      </c>
      <c r="B2279" s="44" t="s">
        <v>507</v>
      </c>
      <c r="C2279" s="64">
        <v>45037</v>
      </c>
      <c r="D2279" s="62">
        <v>22022004797</v>
      </c>
      <c r="E2279" s="44" t="s">
        <v>751</v>
      </c>
      <c r="F2279" s="65">
        <v>169800</v>
      </c>
      <c r="G2279" s="44" t="s">
        <v>3815</v>
      </c>
      <c r="H2279" s="44" t="s">
        <v>3816</v>
      </c>
      <c r="I2279" s="62" t="s">
        <v>511</v>
      </c>
      <c r="J2279" s="44" t="s">
        <v>512</v>
      </c>
      <c r="K2279" s="44" t="s">
        <v>512</v>
      </c>
      <c r="L2279" s="44" t="s">
        <v>520</v>
      </c>
      <c r="M2279" s="44" t="s">
        <v>514</v>
      </c>
      <c r="N2279" s="44" t="s">
        <v>515</v>
      </c>
      <c r="O2279" s="45" t="s">
        <v>371</v>
      </c>
      <c r="P2279" s="45" t="s">
        <v>3760</v>
      </c>
      <c r="Q2279" s="59">
        <v>6</v>
      </c>
      <c r="R2279" s="35" t="s">
        <v>299</v>
      </c>
      <c r="S2279" s="59" t="str">
        <f>MID(Tabla1[[#This Row],[Aplicación]],6,2)</f>
        <v>10</v>
      </c>
      <c r="T2279" s="35" t="str">
        <f>VLOOKUP(Tabla1[[#This Row],[AREA]],Hoja1!A:B,2,FALSE)</f>
        <v>10. Servicios sociales y mediación comunitaria</v>
      </c>
      <c r="U2279" s="56" t="str">
        <f>MID(Tabla1[[#This Row],[Aplicación]],9,4)</f>
        <v>0 23</v>
      </c>
      <c r="V2279" s="59">
        <v>2313</v>
      </c>
      <c r="W2279" s="59">
        <v>64</v>
      </c>
      <c r="X2279" s="59">
        <v>641</v>
      </c>
    </row>
    <row r="2280" spans="1:24" x14ac:dyDescent="0.25">
      <c r="A2280" s="62">
        <v>220230015094</v>
      </c>
      <c r="B2280" s="44" t="s">
        <v>507</v>
      </c>
      <c r="C2280" s="64">
        <v>45041</v>
      </c>
      <c r="D2280" s="62">
        <v>22023003818</v>
      </c>
      <c r="E2280" s="44" t="s">
        <v>1479</v>
      </c>
      <c r="F2280" s="65">
        <v>550</v>
      </c>
      <c r="G2280" s="44" t="s">
        <v>3493</v>
      </c>
      <c r="H2280" s="44" t="s">
        <v>3817</v>
      </c>
      <c r="I2280" s="62" t="s">
        <v>511</v>
      </c>
      <c r="J2280" s="44" t="s">
        <v>519</v>
      </c>
      <c r="K2280" s="44" t="s">
        <v>519</v>
      </c>
      <c r="L2280" s="44" t="s">
        <v>520</v>
      </c>
      <c r="M2280" s="44" t="s">
        <v>976</v>
      </c>
      <c r="N2280" s="44" t="s">
        <v>839</v>
      </c>
      <c r="O2280" s="45" t="s">
        <v>383</v>
      </c>
      <c r="P2280" s="45" t="s">
        <v>3760</v>
      </c>
      <c r="Q2280" s="59" t="str">
        <f>MID(Tabla1[[#This Row],[Aplicación]],14,1)</f>
        <v>2</v>
      </c>
      <c r="R2280" s="35" t="s">
        <v>298</v>
      </c>
      <c r="S2280" s="59" t="str">
        <f>MID(Tabla1[[#This Row],[Aplicación]],6,2)</f>
        <v>03</v>
      </c>
      <c r="T2280" s="35" t="str">
        <f>VLOOKUP(Tabla1[[#This Row],[AREA]],Hoja1!A:B,2,FALSE)</f>
        <v>03. Participación ciudadana y deportes</v>
      </c>
      <c r="U2280" s="56" t="str">
        <f>MID(Tabla1[[#This Row],[Aplicación]],9,4)</f>
        <v>9241</v>
      </c>
      <c r="V2280" s="35" t="str">
        <f>VLOOKUP(Tabla1[[#This Row],[PROGRAMA]],Hoja1!A:B,2,FALSE)</f>
        <v>9241. Participación ciudadana</v>
      </c>
      <c r="W2280" s="56" t="str">
        <f>MID(Tabla1[[#This Row],[Aplicación]],14,2)</f>
        <v>22</v>
      </c>
      <c r="X2280" s="56" t="str">
        <f>MID(Tabla1[[#This Row],[Aplicación]],14,6)</f>
        <v>22609</v>
      </c>
    </row>
    <row r="2281" spans="1:24" x14ac:dyDescent="0.25">
      <c r="A2281" s="62">
        <v>220230015103</v>
      </c>
      <c r="B2281" s="44" t="s">
        <v>507</v>
      </c>
      <c r="C2281" s="64">
        <v>45041</v>
      </c>
      <c r="D2281" s="62">
        <v>22023003873</v>
      </c>
      <c r="E2281" s="44" t="s">
        <v>2138</v>
      </c>
      <c r="F2281" s="65">
        <v>477.95</v>
      </c>
      <c r="G2281" s="44" t="s">
        <v>3500</v>
      </c>
      <c r="H2281" s="44" t="s">
        <v>3818</v>
      </c>
      <c r="I2281" s="62" t="s">
        <v>511</v>
      </c>
      <c r="J2281" s="44" t="s">
        <v>519</v>
      </c>
      <c r="K2281" s="44" t="s">
        <v>519</v>
      </c>
      <c r="L2281" s="44" t="s">
        <v>552</v>
      </c>
      <c r="M2281" s="44" t="s">
        <v>976</v>
      </c>
      <c r="N2281" s="44" t="s">
        <v>839</v>
      </c>
      <c r="O2281" s="45" t="s">
        <v>383</v>
      </c>
      <c r="P2281" s="45" t="s">
        <v>3760</v>
      </c>
      <c r="Q2281" s="59" t="str">
        <f>MID(Tabla1[[#This Row],[Aplicación]],14,1)</f>
        <v>2</v>
      </c>
      <c r="R2281" s="35" t="s">
        <v>298</v>
      </c>
      <c r="S2281" s="59" t="str">
        <f>MID(Tabla1[[#This Row],[Aplicación]],6,2)</f>
        <v>10</v>
      </c>
      <c r="T2281" s="35" t="str">
        <f>VLOOKUP(Tabla1[[#This Row],[AREA]],Hoja1!A:B,2,FALSE)</f>
        <v>10. Servicios sociales y mediación comunitaria</v>
      </c>
      <c r="U2281" s="56" t="str">
        <f>MID(Tabla1[[#This Row],[Aplicación]],9,4)</f>
        <v>2312</v>
      </c>
      <c r="V2281" s="35" t="str">
        <f>VLOOKUP(Tabla1[[#This Row],[PROGRAMA]],Hoja1!A:B,2,FALSE)</f>
        <v>2312. Iniciativas sociales</v>
      </c>
      <c r="W2281" s="56" t="str">
        <f>MID(Tabla1[[#This Row],[Aplicación]],14,2)</f>
        <v>22</v>
      </c>
      <c r="X2281" s="56" t="str">
        <f>MID(Tabla1[[#This Row],[Aplicación]],14,6)</f>
        <v>22615</v>
      </c>
    </row>
    <row r="2282" spans="1:24" x14ac:dyDescent="0.25">
      <c r="A2282" s="62">
        <v>220230015939</v>
      </c>
      <c r="B2282" s="44" t="s">
        <v>507</v>
      </c>
      <c r="C2282" s="64">
        <v>45042</v>
      </c>
      <c r="D2282" s="62">
        <v>22023004091</v>
      </c>
      <c r="E2282" s="44" t="s">
        <v>1272</v>
      </c>
      <c r="F2282" s="65">
        <v>1778.58</v>
      </c>
      <c r="G2282" s="44" t="s">
        <v>3490</v>
      </c>
      <c r="H2282" s="44" t="s">
        <v>3819</v>
      </c>
      <c r="I2282" s="62" t="s">
        <v>511</v>
      </c>
      <c r="J2282" s="44" t="s">
        <v>3492</v>
      </c>
      <c r="K2282" s="44" t="s">
        <v>1359</v>
      </c>
      <c r="L2282" s="44" t="s">
        <v>527</v>
      </c>
      <c r="M2282" s="44" t="s">
        <v>976</v>
      </c>
      <c r="N2282" s="44" t="s">
        <v>839</v>
      </c>
      <c r="O2282" s="45" t="s">
        <v>383</v>
      </c>
      <c r="P2282" s="45" t="s">
        <v>3760</v>
      </c>
      <c r="Q2282" s="59" t="str">
        <f>MID(Tabla1[[#This Row],[Aplicación]],14,1)</f>
        <v>6</v>
      </c>
      <c r="R2282" s="35" t="s">
        <v>299</v>
      </c>
      <c r="S2282" s="59" t="str">
        <f>MID(Tabla1[[#This Row],[Aplicación]],6,2)</f>
        <v>02</v>
      </c>
      <c r="T2282" s="35" t="str">
        <f>VLOOKUP(Tabla1[[#This Row],[AREA]],Hoja1!A:B,2,FALSE)</f>
        <v>02. Planeamiento urbanístico y vivienda</v>
      </c>
      <c r="U2282" s="56" t="str">
        <f>MID(Tabla1[[#This Row],[Aplicación]],9,4)</f>
        <v>9332</v>
      </c>
      <c r="V2282" s="35" t="str">
        <f>VLOOKUP(Tabla1[[#This Row],[PROGRAMA]],Hoja1!A:B,2,FALSE)</f>
        <v>9332. Mantenimiento de edificios e instalaciones municipales</v>
      </c>
      <c r="W2282" s="56" t="str">
        <f>MID(Tabla1[[#This Row],[Aplicación]],14,2)</f>
        <v>63</v>
      </c>
      <c r="X2282" s="56" t="str">
        <f>MID(Tabla1[[#This Row],[Aplicación]],14,6)</f>
        <v>632</v>
      </c>
    </row>
    <row r="2283" spans="1:24" x14ac:dyDescent="0.25">
      <c r="A2283" s="62">
        <v>220230013752</v>
      </c>
      <c r="B2283" s="44" t="s">
        <v>1514</v>
      </c>
      <c r="C2283" s="64">
        <v>45027</v>
      </c>
      <c r="D2283" s="62">
        <v>22022008399</v>
      </c>
      <c r="E2283" s="44" t="s">
        <v>1460</v>
      </c>
      <c r="F2283" s="65">
        <v>139141.10999999999</v>
      </c>
      <c r="G2283" s="44" t="s">
        <v>3820</v>
      </c>
      <c r="H2283" s="44" t="s">
        <v>3821</v>
      </c>
      <c r="I2283" s="62" t="s">
        <v>1517</v>
      </c>
      <c r="J2283" s="44" t="s">
        <v>3822</v>
      </c>
      <c r="K2283" s="44" t="s">
        <v>1003</v>
      </c>
      <c r="L2283" s="44" t="s">
        <v>815</v>
      </c>
      <c r="M2283" s="44" t="s">
        <v>514</v>
      </c>
      <c r="N2283" s="44" t="s">
        <v>515</v>
      </c>
      <c r="O2283" s="45" t="s">
        <v>371</v>
      </c>
      <c r="P2283" s="45" t="s">
        <v>3760</v>
      </c>
      <c r="Q2283" s="59" t="str">
        <f>MID(Tabla1[[#This Row],[Aplicación]],14,1)</f>
        <v>6</v>
      </c>
      <c r="R2283" s="35" t="s">
        <v>299</v>
      </c>
      <c r="S2283" s="59" t="str">
        <f>MID(Tabla1[[#This Row],[Aplicación]],6,2)</f>
        <v>03</v>
      </c>
      <c r="T2283" s="35" t="str">
        <f>VLOOKUP(Tabla1[[#This Row],[AREA]],Hoja1!A:B,2,FALSE)</f>
        <v>03. Participación ciudadana y deportes</v>
      </c>
      <c r="U2283" s="56" t="str">
        <f>MID(Tabla1[[#This Row],[Aplicación]],9,4)</f>
        <v>9241</v>
      </c>
      <c r="V2283" s="35" t="str">
        <f>VLOOKUP(Tabla1[[#This Row],[PROGRAMA]],Hoja1!A:B,2,FALSE)</f>
        <v>9241. Participación ciudadana</v>
      </c>
      <c r="W2283" s="56" t="str">
        <f>MID(Tabla1[[#This Row],[Aplicación]],14,2)</f>
        <v>63</v>
      </c>
      <c r="X2283" s="56" t="str">
        <f>MID(Tabla1[[#This Row],[Aplicación]],14,6)</f>
        <v>633</v>
      </c>
    </row>
    <row r="2284" spans="1:24" x14ac:dyDescent="0.25">
      <c r="A2284" s="62">
        <v>220230018881</v>
      </c>
      <c r="B2284" s="44" t="s">
        <v>1249</v>
      </c>
      <c r="C2284" s="64">
        <v>45056</v>
      </c>
      <c r="D2284" s="62">
        <v>22023003214</v>
      </c>
      <c r="E2284" s="44" t="s">
        <v>529</v>
      </c>
      <c r="F2284" s="65">
        <v>1976.63</v>
      </c>
      <c r="G2284" s="44" t="s">
        <v>1163</v>
      </c>
      <c r="H2284" s="44" t="s">
        <v>3823</v>
      </c>
      <c r="I2284" s="62" t="s">
        <v>1251</v>
      </c>
      <c r="J2284" s="44" t="s">
        <v>1165</v>
      </c>
      <c r="K2284" s="44" t="s">
        <v>837</v>
      </c>
      <c r="L2284" s="44" t="s">
        <v>520</v>
      </c>
      <c r="M2284" s="44" t="s">
        <v>976</v>
      </c>
      <c r="N2284" s="44" t="s">
        <v>839</v>
      </c>
      <c r="O2284" s="45" t="s">
        <v>383</v>
      </c>
      <c r="P2284" s="45" t="s">
        <v>3760</v>
      </c>
      <c r="Q2284" s="59" t="str">
        <f>MID(Tabla1[[#This Row],[Aplicación]],14,1)</f>
        <v>6</v>
      </c>
      <c r="R2284" s="35" t="s">
        <v>299</v>
      </c>
      <c r="S2284" s="59" t="str">
        <f>MID(Tabla1[[#This Row],[Aplicación]],6,2)</f>
        <v>07</v>
      </c>
      <c r="T2284" s="35" t="str">
        <f>VLOOKUP(Tabla1[[#This Row],[AREA]],Hoja1!A:B,2,FALSE)</f>
        <v>07. Medio ambiente y desarrollo sostenible</v>
      </c>
      <c r="U2284" s="56" t="str">
        <f>MID(Tabla1[[#This Row],[Aplicación]],9,4)</f>
        <v>1711</v>
      </c>
      <c r="V2284" s="35" t="str">
        <f>VLOOKUP(Tabla1[[#This Row],[PROGRAMA]],Hoja1!A:B,2,FALSE)</f>
        <v>1711. Parques y jardines</v>
      </c>
      <c r="W2284" s="56" t="str">
        <f>MID(Tabla1[[#This Row],[Aplicación]],14,2)</f>
        <v>61</v>
      </c>
      <c r="X2284" s="56" t="str">
        <f>MID(Tabla1[[#This Row],[Aplicación]],14,6)</f>
        <v>610</v>
      </c>
    </row>
    <row r="2285" spans="1:24" x14ac:dyDescent="0.25">
      <c r="A2285" s="62">
        <v>220220027204</v>
      </c>
      <c r="B2285" s="44" t="s">
        <v>507</v>
      </c>
      <c r="C2285" s="64">
        <v>45037</v>
      </c>
      <c r="D2285" s="62">
        <v>22022002027</v>
      </c>
      <c r="E2285" s="44" t="s">
        <v>751</v>
      </c>
      <c r="F2285" s="65">
        <v>115841.49</v>
      </c>
      <c r="G2285" s="44" t="s">
        <v>76</v>
      </c>
      <c r="H2285" s="44" t="s">
        <v>3824</v>
      </c>
      <c r="I2285" s="62" t="s">
        <v>511</v>
      </c>
      <c r="J2285" s="44" t="s">
        <v>731</v>
      </c>
      <c r="K2285" s="44" t="s">
        <v>519</v>
      </c>
      <c r="L2285" s="44" t="s">
        <v>520</v>
      </c>
      <c r="M2285" s="44" t="s">
        <v>514</v>
      </c>
      <c r="N2285" s="44" t="s">
        <v>515</v>
      </c>
      <c r="O2285" s="45" t="s">
        <v>371</v>
      </c>
      <c r="P2285" s="45" t="s">
        <v>3760</v>
      </c>
      <c r="Q2285" s="59">
        <v>6</v>
      </c>
      <c r="R2285" s="35" t="s">
        <v>299</v>
      </c>
      <c r="S2285" s="59" t="str">
        <f>MID(Tabla1[[#This Row],[Aplicación]],6,2)</f>
        <v>10</v>
      </c>
      <c r="T2285" s="35" t="str">
        <f>VLOOKUP(Tabla1[[#This Row],[AREA]],Hoja1!A:B,2,FALSE)</f>
        <v>10. Servicios sociales y mediación comunitaria</v>
      </c>
      <c r="U2285" s="56" t="str">
        <f>MID(Tabla1[[#This Row],[Aplicación]],9,4)</f>
        <v>0 23</v>
      </c>
      <c r="V2285" s="59">
        <v>2313</v>
      </c>
      <c r="W2285" s="59">
        <v>64</v>
      </c>
      <c r="X2285" s="59">
        <v>641</v>
      </c>
    </row>
    <row r="2286" spans="1:24" x14ac:dyDescent="0.25">
      <c r="A2286" s="62">
        <v>220230022629</v>
      </c>
      <c r="B2286" s="44" t="s">
        <v>507</v>
      </c>
      <c r="C2286" s="64">
        <v>45068</v>
      </c>
      <c r="D2286" s="62">
        <v>22023004606</v>
      </c>
      <c r="E2286" s="44" t="s">
        <v>1318</v>
      </c>
      <c r="F2286" s="65">
        <v>1534.58</v>
      </c>
      <c r="G2286" s="44" t="s">
        <v>2214</v>
      </c>
      <c r="H2286" s="44" t="s">
        <v>3825</v>
      </c>
      <c r="I2286" s="62" t="s">
        <v>511</v>
      </c>
      <c r="J2286" s="44" t="s">
        <v>519</v>
      </c>
      <c r="K2286" s="44" t="s">
        <v>519</v>
      </c>
      <c r="L2286" s="44" t="s">
        <v>520</v>
      </c>
      <c r="M2286" s="44" t="s">
        <v>976</v>
      </c>
      <c r="N2286" s="44" t="s">
        <v>839</v>
      </c>
      <c r="O2286" s="45" t="s">
        <v>383</v>
      </c>
      <c r="P2286" s="45" t="s">
        <v>3760</v>
      </c>
      <c r="Q2286" s="59" t="str">
        <f>MID(Tabla1[[#This Row],[Aplicación]],14,1)</f>
        <v>2</v>
      </c>
      <c r="R2286" s="35" t="s">
        <v>298</v>
      </c>
      <c r="S2286" s="59" t="str">
        <f>MID(Tabla1[[#This Row],[Aplicación]],6,2)</f>
        <v>05</v>
      </c>
      <c r="T2286" s="35" t="str">
        <f>VLOOKUP(Tabla1[[#This Row],[AREA]],Hoja1!A:B,2,FALSE)</f>
        <v>05. Innovación, desarrollo económico, empleo y comercio</v>
      </c>
      <c r="U2286" s="56" t="str">
        <f>MID(Tabla1[[#This Row],[Aplicación]],9,4)</f>
        <v>4331</v>
      </c>
      <c r="V2286" s="35" t="str">
        <f>VLOOKUP(Tabla1[[#This Row],[PROGRAMA]],Hoja1!A:B,2,FALSE)</f>
        <v>4331. Desarrollo empresarial</v>
      </c>
      <c r="W2286" s="56" t="str">
        <f>MID(Tabla1[[#This Row],[Aplicación]],14,2)</f>
        <v>22</v>
      </c>
      <c r="X2286" s="56" t="str">
        <f>MID(Tabla1[[#This Row],[Aplicación]],14,6)</f>
        <v>22699</v>
      </c>
    </row>
    <row r="2287" spans="1:24" x14ac:dyDescent="0.25">
      <c r="A2287" s="62">
        <v>220230015940</v>
      </c>
      <c r="B2287" s="44" t="s">
        <v>507</v>
      </c>
      <c r="C2287" s="64">
        <v>45042</v>
      </c>
      <c r="D2287" s="62">
        <v>22023003884</v>
      </c>
      <c r="E2287" s="44" t="s">
        <v>1196</v>
      </c>
      <c r="F2287" s="65">
        <v>14360.85</v>
      </c>
      <c r="G2287" s="44" t="s">
        <v>315</v>
      </c>
      <c r="H2287" s="44" t="s">
        <v>3826</v>
      </c>
      <c r="I2287" s="62" t="s">
        <v>511</v>
      </c>
      <c r="J2287" s="44" t="s">
        <v>519</v>
      </c>
      <c r="K2287" s="44" t="s">
        <v>519</v>
      </c>
      <c r="L2287" s="44" t="s">
        <v>520</v>
      </c>
      <c r="M2287" s="44" t="s">
        <v>514</v>
      </c>
      <c r="N2287" s="44" t="s">
        <v>515</v>
      </c>
      <c r="O2287" s="45" t="s">
        <v>382</v>
      </c>
      <c r="P2287" s="45" t="s">
        <v>3760</v>
      </c>
      <c r="Q2287" s="59">
        <v>6</v>
      </c>
      <c r="R2287" s="35" t="s">
        <v>299</v>
      </c>
      <c r="S2287" s="59" t="str">
        <f>MID(Tabla1[[#This Row],[Aplicación]],6,2)</f>
        <v>02</v>
      </c>
      <c r="T2287" s="35" t="str">
        <f>VLOOKUP(Tabla1[[#This Row],[AREA]],Hoja1!A:B,2,FALSE)</f>
        <v>02. Planeamiento urbanístico y vivienda</v>
      </c>
      <c r="U2287" s="56" t="str">
        <f>MID(Tabla1[[#This Row],[Aplicación]],9,4)</f>
        <v>0 93</v>
      </c>
      <c r="V2287" s="59">
        <v>9332</v>
      </c>
      <c r="W2287" s="59">
        <v>63</v>
      </c>
      <c r="X2287" s="59">
        <v>632</v>
      </c>
    </row>
    <row r="2288" spans="1:24" x14ac:dyDescent="0.25">
      <c r="A2288" s="62">
        <v>220230016007</v>
      </c>
      <c r="B2288" s="44" t="s">
        <v>507</v>
      </c>
      <c r="C2288" s="64">
        <v>45042</v>
      </c>
      <c r="D2288" s="62">
        <v>22023004115</v>
      </c>
      <c r="E2288" s="44" t="s">
        <v>1490</v>
      </c>
      <c r="F2288" s="65">
        <v>2057</v>
      </c>
      <c r="G2288" s="44" t="s">
        <v>3827</v>
      </c>
      <c r="H2288" s="44" t="s">
        <v>3828</v>
      </c>
      <c r="I2288" s="62" t="s">
        <v>511</v>
      </c>
      <c r="J2288" s="44" t="s">
        <v>519</v>
      </c>
      <c r="K2288" s="44" t="s">
        <v>519</v>
      </c>
      <c r="L2288" s="44" t="s">
        <v>520</v>
      </c>
      <c r="M2288" s="44" t="s">
        <v>976</v>
      </c>
      <c r="N2288" s="44" t="s">
        <v>839</v>
      </c>
      <c r="O2288" s="45" t="s">
        <v>383</v>
      </c>
      <c r="P2288" s="45" t="s">
        <v>3760</v>
      </c>
      <c r="Q2288" s="59" t="str">
        <f>MID(Tabla1[[#This Row],[Aplicación]],14,1)</f>
        <v>2</v>
      </c>
      <c r="R2288" s="35" t="s">
        <v>298</v>
      </c>
      <c r="S2288" s="59" t="str">
        <f>MID(Tabla1[[#This Row],[Aplicación]],6,2)</f>
        <v>06</v>
      </c>
      <c r="T2288" s="35" t="str">
        <f>VLOOKUP(Tabla1[[#This Row],[AREA]],Hoja1!A:B,2,FALSE)</f>
        <v>06. Educación, infancia, juventud e igualdad</v>
      </c>
      <c r="U2288" s="56" t="str">
        <f>MID(Tabla1[[#This Row],[Aplicación]],9,4)</f>
        <v>2314</v>
      </c>
      <c r="V2288" s="35" t="str">
        <f>VLOOKUP(Tabla1[[#This Row],[PROGRAMA]],Hoja1!A:B,2,FALSE)</f>
        <v>2314. Centro de programas juveniles</v>
      </c>
      <c r="W2288" s="56" t="str">
        <f>MID(Tabla1[[#This Row],[Aplicación]],14,2)</f>
        <v>22</v>
      </c>
      <c r="X2288" s="56" t="str">
        <f>MID(Tabla1[[#This Row],[Aplicación]],14,6)</f>
        <v>22613</v>
      </c>
    </row>
    <row r="2289" spans="1:24" x14ac:dyDescent="0.25">
      <c r="A2289" s="62">
        <v>220230015364</v>
      </c>
      <c r="B2289" s="44" t="s">
        <v>507</v>
      </c>
      <c r="C2289" s="64">
        <v>45041</v>
      </c>
      <c r="D2289" s="62">
        <v>22023003904</v>
      </c>
      <c r="E2289" s="44" t="s">
        <v>3829</v>
      </c>
      <c r="F2289" s="65">
        <v>100</v>
      </c>
      <c r="G2289" s="44" t="s">
        <v>3830</v>
      </c>
      <c r="H2289" s="44" t="s">
        <v>3831</v>
      </c>
      <c r="I2289" s="62" t="s">
        <v>511</v>
      </c>
      <c r="J2289" s="44" t="s">
        <v>519</v>
      </c>
      <c r="K2289" s="44" t="s">
        <v>519</v>
      </c>
      <c r="L2289" s="44" t="s">
        <v>552</v>
      </c>
      <c r="M2289" s="44" t="s">
        <v>976</v>
      </c>
      <c r="N2289" s="44" t="s">
        <v>839</v>
      </c>
      <c r="O2289" s="45" t="s">
        <v>383</v>
      </c>
      <c r="P2289" s="45" t="s">
        <v>3760</v>
      </c>
      <c r="Q2289" s="59" t="str">
        <f>MID(Tabla1[[#This Row],[Aplicación]],14,1)</f>
        <v>2</v>
      </c>
      <c r="R2289" s="35" t="s">
        <v>298</v>
      </c>
      <c r="S2289" s="59" t="str">
        <f>MID(Tabla1[[#This Row],[Aplicación]],6,2)</f>
        <v>10</v>
      </c>
      <c r="T2289" s="35" t="str">
        <f>VLOOKUP(Tabla1[[#This Row],[AREA]],Hoja1!A:B,2,FALSE)</f>
        <v>10. Servicios sociales y mediación comunitaria</v>
      </c>
      <c r="U2289" s="56" t="str">
        <f>MID(Tabla1[[#This Row],[Aplicación]],9,4)</f>
        <v>2412</v>
      </c>
      <c r="V2289" s="35" t="str">
        <f>VLOOKUP(Tabla1[[#This Row],[PROGRAMA]],Hoja1!A:B,2,FALSE)</f>
        <v>2412. Formación para el empleo</v>
      </c>
      <c r="W2289" s="56" t="str">
        <f>MID(Tabla1[[#This Row],[Aplicación]],14,2)</f>
        <v>22</v>
      </c>
      <c r="X2289" s="56" t="str">
        <f>MID(Tabla1[[#This Row],[Aplicación]],14,6)</f>
        <v>22106</v>
      </c>
    </row>
    <row r="2290" spans="1:24" x14ac:dyDescent="0.25">
      <c r="A2290" s="62">
        <v>220230015102</v>
      </c>
      <c r="B2290" s="44" t="s">
        <v>507</v>
      </c>
      <c r="C2290" s="64">
        <v>45041</v>
      </c>
      <c r="D2290" s="62">
        <v>22023003872</v>
      </c>
      <c r="E2290" s="44" t="s">
        <v>1191</v>
      </c>
      <c r="F2290" s="65">
        <v>4719</v>
      </c>
      <c r="G2290" s="44" t="s">
        <v>3832</v>
      </c>
      <c r="H2290" s="44" t="s">
        <v>3833</v>
      </c>
      <c r="I2290" s="62" t="s">
        <v>511</v>
      </c>
      <c r="J2290" s="44" t="s">
        <v>3834</v>
      </c>
      <c r="K2290" s="44" t="s">
        <v>2176</v>
      </c>
      <c r="L2290" s="44" t="s">
        <v>520</v>
      </c>
      <c r="M2290" s="44" t="s">
        <v>976</v>
      </c>
      <c r="N2290" s="44" t="s">
        <v>839</v>
      </c>
      <c r="O2290" s="45" t="s">
        <v>383</v>
      </c>
      <c r="P2290" s="45" t="s">
        <v>3760</v>
      </c>
      <c r="Q2290" s="59" t="str">
        <f>MID(Tabla1[[#This Row],[Aplicación]],14,1)</f>
        <v>2</v>
      </c>
      <c r="R2290" s="35" t="s">
        <v>298</v>
      </c>
      <c r="S2290" s="59" t="str">
        <f>MID(Tabla1[[#This Row],[Aplicación]],6,2)</f>
        <v>06</v>
      </c>
      <c r="T2290" s="35" t="str">
        <f>VLOOKUP(Tabla1[[#This Row],[AREA]],Hoja1!A:B,2,FALSE)</f>
        <v>06. Educación, infancia, juventud e igualdad</v>
      </c>
      <c r="U2290" s="56" t="str">
        <f>MID(Tabla1[[#This Row],[Aplicación]],9,4)</f>
        <v>2315</v>
      </c>
      <c r="V2290" s="35" t="str">
        <f>VLOOKUP(Tabla1[[#This Row],[PROGRAMA]],Hoja1!A:B,2,FALSE)</f>
        <v>2315. Políticas de Igualdad e infancia</v>
      </c>
      <c r="W2290" s="56" t="str">
        <f>MID(Tabla1[[#This Row],[Aplicación]],14,2)</f>
        <v>22</v>
      </c>
      <c r="X2290" s="56" t="str">
        <f>MID(Tabla1[[#This Row],[Aplicación]],14,6)</f>
        <v>22611</v>
      </c>
    </row>
    <row r="2291" spans="1:24" x14ac:dyDescent="0.25">
      <c r="A2291" s="62">
        <v>220230015110</v>
      </c>
      <c r="B2291" s="44" t="s">
        <v>507</v>
      </c>
      <c r="C2291" s="64">
        <v>45041</v>
      </c>
      <c r="D2291" s="62">
        <v>22023003860</v>
      </c>
      <c r="E2291" s="44" t="s">
        <v>646</v>
      </c>
      <c r="F2291" s="65">
        <v>508.81</v>
      </c>
      <c r="G2291" s="44" t="s">
        <v>3835</v>
      </c>
      <c r="H2291" s="44" t="s">
        <v>3836</v>
      </c>
      <c r="I2291" s="62" t="s">
        <v>511</v>
      </c>
      <c r="J2291" s="44" t="s">
        <v>1759</v>
      </c>
      <c r="K2291" s="44" t="s">
        <v>519</v>
      </c>
      <c r="L2291" s="44" t="s">
        <v>520</v>
      </c>
      <c r="M2291" s="44" t="s">
        <v>976</v>
      </c>
      <c r="N2291" s="44" t="s">
        <v>839</v>
      </c>
      <c r="O2291" s="45" t="s">
        <v>383</v>
      </c>
      <c r="P2291" s="45" t="s">
        <v>3760</v>
      </c>
      <c r="Q2291" s="59" t="str">
        <f>MID(Tabla1[[#This Row],[Aplicación]],14,1)</f>
        <v>2</v>
      </c>
      <c r="R2291" s="35" t="s">
        <v>298</v>
      </c>
      <c r="S2291" s="59" t="str">
        <f>MID(Tabla1[[#This Row],[Aplicación]],6,2)</f>
        <v>01</v>
      </c>
      <c r="T2291" s="35" t="str">
        <f>VLOOKUP(Tabla1[[#This Row],[AREA]],Hoja1!A:B,2,FALSE)</f>
        <v>01. Alcaldía</v>
      </c>
      <c r="U2291" s="56" t="str">
        <f>MID(Tabla1[[#This Row],[Aplicación]],9,4)</f>
        <v>9203</v>
      </c>
      <c r="V2291" s="35" t="str">
        <f>VLOOKUP(Tabla1[[#This Row],[PROGRAMA]],Hoja1!A:B,2,FALSE)</f>
        <v>9203. Unidad de régimen interior</v>
      </c>
      <c r="W2291" s="56" t="str">
        <f>MID(Tabla1[[#This Row],[Aplicación]],14,2)</f>
        <v>20</v>
      </c>
      <c r="X2291" s="56" t="str">
        <f>MID(Tabla1[[#This Row],[Aplicación]],14,6)</f>
        <v>203</v>
      </c>
    </row>
    <row r="2292" spans="1:24" x14ac:dyDescent="0.25">
      <c r="A2292" s="62">
        <v>220230024863</v>
      </c>
      <c r="B2292" s="44" t="s">
        <v>507</v>
      </c>
      <c r="C2292" s="64">
        <v>45070</v>
      </c>
      <c r="D2292" s="62">
        <v>22023004680</v>
      </c>
      <c r="E2292" s="44" t="s">
        <v>3400</v>
      </c>
      <c r="F2292" s="65">
        <v>2326.83</v>
      </c>
      <c r="G2292" s="44" t="s">
        <v>3837</v>
      </c>
      <c r="H2292" s="44" t="s">
        <v>3838</v>
      </c>
      <c r="I2292" s="62" t="s">
        <v>511</v>
      </c>
      <c r="J2292" s="44" t="s">
        <v>519</v>
      </c>
      <c r="K2292" s="44" t="s">
        <v>519</v>
      </c>
      <c r="L2292" s="44" t="s">
        <v>552</v>
      </c>
      <c r="M2292" s="44" t="s">
        <v>976</v>
      </c>
      <c r="N2292" s="44" t="s">
        <v>839</v>
      </c>
      <c r="O2292" s="45" t="s">
        <v>383</v>
      </c>
      <c r="P2292" s="45" t="s">
        <v>3760</v>
      </c>
      <c r="Q2292" s="59" t="str">
        <f>MID(Tabla1[[#This Row],[Aplicación]],14,1)</f>
        <v>6</v>
      </c>
      <c r="R2292" s="35" t="s">
        <v>299</v>
      </c>
      <c r="S2292" s="59" t="str">
        <f>MID(Tabla1[[#This Row],[Aplicación]],6,2)</f>
        <v>04</v>
      </c>
      <c r="T2292" s="35" t="str">
        <f>VLOOKUP(Tabla1[[#This Row],[AREA]],Hoja1!A:B,2,FALSE)</f>
        <v>04. Planificación y recursos</v>
      </c>
      <c r="U2292" s="56" t="str">
        <f>MID(Tabla1[[#This Row],[Aplicación]],9,4)</f>
        <v>9209</v>
      </c>
      <c r="V2292" s="35" t="str">
        <f>VLOOKUP(Tabla1[[#This Row],[PROGRAMA]],Hoja1!A:B,2,FALSE)</f>
        <v>9209. Dirección del area de hacienda y función pública</v>
      </c>
      <c r="W2292" s="56" t="str">
        <f>MID(Tabla1[[#This Row],[Aplicación]],14,2)</f>
        <v>62</v>
      </c>
      <c r="X2292" s="56" t="str">
        <f>MID(Tabla1[[#This Row],[Aplicación]],14,6)</f>
        <v>625</v>
      </c>
    </row>
    <row r="2293" spans="1:24" x14ac:dyDescent="0.25">
      <c r="A2293" s="62">
        <v>220230025393</v>
      </c>
      <c r="B2293" s="44" t="s">
        <v>507</v>
      </c>
      <c r="C2293" s="64">
        <v>45072</v>
      </c>
      <c r="D2293" s="62">
        <v>22023004681</v>
      </c>
      <c r="E2293" s="44" t="s">
        <v>3400</v>
      </c>
      <c r="F2293" s="65">
        <v>1645.6</v>
      </c>
      <c r="G2293" s="44" t="s">
        <v>3837</v>
      </c>
      <c r="H2293" s="44" t="s">
        <v>3839</v>
      </c>
      <c r="I2293" s="62" t="s">
        <v>511</v>
      </c>
      <c r="J2293" s="44" t="s">
        <v>519</v>
      </c>
      <c r="K2293" s="44" t="s">
        <v>519</v>
      </c>
      <c r="L2293" s="44" t="s">
        <v>552</v>
      </c>
      <c r="M2293" s="44" t="s">
        <v>976</v>
      </c>
      <c r="N2293" s="44" t="s">
        <v>839</v>
      </c>
      <c r="O2293" s="45" t="s">
        <v>383</v>
      </c>
      <c r="P2293" s="45" t="s">
        <v>3760</v>
      </c>
      <c r="Q2293" s="59" t="str">
        <f>MID(Tabla1[[#This Row],[Aplicación]],14,1)</f>
        <v>6</v>
      </c>
      <c r="R2293" s="35" t="s">
        <v>299</v>
      </c>
      <c r="S2293" s="59" t="str">
        <f>MID(Tabla1[[#This Row],[Aplicación]],6,2)</f>
        <v>04</v>
      </c>
      <c r="T2293" s="35" t="str">
        <f>VLOOKUP(Tabla1[[#This Row],[AREA]],Hoja1!A:B,2,FALSE)</f>
        <v>04. Planificación y recursos</v>
      </c>
      <c r="U2293" s="56" t="str">
        <f>MID(Tabla1[[#This Row],[Aplicación]],9,4)</f>
        <v>9209</v>
      </c>
      <c r="V2293" s="35" t="str">
        <f>VLOOKUP(Tabla1[[#This Row],[PROGRAMA]],Hoja1!A:B,2,FALSE)</f>
        <v>9209. Dirección del area de hacienda y función pública</v>
      </c>
      <c r="W2293" s="56" t="str">
        <f>MID(Tabla1[[#This Row],[Aplicación]],14,2)</f>
        <v>62</v>
      </c>
      <c r="X2293" s="56" t="str">
        <f>MID(Tabla1[[#This Row],[Aplicación]],14,6)</f>
        <v>625</v>
      </c>
    </row>
    <row r="2294" spans="1:24" x14ac:dyDescent="0.25">
      <c r="A2294" s="62">
        <v>220230013387</v>
      </c>
      <c r="B2294" s="44" t="s">
        <v>1514</v>
      </c>
      <c r="C2294" s="64">
        <v>45020</v>
      </c>
      <c r="D2294" s="62">
        <v>22022005397</v>
      </c>
      <c r="E2294" s="44" t="s">
        <v>546</v>
      </c>
      <c r="F2294" s="65">
        <v>209.95</v>
      </c>
      <c r="G2294" s="44" t="s">
        <v>476</v>
      </c>
      <c r="H2294" s="44" t="s">
        <v>3840</v>
      </c>
      <c r="I2294" s="62" t="s">
        <v>1517</v>
      </c>
      <c r="J2294" s="44" t="s">
        <v>947</v>
      </c>
      <c r="K2294" s="44" t="s">
        <v>947</v>
      </c>
      <c r="L2294" s="44" t="s">
        <v>520</v>
      </c>
      <c r="M2294" s="44" t="s">
        <v>514</v>
      </c>
      <c r="N2294" s="44" t="s">
        <v>515</v>
      </c>
      <c r="O2294" s="45" t="s">
        <v>382</v>
      </c>
      <c r="P2294" s="45" t="s">
        <v>3760</v>
      </c>
      <c r="Q2294" s="59" t="str">
        <f>MID(Tabla1[[#This Row],[Aplicación]],14,1)</f>
        <v>6</v>
      </c>
      <c r="R2294" s="35" t="s">
        <v>299</v>
      </c>
      <c r="S2294" s="59" t="str">
        <f>MID(Tabla1[[#This Row],[Aplicación]],6,2)</f>
        <v>08</v>
      </c>
      <c r="T2294" s="35" t="str">
        <f>VLOOKUP(Tabla1[[#This Row],[AREA]],Hoja1!A:B,2,FALSE)</f>
        <v>08. Movilidad y espacio urbano</v>
      </c>
      <c r="U2294" s="56" t="str">
        <f>MID(Tabla1[[#This Row],[Aplicación]],9,4)</f>
        <v>1532</v>
      </c>
      <c r="V2294" s="35" t="str">
        <f>VLOOKUP(Tabla1[[#This Row],[PROGRAMA]],Hoja1!A:B,2,FALSE)</f>
        <v>1532. Pavimentación vias públicas y otros servicios urbanísticos</v>
      </c>
      <c r="W2294" s="56" t="str">
        <f>MID(Tabla1[[#This Row],[Aplicación]],14,2)</f>
        <v>61</v>
      </c>
      <c r="X2294" s="56" t="str">
        <f>MID(Tabla1[[#This Row],[Aplicación]],14,6)</f>
        <v>619</v>
      </c>
    </row>
    <row r="2295" spans="1:24" x14ac:dyDescent="0.25">
      <c r="A2295" s="62">
        <v>220230018625</v>
      </c>
      <c r="B2295" s="44" t="s">
        <v>1514</v>
      </c>
      <c r="C2295" s="64">
        <v>45055</v>
      </c>
      <c r="D2295" s="62">
        <v>22023001549</v>
      </c>
      <c r="E2295" s="44" t="s">
        <v>1515</v>
      </c>
      <c r="F2295" s="65">
        <v>3907.33</v>
      </c>
      <c r="G2295" s="44" t="s">
        <v>2936</v>
      </c>
      <c r="H2295" s="44" t="s">
        <v>3841</v>
      </c>
      <c r="I2295" s="62" t="s">
        <v>1517</v>
      </c>
      <c r="J2295" s="44" t="s">
        <v>2938</v>
      </c>
      <c r="K2295" s="44" t="s">
        <v>519</v>
      </c>
      <c r="L2295" s="44" t="s">
        <v>552</v>
      </c>
      <c r="M2295" s="44" t="s">
        <v>514</v>
      </c>
      <c r="N2295" s="44" t="s">
        <v>515</v>
      </c>
      <c r="O2295" s="45" t="s">
        <v>382</v>
      </c>
      <c r="P2295" s="45" t="s">
        <v>3760</v>
      </c>
      <c r="Q2295" s="59" t="str">
        <f>MID(Tabla1[[#This Row],[Aplicación]],14,1)</f>
        <v>2</v>
      </c>
      <c r="R2295" s="35" t="s">
        <v>298</v>
      </c>
      <c r="S2295" s="59" t="str">
        <f>MID(Tabla1[[#This Row],[Aplicación]],6,2)</f>
        <v>07</v>
      </c>
      <c r="T2295" s="35" t="str">
        <f>VLOOKUP(Tabla1[[#This Row],[AREA]],Hoja1!A:B,2,FALSE)</f>
        <v>07. Medio ambiente y desarrollo sostenible</v>
      </c>
      <c r="U2295" s="56" t="str">
        <f>MID(Tabla1[[#This Row],[Aplicación]],9,4)</f>
        <v>1711</v>
      </c>
      <c r="V2295" s="35" t="str">
        <f>VLOOKUP(Tabla1[[#This Row],[PROGRAMA]],Hoja1!A:B,2,FALSE)</f>
        <v>1711. Parques y jardines</v>
      </c>
      <c r="W2295" s="56" t="str">
        <f>MID(Tabla1[[#This Row],[Aplicación]],14,2)</f>
        <v>22</v>
      </c>
      <c r="X2295" s="56" t="str">
        <f>MID(Tabla1[[#This Row],[Aplicación]],14,6)</f>
        <v>22199</v>
      </c>
    </row>
    <row r="2296" spans="1:24" x14ac:dyDescent="0.25">
      <c r="A2296" s="62">
        <v>220230018549</v>
      </c>
      <c r="B2296" s="44" t="s">
        <v>1514</v>
      </c>
      <c r="C2296" s="64">
        <v>45055</v>
      </c>
      <c r="D2296" s="62">
        <v>22023001473</v>
      </c>
      <c r="E2296" s="44" t="s">
        <v>1683</v>
      </c>
      <c r="F2296" s="65">
        <v>789.49</v>
      </c>
      <c r="G2296" s="44" t="s">
        <v>981</v>
      </c>
      <c r="H2296" s="44" t="s">
        <v>3842</v>
      </c>
      <c r="I2296" s="62" t="s">
        <v>1517</v>
      </c>
      <c r="J2296" s="44" t="s">
        <v>519</v>
      </c>
      <c r="K2296" s="44" t="s">
        <v>519</v>
      </c>
      <c r="L2296" s="44" t="s">
        <v>552</v>
      </c>
      <c r="M2296" s="44" t="s">
        <v>514</v>
      </c>
      <c r="N2296" s="44" t="s">
        <v>515</v>
      </c>
      <c r="O2296" s="45" t="s">
        <v>382</v>
      </c>
      <c r="P2296" s="45" t="s">
        <v>3760</v>
      </c>
      <c r="Q2296" s="59" t="str">
        <f>MID(Tabla1[[#This Row],[Aplicación]],14,1)</f>
        <v>2</v>
      </c>
      <c r="R2296" s="35" t="s">
        <v>298</v>
      </c>
      <c r="S2296" s="59" t="str">
        <f>MID(Tabla1[[#This Row],[Aplicación]],6,2)</f>
        <v>11</v>
      </c>
      <c r="T2296" s="35" t="str">
        <f>VLOOKUP(Tabla1[[#This Row],[AREA]],Hoja1!A:B,2,FALSE)</f>
        <v>11. Salud pública y seguridad ciudadana</v>
      </c>
      <c r="U2296" s="56" t="str">
        <f>MID(Tabla1[[#This Row],[Aplicación]],9,4)</f>
        <v>1631</v>
      </c>
      <c r="V2296" s="35" t="str">
        <f>VLOOKUP(Tabla1[[#This Row],[PROGRAMA]],Hoja1!A:B,2,FALSE)</f>
        <v>1631. Limpieza viaria</v>
      </c>
      <c r="W2296" s="56" t="str">
        <f>MID(Tabla1[[#This Row],[Aplicación]],14,2)</f>
        <v>21</v>
      </c>
      <c r="X2296" s="56" t="str">
        <f>MID(Tabla1[[#This Row],[Aplicación]],14,6)</f>
        <v>214</v>
      </c>
    </row>
    <row r="2297" spans="1:24" x14ac:dyDescent="0.25">
      <c r="A2297" s="62">
        <v>220230016087</v>
      </c>
      <c r="B2297" s="44" t="s">
        <v>1514</v>
      </c>
      <c r="C2297" s="64">
        <v>45043</v>
      </c>
      <c r="D2297" s="62">
        <v>22023001462</v>
      </c>
      <c r="E2297" s="44" t="s">
        <v>1290</v>
      </c>
      <c r="F2297" s="65">
        <v>2183.23</v>
      </c>
      <c r="G2297" s="44" t="s">
        <v>2257</v>
      </c>
      <c r="H2297" s="44" t="s">
        <v>3843</v>
      </c>
      <c r="I2297" s="62" t="s">
        <v>1517</v>
      </c>
      <c r="J2297" s="44" t="s">
        <v>519</v>
      </c>
      <c r="K2297" s="44" t="s">
        <v>519</v>
      </c>
      <c r="L2297" s="44" t="s">
        <v>552</v>
      </c>
      <c r="M2297" s="44" t="s">
        <v>514</v>
      </c>
      <c r="N2297" s="44" t="s">
        <v>515</v>
      </c>
      <c r="O2297" s="45" t="s">
        <v>382</v>
      </c>
      <c r="P2297" s="45" t="s">
        <v>3760</v>
      </c>
      <c r="Q2297" s="59" t="str">
        <f>MID(Tabla1[[#This Row],[Aplicación]],14,1)</f>
        <v>2</v>
      </c>
      <c r="R2297" s="35" t="s">
        <v>298</v>
      </c>
      <c r="S2297" s="59" t="str">
        <f>MID(Tabla1[[#This Row],[Aplicación]],6,2)</f>
        <v>11</v>
      </c>
      <c r="T2297" s="35" t="str">
        <f>VLOOKUP(Tabla1[[#This Row],[AREA]],Hoja1!A:B,2,FALSE)</f>
        <v>11. Salud pública y seguridad ciudadana</v>
      </c>
      <c r="U2297" s="56" t="str">
        <f>MID(Tabla1[[#This Row],[Aplicación]],9,4)</f>
        <v>1621</v>
      </c>
      <c r="V2297" s="35" t="str">
        <f>VLOOKUP(Tabla1[[#This Row],[PROGRAMA]],Hoja1!A:B,2,FALSE)</f>
        <v>1621. Servicio de limpieza</v>
      </c>
      <c r="W2297" s="56" t="str">
        <f>MID(Tabla1[[#This Row],[Aplicación]],14,2)</f>
        <v>21</v>
      </c>
      <c r="X2297" s="56" t="str">
        <f>MID(Tabla1[[#This Row],[Aplicación]],14,6)</f>
        <v>214</v>
      </c>
    </row>
    <row r="2298" spans="1:24" x14ac:dyDescent="0.25">
      <c r="A2298" s="62">
        <v>220230016109</v>
      </c>
      <c r="B2298" s="44" t="s">
        <v>1514</v>
      </c>
      <c r="C2298" s="64">
        <v>45043</v>
      </c>
      <c r="D2298" s="62">
        <v>22023001462</v>
      </c>
      <c r="E2298" s="44" t="s">
        <v>1290</v>
      </c>
      <c r="F2298" s="65">
        <v>188.18</v>
      </c>
      <c r="G2298" s="44" t="s">
        <v>2257</v>
      </c>
      <c r="H2298" s="44" t="s">
        <v>3844</v>
      </c>
      <c r="I2298" s="62" t="s">
        <v>1517</v>
      </c>
      <c r="J2298" s="44" t="s">
        <v>519</v>
      </c>
      <c r="K2298" s="44" t="s">
        <v>519</v>
      </c>
      <c r="L2298" s="44" t="s">
        <v>520</v>
      </c>
      <c r="M2298" s="44" t="s">
        <v>514</v>
      </c>
      <c r="N2298" s="44" t="s">
        <v>515</v>
      </c>
      <c r="O2298" s="45" t="s">
        <v>382</v>
      </c>
      <c r="P2298" s="45" t="s">
        <v>3760</v>
      </c>
      <c r="Q2298" s="59" t="str">
        <f>MID(Tabla1[[#This Row],[Aplicación]],14,1)</f>
        <v>2</v>
      </c>
      <c r="R2298" s="35" t="s">
        <v>298</v>
      </c>
      <c r="S2298" s="59" t="str">
        <f>MID(Tabla1[[#This Row],[Aplicación]],6,2)</f>
        <v>11</v>
      </c>
      <c r="T2298" s="35" t="str">
        <f>VLOOKUP(Tabla1[[#This Row],[AREA]],Hoja1!A:B,2,FALSE)</f>
        <v>11. Salud pública y seguridad ciudadana</v>
      </c>
      <c r="U2298" s="56" t="str">
        <f>MID(Tabla1[[#This Row],[Aplicación]],9,4)</f>
        <v>1621</v>
      </c>
      <c r="V2298" s="35" t="str">
        <f>VLOOKUP(Tabla1[[#This Row],[PROGRAMA]],Hoja1!A:B,2,FALSE)</f>
        <v>1621. Servicio de limpieza</v>
      </c>
      <c r="W2298" s="56" t="str">
        <f>MID(Tabla1[[#This Row],[Aplicación]],14,2)</f>
        <v>21</v>
      </c>
      <c r="X2298" s="56" t="str">
        <f>MID(Tabla1[[#This Row],[Aplicación]],14,6)</f>
        <v>214</v>
      </c>
    </row>
    <row r="2299" spans="1:24" x14ac:dyDescent="0.25">
      <c r="A2299" s="62">
        <v>220230016170</v>
      </c>
      <c r="B2299" s="44" t="s">
        <v>1514</v>
      </c>
      <c r="C2299" s="64">
        <v>45043</v>
      </c>
      <c r="D2299" s="62">
        <v>22023001514</v>
      </c>
      <c r="E2299" s="44" t="s">
        <v>1285</v>
      </c>
      <c r="F2299" s="65">
        <v>150.91</v>
      </c>
      <c r="G2299" s="44" t="s">
        <v>2257</v>
      </c>
      <c r="H2299" s="44" t="s">
        <v>3845</v>
      </c>
      <c r="I2299" s="62" t="s">
        <v>1517</v>
      </c>
      <c r="J2299" s="44" t="s">
        <v>519</v>
      </c>
      <c r="K2299" s="44" t="s">
        <v>519</v>
      </c>
      <c r="L2299" s="44" t="s">
        <v>552</v>
      </c>
      <c r="M2299" s="44" t="s">
        <v>514</v>
      </c>
      <c r="N2299" s="44" t="s">
        <v>515</v>
      </c>
      <c r="O2299" s="45" t="s">
        <v>382</v>
      </c>
      <c r="P2299" s="45" t="s">
        <v>3760</v>
      </c>
      <c r="Q2299" s="59" t="str">
        <f>MID(Tabla1[[#This Row],[Aplicación]],14,1)</f>
        <v>2</v>
      </c>
      <c r="R2299" s="35" t="s">
        <v>298</v>
      </c>
      <c r="S2299" s="59" t="str">
        <f>MID(Tabla1[[#This Row],[Aplicación]],6,2)</f>
        <v>11</v>
      </c>
      <c r="T2299" s="35" t="str">
        <f>VLOOKUP(Tabla1[[#This Row],[AREA]],Hoja1!A:B,2,FALSE)</f>
        <v>11. Salud pública y seguridad ciudadana</v>
      </c>
      <c r="U2299" s="56" t="str">
        <f>MID(Tabla1[[#This Row],[Aplicación]],9,4)</f>
        <v>1361</v>
      </c>
      <c r="V2299" s="35" t="str">
        <f>VLOOKUP(Tabla1[[#This Row],[PROGRAMA]],Hoja1!A:B,2,FALSE)</f>
        <v>1361. Prevención y extinción de incencios</v>
      </c>
      <c r="W2299" s="56" t="str">
        <f>MID(Tabla1[[#This Row],[Aplicación]],14,2)</f>
        <v>22</v>
      </c>
      <c r="X2299" s="56" t="str">
        <f>MID(Tabla1[[#This Row],[Aplicación]],14,6)</f>
        <v>22199</v>
      </c>
    </row>
    <row r="2300" spans="1:24" x14ac:dyDescent="0.25">
      <c r="A2300" s="62">
        <v>220230018541</v>
      </c>
      <c r="B2300" s="44" t="s">
        <v>1514</v>
      </c>
      <c r="C2300" s="64">
        <v>45055</v>
      </c>
      <c r="D2300" s="62">
        <v>22023001462</v>
      </c>
      <c r="E2300" s="44" t="s">
        <v>1290</v>
      </c>
      <c r="F2300" s="65">
        <v>2737.17</v>
      </c>
      <c r="G2300" s="44" t="s">
        <v>2257</v>
      </c>
      <c r="H2300" s="44" t="s">
        <v>3846</v>
      </c>
      <c r="I2300" s="62" t="s">
        <v>1517</v>
      </c>
      <c r="J2300" s="44" t="s">
        <v>519</v>
      </c>
      <c r="K2300" s="44" t="s">
        <v>519</v>
      </c>
      <c r="L2300" s="44" t="s">
        <v>552</v>
      </c>
      <c r="M2300" s="44" t="s">
        <v>514</v>
      </c>
      <c r="N2300" s="44" t="s">
        <v>515</v>
      </c>
      <c r="O2300" s="45" t="s">
        <v>382</v>
      </c>
      <c r="P2300" s="45" t="s">
        <v>3760</v>
      </c>
      <c r="Q2300" s="59" t="str">
        <f>MID(Tabla1[[#This Row],[Aplicación]],14,1)</f>
        <v>2</v>
      </c>
      <c r="R2300" s="35" t="s">
        <v>298</v>
      </c>
      <c r="S2300" s="59" t="str">
        <f>MID(Tabla1[[#This Row],[Aplicación]],6,2)</f>
        <v>11</v>
      </c>
      <c r="T2300" s="35" t="str">
        <f>VLOOKUP(Tabla1[[#This Row],[AREA]],Hoja1!A:B,2,FALSE)</f>
        <v>11. Salud pública y seguridad ciudadana</v>
      </c>
      <c r="U2300" s="56" t="str">
        <f>MID(Tabla1[[#This Row],[Aplicación]],9,4)</f>
        <v>1621</v>
      </c>
      <c r="V2300" s="35" t="str">
        <f>VLOOKUP(Tabla1[[#This Row],[PROGRAMA]],Hoja1!A:B,2,FALSE)</f>
        <v>1621. Servicio de limpieza</v>
      </c>
      <c r="W2300" s="56" t="str">
        <f>MID(Tabla1[[#This Row],[Aplicación]],14,2)</f>
        <v>21</v>
      </c>
      <c r="X2300" s="56" t="str">
        <f>MID(Tabla1[[#This Row],[Aplicación]],14,6)</f>
        <v>214</v>
      </c>
    </row>
    <row r="2301" spans="1:24" x14ac:dyDescent="0.25">
      <c r="A2301" s="62">
        <v>220230026502</v>
      </c>
      <c r="B2301" s="44" t="s">
        <v>1514</v>
      </c>
      <c r="C2301" s="64">
        <v>45077</v>
      </c>
      <c r="D2301" s="62">
        <v>22023004052</v>
      </c>
      <c r="E2301" s="44" t="s">
        <v>1290</v>
      </c>
      <c r="F2301" s="65">
        <v>2387.3200000000002</v>
      </c>
      <c r="G2301" s="44" t="s">
        <v>2257</v>
      </c>
      <c r="H2301" s="44" t="s">
        <v>3847</v>
      </c>
      <c r="I2301" s="62" t="s">
        <v>1517</v>
      </c>
      <c r="J2301" s="44" t="s">
        <v>519</v>
      </c>
      <c r="K2301" s="44" t="s">
        <v>519</v>
      </c>
      <c r="L2301" s="44" t="s">
        <v>552</v>
      </c>
      <c r="M2301" s="44" t="s">
        <v>514</v>
      </c>
      <c r="N2301" s="44" t="s">
        <v>515</v>
      </c>
      <c r="O2301" s="45" t="s">
        <v>382</v>
      </c>
      <c r="P2301" s="45" t="s">
        <v>3760</v>
      </c>
      <c r="Q2301" s="59" t="str">
        <f>MID(Tabla1[[#This Row],[Aplicación]],14,1)</f>
        <v>2</v>
      </c>
      <c r="R2301" s="35" t="s">
        <v>298</v>
      </c>
      <c r="S2301" s="59" t="str">
        <f>MID(Tabla1[[#This Row],[Aplicación]],6,2)</f>
        <v>11</v>
      </c>
      <c r="T2301" s="35" t="str">
        <f>VLOOKUP(Tabla1[[#This Row],[AREA]],Hoja1!A:B,2,FALSE)</f>
        <v>11. Salud pública y seguridad ciudadana</v>
      </c>
      <c r="U2301" s="56" t="str">
        <f>MID(Tabla1[[#This Row],[Aplicación]],9,4)</f>
        <v>1621</v>
      </c>
      <c r="V2301" s="35" t="str">
        <f>VLOOKUP(Tabla1[[#This Row],[PROGRAMA]],Hoja1!A:B,2,FALSE)</f>
        <v>1621. Servicio de limpieza</v>
      </c>
      <c r="W2301" s="56" t="str">
        <f>MID(Tabla1[[#This Row],[Aplicación]],14,2)</f>
        <v>21</v>
      </c>
      <c r="X2301" s="56" t="str">
        <f>MID(Tabla1[[#This Row],[Aplicación]],14,6)</f>
        <v>214</v>
      </c>
    </row>
    <row r="2302" spans="1:24" x14ac:dyDescent="0.25">
      <c r="A2302" s="62">
        <v>220230016062</v>
      </c>
      <c r="B2302" s="44" t="s">
        <v>1514</v>
      </c>
      <c r="C2302" s="64">
        <v>45043</v>
      </c>
      <c r="D2302" s="62">
        <v>22023000263</v>
      </c>
      <c r="E2302" s="44" t="s">
        <v>3146</v>
      </c>
      <c r="F2302" s="65">
        <v>63.98</v>
      </c>
      <c r="G2302" s="44" t="s">
        <v>3848</v>
      </c>
      <c r="H2302" s="44" t="s">
        <v>3849</v>
      </c>
      <c r="I2302" s="62" t="s">
        <v>1517</v>
      </c>
      <c r="J2302" s="44" t="s">
        <v>1487</v>
      </c>
      <c r="K2302" s="44" t="s">
        <v>519</v>
      </c>
      <c r="L2302" s="44" t="s">
        <v>520</v>
      </c>
      <c r="M2302" s="44" t="s">
        <v>514</v>
      </c>
      <c r="N2302" s="44" t="s">
        <v>515</v>
      </c>
      <c r="O2302" s="45" t="s">
        <v>382</v>
      </c>
      <c r="P2302" s="45" t="s">
        <v>3760</v>
      </c>
      <c r="Q2302" s="59" t="str">
        <f>MID(Tabla1[[#This Row],[Aplicación]],14,1)</f>
        <v>2</v>
      </c>
      <c r="R2302" s="35" t="s">
        <v>298</v>
      </c>
      <c r="S2302" s="59" t="str">
        <f>MID(Tabla1[[#This Row],[Aplicación]],6,2)</f>
        <v>02</v>
      </c>
      <c r="T2302" s="35" t="str">
        <f>VLOOKUP(Tabla1[[#This Row],[AREA]],Hoja1!A:B,2,FALSE)</f>
        <v>02. Planeamiento urbanístico y vivienda</v>
      </c>
      <c r="U2302" s="56" t="str">
        <f>MID(Tabla1[[#This Row],[Aplicación]],9,4)</f>
        <v>9332</v>
      </c>
      <c r="V2302" s="35" t="str">
        <f>VLOOKUP(Tabla1[[#This Row],[PROGRAMA]],Hoja1!A:B,2,FALSE)</f>
        <v>9332. Mantenimiento de edificios e instalaciones municipales</v>
      </c>
      <c r="W2302" s="56" t="str">
        <f>MID(Tabla1[[#This Row],[Aplicación]],14,2)</f>
        <v>21</v>
      </c>
      <c r="X2302" s="56" t="str">
        <f>MID(Tabla1[[#This Row],[Aplicación]],14,6)</f>
        <v>214</v>
      </c>
    </row>
    <row r="2303" spans="1:24" x14ac:dyDescent="0.25">
      <c r="A2303" s="62">
        <v>220230018452</v>
      </c>
      <c r="B2303" s="44" t="s">
        <v>1514</v>
      </c>
      <c r="C2303" s="64">
        <v>45055</v>
      </c>
      <c r="D2303" s="62">
        <v>22023001956</v>
      </c>
      <c r="E2303" s="44" t="s">
        <v>1982</v>
      </c>
      <c r="F2303" s="65">
        <v>911.88</v>
      </c>
      <c r="G2303" s="44" t="s">
        <v>3848</v>
      </c>
      <c r="H2303" s="44" t="s">
        <v>3850</v>
      </c>
      <c r="I2303" s="62" t="s">
        <v>1517</v>
      </c>
      <c r="J2303" s="44" t="s">
        <v>1487</v>
      </c>
      <c r="K2303" s="44" t="s">
        <v>519</v>
      </c>
      <c r="L2303" s="44" t="s">
        <v>520</v>
      </c>
      <c r="M2303" s="44" t="s">
        <v>514</v>
      </c>
      <c r="N2303" s="44" t="s">
        <v>515</v>
      </c>
      <c r="O2303" s="45" t="s">
        <v>382</v>
      </c>
      <c r="P2303" s="45" t="s">
        <v>3760</v>
      </c>
      <c r="Q2303" s="59" t="str">
        <f>MID(Tabla1[[#This Row],[Aplicación]],14,1)</f>
        <v>2</v>
      </c>
      <c r="R2303" s="35" t="s">
        <v>298</v>
      </c>
      <c r="S2303" s="59" t="str">
        <f>MID(Tabla1[[#This Row],[Aplicación]],6,2)</f>
        <v>07</v>
      </c>
      <c r="T2303" s="35" t="str">
        <f>VLOOKUP(Tabla1[[#This Row],[AREA]],Hoja1!A:B,2,FALSE)</f>
        <v>07. Medio ambiente y desarrollo sostenible</v>
      </c>
      <c r="U2303" s="56" t="str">
        <f>MID(Tabla1[[#This Row],[Aplicación]],9,4)</f>
        <v>1711</v>
      </c>
      <c r="V2303" s="35" t="str">
        <f>VLOOKUP(Tabla1[[#This Row],[PROGRAMA]],Hoja1!A:B,2,FALSE)</f>
        <v>1711. Parques y jardines</v>
      </c>
      <c r="W2303" s="56" t="str">
        <f>MID(Tabla1[[#This Row],[Aplicación]],14,2)</f>
        <v>21</v>
      </c>
      <c r="X2303" s="56" t="str">
        <f>MID(Tabla1[[#This Row],[Aplicación]],14,6)</f>
        <v>214</v>
      </c>
    </row>
    <row r="2304" spans="1:24" x14ac:dyDescent="0.25">
      <c r="A2304" s="62">
        <v>220230018796</v>
      </c>
      <c r="B2304" s="44" t="s">
        <v>1514</v>
      </c>
      <c r="C2304" s="64">
        <v>45055</v>
      </c>
      <c r="D2304" s="62">
        <v>22023002310</v>
      </c>
      <c r="E2304" s="44" t="s">
        <v>709</v>
      </c>
      <c r="F2304" s="65">
        <v>144950.66</v>
      </c>
      <c r="G2304" s="44" t="s">
        <v>3766</v>
      </c>
      <c r="H2304" s="44" t="s">
        <v>3851</v>
      </c>
      <c r="I2304" s="62" t="s">
        <v>1517</v>
      </c>
      <c r="J2304" s="44" t="s">
        <v>1003</v>
      </c>
      <c r="K2304" s="44" t="s">
        <v>1003</v>
      </c>
      <c r="L2304" s="44" t="s">
        <v>520</v>
      </c>
      <c r="M2304" s="44" t="s">
        <v>514</v>
      </c>
      <c r="N2304" s="44" t="s">
        <v>515</v>
      </c>
      <c r="O2304" s="45" t="s">
        <v>371</v>
      </c>
      <c r="P2304" s="45" t="s">
        <v>3760</v>
      </c>
      <c r="Q2304" s="59" t="str">
        <f>MID(Tabla1[[#This Row],[Aplicación]],14,1)</f>
        <v>2</v>
      </c>
      <c r="R2304" s="35" t="s">
        <v>298</v>
      </c>
      <c r="S2304" s="59" t="str">
        <f>MID(Tabla1[[#This Row],[Aplicación]],6,2)</f>
        <v>07</v>
      </c>
      <c r="T2304" s="35" t="str">
        <f>VLOOKUP(Tabla1[[#This Row],[AREA]],Hoja1!A:B,2,FALSE)</f>
        <v>07. Medio ambiente y desarrollo sostenible</v>
      </c>
      <c r="U2304" s="56" t="str">
        <f>MID(Tabla1[[#This Row],[Aplicación]],9,4)</f>
        <v>1711</v>
      </c>
      <c r="V2304" s="35" t="str">
        <f>VLOOKUP(Tabla1[[#This Row],[PROGRAMA]],Hoja1!A:B,2,FALSE)</f>
        <v>1711. Parques y jardines</v>
      </c>
      <c r="W2304" s="56" t="str">
        <f>MID(Tabla1[[#This Row],[Aplicación]],14,2)</f>
        <v>22</v>
      </c>
      <c r="X2304" s="56" t="str">
        <f>MID(Tabla1[[#This Row],[Aplicación]],14,6)</f>
        <v>22799</v>
      </c>
    </row>
    <row r="2305" spans="1:24" x14ac:dyDescent="0.25">
      <c r="A2305" s="62">
        <v>220230020467</v>
      </c>
      <c r="B2305" s="44" t="s">
        <v>507</v>
      </c>
      <c r="C2305" s="64">
        <v>45057</v>
      </c>
      <c r="D2305" s="62">
        <v>22023004259</v>
      </c>
      <c r="E2305" s="44" t="s">
        <v>3852</v>
      </c>
      <c r="F2305" s="65">
        <v>4669.6499999999996</v>
      </c>
      <c r="G2305" s="44" t="s">
        <v>1163</v>
      </c>
      <c r="H2305" s="44" t="s">
        <v>3853</v>
      </c>
      <c r="I2305" s="62" t="s">
        <v>511</v>
      </c>
      <c r="J2305" s="44" t="s">
        <v>1165</v>
      </c>
      <c r="K2305" s="44" t="s">
        <v>837</v>
      </c>
      <c r="L2305" s="44" t="s">
        <v>520</v>
      </c>
      <c r="M2305" s="44" t="s">
        <v>514</v>
      </c>
      <c r="N2305" s="44" t="s">
        <v>515</v>
      </c>
      <c r="O2305" s="45" t="s">
        <v>382</v>
      </c>
      <c r="P2305" s="45" t="s">
        <v>3760</v>
      </c>
      <c r="Q2305" s="59" t="str">
        <f>MID(Tabla1[[#This Row],[Aplicación]],14,1)</f>
        <v>2</v>
      </c>
      <c r="R2305" s="35" t="s">
        <v>298</v>
      </c>
      <c r="S2305" s="59" t="str">
        <f>MID(Tabla1[[#This Row],[Aplicación]],6,2)</f>
        <v>08</v>
      </c>
      <c r="T2305" s="35" t="str">
        <f>VLOOKUP(Tabla1[[#This Row],[AREA]],Hoja1!A:B,2,FALSE)</f>
        <v>08. Movilidad y espacio urbano</v>
      </c>
      <c r="U2305" s="56" t="str">
        <f>MID(Tabla1[[#This Row],[Aplicación]],9,4)</f>
        <v>1532</v>
      </c>
      <c r="V2305" s="35" t="str">
        <f>VLOOKUP(Tabla1[[#This Row],[PROGRAMA]],Hoja1!A:B,2,FALSE)</f>
        <v>1532. Pavimentación vias públicas y otros servicios urbanísticos</v>
      </c>
      <c r="W2305" s="56" t="str">
        <f>MID(Tabla1[[#This Row],[Aplicación]],14,2)</f>
        <v>22</v>
      </c>
      <c r="X2305" s="56" t="str">
        <f>MID(Tabla1[[#This Row],[Aplicación]],14,6)</f>
        <v>22706</v>
      </c>
    </row>
    <row r="2306" spans="1:24" x14ac:dyDescent="0.25">
      <c r="A2306" s="62">
        <v>220220076570</v>
      </c>
      <c r="B2306" s="44" t="s">
        <v>507</v>
      </c>
      <c r="C2306" s="64">
        <v>45037</v>
      </c>
      <c r="D2306" s="62">
        <v>22022007456</v>
      </c>
      <c r="E2306" s="44" t="s">
        <v>3854</v>
      </c>
      <c r="F2306" s="65">
        <v>3446.65</v>
      </c>
      <c r="G2306" s="44" t="s">
        <v>1163</v>
      </c>
      <c r="H2306" s="44" t="s">
        <v>3855</v>
      </c>
      <c r="I2306" s="62" t="s">
        <v>511</v>
      </c>
      <c r="J2306" s="44" t="s">
        <v>1165</v>
      </c>
      <c r="K2306" s="44" t="s">
        <v>837</v>
      </c>
      <c r="L2306" s="44" t="s">
        <v>520</v>
      </c>
      <c r="M2306" s="44" t="s">
        <v>514</v>
      </c>
      <c r="N2306" s="44" t="s">
        <v>515</v>
      </c>
      <c r="O2306" s="45" t="s">
        <v>382</v>
      </c>
      <c r="P2306" s="45" t="s">
        <v>3760</v>
      </c>
      <c r="Q2306" s="59" t="str">
        <f>MID(Tabla1[[#This Row],[Aplicación]],14,1)</f>
        <v>6</v>
      </c>
      <c r="R2306" s="35" t="s">
        <v>299</v>
      </c>
      <c r="S2306" s="59" t="str">
        <f>MID(Tabla1[[#This Row],[Aplicación]],6,2)</f>
        <v>10</v>
      </c>
      <c r="T2306" s="35" t="str">
        <f>VLOOKUP(Tabla1[[#This Row],[AREA]],Hoja1!A:B,2,FALSE)</f>
        <v>10. Servicios sociales y mediación comunitaria</v>
      </c>
      <c r="U2306" s="56" t="str">
        <f>MID(Tabla1[[#This Row],[Aplicación]],9,4)</f>
        <v>2312</v>
      </c>
      <c r="V2306" s="35" t="str">
        <f>VLOOKUP(Tabla1[[#This Row],[PROGRAMA]],Hoja1!A:B,2,FALSE)</f>
        <v>2312. Iniciativas sociales</v>
      </c>
      <c r="W2306" s="56" t="str">
        <f>MID(Tabla1[[#This Row],[Aplicación]],14,2)</f>
        <v>63</v>
      </c>
      <c r="X2306" s="56" t="str">
        <f>MID(Tabla1[[#This Row],[Aplicación]],14,6)</f>
        <v>631</v>
      </c>
    </row>
    <row r="2307" spans="1:24" x14ac:dyDescent="0.25">
      <c r="A2307" s="62">
        <v>220220048067</v>
      </c>
      <c r="B2307" s="44" t="s">
        <v>507</v>
      </c>
      <c r="C2307" s="64">
        <v>45037</v>
      </c>
      <c r="D2307" s="62">
        <v>22022005416</v>
      </c>
      <c r="E2307" s="44" t="s">
        <v>3786</v>
      </c>
      <c r="F2307" s="65">
        <v>704.63</v>
      </c>
      <c r="G2307" s="44" t="s">
        <v>1163</v>
      </c>
      <c r="H2307" s="44" t="s">
        <v>3856</v>
      </c>
      <c r="I2307" s="62" t="s">
        <v>511</v>
      </c>
      <c r="J2307" s="44" t="s">
        <v>1165</v>
      </c>
      <c r="K2307" s="44" t="s">
        <v>837</v>
      </c>
      <c r="L2307" s="44" t="s">
        <v>520</v>
      </c>
      <c r="M2307" s="44" t="s">
        <v>514</v>
      </c>
      <c r="N2307" s="44" t="s">
        <v>515</v>
      </c>
      <c r="O2307" s="45" t="s">
        <v>382</v>
      </c>
      <c r="P2307" s="45" t="s">
        <v>3760</v>
      </c>
      <c r="Q2307" s="59" t="str">
        <f>MID(Tabla1[[#This Row],[Aplicación]],14,1)</f>
        <v>6</v>
      </c>
      <c r="R2307" s="35" t="s">
        <v>299</v>
      </c>
      <c r="S2307" s="59" t="str">
        <f>MID(Tabla1[[#This Row],[Aplicación]],6,2)</f>
        <v>10</v>
      </c>
      <c r="T2307" s="35" t="str">
        <f>VLOOKUP(Tabla1[[#This Row],[AREA]],Hoja1!A:B,2,FALSE)</f>
        <v>10. Servicios sociales y mediación comunitaria</v>
      </c>
      <c r="U2307" s="56" t="str">
        <f>MID(Tabla1[[#This Row],[Aplicación]],9,4)</f>
        <v>2312</v>
      </c>
      <c r="V2307" s="35" t="str">
        <f>VLOOKUP(Tabla1[[#This Row],[PROGRAMA]],Hoja1!A:B,2,FALSE)</f>
        <v>2312. Iniciativas sociales</v>
      </c>
      <c r="W2307" s="56" t="str">
        <f>MID(Tabla1[[#This Row],[Aplicación]],14,2)</f>
        <v>63</v>
      </c>
      <c r="X2307" s="56" t="str">
        <f>MID(Tabla1[[#This Row],[Aplicación]],14,6)</f>
        <v>632</v>
      </c>
    </row>
    <row r="2308" spans="1:24" x14ac:dyDescent="0.25">
      <c r="A2308" s="62">
        <v>220230020516</v>
      </c>
      <c r="B2308" s="44" t="s">
        <v>507</v>
      </c>
      <c r="C2308" s="64">
        <v>45058</v>
      </c>
      <c r="D2308" s="62">
        <v>22023004116</v>
      </c>
      <c r="E2308" s="44" t="s">
        <v>1093</v>
      </c>
      <c r="F2308" s="65">
        <v>18150</v>
      </c>
      <c r="G2308" s="44" t="s">
        <v>1094</v>
      </c>
      <c r="H2308" s="44" t="s">
        <v>3857</v>
      </c>
      <c r="I2308" s="62" t="s">
        <v>511</v>
      </c>
      <c r="J2308" s="44" t="s">
        <v>519</v>
      </c>
      <c r="K2308" s="44" t="s">
        <v>519</v>
      </c>
      <c r="L2308" s="44" t="s">
        <v>552</v>
      </c>
      <c r="M2308" s="44" t="s">
        <v>976</v>
      </c>
      <c r="N2308" s="44" t="s">
        <v>839</v>
      </c>
      <c r="O2308" s="45" t="s">
        <v>383</v>
      </c>
      <c r="P2308" s="45" t="s">
        <v>3760</v>
      </c>
      <c r="Q2308" s="59" t="str">
        <f>MID(Tabla1[[#This Row],[Aplicación]],14,1)</f>
        <v>2</v>
      </c>
      <c r="R2308" s="35" t="s">
        <v>298</v>
      </c>
      <c r="S2308" s="59" t="str">
        <f>MID(Tabla1[[#This Row],[Aplicación]],6,2)</f>
        <v>11</v>
      </c>
      <c r="T2308" s="35" t="str">
        <f>VLOOKUP(Tabla1[[#This Row],[AREA]],Hoja1!A:B,2,FALSE)</f>
        <v>11. Salud pública y seguridad ciudadana</v>
      </c>
      <c r="U2308" s="56" t="str">
        <f>MID(Tabla1[[#This Row],[Aplicación]],9,4)</f>
        <v>3111</v>
      </c>
      <c r="V2308" s="35" t="str">
        <f>VLOOKUP(Tabla1[[#This Row],[PROGRAMA]],Hoja1!A:B,2,FALSE)</f>
        <v>3111. Protección de la salubridad pública</v>
      </c>
      <c r="W2308" s="56" t="str">
        <f>MID(Tabla1[[#This Row],[Aplicación]],14,2)</f>
        <v>22</v>
      </c>
      <c r="X2308" s="56" t="str">
        <f>MID(Tabla1[[#This Row],[Aplicación]],14,6)</f>
        <v>22106</v>
      </c>
    </row>
    <row r="2309" spans="1:24" x14ac:dyDescent="0.25">
      <c r="A2309" s="62">
        <v>220230018148</v>
      </c>
      <c r="B2309" s="44" t="s">
        <v>507</v>
      </c>
      <c r="C2309" s="64">
        <v>45054</v>
      </c>
      <c r="D2309" s="62">
        <v>22023003405</v>
      </c>
      <c r="E2309" s="44" t="s">
        <v>1305</v>
      </c>
      <c r="F2309" s="65">
        <v>3260</v>
      </c>
      <c r="G2309" s="44" t="s">
        <v>488</v>
      </c>
      <c r="H2309" s="44" t="s">
        <v>3858</v>
      </c>
      <c r="I2309" s="62" t="s">
        <v>511</v>
      </c>
      <c r="J2309" s="44" t="s">
        <v>2242</v>
      </c>
      <c r="K2309" s="44" t="s">
        <v>519</v>
      </c>
      <c r="L2309" s="44" t="s">
        <v>552</v>
      </c>
      <c r="M2309" s="44" t="s">
        <v>976</v>
      </c>
      <c r="N2309" s="44" t="s">
        <v>839</v>
      </c>
      <c r="O2309" s="45" t="s">
        <v>383</v>
      </c>
      <c r="P2309" s="45" t="s">
        <v>3760</v>
      </c>
      <c r="Q2309" s="59" t="str">
        <f>MID(Tabla1[[#This Row],[Aplicación]],14,1)</f>
        <v>2</v>
      </c>
      <c r="R2309" s="35" t="s">
        <v>298</v>
      </c>
      <c r="S2309" s="59" t="str">
        <f>MID(Tabla1[[#This Row],[Aplicación]],6,2)</f>
        <v>06</v>
      </c>
      <c r="T2309" s="35" t="str">
        <f>VLOOKUP(Tabla1[[#This Row],[AREA]],Hoja1!A:B,2,FALSE)</f>
        <v>06. Educación, infancia, juventud e igualdad</v>
      </c>
      <c r="U2309" s="56" t="str">
        <f>MID(Tabla1[[#This Row],[Aplicación]],9,4)</f>
        <v>3232</v>
      </c>
      <c r="V2309" s="35" t="str">
        <f>VLOOKUP(Tabla1[[#This Row],[PROGRAMA]],Hoja1!A:B,2,FALSE)</f>
        <v>3232. Conservación y mantenimiento centros educación infantil y primaria</v>
      </c>
      <c r="W2309" s="56" t="str">
        <f>MID(Tabla1[[#This Row],[Aplicación]],14,2)</f>
        <v>21</v>
      </c>
      <c r="X2309" s="56" t="str">
        <f>MID(Tabla1[[#This Row],[Aplicación]],14,6)</f>
        <v>212</v>
      </c>
    </row>
    <row r="2310" spans="1:24" x14ac:dyDescent="0.25">
      <c r="A2310" s="62">
        <v>220230015967</v>
      </c>
      <c r="B2310" s="44" t="s">
        <v>507</v>
      </c>
      <c r="C2310" s="64">
        <v>45042</v>
      </c>
      <c r="D2310" s="62">
        <v>22023003992</v>
      </c>
      <c r="E2310" s="44" t="s">
        <v>1506</v>
      </c>
      <c r="F2310" s="65">
        <v>919.6</v>
      </c>
      <c r="G2310" s="44" t="s">
        <v>488</v>
      </c>
      <c r="H2310" s="44" t="s">
        <v>3859</v>
      </c>
      <c r="I2310" s="62" t="s">
        <v>511</v>
      </c>
      <c r="J2310" s="44" t="s">
        <v>2242</v>
      </c>
      <c r="K2310" s="44" t="s">
        <v>519</v>
      </c>
      <c r="L2310" s="44" t="s">
        <v>552</v>
      </c>
      <c r="M2310" s="44" t="s">
        <v>976</v>
      </c>
      <c r="N2310" s="44" t="s">
        <v>839</v>
      </c>
      <c r="O2310" s="45" t="s">
        <v>383</v>
      </c>
      <c r="P2310" s="45" t="s">
        <v>3760</v>
      </c>
      <c r="Q2310" s="59" t="str">
        <f>MID(Tabla1[[#This Row],[Aplicación]],14,1)</f>
        <v>2</v>
      </c>
      <c r="R2310" s="35" t="s">
        <v>298</v>
      </c>
      <c r="S2310" s="59" t="str">
        <f>MID(Tabla1[[#This Row],[Aplicación]],6,2)</f>
        <v>03</v>
      </c>
      <c r="T2310" s="35" t="str">
        <f>VLOOKUP(Tabla1[[#This Row],[AREA]],Hoja1!A:B,2,FALSE)</f>
        <v>03. Participación ciudadana y deportes</v>
      </c>
      <c r="U2310" s="56" t="str">
        <f>MID(Tabla1[[#This Row],[Aplicación]],9,4)</f>
        <v>9241</v>
      </c>
      <c r="V2310" s="35" t="str">
        <f>VLOOKUP(Tabla1[[#This Row],[PROGRAMA]],Hoja1!A:B,2,FALSE)</f>
        <v>9241. Participación ciudadana</v>
      </c>
      <c r="W2310" s="56" t="str">
        <f>MID(Tabla1[[#This Row],[Aplicación]],14,2)</f>
        <v>21</v>
      </c>
      <c r="X2310" s="56" t="str">
        <f>MID(Tabla1[[#This Row],[Aplicación]],14,6)</f>
        <v>212</v>
      </c>
    </row>
    <row r="2311" spans="1:24" x14ac:dyDescent="0.25">
      <c r="A2311" s="62">
        <v>220230016603</v>
      </c>
      <c r="B2311" s="44" t="s">
        <v>507</v>
      </c>
      <c r="C2311" s="64">
        <v>45043</v>
      </c>
      <c r="D2311" s="62">
        <v>22023003028</v>
      </c>
      <c r="E2311" s="44" t="s">
        <v>1326</v>
      </c>
      <c r="F2311" s="65">
        <v>16637.5</v>
      </c>
      <c r="G2311" s="44" t="s">
        <v>3860</v>
      </c>
      <c r="H2311" s="44" t="s">
        <v>3861</v>
      </c>
      <c r="I2311" s="62" t="s">
        <v>511</v>
      </c>
      <c r="J2311" s="44" t="s">
        <v>3862</v>
      </c>
      <c r="K2311" s="44" t="s">
        <v>3863</v>
      </c>
      <c r="L2311" s="44" t="s">
        <v>520</v>
      </c>
      <c r="M2311" s="44" t="s">
        <v>976</v>
      </c>
      <c r="N2311" s="44" t="s">
        <v>839</v>
      </c>
      <c r="O2311" s="45" t="s">
        <v>383</v>
      </c>
      <c r="P2311" s="45" t="s">
        <v>3760</v>
      </c>
      <c r="Q2311" s="59" t="str">
        <f>MID(Tabla1[[#This Row],[Aplicación]],14,1)</f>
        <v>2</v>
      </c>
      <c r="R2311" s="35" t="s">
        <v>298</v>
      </c>
      <c r="S2311" s="59" t="str">
        <f>MID(Tabla1[[#This Row],[Aplicación]],6,2)</f>
        <v>07</v>
      </c>
      <c r="T2311" s="35" t="str">
        <f>VLOOKUP(Tabla1[[#This Row],[AREA]],Hoja1!A:B,2,FALSE)</f>
        <v>07. Medio ambiente y desarrollo sostenible</v>
      </c>
      <c r="U2311" s="56" t="str">
        <f>MID(Tabla1[[#This Row],[Aplicación]],9,4)</f>
        <v>1701</v>
      </c>
      <c r="V2311" s="35" t="str">
        <f>VLOOKUP(Tabla1[[#This Row],[PROGRAMA]],Hoja1!A:B,2,FALSE)</f>
        <v>1701. Dirección del área de medio ambiente</v>
      </c>
      <c r="W2311" s="56" t="str">
        <f>MID(Tabla1[[#This Row],[Aplicación]],14,2)</f>
        <v>22</v>
      </c>
      <c r="X2311" s="56" t="str">
        <f>MID(Tabla1[[#This Row],[Aplicación]],14,6)</f>
        <v>22799</v>
      </c>
    </row>
    <row r="2312" spans="1:24" x14ac:dyDescent="0.25">
      <c r="A2312" s="62">
        <v>220220048067</v>
      </c>
      <c r="B2312" s="44" t="s">
        <v>507</v>
      </c>
      <c r="C2312" s="64">
        <v>45037</v>
      </c>
      <c r="D2312" s="62">
        <v>22022005417</v>
      </c>
      <c r="E2312" s="44" t="s">
        <v>3786</v>
      </c>
      <c r="F2312" s="65">
        <v>325.07</v>
      </c>
      <c r="G2312" s="44" t="s">
        <v>1163</v>
      </c>
      <c r="H2312" s="44" t="s">
        <v>3856</v>
      </c>
      <c r="I2312" s="62" t="s">
        <v>511</v>
      </c>
      <c r="J2312" s="44" t="s">
        <v>1165</v>
      </c>
      <c r="K2312" s="44" t="s">
        <v>837</v>
      </c>
      <c r="L2312" s="44" t="s">
        <v>520</v>
      </c>
      <c r="M2312" s="44" t="s">
        <v>514</v>
      </c>
      <c r="N2312" s="44" t="s">
        <v>515</v>
      </c>
      <c r="O2312" s="45" t="s">
        <v>382</v>
      </c>
      <c r="P2312" s="45" t="s">
        <v>3760</v>
      </c>
      <c r="Q2312" s="59" t="str">
        <f>MID(Tabla1[[#This Row],[Aplicación]],14,1)</f>
        <v>6</v>
      </c>
      <c r="R2312" s="35" t="s">
        <v>299</v>
      </c>
      <c r="S2312" s="59" t="str">
        <f>MID(Tabla1[[#This Row],[Aplicación]],6,2)</f>
        <v>10</v>
      </c>
      <c r="T2312" s="35" t="str">
        <f>VLOOKUP(Tabla1[[#This Row],[AREA]],Hoja1!A:B,2,FALSE)</f>
        <v>10. Servicios sociales y mediación comunitaria</v>
      </c>
      <c r="U2312" s="56" t="str">
        <f>MID(Tabla1[[#This Row],[Aplicación]],9,4)</f>
        <v>2312</v>
      </c>
      <c r="V2312" s="35" t="str">
        <f>VLOOKUP(Tabla1[[#This Row],[PROGRAMA]],Hoja1!A:B,2,FALSE)</f>
        <v>2312. Iniciativas sociales</v>
      </c>
      <c r="W2312" s="56" t="str">
        <f>MID(Tabla1[[#This Row],[Aplicación]],14,2)</f>
        <v>63</v>
      </c>
      <c r="X2312" s="56" t="str">
        <f>MID(Tabla1[[#This Row],[Aplicación]],14,6)</f>
        <v>632</v>
      </c>
    </row>
    <row r="2313" spans="1:24" x14ac:dyDescent="0.25">
      <c r="A2313" s="62">
        <v>220230022622</v>
      </c>
      <c r="B2313" s="44" t="s">
        <v>1337</v>
      </c>
      <c r="C2313" s="64">
        <v>45068</v>
      </c>
      <c r="D2313" s="62">
        <v>22023003676</v>
      </c>
      <c r="E2313" s="44" t="s">
        <v>1783</v>
      </c>
      <c r="F2313" s="65">
        <v>-1503.37</v>
      </c>
      <c r="G2313" s="44" t="s">
        <v>409</v>
      </c>
      <c r="H2313" s="44" t="s">
        <v>3864</v>
      </c>
      <c r="I2313" s="62" t="s">
        <v>511</v>
      </c>
      <c r="J2313" s="44" t="s">
        <v>519</v>
      </c>
      <c r="K2313" s="44" t="s">
        <v>519</v>
      </c>
      <c r="L2313" s="44" t="s">
        <v>520</v>
      </c>
      <c r="M2313" s="44" t="s">
        <v>976</v>
      </c>
      <c r="N2313" s="44" t="s">
        <v>839</v>
      </c>
      <c r="O2313" s="45" t="s">
        <v>383</v>
      </c>
      <c r="P2313" s="45" t="s">
        <v>3760</v>
      </c>
      <c r="Q2313" s="59" t="str">
        <f>MID(Tabla1[[#This Row],[Aplicación]],14,1)</f>
        <v>2</v>
      </c>
      <c r="R2313" s="35" t="s">
        <v>298</v>
      </c>
      <c r="S2313" s="59" t="str">
        <f>MID(Tabla1[[#This Row],[Aplicación]],6,2)</f>
        <v>07</v>
      </c>
      <c r="T2313" s="35" t="str">
        <f>VLOOKUP(Tabla1[[#This Row],[AREA]],Hoja1!A:B,2,FALSE)</f>
        <v>07. Medio ambiente y desarrollo sostenible</v>
      </c>
      <c r="U2313" s="56" t="str">
        <f>MID(Tabla1[[#This Row],[Aplicación]],9,4)</f>
        <v>1701</v>
      </c>
      <c r="V2313" s="35" t="str">
        <f>VLOOKUP(Tabla1[[#This Row],[PROGRAMA]],Hoja1!A:B,2,FALSE)</f>
        <v>1701. Dirección del área de medio ambiente</v>
      </c>
      <c r="W2313" s="56" t="str">
        <f>MID(Tabla1[[#This Row],[Aplicación]],14,2)</f>
        <v>22</v>
      </c>
      <c r="X2313" s="56" t="str">
        <f>MID(Tabla1[[#This Row],[Aplicación]],14,6)</f>
        <v>22699</v>
      </c>
    </row>
    <row r="2314" spans="1:24" x14ac:dyDescent="0.25">
      <c r="A2314" s="62">
        <v>220230021932</v>
      </c>
      <c r="B2314" s="44" t="s">
        <v>507</v>
      </c>
      <c r="C2314" s="64">
        <v>45064</v>
      </c>
      <c r="D2314" s="62">
        <v>22023004546</v>
      </c>
      <c r="E2314" s="44" t="s">
        <v>1150</v>
      </c>
      <c r="F2314" s="65">
        <v>253.27</v>
      </c>
      <c r="G2314" s="44" t="s">
        <v>39</v>
      </c>
      <c r="H2314" s="44" t="s">
        <v>3865</v>
      </c>
      <c r="I2314" s="62" t="s">
        <v>511</v>
      </c>
      <c r="J2314" s="44" t="s">
        <v>1152</v>
      </c>
      <c r="K2314" s="44" t="s">
        <v>771</v>
      </c>
      <c r="L2314" s="44" t="s">
        <v>552</v>
      </c>
      <c r="M2314" s="44" t="s">
        <v>976</v>
      </c>
      <c r="N2314" s="44" t="s">
        <v>839</v>
      </c>
      <c r="O2314" s="45" t="s">
        <v>383</v>
      </c>
      <c r="P2314" s="45" t="s">
        <v>3760</v>
      </c>
      <c r="Q2314" s="59" t="str">
        <f>MID(Tabla1[[#This Row],[Aplicación]],14,1)</f>
        <v>2</v>
      </c>
      <c r="R2314" s="35" t="s">
        <v>298</v>
      </c>
      <c r="S2314" s="59" t="str">
        <f>MID(Tabla1[[#This Row],[Aplicación]],6,2)</f>
        <v>03</v>
      </c>
      <c r="T2314" s="35" t="str">
        <f>VLOOKUP(Tabla1[[#This Row],[AREA]],Hoja1!A:B,2,FALSE)</f>
        <v>03. Participación ciudadana y deportes</v>
      </c>
      <c r="U2314" s="56" t="str">
        <f>MID(Tabla1[[#This Row],[Aplicación]],9,4)</f>
        <v>9241</v>
      </c>
      <c r="V2314" s="35" t="str">
        <f>VLOOKUP(Tabla1[[#This Row],[PROGRAMA]],Hoja1!A:B,2,FALSE)</f>
        <v>9241. Participación ciudadana</v>
      </c>
      <c r="W2314" s="56" t="str">
        <f>MID(Tabla1[[#This Row],[Aplicación]],14,2)</f>
        <v>21</v>
      </c>
      <c r="X2314" s="56" t="str">
        <f>MID(Tabla1[[#This Row],[Aplicación]],14,6)</f>
        <v>213</v>
      </c>
    </row>
    <row r="2315" spans="1:24" x14ac:dyDescent="0.25">
      <c r="A2315" s="62">
        <v>220230013750</v>
      </c>
      <c r="B2315" s="44" t="s">
        <v>507</v>
      </c>
      <c r="C2315" s="64">
        <v>45027</v>
      </c>
      <c r="D2315" s="62">
        <v>22023003807</v>
      </c>
      <c r="E2315" s="44" t="s">
        <v>613</v>
      </c>
      <c r="F2315" s="65">
        <v>292.82</v>
      </c>
      <c r="G2315" s="44" t="s">
        <v>15</v>
      </c>
      <c r="H2315" s="44" t="s">
        <v>3866</v>
      </c>
      <c r="I2315" s="62" t="s">
        <v>511</v>
      </c>
      <c r="J2315" s="44" t="s">
        <v>519</v>
      </c>
      <c r="K2315" s="44" t="s">
        <v>519</v>
      </c>
      <c r="L2315" s="44" t="s">
        <v>520</v>
      </c>
      <c r="M2315" s="44" t="s">
        <v>976</v>
      </c>
      <c r="N2315" s="44" t="s">
        <v>839</v>
      </c>
      <c r="O2315" s="45" t="s">
        <v>383</v>
      </c>
      <c r="P2315" s="45" t="s">
        <v>3760</v>
      </c>
      <c r="Q2315" s="59" t="str">
        <f>MID(Tabla1[[#This Row],[Aplicación]],14,1)</f>
        <v>2</v>
      </c>
      <c r="R2315" s="35" t="s">
        <v>298</v>
      </c>
      <c r="S2315" s="59" t="str">
        <f>MID(Tabla1[[#This Row],[Aplicación]],6,2)</f>
        <v>10</v>
      </c>
      <c r="T2315" s="35" t="str">
        <f>VLOOKUP(Tabla1[[#This Row],[AREA]],Hoja1!A:B,2,FALSE)</f>
        <v>10. Servicios sociales y mediación comunitaria</v>
      </c>
      <c r="U2315" s="56" t="str">
        <f>MID(Tabla1[[#This Row],[Aplicación]],9,4)</f>
        <v>2312</v>
      </c>
      <c r="V2315" s="35" t="str">
        <f>VLOOKUP(Tabla1[[#This Row],[PROGRAMA]],Hoja1!A:B,2,FALSE)</f>
        <v>2312. Iniciativas sociales</v>
      </c>
      <c r="W2315" s="56" t="str">
        <f>MID(Tabla1[[#This Row],[Aplicación]],14,2)</f>
        <v>21</v>
      </c>
      <c r="X2315" s="56" t="str">
        <f>MID(Tabla1[[#This Row],[Aplicación]],14,6)</f>
        <v>213</v>
      </c>
    </row>
    <row r="2316" spans="1:24" x14ac:dyDescent="0.25">
      <c r="A2316" s="62">
        <v>220230020785</v>
      </c>
      <c r="B2316" s="44" t="s">
        <v>507</v>
      </c>
      <c r="C2316" s="64">
        <v>45062</v>
      </c>
      <c r="D2316" s="62">
        <v>22023004406</v>
      </c>
      <c r="E2316" s="44" t="s">
        <v>613</v>
      </c>
      <c r="F2316" s="65">
        <v>218.63</v>
      </c>
      <c r="G2316" s="44" t="s">
        <v>15</v>
      </c>
      <c r="H2316" s="44" t="s">
        <v>3867</v>
      </c>
      <c r="I2316" s="62" t="s">
        <v>511</v>
      </c>
      <c r="J2316" s="44" t="s">
        <v>519</v>
      </c>
      <c r="K2316" s="44" t="s">
        <v>519</v>
      </c>
      <c r="L2316" s="44" t="s">
        <v>552</v>
      </c>
      <c r="M2316" s="44" t="s">
        <v>976</v>
      </c>
      <c r="N2316" s="44" t="s">
        <v>839</v>
      </c>
      <c r="O2316" s="45" t="s">
        <v>383</v>
      </c>
      <c r="P2316" s="45" t="s">
        <v>3760</v>
      </c>
      <c r="Q2316" s="59" t="str">
        <f>MID(Tabla1[[#This Row],[Aplicación]],14,1)</f>
        <v>2</v>
      </c>
      <c r="R2316" s="35" t="s">
        <v>298</v>
      </c>
      <c r="S2316" s="59" t="str">
        <f>MID(Tabla1[[#This Row],[Aplicación]],6,2)</f>
        <v>10</v>
      </c>
      <c r="T2316" s="35" t="str">
        <f>VLOOKUP(Tabla1[[#This Row],[AREA]],Hoja1!A:B,2,FALSE)</f>
        <v>10. Servicios sociales y mediación comunitaria</v>
      </c>
      <c r="U2316" s="56" t="str">
        <f>MID(Tabla1[[#This Row],[Aplicación]],9,4)</f>
        <v>2312</v>
      </c>
      <c r="V2316" s="35" t="str">
        <f>VLOOKUP(Tabla1[[#This Row],[PROGRAMA]],Hoja1!A:B,2,FALSE)</f>
        <v>2312. Iniciativas sociales</v>
      </c>
      <c r="W2316" s="56" t="str">
        <f>MID(Tabla1[[#This Row],[Aplicación]],14,2)</f>
        <v>21</v>
      </c>
      <c r="X2316" s="56" t="str">
        <f>MID(Tabla1[[#This Row],[Aplicación]],14,6)</f>
        <v>213</v>
      </c>
    </row>
    <row r="2317" spans="1:24" x14ac:dyDescent="0.25">
      <c r="A2317" s="62">
        <v>220230026203</v>
      </c>
      <c r="B2317" s="44" t="s">
        <v>1514</v>
      </c>
      <c r="C2317" s="64">
        <v>45077</v>
      </c>
      <c r="D2317" s="62">
        <v>22023003935</v>
      </c>
      <c r="E2317" s="44" t="s">
        <v>741</v>
      </c>
      <c r="F2317" s="65">
        <v>2281.9499999999998</v>
      </c>
      <c r="G2317" s="44" t="s">
        <v>3868</v>
      </c>
      <c r="H2317" s="44" t="s">
        <v>3869</v>
      </c>
      <c r="I2317" s="62" t="s">
        <v>1517</v>
      </c>
      <c r="J2317" s="44" t="s">
        <v>3870</v>
      </c>
      <c r="K2317" s="44" t="s">
        <v>519</v>
      </c>
      <c r="L2317" s="44" t="s">
        <v>552</v>
      </c>
      <c r="M2317" s="44" t="s">
        <v>514</v>
      </c>
      <c r="N2317" s="44" t="s">
        <v>515</v>
      </c>
      <c r="O2317" s="45" t="s">
        <v>382</v>
      </c>
      <c r="P2317" s="45" t="s">
        <v>3760</v>
      </c>
      <c r="Q2317" s="59" t="str">
        <f>MID(Tabla1[[#This Row],[Aplicación]],14,1)</f>
        <v>6</v>
      </c>
      <c r="R2317" s="35" t="s">
        <v>299</v>
      </c>
      <c r="S2317" s="59" t="str">
        <f>MID(Tabla1[[#This Row],[Aplicación]],6,2)</f>
        <v>07</v>
      </c>
      <c r="T2317" s="35" t="str">
        <f>VLOOKUP(Tabla1[[#This Row],[AREA]],Hoja1!A:B,2,FALSE)</f>
        <v>07. Medio ambiente y desarrollo sostenible</v>
      </c>
      <c r="U2317" s="56" t="str">
        <f>MID(Tabla1[[#This Row],[Aplicación]],9,4)</f>
        <v>1711</v>
      </c>
      <c r="V2317" s="35" t="str">
        <f>VLOOKUP(Tabla1[[#This Row],[PROGRAMA]],Hoja1!A:B,2,FALSE)</f>
        <v>1711. Parques y jardines</v>
      </c>
      <c r="W2317" s="56" t="str">
        <f>MID(Tabla1[[#This Row],[Aplicación]],14,2)</f>
        <v>61</v>
      </c>
      <c r="X2317" s="56" t="str">
        <f>MID(Tabla1[[#This Row],[Aplicación]],14,6)</f>
        <v>619</v>
      </c>
    </row>
    <row r="2318" spans="1:24" x14ac:dyDescent="0.25">
      <c r="A2318" s="62">
        <v>220230015101</v>
      </c>
      <c r="B2318" s="44" t="s">
        <v>507</v>
      </c>
      <c r="C2318" s="64">
        <v>45041</v>
      </c>
      <c r="D2318" s="62">
        <v>22023003862</v>
      </c>
      <c r="E2318" s="44" t="s">
        <v>613</v>
      </c>
      <c r="F2318" s="65">
        <v>169.32</v>
      </c>
      <c r="G2318" s="44" t="s">
        <v>15</v>
      </c>
      <c r="H2318" s="44" t="s">
        <v>3871</v>
      </c>
      <c r="I2318" s="62" t="s">
        <v>511</v>
      </c>
      <c r="J2318" s="44" t="s">
        <v>519</v>
      </c>
      <c r="K2318" s="44" t="s">
        <v>519</v>
      </c>
      <c r="L2318" s="44" t="s">
        <v>552</v>
      </c>
      <c r="M2318" s="44" t="s">
        <v>976</v>
      </c>
      <c r="N2318" s="44" t="s">
        <v>839</v>
      </c>
      <c r="O2318" s="45" t="s">
        <v>383</v>
      </c>
      <c r="P2318" s="45" t="s">
        <v>3760</v>
      </c>
      <c r="Q2318" s="59" t="str">
        <f>MID(Tabla1[[#This Row],[Aplicación]],14,1)</f>
        <v>2</v>
      </c>
      <c r="R2318" s="35" t="s">
        <v>298</v>
      </c>
      <c r="S2318" s="59" t="str">
        <f>MID(Tabla1[[#This Row],[Aplicación]],6,2)</f>
        <v>10</v>
      </c>
      <c r="T2318" s="35" t="str">
        <f>VLOOKUP(Tabla1[[#This Row],[AREA]],Hoja1!A:B,2,FALSE)</f>
        <v>10. Servicios sociales y mediación comunitaria</v>
      </c>
      <c r="U2318" s="56" t="str">
        <f>MID(Tabla1[[#This Row],[Aplicación]],9,4)</f>
        <v>2312</v>
      </c>
      <c r="V2318" s="35" t="str">
        <f>VLOOKUP(Tabla1[[#This Row],[PROGRAMA]],Hoja1!A:B,2,FALSE)</f>
        <v>2312. Iniciativas sociales</v>
      </c>
      <c r="W2318" s="56" t="str">
        <f>MID(Tabla1[[#This Row],[Aplicación]],14,2)</f>
        <v>21</v>
      </c>
      <c r="X2318" s="56" t="str">
        <f>MID(Tabla1[[#This Row],[Aplicación]],14,6)</f>
        <v>213</v>
      </c>
    </row>
    <row r="2319" spans="1:24" x14ac:dyDescent="0.25">
      <c r="A2319" s="62">
        <v>220230015995</v>
      </c>
      <c r="B2319" s="44" t="s">
        <v>1337</v>
      </c>
      <c r="C2319" s="64">
        <v>45042</v>
      </c>
      <c r="D2319" s="62">
        <v>22023001263</v>
      </c>
      <c r="E2319" s="44" t="s">
        <v>613</v>
      </c>
      <c r="F2319" s="65">
        <v>-1759.84</v>
      </c>
      <c r="G2319" s="44" t="s">
        <v>15</v>
      </c>
      <c r="H2319" s="44" t="s">
        <v>1161</v>
      </c>
      <c r="I2319" s="62" t="s">
        <v>511</v>
      </c>
      <c r="J2319" s="44" t="s">
        <v>519</v>
      </c>
      <c r="K2319" s="44" t="s">
        <v>519</v>
      </c>
      <c r="L2319" s="44" t="s">
        <v>520</v>
      </c>
      <c r="M2319" s="44" t="s">
        <v>976</v>
      </c>
      <c r="N2319" s="44" t="s">
        <v>839</v>
      </c>
      <c r="O2319" s="45" t="s">
        <v>383</v>
      </c>
      <c r="P2319" s="45" t="s">
        <v>3760</v>
      </c>
      <c r="Q2319" s="59" t="str">
        <f>MID(Tabla1[[#This Row],[Aplicación]],14,1)</f>
        <v>2</v>
      </c>
      <c r="R2319" s="35" t="s">
        <v>298</v>
      </c>
      <c r="S2319" s="59" t="str">
        <f>MID(Tabla1[[#This Row],[Aplicación]],6,2)</f>
        <v>10</v>
      </c>
      <c r="T2319" s="35" t="str">
        <f>VLOOKUP(Tabla1[[#This Row],[AREA]],Hoja1!A:B,2,FALSE)</f>
        <v>10. Servicios sociales y mediación comunitaria</v>
      </c>
      <c r="U2319" s="56" t="str">
        <f>MID(Tabla1[[#This Row],[Aplicación]],9,4)</f>
        <v>2312</v>
      </c>
      <c r="V2319" s="35" t="str">
        <f>VLOOKUP(Tabla1[[#This Row],[PROGRAMA]],Hoja1!A:B,2,FALSE)</f>
        <v>2312. Iniciativas sociales</v>
      </c>
      <c r="W2319" s="56" t="str">
        <f>MID(Tabla1[[#This Row],[Aplicación]],14,2)</f>
        <v>21</v>
      </c>
      <c r="X2319" s="56" t="str">
        <f>MID(Tabla1[[#This Row],[Aplicación]],14,6)</f>
        <v>213</v>
      </c>
    </row>
    <row r="2320" spans="1:24" x14ac:dyDescent="0.25">
      <c r="A2320" s="62">
        <v>220230015095</v>
      </c>
      <c r="B2320" s="44" t="s">
        <v>507</v>
      </c>
      <c r="C2320" s="64">
        <v>45041</v>
      </c>
      <c r="D2320" s="62">
        <v>22023003819</v>
      </c>
      <c r="E2320" s="44" t="s">
        <v>1479</v>
      </c>
      <c r="F2320" s="65">
        <v>500</v>
      </c>
      <c r="G2320" s="44" t="s">
        <v>475</v>
      </c>
      <c r="H2320" s="44" t="s">
        <v>3872</v>
      </c>
      <c r="I2320" s="62" t="s">
        <v>511</v>
      </c>
      <c r="J2320" s="44" t="s">
        <v>519</v>
      </c>
      <c r="K2320" s="44" t="s">
        <v>519</v>
      </c>
      <c r="L2320" s="44" t="s">
        <v>520</v>
      </c>
      <c r="M2320" s="44" t="s">
        <v>976</v>
      </c>
      <c r="N2320" s="44" t="s">
        <v>839</v>
      </c>
      <c r="O2320" s="45" t="s">
        <v>383</v>
      </c>
      <c r="P2320" s="45" t="s">
        <v>3760</v>
      </c>
      <c r="Q2320" s="59" t="str">
        <f>MID(Tabla1[[#This Row],[Aplicación]],14,1)</f>
        <v>2</v>
      </c>
      <c r="R2320" s="35" t="s">
        <v>298</v>
      </c>
      <c r="S2320" s="59" t="str">
        <f>MID(Tabla1[[#This Row],[Aplicación]],6,2)</f>
        <v>03</v>
      </c>
      <c r="T2320" s="35" t="str">
        <f>VLOOKUP(Tabla1[[#This Row],[AREA]],Hoja1!A:B,2,FALSE)</f>
        <v>03. Participación ciudadana y deportes</v>
      </c>
      <c r="U2320" s="56" t="str">
        <f>MID(Tabla1[[#This Row],[Aplicación]],9,4)</f>
        <v>9241</v>
      </c>
      <c r="V2320" s="35" t="str">
        <f>VLOOKUP(Tabla1[[#This Row],[PROGRAMA]],Hoja1!A:B,2,FALSE)</f>
        <v>9241. Participación ciudadana</v>
      </c>
      <c r="W2320" s="56" t="str">
        <f>MID(Tabla1[[#This Row],[Aplicación]],14,2)</f>
        <v>22</v>
      </c>
      <c r="X2320" s="56" t="str">
        <f>MID(Tabla1[[#This Row],[Aplicación]],14,6)</f>
        <v>22609</v>
      </c>
    </row>
    <row r="2321" spans="1:24" x14ac:dyDescent="0.25">
      <c r="A2321" s="62">
        <v>220230024878</v>
      </c>
      <c r="B2321" s="44" t="s">
        <v>507</v>
      </c>
      <c r="C2321" s="64">
        <v>45070</v>
      </c>
      <c r="D2321" s="62">
        <v>22023004567</v>
      </c>
      <c r="E2321" s="44" t="s">
        <v>3342</v>
      </c>
      <c r="F2321" s="65">
        <v>11979</v>
      </c>
      <c r="G2321" s="44" t="s">
        <v>3873</v>
      </c>
      <c r="H2321" s="44" t="s">
        <v>3874</v>
      </c>
      <c r="I2321" s="62" t="s">
        <v>511</v>
      </c>
      <c r="J2321" s="44" t="s">
        <v>519</v>
      </c>
      <c r="K2321" s="44" t="s">
        <v>519</v>
      </c>
      <c r="L2321" s="44" t="s">
        <v>520</v>
      </c>
      <c r="M2321" s="44" t="s">
        <v>976</v>
      </c>
      <c r="N2321" s="44" t="s">
        <v>839</v>
      </c>
      <c r="O2321" s="45" t="s">
        <v>383</v>
      </c>
      <c r="P2321" s="45" t="s">
        <v>3760</v>
      </c>
      <c r="Q2321" s="59" t="str">
        <f>MID(Tabla1[[#This Row],[Aplicación]],14,1)</f>
        <v>2</v>
      </c>
      <c r="R2321" s="35" t="s">
        <v>298</v>
      </c>
      <c r="S2321" s="59" t="str">
        <f>MID(Tabla1[[#This Row],[Aplicación]],6,2)</f>
        <v>07</v>
      </c>
      <c r="T2321" s="35" t="str">
        <f>VLOOKUP(Tabla1[[#This Row],[AREA]],Hoja1!A:B,2,FALSE)</f>
        <v>07. Medio ambiente y desarrollo sostenible</v>
      </c>
      <c r="U2321" s="56" t="str">
        <f>MID(Tabla1[[#This Row],[Aplicación]],9,4)</f>
        <v>1701</v>
      </c>
      <c r="V2321" s="35" t="str">
        <f>VLOOKUP(Tabla1[[#This Row],[PROGRAMA]],Hoja1!A:B,2,FALSE)</f>
        <v>1701. Dirección del área de medio ambiente</v>
      </c>
      <c r="W2321" s="56" t="str">
        <f>MID(Tabla1[[#This Row],[Aplicación]],14,2)</f>
        <v>22</v>
      </c>
      <c r="X2321" s="56" t="str">
        <f>MID(Tabla1[[#This Row],[Aplicación]],14,6)</f>
        <v>22706</v>
      </c>
    </row>
    <row r="2322" spans="1:24" x14ac:dyDescent="0.25">
      <c r="A2322" s="62">
        <v>220230015358</v>
      </c>
      <c r="B2322" s="44" t="s">
        <v>507</v>
      </c>
      <c r="C2322" s="64">
        <v>45041</v>
      </c>
      <c r="D2322" s="62">
        <v>22023003888</v>
      </c>
      <c r="E2322" s="44" t="s">
        <v>1183</v>
      </c>
      <c r="F2322" s="65">
        <v>1500</v>
      </c>
      <c r="G2322" s="44" t="s">
        <v>3875</v>
      </c>
      <c r="H2322" s="44" t="s">
        <v>3876</v>
      </c>
      <c r="I2322" s="62" t="s">
        <v>511</v>
      </c>
      <c r="J2322" s="44" t="s">
        <v>519</v>
      </c>
      <c r="K2322" s="44" t="s">
        <v>519</v>
      </c>
      <c r="L2322" s="44" t="s">
        <v>652</v>
      </c>
      <c r="M2322" s="44" t="s">
        <v>976</v>
      </c>
      <c r="N2322" s="44" t="s">
        <v>839</v>
      </c>
      <c r="O2322" s="45" t="s">
        <v>383</v>
      </c>
      <c r="P2322" s="45" t="s">
        <v>3760</v>
      </c>
      <c r="Q2322" s="59" t="str">
        <f>MID(Tabla1[[#This Row],[Aplicación]],14,1)</f>
        <v>2</v>
      </c>
      <c r="R2322" s="35" t="s">
        <v>298</v>
      </c>
      <c r="S2322" s="59" t="str">
        <f>MID(Tabla1[[#This Row],[Aplicación]],6,2)</f>
        <v>09</v>
      </c>
      <c r="T2322" s="35" t="str">
        <f>VLOOKUP(Tabla1[[#This Row],[AREA]],Hoja1!A:B,2,FALSE)</f>
        <v>09. Cultura y turismo</v>
      </c>
      <c r="U2322" s="56" t="str">
        <f>MID(Tabla1[[#This Row],[Aplicación]],9,4)</f>
        <v>3341</v>
      </c>
      <c r="V2322" s="35" t="str">
        <f>VLOOKUP(Tabla1[[#This Row],[PROGRAMA]],Hoja1!A:B,2,FALSE)</f>
        <v>3341. Coordinación de políticas culturales</v>
      </c>
      <c r="W2322" s="56" t="str">
        <f>MID(Tabla1[[#This Row],[Aplicación]],14,2)</f>
        <v>22</v>
      </c>
      <c r="X2322" s="56" t="str">
        <f>MID(Tabla1[[#This Row],[Aplicación]],14,6)</f>
        <v>22602</v>
      </c>
    </row>
    <row r="2323" spans="1:24" x14ac:dyDescent="0.25">
      <c r="A2323" s="62">
        <v>220230016847</v>
      </c>
      <c r="B2323" s="44" t="s">
        <v>507</v>
      </c>
      <c r="C2323" s="64">
        <v>45048</v>
      </c>
      <c r="D2323" s="62">
        <v>22023004159</v>
      </c>
      <c r="E2323" s="44" t="s">
        <v>3877</v>
      </c>
      <c r="F2323" s="65">
        <v>1818</v>
      </c>
      <c r="G2323" s="44" t="s">
        <v>3878</v>
      </c>
      <c r="H2323" s="44" t="s">
        <v>3879</v>
      </c>
      <c r="I2323" s="62" t="s">
        <v>511</v>
      </c>
      <c r="J2323" s="44" t="s">
        <v>519</v>
      </c>
      <c r="K2323" s="44" t="s">
        <v>519</v>
      </c>
      <c r="L2323" s="44" t="s">
        <v>520</v>
      </c>
      <c r="M2323" s="44" t="s">
        <v>976</v>
      </c>
      <c r="N2323" s="44" t="s">
        <v>839</v>
      </c>
      <c r="O2323" s="45" t="s">
        <v>383</v>
      </c>
      <c r="P2323" s="45" t="s">
        <v>3760</v>
      </c>
      <c r="Q2323" s="59" t="str">
        <f>MID(Tabla1[[#This Row],[Aplicación]],14,1)</f>
        <v>2</v>
      </c>
      <c r="R2323" s="35" t="s">
        <v>298</v>
      </c>
      <c r="S2323" s="59" t="str">
        <f>MID(Tabla1[[#This Row],[Aplicación]],6,2)</f>
        <v>10</v>
      </c>
      <c r="T2323" s="35" t="str">
        <f>VLOOKUP(Tabla1[[#This Row],[AREA]],Hoja1!A:B,2,FALSE)</f>
        <v>10. Servicios sociales y mediación comunitaria</v>
      </c>
      <c r="U2323" s="56" t="str">
        <f>MID(Tabla1[[#This Row],[Aplicación]],9,4)</f>
        <v>2312</v>
      </c>
      <c r="V2323" s="35" t="str">
        <f>VLOOKUP(Tabla1[[#This Row],[PROGRAMA]],Hoja1!A:B,2,FALSE)</f>
        <v>2312. Iniciativas sociales</v>
      </c>
      <c r="W2323" s="56" t="str">
        <f>MID(Tabla1[[#This Row],[Aplicación]],14,2)</f>
        <v>22</v>
      </c>
      <c r="X2323" s="56" t="str">
        <f>MID(Tabla1[[#This Row],[Aplicación]],14,6)</f>
        <v>22612</v>
      </c>
    </row>
    <row r="2324" spans="1:24" x14ac:dyDescent="0.25">
      <c r="A2324" s="62">
        <v>220230015948</v>
      </c>
      <c r="B2324" s="44" t="s">
        <v>507</v>
      </c>
      <c r="C2324" s="64">
        <v>45042</v>
      </c>
      <c r="D2324" s="62">
        <v>22023003939</v>
      </c>
      <c r="E2324" s="44" t="s">
        <v>1479</v>
      </c>
      <c r="F2324" s="65">
        <v>450</v>
      </c>
      <c r="G2324" s="44" t="s">
        <v>3880</v>
      </c>
      <c r="H2324" s="44" t="s">
        <v>3881</v>
      </c>
      <c r="I2324" s="62" t="s">
        <v>511</v>
      </c>
      <c r="J2324" s="44" t="s">
        <v>519</v>
      </c>
      <c r="K2324" s="44" t="s">
        <v>519</v>
      </c>
      <c r="L2324" s="44" t="s">
        <v>520</v>
      </c>
      <c r="M2324" s="44" t="s">
        <v>976</v>
      </c>
      <c r="N2324" s="44" t="s">
        <v>839</v>
      </c>
      <c r="O2324" s="45" t="s">
        <v>383</v>
      </c>
      <c r="P2324" s="45" t="s">
        <v>3760</v>
      </c>
      <c r="Q2324" s="59" t="str">
        <f>MID(Tabla1[[#This Row],[Aplicación]],14,1)</f>
        <v>2</v>
      </c>
      <c r="R2324" s="35" t="s">
        <v>298</v>
      </c>
      <c r="S2324" s="59" t="str">
        <f>MID(Tabla1[[#This Row],[Aplicación]],6,2)</f>
        <v>03</v>
      </c>
      <c r="T2324" s="35" t="str">
        <f>VLOOKUP(Tabla1[[#This Row],[AREA]],Hoja1!A:B,2,FALSE)</f>
        <v>03. Participación ciudadana y deportes</v>
      </c>
      <c r="U2324" s="56" t="str">
        <f>MID(Tabla1[[#This Row],[Aplicación]],9,4)</f>
        <v>9241</v>
      </c>
      <c r="V2324" s="35" t="str">
        <f>VLOOKUP(Tabla1[[#This Row],[PROGRAMA]],Hoja1!A:B,2,FALSE)</f>
        <v>9241. Participación ciudadana</v>
      </c>
      <c r="W2324" s="56" t="str">
        <f>MID(Tabla1[[#This Row],[Aplicación]],14,2)</f>
        <v>22</v>
      </c>
      <c r="X2324" s="56" t="str">
        <f>MID(Tabla1[[#This Row],[Aplicación]],14,6)</f>
        <v>22609</v>
      </c>
    </row>
    <row r="2325" spans="1:24" x14ac:dyDescent="0.25">
      <c r="A2325" s="62">
        <v>220230015957</v>
      </c>
      <c r="B2325" s="44" t="s">
        <v>507</v>
      </c>
      <c r="C2325" s="64">
        <v>45042</v>
      </c>
      <c r="D2325" s="62">
        <v>22023003970</v>
      </c>
      <c r="E2325" s="44" t="s">
        <v>1234</v>
      </c>
      <c r="F2325" s="65">
        <v>1736.5</v>
      </c>
      <c r="G2325" s="44" t="s">
        <v>3049</v>
      </c>
      <c r="H2325" s="44" t="s">
        <v>3882</v>
      </c>
      <c r="I2325" s="62" t="s">
        <v>511</v>
      </c>
      <c r="J2325" s="44" t="s">
        <v>519</v>
      </c>
      <c r="K2325" s="44" t="s">
        <v>519</v>
      </c>
      <c r="L2325" s="44" t="s">
        <v>520</v>
      </c>
      <c r="M2325" s="44" t="s">
        <v>976</v>
      </c>
      <c r="N2325" s="44" t="s">
        <v>839</v>
      </c>
      <c r="O2325" s="45" t="s">
        <v>383</v>
      </c>
      <c r="P2325" s="45" t="s">
        <v>3760</v>
      </c>
      <c r="Q2325" s="59" t="str">
        <f>MID(Tabla1[[#This Row],[Aplicación]],14,1)</f>
        <v>2</v>
      </c>
      <c r="R2325" s="35" t="s">
        <v>298</v>
      </c>
      <c r="S2325" s="59" t="str">
        <f>MID(Tabla1[[#This Row],[Aplicación]],6,2)</f>
        <v>10</v>
      </c>
      <c r="T2325" s="35" t="str">
        <f>VLOOKUP(Tabla1[[#This Row],[AREA]],Hoja1!A:B,2,FALSE)</f>
        <v>10. Servicios sociales y mediación comunitaria</v>
      </c>
      <c r="U2325" s="56" t="str">
        <f>MID(Tabla1[[#This Row],[Aplicación]],9,4)</f>
        <v>2316</v>
      </c>
      <c r="V2325" s="35" t="str">
        <f>VLOOKUP(Tabla1[[#This Row],[PROGRAMA]],Hoja1!A:B,2,FALSE)</f>
        <v>2316. Mediación comunitaria</v>
      </c>
      <c r="W2325" s="56" t="str">
        <f>MID(Tabla1[[#This Row],[Aplicación]],14,2)</f>
        <v>22</v>
      </c>
      <c r="X2325" s="56" t="str">
        <f>MID(Tabla1[[#This Row],[Aplicación]],14,6)</f>
        <v>22616</v>
      </c>
    </row>
    <row r="2326" spans="1:24" x14ac:dyDescent="0.25">
      <c r="A2326" s="62">
        <v>220230022623</v>
      </c>
      <c r="B2326" s="44" t="s">
        <v>1337</v>
      </c>
      <c r="C2326" s="64">
        <v>45068</v>
      </c>
      <c r="D2326" s="62">
        <v>22023002982</v>
      </c>
      <c r="E2326" s="44" t="s">
        <v>1479</v>
      </c>
      <c r="F2326" s="65">
        <v>-500</v>
      </c>
      <c r="G2326" s="44" t="s">
        <v>2948</v>
      </c>
      <c r="H2326" s="44" t="s">
        <v>3883</v>
      </c>
      <c r="I2326" s="62" t="s">
        <v>511</v>
      </c>
      <c r="J2326" s="44" t="s">
        <v>1771</v>
      </c>
      <c r="K2326" s="44" t="s">
        <v>519</v>
      </c>
      <c r="L2326" s="44" t="s">
        <v>520</v>
      </c>
      <c r="M2326" s="44" t="s">
        <v>976</v>
      </c>
      <c r="N2326" s="44" t="s">
        <v>839</v>
      </c>
      <c r="O2326" s="45" t="s">
        <v>383</v>
      </c>
      <c r="P2326" s="45" t="s">
        <v>3760</v>
      </c>
      <c r="Q2326" s="59" t="str">
        <f>MID(Tabla1[[#This Row],[Aplicación]],14,1)</f>
        <v>2</v>
      </c>
      <c r="R2326" s="35" t="s">
        <v>298</v>
      </c>
      <c r="S2326" s="59" t="str">
        <f>MID(Tabla1[[#This Row],[Aplicación]],6,2)</f>
        <v>03</v>
      </c>
      <c r="T2326" s="35" t="str">
        <f>VLOOKUP(Tabla1[[#This Row],[AREA]],Hoja1!A:B,2,FALSE)</f>
        <v>03. Participación ciudadana y deportes</v>
      </c>
      <c r="U2326" s="56" t="str">
        <f>MID(Tabla1[[#This Row],[Aplicación]],9,4)</f>
        <v>9241</v>
      </c>
      <c r="V2326" s="35" t="str">
        <f>VLOOKUP(Tabla1[[#This Row],[PROGRAMA]],Hoja1!A:B,2,FALSE)</f>
        <v>9241. Participación ciudadana</v>
      </c>
      <c r="W2326" s="56" t="str">
        <f>MID(Tabla1[[#This Row],[Aplicación]],14,2)</f>
        <v>22</v>
      </c>
      <c r="X2326" s="56" t="str">
        <f>MID(Tabla1[[#This Row],[Aplicación]],14,6)</f>
        <v>22609</v>
      </c>
    </row>
    <row r="2327" spans="1:24" x14ac:dyDescent="0.25">
      <c r="A2327" s="62">
        <v>220230012979</v>
      </c>
      <c r="B2327" s="44" t="s">
        <v>507</v>
      </c>
      <c r="C2327" s="64">
        <v>45019</v>
      </c>
      <c r="D2327" s="62">
        <v>22023003721</v>
      </c>
      <c r="E2327" s="44" t="s">
        <v>1299</v>
      </c>
      <c r="F2327" s="65">
        <v>50</v>
      </c>
      <c r="G2327" s="44" t="s">
        <v>3884</v>
      </c>
      <c r="H2327" s="44" t="s">
        <v>3885</v>
      </c>
      <c r="I2327" s="62" t="s">
        <v>511</v>
      </c>
      <c r="J2327" s="44" t="s">
        <v>512</v>
      </c>
      <c r="K2327" s="44" t="s">
        <v>512</v>
      </c>
      <c r="L2327" s="44" t="s">
        <v>552</v>
      </c>
      <c r="M2327" s="44" t="s">
        <v>976</v>
      </c>
      <c r="N2327" s="44" t="s">
        <v>839</v>
      </c>
      <c r="O2327" s="45" t="s">
        <v>383</v>
      </c>
      <c r="P2327" s="45" t="s">
        <v>3760</v>
      </c>
      <c r="Q2327" s="59" t="str">
        <f>MID(Tabla1[[#This Row],[Aplicación]],14,1)</f>
        <v>2</v>
      </c>
      <c r="R2327" s="35" t="s">
        <v>298</v>
      </c>
      <c r="S2327" s="59" t="str">
        <f>MID(Tabla1[[#This Row],[Aplicación]],6,2)</f>
        <v>06</v>
      </c>
      <c r="T2327" s="35" t="str">
        <f>VLOOKUP(Tabla1[[#This Row],[AREA]],Hoja1!A:B,2,FALSE)</f>
        <v>06. Educación, infancia, juventud e igualdad</v>
      </c>
      <c r="U2327" s="56" t="str">
        <f>MID(Tabla1[[#This Row],[Aplicación]],9,4)</f>
        <v>3321</v>
      </c>
      <c r="V2327" s="35" t="str">
        <f>VLOOKUP(Tabla1[[#This Row],[PROGRAMA]],Hoja1!A:B,2,FALSE)</f>
        <v>3321. Bibliotecas públicas</v>
      </c>
      <c r="W2327" s="56" t="str">
        <f>MID(Tabla1[[#This Row],[Aplicación]],14,2)</f>
        <v>22</v>
      </c>
      <c r="X2327" s="56" t="str">
        <f>MID(Tabla1[[#This Row],[Aplicación]],14,6)</f>
        <v>22001</v>
      </c>
    </row>
    <row r="2328" spans="1:24" x14ac:dyDescent="0.25">
      <c r="A2328" s="62">
        <v>220230015947</v>
      </c>
      <c r="B2328" s="44" t="s">
        <v>507</v>
      </c>
      <c r="C2328" s="64">
        <v>45042</v>
      </c>
      <c r="D2328" s="62">
        <v>22023003938</v>
      </c>
      <c r="E2328" s="44" t="s">
        <v>1479</v>
      </c>
      <c r="F2328" s="65">
        <v>1000</v>
      </c>
      <c r="G2328" s="44" t="s">
        <v>3886</v>
      </c>
      <c r="H2328" s="44" t="s">
        <v>3887</v>
      </c>
      <c r="I2328" s="62" t="s">
        <v>511</v>
      </c>
      <c r="J2328" s="44" t="s">
        <v>519</v>
      </c>
      <c r="K2328" s="44" t="s">
        <v>519</v>
      </c>
      <c r="L2328" s="44" t="s">
        <v>520</v>
      </c>
      <c r="M2328" s="44" t="s">
        <v>976</v>
      </c>
      <c r="N2328" s="44" t="s">
        <v>839</v>
      </c>
      <c r="O2328" s="45" t="s">
        <v>383</v>
      </c>
      <c r="P2328" s="45" t="s">
        <v>3760</v>
      </c>
      <c r="Q2328" s="59" t="str">
        <f>MID(Tabla1[[#This Row],[Aplicación]],14,1)</f>
        <v>2</v>
      </c>
      <c r="R2328" s="35" t="s">
        <v>298</v>
      </c>
      <c r="S2328" s="59" t="str">
        <f>MID(Tabla1[[#This Row],[Aplicación]],6,2)</f>
        <v>03</v>
      </c>
      <c r="T2328" s="35" t="str">
        <f>VLOOKUP(Tabla1[[#This Row],[AREA]],Hoja1!A:B,2,FALSE)</f>
        <v>03. Participación ciudadana y deportes</v>
      </c>
      <c r="U2328" s="56" t="str">
        <f>MID(Tabla1[[#This Row],[Aplicación]],9,4)</f>
        <v>9241</v>
      </c>
      <c r="V2328" s="35" t="str">
        <f>VLOOKUP(Tabla1[[#This Row],[PROGRAMA]],Hoja1!A:B,2,FALSE)</f>
        <v>9241. Participación ciudadana</v>
      </c>
      <c r="W2328" s="56" t="str">
        <f>MID(Tabla1[[#This Row],[Aplicación]],14,2)</f>
        <v>22</v>
      </c>
      <c r="X2328" s="56" t="str">
        <f>MID(Tabla1[[#This Row],[Aplicación]],14,6)</f>
        <v>22609</v>
      </c>
    </row>
    <row r="2329" spans="1:24" x14ac:dyDescent="0.25">
      <c r="A2329" s="62">
        <v>220230015969</v>
      </c>
      <c r="B2329" s="44" t="s">
        <v>507</v>
      </c>
      <c r="C2329" s="64">
        <v>45042</v>
      </c>
      <c r="D2329" s="62">
        <v>22023004020</v>
      </c>
      <c r="E2329" s="44" t="s">
        <v>1191</v>
      </c>
      <c r="F2329" s="65">
        <v>675</v>
      </c>
      <c r="G2329" s="44" t="s">
        <v>3888</v>
      </c>
      <c r="H2329" s="44" t="s">
        <v>3889</v>
      </c>
      <c r="I2329" s="62" t="s">
        <v>511</v>
      </c>
      <c r="J2329" s="44" t="s">
        <v>512</v>
      </c>
      <c r="K2329" s="44" t="s">
        <v>512</v>
      </c>
      <c r="L2329" s="44" t="s">
        <v>520</v>
      </c>
      <c r="M2329" s="44" t="s">
        <v>976</v>
      </c>
      <c r="N2329" s="44" t="s">
        <v>839</v>
      </c>
      <c r="O2329" s="45" t="s">
        <v>383</v>
      </c>
      <c r="P2329" s="45" t="s">
        <v>3760</v>
      </c>
      <c r="Q2329" s="59" t="str">
        <f>MID(Tabla1[[#This Row],[Aplicación]],14,1)</f>
        <v>2</v>
      </c>
      <c r="R2329" s="35" t="s">
        <v>298</v>
      </c>
      <c r="S2329" s="59" t="str">
        <f>MID(Tabla1[[#This Row],[Aplicación]],6,2)</f>
        <v>06</v>
      </c>
      <c r="T2329" s="35" t="str">
        <f>VLOOKUP(Tabla1[[#This Row],[AREA]],Hoja1!A:B,2,FALSE)</f>
        <v>06. Educación, infancia, juventud e igualdad</v>
      </c>
      <c r="U2329" s="56" t="str">
        <f>MID(Tabla1[[#This Row],[Aplicación]],9,4)</f>
        <v>2315</v>
      </c>
      <c r="V2329" s="35" t="str">
        <f>VLOOKUP(Tabla1[[#This Row],[PROGRAMA]],Hoja1!A:B,2,FALSE)</f>
        <v>2315. Políticas de Igualdad e infancia</v>
      </c>
      <c r="W2329" s="56" t="str">
        <f>MID(Tabla1[[#This Row],[Aplicación]],14,2)</f>
        <v>22</v>
      </c>
      <c r="X2329" s="56" t="str">
        <f>MID(Tabla1[[#This Row],[Aplicación]],14,6)</f>
        <v>22611</v>
      </c>
    </row>
    <row r="2330" spans="1:24" x14ac:dyDescent="0.25">
      <c r="A2330" s="62">
        <v>220230016024</v>
      </c>
      <c r="B2330" s="44" t="s">
        <v>507</v>
      </c>
      <c r="C2330" s="64">
        <v>45042</v>
      </c>
      <c r="D2330" s="62">
        <v>22023004173</v>
      </c>
      <c r="E2330" s="44" t="s">
        <v>1272</v>
      </c>
      <c r="F2330" s="65">
        <v>3670.26</v>
      </c>
      <c r="G2330" s="44" t="s">
        <v>1163</v>
      </c>
      <c r="H2330" s="44" t="s">
        <v>3890</v>
      </c>
      <c r="I2330" s="62" t="s">
        <v>511</v>
      </c>
      <c r="J2330" s="44" t="s">
        <v>1165</v>
      </c>
      <c r="K2330" s="44" t="s">
        <v>837</v>
      </c>
      <c r="L2330" s="44" t="s">
        <v>520</v>
      </c>
      <c r="M2330" s="44" t="s">
        <v>514</v>
      </c>
      <c r="N2330" s="44" t="s">
        <v>515</v>
      </c>
      <c r="O2330" s="45" t="s">
        <v>382</v>
      </c>
      <c r="P2330" s="45" t="s">
        <v>3760</v>
      </c>
      <c r="Q2330" s="59" t="str">
        <f>MID(Tabla1[[#This Row],[Aplicación]],14,1)</f>
        <v>6</v>
      </c>
      <c r="R2330" s="35" t="s">
        <v>299</v>
      </c>
      <c r="S2330" s="59" t="str">
        <f>MID(Tabla1[[#This Row],[Aplicación]],6,2)</f>
        <v>02</v>
      </c>
      <c r="T2330" s="35" t="str">
        <f>VLOOKUP(Tabla1[[#This Row],[AREA]],Hoja1!A:B,2,FALSE)</f>
        <v>02. Planeamiento urbanístico y vivienda</v>
      </c>
      <c r="U2330" s="56" t="str">
        <f>MID(Tabla1[[#This Row],[Aplicación]],9,4)</f>
        <v>9332</v>
      </c>
      <c r="V2330" s="35" t="str">
        <f>VLOOKUP(Tabla1[[#This Row],[PROGRAMA]],Hoja1!A:B,2,FALSE)</f>
        <v>9332. Mantenimiento de edificios e instalaciones municipales</v>
      </c>
      <c r="W2330" s="56" t="str">
        <f>MID(Tabla1[[#This Row],[Aplicación]],14,2)</f>
        <v>63</v>
      </c>
      <c r="X2330" s="56" t="str">
        <f>MID(Tabla1[[#This Row],[Aplicación]],14,6)</f>
        <v>632</v>
      </c>
    </row>
    <row r="2331" spans="1:24" x14ac:dyDescent="0.25">
      <c r="A2331" s="62">
        <v>220230016866</v>
      </c>
      <c r="B2331" s="44" t="s">
        <v>507</v>
      </c>
      <c r="C2331" s="64">
        <v>45048</v>
      </c>
      <c r="D2331" s="62">
        <v>22023004182</v>
      </c>
      <c r="E2331" s="44" t="s">
        <v>1272</v>
      </c>
      <c r="F2331" s="65">
        <v>366.5</v>
      </c>
      <c r="G2331" s="44" t="s">
        <v>1163</v>
      </c>
      <c r="H2331" s="44" t="s">
        <v>3891</v>
      </c>
      <c r="I2331" s="62" t="s">
        <v>511</v>
      </c>
      <c r="J2331" s="44" t="s">
        <v>1165</v>
      </c>
      <c r="K2331" s="44" t="s">
        <v>837</v>
      </c>
      <c r="L2331" s="44" t="s">
        <v>520</v>
      </c>
      <c r="M2331" s="44" t="s">
        <v>514</v>
      </c>
      <c r="N2331" s="44" t="s">
        <v>515</v>
      </c>
      <c r="O2331" s="45" t="s">
        <v>382</v>
      </c>
      <c r="P2331" s="45" t="s">
        <v>3760</v>
      </c>
      <c r="Q2331" s="59" t="str">
        <f>MID(Tabla1[[#This Row],[Aplicación]],14,1)</f>
        <v>6</v>
      </c>
      <c r="R2331" s="35" t="s">
        <v>299</v>
      </c>
      <c r="S2331" s="59" t="str">
        <f>MID(Tabla1[[#This Row],[Aplicación]],6,2)</f>
        <v>02</v>
      </c>
      <c r="T2331" s="35" t="str">
        <f>VLOOKUP(Tabla1[[#This Row],[AREA]],Hoja1!A:B,2,FALSE)</f>
        <v>02. Planeamiento urbanístico y vivienda</v>
      </c>
      <c r="U2331" s="56" t="str">
        <f>MID(Tabla1[[#This Row],[Aplicación]],9,4)</f>
        <v>9332</v>
      </c>
      <c r="V2331" s="35" t="str">
        <f>VLOOKUP(Tabla1[[#This Row],[PROGRAMA]],Hoja1!A:B,2,FALSE)</f>
        <v>9332. Mantenimiento de edificios e instalaciones municipales</v>
      </c>
      <c r="W2331" s="56" t="str">
        <f>MID(Tabla1[[#This Row],[Aplicación]],14,2)</f>
        <v>63</v>
      </c>
      <c r="X2331" s="56" t="str">
        <f>MID(Tabla1[[#This Row],[Aplicación]],14,6)</f>
        <v>632</v>
      </c>
    </row>
    <row r="2332" spans="1:24" x14ac:dyDescent="0.25">
      <c r="A2332" s="62">
        <v>220230020488</v>
      </c>
      <c r="B2332" s="44" t="s">
        <v>507</v>
      </c>
      <c r="C2332" s="64">
        <v>45058</v>
      </c>
      <c r="D2332" s="62">
        <v>22023004203</v>
      </c>
      <c r="E2332" s="44" t="s">
        <v>583</v>
      </c>
      <c r="F2332" s="65">
        <v>15900.16</v>
      </c>
      <c r="G2332" s="44" t="s">
        <v>1163</v>
      </c>
      <c r="H2332" s="44" t="s">
        <v>3892</v>
      </c>
      <c r="I2332" s="62" t="s">
        <v>511</v>
      </c>
      <c r="J2332" s="44" t="s">
        <v>1165</v>
      </c>
      <c r="K2332" s="44" t="s">
        <v>837</v>
      </c>
      <c r="L2332" s="44" t="s">
        <v>520</v>
      </c>
      <c r="M2332" s="44" t="s">
        <v>514</v>
      </c>
      <c r="N2332" s="44" t="s">
        <v>515</v>
      </c>
      <c r="O2332" s="45" t="s">
        <v>382</v>
      </c>
      <c r="P2332" s="45" t="s">
        <v>3760</v>
      </c>
      <c r="Q2332" s="59" t="str">
        <f>MID(Tabla1[[#This Row],[Aplicación]],14,1)</f>
        <v>6</v>
      </c>
      <c r="R2332" s="35" t="s">
        <v>299</v>
      </c>
      <c r="S2332" s="59" t="str">
        <f>MID(Tabla1[[#This Row],[Aplicación]],6,2)</f>
        <v>02</v>
      </c>
      <c r="T2332" s="35" t="str">
        <f>VLOOKUP(Tabla1[[#This Row],[AREA]],Hoja1!A:B,2,FALSE)</f>
        <v>02. Planeamiento urbanístico y vivienda</v>
      </c>
      <c r="U2332" s="56" t="str">
        <f>MID(Tabla1[[#This Row],[Aplicación]],9,4)</f>
        <v>1511</v>
      </c>
      <c r="V2332" s="35" t="str">
        <f>VLOOKUP(Tabla1[[#This Row],[PROGRAMA]],Hoja1!A:B,2,FALSE)</f>
        <v>1511. Planficación y gestión del urbanismo</v>
      </c>
      <c r="W2332" s="56" t="str">
        <f>MID(Tabla1[[#This Row],[Aplicación]],14,2)</f>
        <v>60</v>
      </c>
      <c r="X2332" s="56" t="str">
        <f>MID(Tabla1[[#This Row],[Aplicación]],14,6)</f>
        <v>609</v>
      </c>
    </row>
    <row r="2333" spans="1:24" x14ac:dyDescent="0.25">
      <c r="A2333" s="62">
        <v>220230020056</v>
      </c>
      <c r="B2333" s="44" t="s">
        <v>507</v>
      </c>
      <c r="C2333" s="64">
        <v>45057</v>
      </c>
      <c r="D2333" s="62">
        <v>22023004199</v>
      </c>
      <c r="E2333" s="44" t="s">
        <v>583</v>
      </c>
      <c r="F2333" s="65">
        <v>11063.42</v>
      </c>
      <c r="G2333" s="44" t="s">
        <v>476</v>
      </c>
      <c r="H2333" s="44" t="s">
        <v>3893</v>
      </c>
      <c r="I2333" s="62" t="s">
        <v>511</v>
      </c>
      <c r="J2333" s="44" t="s">
        <v>947</v>
      </c>
      <c r="K2333" s="44" t="s">
        <v>947</v>
      </c>
      <c r="L2333" s="44" t="s">
        <v>520</v>
      </c>
      <c r="M2333" s="44" t="s">
        <v>514</v>
      </c>
      <c r="N2333" s="44" t="s">
        <v>515</v>
      </c>
      <c r="O2333" s="45" t="s">
        <v>382</v>
      </c>
      <c r="P2333" s="45" t="s">
        <v>3760</v>
      </c>
      <c r="Q2333" s="59" t="str">
        <f>MID(Tabla1[[#This Row],[Aplicación]],14,1)</f>
        <v>6</v>
      </c>
      <c r="R2333" s="35" t="s">
        <v>299</v>
      </c>
      <c r="S2333" s="59" t="str">
        <f>MID(Tabla1[[#This Row],[Aplicación]],6,2)</f>
        <v>02</v>
      </c>
      <c r="T2333" s="35" t="str">
        <f>VLOOKUP(Tabla1[[#This Row],[AREA]],Hoja1!A:B,2,FALSE)</f>
        <v>02. Planeamiento urbanístico y vivienda</v>
      </c>
      <c r="U2333" s="56" t="str">
        <f>MID(Tabla1[[#This Row],[Aplicación]],9,4)</f>
        <v>1511</v>
      </c>
      <c r="V2333" s="35" t="str">
        <f>VLOOKUP(Tabla1[[#This Row],[PROGRAMA]],Hoja1!A:B,2,FALSE)</f>
        <v>1511. Planficación y gestión del urbanismo</v>
      </c>
      <c r="W2333" s="56" t="str">
        <f>MID(Tabla1[[#This Row],[Aplicación]],14,2)</f>
        <v>60</v>
      </c>
      <c r="X2333" s="56" t="str">
        <f>MID(Tabla1[[#This Row],[Aplicación]],14,6)</f>
        <v>609</v>
      </c>
    </row>
    <row r="2334" spans="1:24" x14ac:dyDescent="0.25">
      <c r="A2334" s="62">
        <v>220230016000</v>
      </c>
      <c r="B2334" s="44" t="s">
        <v>507</v>
      </c>
      <c r="C2334" s="64">
        <v>45042</v>
      </c>
      <c r="D2334" s="62">
        <v>22023004092</v>
      </c>
      <c r="E2334" s="44" t="s">
        <v>1490</v>
      </c>
      <c r="F2334" s="65">
        <v>1500</v>
      </c>
      <c r="G2334" s="44" t="s">
        <v>458</v>
      </c>
      <c r="H2334" s="44" t="s">
        <v>3894</v>
      </c>
      <c r="I2334" s="62" t="s">
        <v>511</v>
      </c>
      <c r="J2334" s="44" t="s">
        <v>519</v>
      </c>
      <c r="K2334" s="44" t="s">
        <v>519</v>
      </c>
      <c r="L2334" s="44" t="s">
        <v>520</v>
      </c>
      <c r="M2334" s="44" t="s">
        <v>976</v>
      </c>
      <c r="N2334" s="44" t="s">
        <v>839</v>
      </c>
      <c r="O2334" s="45" t="s">
        <v>383</v>
      </c>
      <c r="P2334" s="45" t="s">
        <v>3760</v>
      </c>
      <c r="Q2334" s="59" t="str">
        <f>MID(Tabla1[[#This Row],[Aplicación]],14,1)</f>
        <v>2</v>
      </c>
      <c r="R2334" s="35" t="s">
        <v>298</v>
      </c>
      <c r="S2334" s="59" t="str">
        <f>MID(Tabla1[[#This Row],[Aplicación]],6,2)</f>
        <v>06</v>
      </c>
      <c r="T2334" s="35" t="str">
        <f>VLOOKUP(Tabla1[[#This Row],[AREA]],Hoja1!A:B,2,FALSE)</f>
        <v>06. Educación, infancia, juventud e igualdad</v>
      </c>
      <c r="U2334" s="56" t="str">
        <f>MID(Tabla1[[#This Row],[Aplicación]],9,4)</f>
        <v>2314</v>
      </c>
      <c r="V2334" s="35" t="str">
        <f>VLOOKUP(Tabla1[[#This Row],[PROGRAMA]],Hoja1!A:B,2,FALSE)</f>
        <v>2314. Centro de programas juveniles</v>
      </c>
      <c r="W2334" s="56" t="str">
        <f>MID(Tabla1[[#This Row],[Aplicación]],14,2)</f>
        <v>22</v>
      </c>
      <c r="X2334" s="56" t="str">
        <f>MID(Tabla1[[#This Row],[Aplicación]],14,6)</f>
        <v>22613</v>
      </c>
    </row>
    <row r="2335" spans="1:24" x14ac:dyDescent="0.25">
      <c r="A2335" s="62">
        <v>220230026205</v>
      </c>
      <c r="B2335" s="44" t="s">
        <v>1514</v>
      </c>
      <c r="C2335" s="64">
        <v>45077</v>
      </c>
      <c r="D2335" s="62">
        <v>22023003935</v>
      </c>
      <c r="E2335" s="44" t="s">
        <v>741</v>
      </c>
      <c r="F2335" s="65">
        <v>127.71</v>
      </c>
      <c r="G2335" s="44" t="s">
        <v>3868</v>
      </c>
      <c r="H2335" s="44" t="s">
        <v>3895</v>
      </c>
      <c r="I2335" s="62" t="s">
        <v>1517</v>
      </c>
      <c r="J2335" s="44" t="s">
        <v>3870</v>
      </c>
      <c r="K2335" s="44" t="s">
        <v>519</v>
      </c>
      <c r="L2335" s="44" t="s">
        <v>552</v>
      </c>
      <c r="M2335" s="44" t="s">
        <v>514</v>
      </c>
      <c r="N2335" s="44" t="s">
        <v>515</v>
      </c>
      <c r="O2335" s="45" t="s">
        <v>382</v>
      </c>
      <c r="P2335" s="45" t="s">
        <v>3760</v>
      </c>
      <c r="Q2335" s="59" t="str">
        <f>MID(Tabla1[[#This Row],[Aplicación]],14,1)</f>
        <v>6</v>
      </c>
      <c r="R2335" s="35" t="s">
        <v>299</v>
      </c>
      <c r="S2335" s="59" t="str">
        <f>MID(Tabla1[[#This Row],[Aplicación]],6,2)</f>
        <v>07</v>
      </c>
      <c r="T2335" s="35" t="str">
        <f>VLOOKUP(Tabla1[[#This Row],[AREA]],Hoja1!A:B,2,FALSE)</f>
        <v>07. Medio ambiente y desarrollo sostenible</v>
      </c>
      <c r="U2335" s="56" t="str">
        <f>MID(Tabla1[[#This Row],[Aplicación]],9,4)</f>
        <v>1711</v>
      </c>
      <c r="V2335" s="35" t="str">
        <f>VLOOKUP(Tabla1[[#This Row],[PROGRAMA]],Hoja1!A:B,2,FALSE)</f>
        <v>1711. Parques y jardines</v>
      </c>
      <c r="W2335" s="56" t="str">
        <f>MID(Tabla1[[#This Row],[Aplicación]],14,2)</f>
        <v>61</v>
      </c>
      <c r="X2335" s="56" t="str">
        <f>MID(Tabla1[[#This Row],[Aplicación]],14,6)</f>
        <v>619</v>
      </c>
    </row>
    <row r="2336" spans="1:24" x14ac:dyDescent="0.25">
      <c r="A2336" s="62">
        <v>220230016605</v>
      </c>
      <c r="B2336" s="44" t="s">
        <v>507</v>
      </c>
      <c r="C2336" s="64">
        <v>45043</v>
      </c>
      <c r="D2336" s="62">
        <v>22023003779</v>
      </c>
      <c r="E2336" s="44" t="s">
        <v>736</v>
      </c>
      <c r="F2336" s="65">
        <v>56430</v>
      </c>
      <c r="G2336" s="44" t="s">
        <v>3896</v>
      </c>
      <c r="H2336" s="44" t="s">
        <v>3897</v>
      </c>
      <c r="I2336" s="62" t="s">
        <v>511</v>
      </c>
      <c r="J2336" s="44" t="s">
        <v>519</v>
      </c>
      <c r="K2336" s="44" t="s">
        <v>519</v>
      </c>
      <c r="L2336" s="44" t="s">
        <v>520</v>
      </c>
      <c r="M2336" s="44" t="s">
        <v>514</v>
      </c>
      <c r="N2336" s="44" t="s">
        <v>604</v>
      </c>
      <c r="O2336" s="45" t="s">
        <v>371</v>
      </c>
      <c r="P2336" s="45" t="s">
        <v>3760</v>
      </c>
      <c r="Q2336" s="59" t="str">
        <f>MID(Tabla1[[#This Row],[Aplicación]],14,1)</f>
        <v>2</v>
      </c>
      <c r="R2336" s="35" t="s">
        <v>298</v>
      </c>
      <c r="S2336" s="59" t="str">
        <f>MID(Tabla1[[#This Row],[Aplicación]],6,2)</f>
        <v>06</v>
      </c>
      <c r="T2336" s="35" t="str">
        <f>VLOOKUP(Tabla1[[#This Row],[AREA]],Hoja1!A:B,2,FALSE)</f>
        <v>06. Educación, infancia, juventud e igualdad</v>
      </c>
      <c r="U2336" s="56" t="str">
        <f>MID(Tabla1[[#This Row],[Aplicación]],9,4)</f>
        <v>3261</v>
      </c>
      <c r="V2336" s="35" t="str">
        <f>VLOOKUP(Tabla1[[#This Row],[PROGRAMA]],Hoja1!A:B,2,FALSE)</f>
        <v>3261. Servicios complementarios de educación</v>
      </c>
      <c r="W2336" s="56" t="str">
        <f>MID(Tabla1[[#This Row],[Aplicación]],14,2)</f>
        <v>22</v>
      </c>
      <c r="X2336" s="56" t="str">
        <f>MID(Tabla1[[#This Row],[Aplicación]],14,6)</f>
        <v>22799</v>
      </c>
    </row>
    <row r="2337" spans="1:24" x14ac:dyDescent="0.25">
      <c r="A2337" s="62">
        <v>220220040651</v>
      </c>
      <c r="B2337" s="44" t="s">
        <v>507</v>
      </c>
      <c r="C2337" s="64">
        <v>45037</v>
      </c>
      <c r="D2337" s="62">
        <v>22021004735</v>
      </c>
      <c r="E2337" s="44" t="s">
        <v>792</v>
      </c>
      <c r="F2337" s="65">
        <v>50164.78</v>
      </c>
      <c r="G2337" s="44" t="s">
        <v>82</v>
      </c>
      <c r="H2337" s="44" t="s">
        <v>3898</v>
      </c>
      <c r="I2337" s="62" t="s">
        <v>511</v>
      </c>
      <c r="J2337" s="44" t="s">
        <v>519</v>
      </c>
      <c r="K2337" s="44" t="s">
        <v>519</v>
      </c>
      <c r="L2337" s="44" t="s">
        <v>520</v>
      </c>
      <c r="M2337" s="44" t="s">
        <v>514</v>
      </c>
      <c r="N2337" s="44" t="s">
        <v>515</v>
      </c>
      <c r="O2337" s="45" t="s">
        <v>371</v>
      </c>
      <c r="P2337" s="45" t="s">
        <v>3760</v>
      </c>
      <c r="Q2337" s="59" t="str">
        <f>MID(Tabla1[[#This Row],[Aplicación]],14,1)</f>
        <v>6</v>
      </c>
      <c r="R2337" s="35" t="s">
        <v>299</v>
      </c>
      <c r="S2337" s="59" t="str">
        <f>MID(Tabla1[[#This Row],[Aplicación]],6,2)</f>
        <v>04</v>
      </c>
      <c r="T2337" s="35" t="str">
        <f>VLOOKUP(Tabla1[[#This Row],[AREA]],Hoja1!A:B,2,FALSE)</f>
        <v>04. Planificación y recursos</v>
      </c>
      <c r="U2337" s="56" t="str">
        <f>MID(Tabla1[[#This Row],[Aplicación]],9,4)</f>
        <v>9204</v>
      </c>
      <c r="V2337" s="35" t="str">
        <f>VLOOKUP(Tabla1[[#This Row],[PROGRAMA]],Hoja1!A:B,2,FALSE)</f>
        <v>9204. Tecnologías de la información y comunicación</v>
      </c>
      <c r="W2337" s="56" t="str">
        <f>MID(Tabla1[[#This Row],[Aplicación]],14,2)</f>
        <v>62</v>
      </c>
      <c r="X2337" s="56" t="str">
        <f>MID(Tabla1[[#This Row],[Aplicación]],14,6)</f>
        <v>626</v>
      </c>
    </row>
    <row r="2338" spans="1:24" x14ac:dyDescent="0.25">
      <c r="A2338" s="62">
        <v>220220076569</v>
      </c>
      <c r="B2338" s="44" t="s">
        <v>507</v>
      </c>
      <c r="C2338" s="64">
        <v>45037</v>
      </c>
      <c r="D2338" s="62">
        <v>22022007454</v>
      </c>
      <c r="E2338" s="44" t="s">
        <v>3854</v>
      </c>
      <c r="F2338" s="65">
        <v>110372.27</v>
      </c>
      <c r="G2338" s="44" t="s">
        <v>769</v>
      </c>
      <c r="H2338" s="44" t="s">
        <v>3899</v>
      </c>
      <c r="I2338" s="62" t="s">
        <v>511</v>
      </c>
      <c r="J2338" s="44" t="s">
        <v>771</v>
      </c>
      <c r="K2338" s="44" t="s">
        <v>771</v>
      </c>
      <c r="L2338" s="44" t="s">
        <v>527</v>
      </c>
      <c r="M2338" s="44" t="s">
        <v>514</v>
      </c>
      <c r="N2338" s="44" t="s">
        <v>515</v>
      </c>
      <c r="O2338" s="45" t="s">
        <v>382</v>
      </c>
      <c r="P2338" s="45" t="s">
        <v>3760</v>
      </c>
      <c r="Q2338" s="59" t="str">
        <f>MID(Tabla1[[#This Row],[Aplicación]],14,1)</f>
        <v>6</v>
      </c>
      <c r="R2338" s="35" t="s">
        <v>299</v>
      </c>
      <c r="S2338" s="59" t="str">
        <f>MID(Tabla1[[#This Row],[Aplicación]],6,2)</f>
        <v>10</v>
      </c>
      <c r="T2338" s="35" t="str">
        <f>VLOOKUP(Tabla1[[#This Row],[AREA]],Hoja1!A:B,2,FALSE)</f>
        <v>10. Servicios sociales y mediación comunitaria</v>
      </c>
      <c r="U2338" s="56" t="str">
        <f>MID(Tabla1[[#This Row],[Aplicación]],9,4)</f>
        <v>2312</v>
      </c>
      <c r="V2338" s="35" t="str">
        <f>VLOOKUP(Tabla1[[#This Row],[PROGRAMA]],Hoja1!A:B,2,FALSE)</f>
        <v>2312. Iniciativas sociales</v>
      </c>
      <c r="W2338" s="56" t="str">
        <f>MID(Tabla1[[#This Row],[Aplicación]],14,2)</f>
        <v>63</v>
      </c>
      <c r="X2338" s="56" t="str">
        <f>MID(Tabla1[[#This Row],[Aplicación]],14,6)</f>
        <v>631</v>
      </c>
    </row>
    <row r="2339" spans="1:24" x14ac:dyDescent="0.25">
      <c r="A2339" s="62">
        <v>220230015360</v>
      </c>
      <c r="B2339" s="44" t="s">
        <v>507</v>
      </c>
      <c r="C2339" s="64">
        <v>45041</v>
      </c>
      <c r="D2339" s="62">
        <v>22023003898</v>
      </c>
      <c r="E2339" s="44" t="s">
        <v>967</v>
      </c>
      <c r="F2339" s="65">
        <v>193.44</v>
      </c>
      <c r="G2339" s="44" t="s">
        <v>3900</v>
      </c>
      <c r="H2339" s="44" t="s">
        <v>3901</v>
      </c>
      <c r="I2339" s="62" t="s">
        <v>511</v>
      </c>
      <c r="J2339" s="44" t="s">
        <v>519</v>
      </c>
      <c r="K2339" s="44" t="s">
        <v>519</v>
      </c>
      <c r="L2339" s="44" t="s">
        <v>520</v>
      </c>
      <c r="M2339" s="44" t="s">
        <v>976</v>
      </c>
      <c r="N2339" s="44" t="s">
        <v>839</v>
      </c>
      <c r="O2339" s="45" t="s">
        <v>383</v>
      </c>
      <c r="P2339" s="45" t="s">
        <v>3760</v>
      </c>
      <c r="Q2339" s="59" t="str">
        <f>MID(Tabla1[[#This Row],[Aplicación]],14,1)</f>
        <v>2</v>
      </c>
      <c r="R2339" s="35" t="s">
        <v>298</v>
      </c>
      <c r="S2339" s="59" t="str">
        <f>MID(Tabla1[[#This Row],[Aplicación]],6,2)</f>
        <v>11</v>
      </c>
      <c r="T2339" s="35" t="str">
        <f>VLOOKUP(Tabla1[[#This Row],[AREA]],Hoja1!A:B,2,FALSE)</f>
        <v>11. Salud pública y seguridad ciudadana</v>
      </c>
      <c r="U2339" s="56" t="str">
        <f>MID(Tabla1[[#This Row],[Aplicación]],9,4)</f>
        <v>1631</v>
      </c>
      <c r="V2339" s="35" t="str">
        <f>VLOOKUP(Tabla1[[#This Row],[PROGRAMA]],Hoja1!A:B,2,FALSE)</f>
        <v>1631. Limpieza viaria</v>
      </c>
      <c r="W2339" s="56" t="str">
        <f>MID(Tabla1[[#This Row],[Aplicación]],14,2)</f>
        <v>22</v>
      </c>
      <c r="X2339" s="56" t="str">
        <f>MID(Tabla1[[#This Row],[Aplicación]],14,6)</f>
        <v>22700</v>
      </c>
    </row>
    <row r="2340" spans="1:24" x14ac:dyDescent="0.25">
      <c r="A2340" s="62">
        <v>220230016010</v>
      </c>
      <c r="B2340" s="44" t="s">
        <v>507</v>
      </c>
      <c r="C2340" s="64">
        <v>45042</v>
      </c>
      <c r="D2340" s="62">
        <v>22023004124</v>
      </c>
      <c r="E2340" s="44" t="s">
        <v>1305</v>
      </c>
      <c r="F2340" s="65">
        <v>7260</v>
      </c>
      <c r="G2340" s="44" t="s">
        <v>2477</v>
      </c>
      <c r="H2340" s="44" t="s">
        <v>3902</v>
      </c>
      <c r="I2340" s="62" t="s">
        <v>511</v>
      </c>
      <c r="J2340" s="44" t="s">
        <v>519</v>
      </c>
      <c r="K2340" s="44" t="s">
        <v>519</v>
      </c>
      <c r="L2340" s="44" t="s">
        <v>552</v>
      </c>
      <c r="M2340" s="44" t="s">
        <v>976</v>
      </c>
      <c r="N2340" s="44" t="s">
        <v>839</v>
      </c>
      <c r="O2340" s="45" t="s">
        <v>383</v>
      </c>
      <c r="P2340" s="45" t="s">
        <v>3760</v>
      </c>
      <c r="Q2340" s="59" t="str">
        <f>MID(Tabla1[[#This Row],[Aplicación]],14,1)</f>
        <v>2</v>
      </c>
      <c r="R2340" s="35" t="s">
        <v>298</v>
      </c>
      <c r="S2340" s="59" t="str">
        <f>MID(Tabla1[[#This Row],[Aplicación]],6,2)</f>
        <v>06</v>
      </c>
      <c r="T2340" s="35" t="str">
        <f>VLOOKUP(Tabla1[[#This Row],[AREA]],Hoja1!A:B,2,FALSE)</f>
        <v>06. Educación, infancia, juventud e igualdad</v>
      </c>
      <c r="U2340" s="56" t="str">
        <f>MID(Tabla1[[#This Row],[Aplicación]],9,4)</f>
        <v>3232</v>
      </c>
      <c r="V2340" s="35" t="str">
        <f>VLOOKUP(Tabla1[[#This Row],[PROGRAMA]],Hoja1!A:B,2,FALSE)</f>
        <v>3232. Conservación y mantenimiento centros educación infantil y primaria</v>
      </c>
      <c r="W2340" s="56" t="str">
        <f>MID(Tabla1[[#This Row],[Aplicación]],14,2)</f>
        <v>21</v>
      </c>
      <c r="X2340" s="56" t="str">
        <f>MID(Tabla1[[#This Row],[Aplicación]],14,6)</f>
        <v>212</v>
      </c>
    </row>
    <row r="2341" spans="1:24" x14ac:dyDescent="0.25">
      <c r="A2341" s="62">
        <v>220230013634</v>
      </c>
      <c r="B2341" s="44" t="s">
        <v>507</v>
      </c>
      <c r="C2341" s="64">
        <v>45026</v>
      </c>
      <c r="D2341" s="62">
        <v>22023003508</v>
      </c>
      <c r="E2341" s="44" t="s">
        <v>835</v>
      </c>
      <c r="F2341" s="65">
        <v>18149.990000000002</v>
      </c>
      <c r="G2341" s="44" t="s">
        <v>1940</v>
      </c>
      <c r="H2341" s="44" t="s">
        <v>3903</v>
      </c>
      <c r="I2341" s="62" t="s">
        <v>511</v>
      </c>
      <c r="J2341" s="44" t="s">
        <v>729</v>
      </c>
      <c r="K2341" s="44" t="s">
        <v>729</v>
      </c>
      <c r="L2341" s="44" t="s">
        <v>520</v>
      </c>
      <c r="M2341" s="44" t="s">
        <v>976</v>
      </c>
      <c r="N2341" s="44" t="s">
        <v>839</v>
      </c>
      <c r="O2341" s="45" t="s">
        <v>383</v>
      </c>
      <c r="P2341" s="45" t="s">
        <v>3760</v>
      </c>
      <c r="Q2341" s="59" t="str">
        <f>MID(Tabla1[[#This Row],[Aplicación]],14,1)</f>
        <v>2</v>
      </c>
      <c r="R2341" s="35" t="s">
        <v>298</v>
      </c>
      <c r="S2341" s="59" t="str">
        <f>MID(Tabla1[[#This Row],[Aplicación]],6,2)</f>
        <v>05</v>
      </c>
      <c r="T2341" s="35" t="str">
        <f>VLOOKUP(Tabla1[[#This Row],[AREA]],Hoja1!A:B,2,FALSE)</f>
        <v>05. Innovación, desarrollo económico, empleo y comercio</v>
      </c>
      <c r="U2341" s="56" t="str">
        <f>MID(Tabla1[[#This Row],[Aplicación]],9,4)</f>
        <v>4331</v>
      </c>
      <c r="V2341" s="35" t="str">
        <f>VLOOKUP(Tabla1[[#This Row],[PROGRAMA]],Hoja1!A:B,2,FALSE)</f>
        <v>4331. Desarrollo empresarial</v>
      </c>
      <c r="W2341" s="56" t="str">
        <f>MID(Tabla1[[#This Row],[Aplicación]],14,2)</f>
        <v>22</v>
      </c>
      <c r="X2341" s="56" t="str">
        <f>MID(Tabla1[[#This Row],[Aplicación]],14,6)</f>
        <v>22799</v>
      </c>
    </row>
    <row r="2342" spans="1:24" x14ac:dyDescent="0.25">
      <c r="A2342" s="62">
        <v>220230024862</v>
      </c>
      <c r="B2342" s="44" t="s">
        <v>507</v>
      </c>
      <c r="C2342" s="64">
        <v>45070</v>
      </c>
      <c r="D2342" s="62">
        <v>22023004669</v>
      </c>
      <c r="E2342" s="44" t="s">
        <v>817</v>
      </c>
      <c r="F2342" s="65">
        <v>653.4</v>
      </c>
      <c r="G2342" s="44" t="s">
        <v>3904</v>
      </c>
      <c r="H2342" s="44" t="s">
        <v>3905</v>
      </c>
      <c r="I2342" s="62" t="s">
        <v>511</v>
      </c>
      <c r="J2342" s="44" t="s">
        <v>512</v>
      </c>
      <c r="K2342" s="44" t="s">
        <v>512</v>
      </c>
      <c r="L2342" s="44" t="s">
        <v>527</v>
      </c>
      <c r="M2342" s="44" t="s">
        <v>976</v>
      </c>
      <c r="N2342" s="44" t="s">
        <v>839</v>
      </c>
      <c r="O2342" s="45" t="s">
        <v>383</v>
      </c>
      <c r="P2342" s="45" t="s">
        <v>3760</v>
      </c>
      <c r="Q2342" s="59" t="str">
        <f>MID(Tabla1[[#This Row],[Aplicación]],14,1)</f>
        <v>6</v>
      </c>
      <c r="R2342" s="35" t="s">
        <v>299</v>
      </c>
      <c r="S2342" s="59" t="str">
        <f>MID(Tabla1[[#This Row],[Aplicación]],6,2)</f>
        <v>05</v>
      </c>
      <c r="T2342" s="35" t="str">
        <f>VLOOKUP(Tabla1[[#This Row],[AREA]],Hoja1!A:B,2,FALSE)</f>
        <v>05. Innovación, desarrollo económico, empleo y comercio</v>
      </c>
      <c r="U2342" s="56" t="str">
        <f>MID(Tabla1[[#This Row],[Aplicación]],9,4)</f>
        <v>4331</v>
      </c>
      <c r="V2342" s="35" t="str">
        <f>VLOOKUP(Tabla1[[#This Row],[PROGRAMA]],Hoja1!A:B,2,FALSE)</f>
        <v>4331. Desarrollo empresarial</v>
      </c>
      <c r="W2342" s="56" t="str">
        <f>MID(Tabla1[[#This Row],[Aplicación]],14,2)</f>
        <v>60</v>
      </c>
      <c r="X2342" s="56" t="str">
        <f>MID(Tabla1[[#This Row],[Aplicación]],14,6)</f>
        <v>609</v>
      </c>
    </row>
    <row r="2343" spans="1:24" x14ac:dyDescent="0.25">
      <c r="A2343" s="62">
        <v>220230020478</v>
      </c>
      <c r="B2343" s="44" t="s">
        <v>507</v>
      </c>
      <c r="C2343" s="64">
        <v>45057</v>
      </c>
      <c r="D2343" s="62">
        <v>22023004445</v>
      </c>
      <c r="E2343" s="44" t="s">
        <v>1382</v>
      </c>
      <c r="F2343" s="65">
        <v>3295.62</v>
      </c>
      <c r="G2343" s="44" t="s">
        <v>991</v>
      </c>
      <c r="H2343" s="44" t="s">
        <v>3906</v>
      </c>
      <c r="I2343" s="62" t="s">
        <v>511</v>
      </c>
      <c r="J2343" s="44" t="s">
        <v>519</v>
      </c>
      <c r="K2343" s="44" t="s">
        <v>519</v>
      </c>
      <c r="L2343" s="44" t="s">
        <v>552</v>
      </c>
      <c r="M2343" s="44" t="s">
        <v>976</v>
      </c>
      <c r="N2343" s="44" t="s">
        <v>839</v>
      </c>
      <c r="O2343" s="45" t="s">
        <v>383</v>
      </c>
      <c r="P2343" s="45" t="s">
        <v>3760</v>
      </c>
      <c r="Q2343" s="59" t="str">
        <f>MID(Tabla1[[#This Row],[Aplicación]],14,1)</f>
        <v>2</v>
      </c>
      <c r="R2343" s="35" t="s">
        <v>298</v>
      </c>
      <c r="S2343" s="59" t="str">
        <f>MID(Tabla1[[#This Row],[Aplicación]],6,2)</f>
        <v>03</v>
      </c>
      <c r="T2343" s="35" t="str">
        <f>VLOOKUP(Tabla1[[#This Row],[AREA]],Hoja1!A:B,2,FALSE)</f>
        <v>03. Participación ciudadana y deportes</v>
      </c>
      <c r="U2343" s="56" t="str">
        <f>MID(Tabla1[[#This Row],[Aplicación]],9,4)</f>
        <v>9241</v>
      </c>
      <c r="V2343" s="35" t="str">
        <f>VLOOKUP(Tabla1[[#This Row],[PROGRAMA]],Hoja1!A:B,2,FALSE)</f>
        <v>9241. Participación ciudadana</v>
      </c>
      <c r="W2343" s="56" t="str">
        <f>MID(Tabla1[[#This Row],[Aplicación]],14,2)</f>
        <v>22</v>
      </c>
      <c r="X2343" s="56" t="str">
        <f>MID(Tabla1[[#This Row],[Aplicación]],14,6)</f>
        <v>22699</v>
      </c>
    </row>
    <row r="2344" spans="1:24" x14ac:dyDescent="0.25">
      <c r="A2344" s="62">
        <v>220230015953</v>
      </c>
      <c r="B2344" s="44" t="s">
        <v>507</v>
      </c>
      <c r="C2344" s="64">
        <v>45042</v>
      </c>
      <c r="D2344" s="62">
        <v>22023003951</v>
      </c>
      <c r="E2344" s="44" t="s">
        <v>1382</v>
      </c>
      <c r="F2344" s="65">
        <v>2831.76</v>
      </c>
      <c r="G2344" s="44" t="s">
        <v>991</v>
      </c>
      <c r="H2344" s="44" t="s">
        <v>3907</v>
      </c>
      <c r="I2344" s="62" t="s">
        <v>511</v>
      </c>
      <c r="J2344" s="44" t="s">
        <v>519</v>
      </c>
      <c r="K2344" s="44" t="s">
        <v>519</v>
      </c>
      <c r="L2344" s="44" t="s">
        <v>552</v>
      </c>
      <c r="M2344" s="44" t="s">
        <v>976</v>
      </c>
      <c r="N2344" s="44" t="s">
        <v>839</v>
      </c>
      <c r="O2344" s="45" t="s">
        <v>383</v>
      </c>
      <c r="P2344" s="45" t="s">
        <v>3760</v>
      </c>
      <c r="Q2344" s="59" t="str">
        <f>MID(Tabla1[[#This Row],[Aplicación]],14,1)</f>
        <v>2</v>
      </c>
      <c r="R2344" s="35" t="s">
        <v>298</v>
      </c>
      <c r="S2344" s="59" t="str">
        <f>MID(Tabla1[[#This Row],[Aplicación]],6,2)</f>
        <v>03</v>
      </c>
      <c r="T2344" s="35" t="str">
        <f>VLOOKUP(Tabla1[[#This Row],[AREA]],Hoja1!A:B,2,FALSE)</f>
        <v>03. Participación ciudadana y deportes</v>
      </c>
      <c r="U2344" s="56" t="str">
        <f>MID(Tabla1[[#This Row],[Aplicación]],9,4)</f>
        <v>9241</v>
      </c>
      <c r="V2344" s="35" t="str">
        <f>VLOOKUP(Tabla1[[#This Row],[PROGRAMA]],Hoja1!A:B,2,FALSE)</f>
        <v>9241. Participación ciudadana</v>
      </c>
      <c r="W2344" s="56" t="str">
        <f>MID(Tabla1[[#This Row],[Aplicación]],14,2)</f>
        <v>22</v>
      </c>
      <c r="X2344" s="56" t="str">
        <f>MID(Tabla1[[#This Row],[Aplicación]],14,6)</f>
        <v>22699</v>
      </c>
    </row>
    <row r="2345" spans="1:24" x14ac:dyDescent="0.25">
      <c r="A2345" s="63">
        <v>220230031239</v>
      </c>
      <c r="B2345" s="44" t="s">
        <v>507</v>
      </c>
      <c r="C2345" s="64">
        <v>45099</v>
      </c>
      <c r="D2345" s="62">
        <v>22023005058</v>
      </c>
      <c r="E2345" s="44" t="s">
        <v>3908</v>
      </c>
      <c r="F2345" s="65">
        <v>492684.1</v>
      </c>
      <c r="G2345" s="44" t="s">
        <v>3909</v>
      </c>
      <c r="H2345" s="44" t="s">
        <v>3910</v>
      </c>
      <c r="I2345" s="62" t="s">
        <v>511</v>
      </c>
      <c r="J2345" s="44" t="s">
        <v>1289</v>
      </c>
      <c r="K2345" s="44" t="s">
        <v>1289</v>
      </c>
      <c r="L2345" s="44" t="s">
        <v>527</v>
      </c>
      <c r="M2345" s="44" t="s">
        <v>514</v>
      </c>
      <c r="N2345" s="44" t="s">
        <v>515</v>
      </c>
      <c r="O2345" s="45" t="s">
        <v>371</v>
      </c>
      <c r="P2345" s="45" t="s">
        <v>3760</v>
      </c>
      <c r="Q2345" s="59" t="str">
        <f>MID(Tabla1[[#This Row],[Aplicación]],14,1)</f>
        <v>6</v>
      </c>
      <c r="R2345" s="35" t="s">
        <v>299</v>
      </c>
      <c r="S2345" s="59" t="str">
        <f>MID(Tabla1[[#This Row],[Aplicación]],6,2)</f>
        <v>10</v>
      </c>
      <c r="T2345" s="35" t="str">
        <f>VLOOKUP(Tabla1[[#This Row],[AREA]],Hoja1!A:B,2,FALSE)</f>
        <v>10. Servicios sociales y mediación comunitaria</v>
      </c>
      <c r="U2345" s="56" t="str">
        <f>MID(Tabla1[[#This Row],[Aplicación]],9,4)</f>
        <v>2312</v>
      </c>
      <c r="V2345" s="35" t="str">
        <f>VLOOKUP(Tabla1[[#This Row],[PROGRAMA]],Hoja1!A:B,2,FALSE)</f>
        <v>2312. Iniciativas sociales</v>
      </c>
      <c r="W2345" s="56" t="str">
        <f>MID(Tabla1[[#This Row],[Aplicación]],14,2)</f>
        <v>62</v>
      </c>
      <c r="X2345" s="56" t="str">
        <f>MID(Tabla1[[#This Row],[Aplicación]],14,6)</f>
        <v>622</v>
      </c>
    </row>
    <row r="2346" spans="1:24" x14ac:dyDescent="0.25">
      <c r="A2346" s="63">
        <v>220179000024</v>
      </c>
      <c r="B2346" s="44" t="s">
        <v>507</v>
      </c>
      <c r="C2346" s="64">
        <v>45100</v>
      </c>
      <c r="D2346" s="62">
        <v>22022000145</v>
      </c>
      <c r="E2346" s="44" t="s">
        <v>508</v>
      </c>
      <c r="F2346" s="65">
        <v>272736.83</v>
      </c>
      <c r="G2346" s="44" t="s">
        <v>509</v>
      </c>
      <c r="H2346" s="44" t="s">
        <v>510</v>
      </c>
      <c r="I2346" s="62" t="s">
        <v>511</v>
      </c>
      <c r="J2346" s="44" t="s">
        <v>512</v>
      </c>
      <c r="K2346" s="44" t="s">
        <v>512</v>
      </c>
      <c r="L2346" s="44" t="s">
        <v>513</v>
      </c>
      <c r="M2346" s="44" t="s">
        <v>514</v>
      </c>
      <c r="N2346" s="44" t="s">
        <v>515</v>
      </c>
      <c r="O2346" s="45" t="s">
        <v>371</v>
      </c>
      <c r="P2346" s="45" t="s">
        <v>3760</v>
      </c>
      <c r="Q2346" s="59" t="str">
        <f>MID(Tabla1[[#This Row],[Aplicación]],14,1)</f>
        <v>2</v>
      </c>
      <c r="R2346" s="35" t="s">
        <v>298</v>
      </c>
      <c r="S2346" s="59" t="str">
        <f>MID(Tabla1[[#This Row],[Aplicación]],6,2)</f>
        <v>08</v>
      </c>
      <c r="T2346" s="35" t="str">
        <f>VLOOKUP(Tabla1[[#This Row],[AREA]],Hoja1!A:B,2,FALSE)</f>
        <v>08. Movilidad y espacio urbano</v>
      </c>
      <c r="U2346" s="56" t="str">
        <f>MID(Tabla1[[#This Row],[Aplicación]],9,4)</f>
        <v>1341</v>
      </c>
      <c r="V2346" s="35" t="str">
        <f>VLOOKUP(Tabla1[[#This Row],[PROGRAMA]],Hoja1!A:B,2,FALSE)</f>
        <v>1341. Movilidad</v>
      </c>
      <c r="W2346" s="56" t="str">
        <f>MID(Tabla1[[#This Row],[Aplicación]],14,2)</f>
        <v>22</v>
      </c>
      <c r="X2346" s="56" t="str">
        <f>MID(Tabla1[[#This Row],[Aplicación]],14,6)</f>
        <v>22799</v>
      </c>
    </row>
    <row r="2347" spans="1:24" x14ac:dyDescent="0.25">
      <c r="A2347" s="62">
        <v>220230016189</v>
      </c>
      <c r="B2347" s="44" t="s">
        <v>1514</v>
      </c>
      <c r="C2347" s="64">
        <v>45043</v>
      </c>
      <c r="D2347" s="62">
        <v>22023002181</v>
      </c>
      <c r="E2347" s="44" t="s">
        <v>1305</v>
      </c>
      <c r="F2347" s="65">
        <v>526.48</v>
      </c>
      <c r="G2347" s="44" t="s">
        <v>2477</v>
      </c>
      <c r="H2347" s="44" t="s">
        <v>3912</v>
      </c>
      <c r="I2347" s="62" t="s">
        <v>1517</v>
      </c>
      <c r="J2347" s="44" t="s">
        <v>519</v>
      </c>
      <c r="K2347" s="44" t="s">
        <v>519</v>
      </c>
      <c r="L2347" s="44" t="s">
        <v>552</v>
      </c>
      <c r="M2347" s="44" t="s">
        <v>514</v>
      </c>
      <c r="N2347" s="44" t="s">
        <v>515</v>
      </c>
      <c r="O2347" s="45" t="s">
        <v>382</v>
      </c>
      <c r="P2347" s="45" t="s">
        <v>3760</v>
      </c>
      <c r="Q2347" s="59" t="str">
        <f>MID(Tabla1[[#This Row],[Aplicación]],14,1)</f>
        <v>2</v>
      </c>
      <c r="R2347" s="35" t="s">
        <v>298</v>
      </c>
      <c r="S2347" s="59" t="str">
        <f>MID(Tabla1[[#This Row],[Aplicación]],6,2)</f>
        <v>06</v>
      </c>
      <c r="T2347" s="35" t="str">
        <f>VLOOKUP(Tabla1[[#This Row],[AREA]],Hoja1!A:B,2,FALSE)</f>
        <v>06. Educación, infancia, juventud e igualdad</v>
      </c>
      <c r="U2347" s="56" t="str">
        <f>MID(Tabla1[[#This Row],[Aplicación]],9,4)</f>
        <v>3232</v>
      </c>
      <c r="V2347" s="35" t="str">
        <f>VLOOKUP(Tabla1[[#This Row],[PROGRAMA]],Hoja1!A:B,2,FALSE)</f>
        <v>3232. Conservación y mantenimiento centros educación infantil y primaria</v>
      </c>
      <c r="W2347" s="56" t="str">
        <f>MID(Tabla1[[#This Row],[Aplicación]],14,2)</f>
        <v>21</v>
      </c>
      <c r="X2347" s="56" t="str">
        <f>MID(Tabla1[[#This Row],[Aplicación]],14,6)</f>
        <v>212</v>
      </c>
    </row>
    <row r="2348" spans="1:24" x14ac:dyDescent="0.25">
      <c r="A2348" s="62">
        <v>220230025388</v>
      </c>
      <c r="B2348" s="44" t="s">
        <v>507</v>
      </c>
      <c r="C2348" s="64">
        <v>45072</v>
      </c>
      <c r="D2348" s="62">
        <v>22023004677</v>
      </c>
      <c r="E2348" s="44" t="s">
        <v>736</v>
      </c>
      <c r="F2348" s="65">
        <v>3102</v>
      </c>
      <c r="G2348" s="44" t="s">
        <v>3913</v>
      </c>
      <c r="H2348" s="44" t="s">
        <v>3914</v>
      </c>
      <c r="I2348" s="62" t="s">
        <v>511</v>
      </c>
      <c r="J2348" s="44" t="s">
        <v>1405</v>
      </c>
      <c r="K2348" s="44" t="s">
        <v>519</v>
      </c>
      <c r="L2348" s="44" t="s">
        <v>520</v>
      </c>
      <c r="M2348" s="44" t="s">
        <v>976</v>
      </c>
      <c r="N2348" s="44" t="s">
        <v>839</v>
      </c>
      <c r="O2348" s="45" t="s">
        <v>383</v>
      </c>
      <c r="P2348" s="45" t="s">
        <v>3760</v>
      </c>
      <c r="Q2348" s="59" t="str">
        <f>MID(Tabla1[[#This Row],[Aplicación]],14,1)</f>
        <v>2</v>
      </c>
      <c r="R2348" s="35" t="s">
        <v>298</v>
      </c>
      <c r="S2348" s="59" t="str">
        <f>MID(Tabla1[[#This Row],[Aplicación]],6,2)</f>
        <v>06</v>
      </c>
      <c r="T2348" s="35" t="str">
        <f>VLOOKUP(Tabla1[[#This Row],[AREA]],Hoja1!A:B,2,FALSE)</f>
        <v>06. Educación, infancia, juventud e igualdad</v>
      </c>
      <c r="U2348" s="56" t="str">
        <f>MID(Tabla1[[#This Row],[Aplicación]],9,4)</f>
        <v>3261</v>
      </c>
      <c r="V2348" s="35" t="str">
        <f>VLOOKUP(Tabla1[[#This Row],[PROGRAMA]],Hoja1!A:B,2,FALSE)</f>
        <v>3261. Servicios complementarios de educación</v>
      </c>
      <c r="W2348" s="56" t="str">
        <f>MID(Tabla1[[#This Row],[Aplicación]],14,2)</f>
        <v>22</v>
      </c>
      <c r="X2348" s="56" t="str">
        <f>MID(Tabla1[[#This Row],[Aplicación]],14,6)</f>
        <v>22799</v>
      </c>
    </row>
    <row r="2349" spans="1:24" x14ac:dyDescent="0.25">
      <c r="A2349" s="62">
        <v>220230016850</v>
      </c>
      <c r="B2349" s="44" t="s">
        <v>507</v>
      </c>
      <c r="C2349" s="64">
        <v>45048</v>
      </c>
      <c r="D2349" s="62">
        <v>22023004187</v>
      </c>
      <c r="E2349" s="44" t="s">
        <v>3915</v>
      </c>
      <c r="F2349" s="65">
        <v>715</v>
      </c>
      <c r="G2349" s="44" t="s">
        <v>3913</v>
      </c>
      <c r="H2349" s="44" t="s">
        <v>3916</v>
      </c>
      <c r="I2349" s="62" t="s">
        <v>511</v>
      </c>
      <c r="J2349" s="44" t="s">
        <v>1405</v>
      </c>
      <c r="K2349" s="44" t="s">
        <v>519</v>
      </c>
      <c r="L2349" s="44" t="s">
        <v>520</v>
      </c>
      <c r="M2349" s="44" t="s">
        <v>976</v>
      </c>
      <c r="N2349" s="44" t="s">
        <v>839</v>
      </c>
      <c r="O2349" s="45" t="s">
        <v>383</v>
      </c>
      <c r="P2349" s="45" t="s">
        <v>3760</v>
      </c>
      <c r="Q2349" s="59" t="str">
        <f>MID(Tabla1[[#This Row],[Aplicación]],14,1)</f>
        <v>2</v>
      </c>
      <c r="R2349" s="35" t="s">
        <v>298</v>
      </c>
      <c r="S2349" s="59" t="str">
        <f>MID(Tabla1[[#This Row],[Aplicación]],6,2)</f>
        <v>10</v>
      </c>
      <c r="T2349" s="35" t="str">
        <f>VLOOKUP(Tabla1[[#This Row],[AREA]],Hoja1!A:B,2,FALSE)</f>
        <v>10. Servicios sociales y mediación comunitaria</v>
      </c>
      <c r="U2349" s="56" t="str">
        <f>MID(Tabla1[[#This Row],[Aplicación]],9,4)</f>
        <v>2412</v>
      </c>
      <c r="V2349" s="35" t="str">
        <f>VLOOKUP(Tabla1[[#This Row],[PROGRAMA]],Hoja1!A:B,2,FALSE)</f>
        <v>2412. Formación para el empleo</v>
      </c>
      <c r="W2349" s="56" t="str">
        <f>MID(Tabla1[[#This Row],[Aplicación]],14,2)</f>
        <v>22</v>
      </c>
      <c r="X2349" s="56" t="str">
        <f>MID(Tabla1[[#This Row],[Aplicación]],14,6)</f>
        <v>22699</v>
      </c>
    </row>
    <row r="2350" spans="1:24" x14ac:dyDescent="0.25">
      <c r="A2350" s="63">
        <v>220230028294</v>
      </c>
      <c r="B2350" s="44" t="s">
        <v>1514</v>
      </c>
      <c r="C2350" s="64">
        <v>45084</v>
      </c>
      <c r="D2350" s="62">
        <v>22023004052</v>
      </c>
      <c r="E2350" s="44" t="s">
        <v>1290</v>
      </c>
      <c r="F2350" s="65">
        <v>2832.95</v>
      </c>
      <c r="G2350" s="44" t="s">
        <v>2257</v>
      </c>
      <c r="H2350" s="44" t="s">
        <v>3917</v>
      </c>
      <c r="I2350" s="62" t="s">
        <v>1517</v>
      </c>
      <c r="J2350" s="44" t="s">
        <v>519</v>
      </c>
      <c r="K2350" s="44" t="s">
        <v>519</v>
      </c>
      <c r="L2350" s="44" t="s">
        <v>552</v>
      </c>
      <c r="M2350" s="44" t="s">
        <v>514</v>
      </c>
      <c r="N2350" s="44" t="s">
        <v>515</v>
      </c>
      <c r="O2350" s="45" t="s">
        <v>382</v>
      </c>
      <c r="P2350" s="45" t="s">
        <v>3760</v>
      </c>
      <c r="Q2350" s="59" t="str">
        <f>MID(Tabla1[[#This Row],[Aplicación]],14,1)</f>
        <v>2</v>
      </c>
      <c r="R2350" s="35" t="s">
        <v>298</v>
      </c>
      <c r="S2350" s="59" t="str">
        <f>MID(Tabla1[[#This Row],[Aplicación]],6,2)</f>
        <v>11</v>
      </c>
      <c r="T2350" s="35" t="str">
        <f>VLOOKUP(Tabla1[[#This Row],[AREA]],Hoja1!A:B,2,FALSE)</f>
        <v>11. Salud pública y seguridad ciudadana</v>
      </c>
      <c r="U2350" s="56" t="str">
        <f>MID(Tabla1[[#This Row],[Aplicación]],9,4)</f>
        <v>1621</v>
      </c>
      <c r="V2350" s="35" t="str">
        <f>VLOOKUP(Tabla1[[#This Row],[PROGRAMA]],Hoja1!A:B,2,FALSE)</f>
        <v>1621. Servicio de limpieza</v>
      </c>
      <c r="W2350" s="56" t="str">
        <f>MID(Tabla1[[#This Row],[Aplicación]],14,2)</f>
        <v>21</v>
      </c>
      <c r="X2350" s="56" t="str">
        <f>MID(Tabla1[[#This Row],[Aplicación]],14,6)</f>
        <v>214</v>
      </c>
    </row>
    <row r="2351" spans="1:24" x14ac:dyDescent="0.25">
      <c r="A2351" s="62">
        <v>220230016112</v>
      </c>
      <c r="B2351" s="44" t="s">
        <v>1514</v>
      </c>
      <c r="C2351" s="64">
        <v>45043</v>
      </c>
      <c r="D2351" s="62">
        <v>22023001459</v>
      </c>
      <c r="E2351" s="44" t="s">
        <v>1290</v>
      </c>
      <c r="F2351" s="65">
        <v>174.24</v>
      </c>
      <c r="G2351" s="44" t="s">
        <v>2391</v>
      </c>
      <c r="H2351" s="44" t="s">
        <v>3918</v>
      </c>
      <c r="I2351" s="62" t="s">
        <v>1517</v>
      </c>
      <c r="J2351" s="44" t="s">
        <v>519</v>
      </c>
      <c r="K2351" s="44" t="s">
        <v>519</v>
      </c>
      <c r="L2351" s="44" t="s">
        <v>520</v>
      </c>
      <c r="M2351" s="44" t="s">
        <v>514</v>
      </c>
      <c r="N2351" s="44" t="s">
        <v>515</v>
      </c>
      <c r="O2351" s="45" t="s">
        <v>382</v>
      </c>
      <c r="P2351" s="45" t="s">
        <v>3760</v>
      </c>
      <c r="Q2351" s="59" t="str">
        <f>MID(Tabla1[[#This Row],[Aplicación]],14,1)</f>
        <v>2</v>
      </c>
      <c r="R2351" s="35" t="s">
        <v>298</v>
      </c>
      <c r="S2351" s="59" t="str">
        <f>MID(Tabla1[[#This Row],[Aplicación]],6,2)</f>
        <v>11</v>
      </c>
      <c r="T2351" s="35" t="str">
        <f>VLOOKUP(Tabla1[[#This Row],[AREA]],Hoja1!A:B,2,FALSE)</f>
        <v>11. Salud pública y seguridad ciudadana</v>
      </c>
      <c r="U2351" s="56" t="str">
        <f>MID(Tabla1[[#This Row],[Aplicación]],9,4)</f>
        <v>1621</v>
      </c>
      <c r="V2351" s="35" t="str">
        <f>VLOOKUP(Tabla1[[#This Row],[PROGRAMA]],Hoja1!A:B,2,FALSE)</f>
        <v>1621. Servicio de limpieza</v>
      </c>
      <c r="W2351" s="56" t="str">
        <f>MID(Tabla1[[#This Row],[Aplicación]],14,2)</f>
        <v>21</v>
      </c>
      <c r="X2351" s="56" t="str">
        <f>MID(Tabla1[[#This Row],[Aplicación]],14,6)</f>
        <v>214</v>
      </c>
    </row>
    <row r="2352" spans="1:24" x14ac:dyDescent="0.25">
      <c r="A2352" s="62">
        <v>220230018430</v>
      </c>
      <c r="B2352" s="44" t="s">
        <v>1514</v>
      </c>
      <c r="C2352" s="64">
        <v>45055</v>
      </c>
      <c r="D2352" s="62">
        <v>22023001459</v>
      </c>
      <c r="E2352" s="44" t="s">
        <v>1290</v>
      </c>
      <c r="F2352" s="65">
        <v>2170.81</v>
      </c>
      <c r="G2352" s="44" t="s">
        <v>2391</v>
      </c>
      <c r="H2352" s="44" t="s">
        <v>3919</v>
      </c>
      <c r="I2352" s="62" t="s">
        <v>1517</v>
      </c>
      <c r="J2352" s="44" t="s">
        <v>519</v>
      </c>
      <c r="K2352" s="44" t="s">
        <v>519</v>
      </c>
      <c r="L2352" s="44" t="s">
        <v>520</v>
      </c>
      <c r="M2352" s="44" t="s">
        <v>514</v>
      </c>
      <c r="N2352" s="44" t="s">
        <v>515</v>
      </c>
      <c r="O2352" s="45" t="s">
        <v>382</v>
      </c>
      <c r="P2352" s="45" t="s">
        <v>3760</v>
      </c>
      <c r="Q2352" s="59" t="str">
        <f>MID(Tabla1[[#This Row],[Aplicación]],14,1)</f>
        <v>2</v>
      </c>
      <c r="R2352" s="35" t="s">
        <v>298</v>
      </c>
      <c r="S2352" s="59" t="str">
        <f>MID(Tabla1[[#This Row],[Aplicación]],6,2)</f>
        <v>11</v>
      </c>
      <c r="T2352" s="35" t="str">
        <f>VLOOKUP(Tabla1[[#This Row],[AREA]],Hoja1!A:B,2,FALSE)</f>
        <v>11. Salud pública y seguridad ciudadana</v>
      </c>
      <c r="U2352" s="56" t="str">
        <f>MID(Tabla1[[#This Row],[Aplicación]],9,4)</f>
        <v>1621</v>
      </c>
      <c r="V2352" s="35" t="str">
        <f>VLOOKUP(Tabla1[[#This Row],[PROGRAMA]],Hoja1!A:B,2,FALSE)</f>
        <v>1621. Servicio de limpieza</v>
      </c>
      <c r="W2352" s="56" t="str">
        <f>MID(Tabla1[[#This Row],[Aplicación]],14,2)</f>
        <v>21</v>
      </c>
      <c r="X2352" s="56" t="str">
        <f>MID(Tabla1[[#This Row],[Aplicación]],14,6)</f>
        <v>214</v>
      </c>
    </row>
    <row r="2353" spans="1:24" x14ac:dyDescent="0.25">
      <c r="A2353" s="63">
        <v>220230028410</v>
      </c>
      <c r="B2353" s="44" t="s">
        <v>1514</v>
      </c>
      <c r="C2353" s="64">
        <v>45084</v>
      </c>
      <c r="D2353" s="62">
        <v>22023001514</v>
      </c>
      <c r="E2353" s="44" t="s">
        <v>1285</v>
      </c>
      <c r="F2353" s="65">
        <v>8.92</v>
      </c>
      <c r="G2353" s="44" t="s">
        <v>2257</v>
      </c>
      <c r="H2353" s="44" t="s">
        <v>3920</v>
      </c>
      <c r="I2353" s="62" t="s">
        <v>1517</v>
      </c>
      <c r="J2353" s="44" t="s">
        <v>519</v>
      </c>
      <c r="K2353" s="44" t="s">
        <v>519</v>
      </c>
      <c r="L2353" s="44" t="s">
        <v>552</v>
      </c>
      <c r="M2353" s="44" t="s">
        <v>514</v>
      </c>
      <c r="N2353" s="44" t="s">
        <v>515</v>
      </c>
      <c r="O2353" s="45" t="s">
        <v>382</v>
      </c>
      <c r="P2353" s="45" t="s">
        <v>3760</v>
      </c>
      <c r="Q2353" s="59" t="str">
        <f>MID(Tabla1[[#This Row],[Aplicación]],14,1)</f>
        <v>2</v>
      </c>
      <c r="R2353" s="35" t="s">
        <v>298</v>
      </c>
      <c r="S2353" s="59" t="str">
        <f>MID(Tabla1[[#This Row],[Aplicación]],6,2)</f>
        <v>11</v>
      </c>
      <c r="T2353" s="35" t="str">
        <f>VLOOKUP(Tabla1[[#This Row],[AREA]],Hoja1!A:B,2,FALSE)</f>
        <v>11. Salud pública y seguridad ciudadana</v>
      </c>
      <c r="U2353" s="56" t="str">
        <f>MID(Tabla1[[#This Row],[Aplicación]],9,4)</f>
        <v>1361</v>
      </c>
      <c r="V2353" s="35" t="str">
        <f>VLOOKUP(Tabla1[[#This Row],[PROGRAMA]],Hoja1!A:B,2,FALSE)</f>
        <v>1361. Prevención y extinción de incencios</v>
      </c>
      <c r="W2353" s="56" t="str">
        <f>MID(Tabla1[[#This Row],[Aplicación]],14,2)</f>
        <v>22</v>
      </c>
      <c r="X2353" s="56" t="str">
        <f>MID(Tabla1[[#This Row],[Aplicación]],14,6)</f>
        <v>22199</v>
      </c>
    </row>
    <row r="2354" spans="1:24" x14ac:dyDescent="0.25">
      <c r="A2354" s="62">
        <v>220230015968</v>
      </c>
      <c r="B2354" s="44" t="s">
        <v>507</v>
      </c>
      <c r="C2354" s="64">
        <v>45042</v>
      </c>
      <c r="D2354" s="62">
        <v>22023004014</v>
      </c>
      <c r="E2354" s="44" t="s">
        <v>736</v>
      </c>
      <c r="F2354" s="65">
        <v>550</v>
      </c>
      <c r="G2354" s="44" t="s">
        <v>3913</v>
      </c>
      <c r="H2354" s="44" t="s">
        <v>3921</v>
      </c>
      <c r="I2354" s="62" t="s">
        <v>511</v>
      </c>
      <c r="J2354" s="44" t="s">
        <v>1405</v>
      </c>
      <c r="K2354" s="44" t="s">
        <v>519</v>
      </c>
      <c r="L2354" s="44" t="s">
        <v>520</v>
      </c>
      <c r="M2354" s="44" t="s">
        <v>976</v>
      </c>
      <c r="N2354" s="44" t="s">
        <v>839</v>
      </c>
      <c r="O2354" s="45" t="s">
        <v>383</v>
      </c>
      <c r="P2354" s="45" t="s">
        <v>3760</v>
      </c>
      <c r="Q2354" s="59" t="str">
        <f>MID(Tabla1[[#This Row],[Aplicación]],14,1)</f>
        <v>2</v>
      </c>
      <c r="R2354" s="35" t="s">
        <v>298</v>
      </c>
      <c r="S2354" s="59" t="str">
        <f>MID(Tabla1[[#This Row],[Aplicación]],6,2)</f>
        <v>06</v>
      </c>
      <c r="T2354" s="35" t="str">
        <f>VLOOKUP(Tabla1[[#This Row],[AREA]],Hoja1!A:B,2,FALSE)</f>
        <v>06. Educación, infancia, juventud e igualdad</v>
      </c>
      <c r="U2354" s="56" t="str">
        <f>MID(Tabla1[[#This Row],[Aplicación]],9,4)</f>
        <v>3261</v>
      </c>
      <c r="V2354" s="35" t="str">
        <f>VLOOKUP(Tabla1[[#This Row],[PROGRAMA]],Hoja1!A:B,2,FALSE)</f>
        <v>3261. Servicios complementarios de educación</v>
      </c>
      <c r="W2354" s="56" t="str">
        <f>MID(Tabla1[[#This Row],[Aplicación]],14,2)</f>
        <v>22</v>
      </c>
      <c r="X2354" s="56" t="str">
        <f>MID(Tabla1[[#This Row],[Aplicación]],14,6)</f>
        <v>22799</v>
      </c>
    </row>
    <row r="2355" spans="1:24" x14ac:dyDescent="0.25">
      <c r="A2355" s="62">
        <v>220230016865</v>
      </c>
      <c r="B2355" s="44" t="s">
        <v>507</v>
      </c>
      <c r="C2355" s="64">
        <v>45048</v>
      </c>
      <c r="D2355" s="62">
        <v>22023004321</v>
      </c>
      <c r="E2355" s="44" t="s">
        <v>3915</v>
      </c>
      <c r="F2355" s="65">
        <v>183.33</v>
      </c>
      <c r="G2355" s="44" t="s">
        <v>3913</v>
      </c>
      <c r="H2355" s="44" t="s">
        <v>3922</v>
      </c>
      <c r="I2355" s="62" t="s">
        <v>511</v>
      </c>
      <c r="J2355" s="44" t="s">
        <v>1405</v>
      </c>
      <c r="K2355" s="44" t="s">
        <v>519</v>
      </c>
      <c r="L2355" s="44" t="s">
        <v>520</v>
      </c>
      <c r="M2355" s="44" t="s">
        <v>976</v>
      </c>
      <c r="N2355" s="44" t="s">
        <v>839</v>
      </c>
      <c r="O2355" s="45" t="s">
        <v>383</v>
      </c>
      <c r="P2355" s="45" t="s">
        <v>3760</v>
      </c>
      <c r="Q2355" s="59" t="str">
        <f>MID(Tabla1[[#This Row],[Aplicación]],14,1)</f>
        <v>2</v>
      </c>
      <c r="R2355" s="35" t="s">
        <v>298</v>
      </c>
      <c r="S2355" s="59" t="str">
        <f>MID(Tabla1[[#This Row],[Aplicación]],6,2)</f>
        <v>10</v>
      </c>
      <c r="T2355" s="35" t="str">
        <f>VLOOKUP(Tabla1[[#This Row],[AREA]],Hoja1!A:B,2,FALSE)</f>
        <v>10. Servicios sociales y mediación comunitaria</v>
      </c>
      <c r="U2355" s="56" t="str">
        <f>MID(Tabla1[[#This Row],[Aplicación]],9,4)</f>
        <v>2412</v>
      </c>
      <c r="V2355" s="35" t="str">
        <f>VLOOKUP(Tabla1[[#This Row],[PROGRAMA]],Hoja1!A:B,2,FALSE)</f>
        <v>2412. Formación para el empleo</v>
      </c>
      <c r="W2355" s="56" t="str">
        <f>MID(Tabla1[[#This Row],[Aplicación]],14,2)</f>
        <v>22</v>
      </c>
      <c r="X2355" s="56" t="str">
        <f>MID(Tabla1[[#This Row],[Aplicación]],14,6)</f>
        <v>22699</v>
      </c>
    </row>
    <row r="2356" spans="1:24" x14ac:dyDescent="0.25">
      <c r="A2356" s="62">
        <v>220230016865</v>
      </c>
      <c r="B2356" s="44" t="s">
        <v>507</v>
      </c>
      <c r="C2356" s="64">
        <v>45048</v>
      </c>
      <c r="D2356" s="62">
        <v>22023004322</v>
      </c>
      <c r="E2356" s="44" t="s">
        <v>3915</v>
      </c>
      <c r="F2356" s="65">
        <v>146.66999999999999</v>
      </c>
      <c r="G2356" s="44" t="s">
        <v>3913</v>
      </c>
      <c r="H2356" s="44" t="s">
        <v>3922</v>
      </c>
      <c r="I2356" s="62" t="s">
        <v>511</v>
      </c>
      <c r="J2356" s="44" t="s">
        <v>1405</v>
      </c>
      <c r="K2356" s="44" t="s">
        <v>519</v>
      </c>
      <c r="L2356" s="44" t="s">
        <v>520</v>
      </c>
      <c r="M2356" s="44" t="s">
        <v>976</v>
      </c>
      <c r="N2356" s="44" t="s">
        <v>839</v>
      </c>
      <c r="O2356" s="45" t="s">
        <v>383</v>
      </c>
      <c r="P2356" s="45" t="s">
        <v>3760</v>
      </c>
      <c r="Q2356" s="59" t="str">
        <f>MID(Tabla1[[#This Row],[Aplicación]],14,1)</f>
        <v>2</v>
      </c>
      <c r="R2356" s="35" t="s">
        <v>298</v>
      </c>
      <c r="S2356" s="59" t="str">
        <f>MID(Tabla1[[#This Row],[Aplicación]],6,2)</f>
        <v>10</v>
      </c>
      <c r="T2356" s="35" t="str">
        <f>VLOOKUP(Tabla1[[#This Row],[AREA]],Hoja1!A:B,2,FALSE)</f>
        <v>10. Servicios sociales y mediación comunitaria</v>
      </c>
      <c r="U2356" s="56" t="str">
        <f>MID(Tabla1[[#This Row],[Aplicación]],9,4)</f>
        <v>2412</v>
      </c>
      <c r="V2356" s="35" t="str">
        <f>VLOOKUP(Tabla1[[#This Row],[PROGRAMA]],Hoja1!A:B,2,FALSE)</f>
        <v>2412. Formación para el empleo</v>
      </c>
      <c r="W2356" s="56" t="str">
        <f>MID(Tabla1[[#This Row],[Aplicación]],14,2)</f>
        <v>22</v>
      </c>
      <c r="X2356" s="56" t="str">
        <f>MID(Tabla1[[#This Row],[Aplicación]],14,6)</f>
        <v>22699</v>
      </c>
    </row>
    <row r="2357" spans="1:24" x14ac:dyDescent="0.25">
      <c r="A2357" s="62">
        <v>220230015354</v>
      </c>
      <c r="B2357" s="44" t="s">
        <v>507</v>
      </c>
      <c r="C2357" s="64">
        <v>45041</v>
      </c>
      <c r="D2357" s="62">
        <v>22023003891</v>
      </c>
      <c r="E2357" s="44" t="s">
        <v>665</v>
      </c>
      <c r="F2357" s="65">
        <v>1660.48</v>
      </c>
      <c r="G2357" s="44" t="s">
        <v>3923</v>
      </c>
      <c r="H2357" s="44" t="s">
        <v>3924</v>
      </c>
      <c r="I2357" s="62" t="s">
        <v>511</v>
      </c>
      <c r="J2357" s="44" t="s">
        <v>1759</v>
      </c>
      <c r="K2357" s="44" t="s">
        <v>519</v>
      </c>
      <c r="L2357" s="44" t="s">
        <v>520</v>
      </c>
      <c r="M2357" s="44" t="s">
        <v>976</v>
      </c>
      <c r="N2357" s="44" t="s">
        <v>839</v>
      </c>
      <c r="O2357" s="45" t="s">
        <v>383</v>
      </c>
      <c r="P2357" s="45" t="s">
        <v>3760</v>
      </c>
      <c r="Q2357" s="59" t="str">
        <f>MID(Tabla1[[#This Row],[Aplicación]],14,1)</f>
        <v>2</v>
      </c>
      <c r="R2357" s="35" t="s">
        <v>298</v>
      </c>
      <c r="S2357" s="59" t="str">
        <f>MID(Tabla1[[#This Row],[Aplicación]],6,2)</f>
        <v>08</v>
      </c>
      <c r="T2357" s="35" t="str">
        <f>VLOOKUP(Tabla1[[#This Row],[AREA]],Hoja1!A:B,2,FALSE)</f>
        <v>08. Movilidad y espacio urbano</v>
      </c>
      <c r="U2357" s="56" t="str">
        <f>MID(Tabla1[[#This Row],[Aplicación]],9,4)</f>
        <v>1532</v>
      </c>
      <c r="V2357" s="35" t="str">
        <f>VLOOKUP(Tabla1[[#This Row],[PROGRAMA]],Hoja1!A:B,2,FALSE)</f>
        <v>1532. Pavimentación vias públicas y otros servicios urbanísticos</v>
      </c>
      <c r="W2357" s="56" t="str">
        <f>MID(Tabla1[[#This Row],[Aplicación]],14,2)</f>
        <v>21</v>
      </c>
      <c r="X2357" s="56" t="str">
        <f>MID(Tabla1[[#This Row],[Aplicación]],14,6)</f>
        <v>213</v>
      </c>
    </row>
    <row r="2358" spans="1:24" x14ac:dyDescent="0.25">
      <c r="A2358" s="62">
        <v>220230022639</v>
      </c>
      <c r="B2358" s="44" t="s">
        <v>507</v>
      </c>
      <c r="C2358" s="64">
        <v>45068</v>
      </c>
      <c r="D2358" s="62">
        <v>22023004613</v>
      </c>
      <c r="E2358" s="44" t="s">
        <v>792</v>
      </c>
      <c r="F2358" s="65">
        <v>561.59</v>
      </c>
      <c r="G2358" s="44" t="s">
        <v>3925</v>
      </c>
      <c r="H2358" s="44" t="s">
        <v>3926</v>
      </c>
      <c r="I2358" s="62" t="s">
        <v>511</v>
      </c>
      <c r="J2358" s="44" t="s">
        <v>947</v>
      </c>
      <c r="K2358" s="44" t="s">
        <v>947</v>
      </c>
      <c r="L2358" s="44" t="s">
        <v>552</v>
      </c>
      <c r="M2358" s="44" t="s">
        <v>976</v>
      </c>
      <c r="N2358" s="44" t="s">
        <v>839</v>
      </c>
      <c r="O2358" s="45" t="s">
        <v>383</v>
      </c>
      <c r="P2358" s="45" t="s">
        <v>3760</v>
      </c>
      <c r="Q2358" s="59" t="str">
        <f>MID(Tabla1[[#This Row],[Aplicación]],14,1)</f>
        <v>6</v>
      </c>
      <c r="R2358" s="35" t="s">
        <v>299</v>
      </c>
      <c r="S2358" s="59" t="str">
        <f>MID(Tabla1[[#This Row],[Aplicación]],6,2)</f>
        <v>04</v>
      </c>
      <c r="T2358" s="35" t="str">
        <f>VLOOKUP(Tabla1[[#This Row],[AREA]],Hoja1!A:B,2,FALSE)</f>
        <v>04. Planificación y recursos</v>
      </c>
      <c r="U2358" s="56" t="str">
        <f>MID(Tabla1[[#This Row],[Aplicación]],9,4)</f>
        <v>9204</v>
      </c>
      <c r="V2358" s="35" t="str">
        <f>VLOOKUP(Tabla1[[#This Row],[PROGRAMA]],Hoja1!A:B,2,FALSE)</f>
        <v>9204. Tecnologías de la información y comunicación</v>
      </c>
      <c r="W2358" s="56" t="str">
        <f>MID(Tabla1[[#This Row],[Aplicación]],14,2)</f>
        <v>62</v>
      </c>
      <c r="X2358" s="56" t="str">
        <f>MID(Tabla1[[#This Row],[Aplicación]],14,6)</f>
        <v>626</v>
      </c>
    </row>
    <row r="2359" spans="1:24" x14ac:dyDescent="0.25">
      <c r="A2359" s="62">
        <v>220230015353</v>
      </c>
      <c r="B2359" s="44" t="s">
        <v>507</v>
      </c>
      <c r="C2359" s="64">
        <v>45041</v>
      </c>
      <c r="D2359" s="62">
        <v>22023003886</v>
      </c>
      <c r="E2359" s="44" t="s">
        <v>1191</v>
      </c>
      <c r="F2359" s="65">
        <v>929.28</v>
      </c>
      <c r="G2359" s="44" t="s">
        <v>3927</v>
      </c>
      <c r="H2359" s="44" t="s">
        <v>3928</v>
      </c>
      <c r="I2359" s="62" t="s">
        <v>511</v>
      </c>
      <c r="J2359" s="44" t="s">
        <v>768</v>
      </c>
      <c r="K2359" s="44" t="s">
        <v>768</v>
      </c>
      <c r="L2359" s="44" t="s">
        <v>552</v>
      </c>
      <c r="M2359" s="44" t="s">
        <v>976</v>
      </c>
      <c r="N2359" s="44" t="s">
        <v>839</v>
      </c>
      <c r="O2359" s="45" t="s">
        <v>383</v>
      </c>
      <c r="P2359" s="45" t="s">
        <v>3760</v>
      </c>
      <c r="Q2359" s="59" t="str">
        <f>MID(Tabla1[[#This Row],[Aplicación]],14,1)</f>
        <v>2</v>
      </c>
      <c r="R2359" s="35" t="s">
        <v>298</v>
      </c>
      <c r="S2359" s="59" t="str">
        <f>MID(Tabla1[[#This Row],[Aplicación]],6,2)</f>
        <v>06</v>
      </c>
      <c r="T2359" s="35" t="str">
        <f>VLOOKUP(Tabla1[[#This Row],[AREA]],Hoja1!A:B,2,FALSE)</f>
        <v>06. Educación, infancia, juventud e igualdad</v>
      </c>
      <c r="U2359" s="56" t="str">
        <f>MID(Tabla1[[#This Row],[Aplicación]],9,4)</f>
        <v>2315</v>
      </c>
      <c r="V2359" s="35" t="str">
        <f>VLOOKUP(Tabla1[[#This Row],[PROGRAMA]],Hoja1!A:B,2,FALSE)</f>
        <v>2315. Políticas de Igualdad e infancia</v>
      </c>
      <c r="W2359" s="56" t="str">
        <f>MID(Tabla1[[#This Row],[Aplicación]],14,2)</f>
        <v>22</v>
      </c>
      <c r="X2359" s="56" t="str">
        <f>MID(Tabla1[[#This Row],[Aplicación]],14,6)</f>
        <v>22611</v>
      </c>
    </row>
    <row r="2360" spans="1:24" x14ac:dyDescent="0.25">
      <c r="A2360" s="62">
        <v>220230020790</v>
      </c>
      <c r="B2360" s="44" t="s">
        <v>507</v>
      </c>
      <c r="C2360" s="64">
        <v>45062</v>
      </c>
      <c r="D2360" s="62">
        <v>22023004464</v>
      </c>
      <c r="E2360" s="44" t="s">
        <v>1430</v>
      </c>
      <c r="F2360" s="65">
        <v>459.8</v>
      </c>
      <c r="G2360" s="44" t="s">
        <v>3927</v>
      </c>
      <c r="H2360" s="44" t="s">
        <v>3929</v>
      </c>
      <c r="I2360" s="62" t="s">
        <v>511</v>
      </c>
      <c r="J2360" s="44" t="s">
        <v>768</v>
      </c>
      <c r="K2360" s="44" t="s">
        <v>768</v>
      </c>
      <c r="L2360" s="44" t="s">
        <v>552</v>
      </c>
      <c r="M2360" s="44" t="s">
        <v>976</v>
      </c>
      <c r="N2360" s="44" t="s">
        <v>839</v>
      </c>
      <c r="O2360" s="45" t="s">
        <v>383</v>
      </c>
      <c r="P2360" s="45" t="s">
        <v>3760</v>
      </c>
      <c r="Q2360" s="59" t="str">
        <f>MID(Tabla1[[#This Row],[Aplicación]],14,1)</f>
        <v>2</v>
      </c>
      <c r="R2360" s="35" t="s">
        <v>298</v>
      </c>
      <c r="S2360" s="59" t="str">
        <f>MID(Tabla1[[#This Row],[Aplicación]],6,2)</f>
        <v>06</v>
      </c>
      <c r="T2360" s="35" t="str">
        <f>VLOOKUP(Tabla1[[#This Row],[AREA]],Hoja1!A:B,2,FALSE)</f>
        <v>06. Educación, infancia, juventud e igualdad</v>
      </c>
      <c r="U2360" s="56" t="str">
        <f>MID(Tabla1[[#This Row],[Aplicación]],9,4)</f>
        <v>2315</v>
      </c>
      <c r="V2360" s="35" t="str">
        <f>VLOOKUP(Tabla1[[#This Row],[PROGRAMA]],Hoja1!A:B,2,FALSE)</f>
        <v>2315. Políticas de Igualdad e infancia</v>
      </c>
      <c r="W2360" s="56" t="str">
        <f>MID(Tabla1[[#This Row],[Aplicación]],14,2)</f>
        <v>22</v>
      </c>
      <c r="X2360" s="56" t="str">
        <f>MID(Tabla1[[#This Row],[Aplicación]],14,6)</f>
        <v>22614</v>
      </c>
    </row>
    <row r="2361" spans="1:24" x14ac:dyDescent="0.25">
      <c r="A2361" s="62">
        <v>220230020471</v>
      </c>
      <c r="B2361" s="44" t="s">
        <v>507</v>
      </c>
      <c r="C2361" s="64">
        <v>45057</v>
      </c>
      <c r="D2361" s="62">
        <v>22023004416</v>
      </c>
      <c r="E2361" s="44" t="s">
        <v>1490</v>
      </c>
      <c r="F2361" s="65">
        <v>332.75</v>
      </c>
      <c r="G2361" s="44" t="s">
        <v>3927</v>
      </c>
      <c r="H2361" s="44" t="s">
        <v>3930</v>
      </c>
      <c r="I2361" s="62" t="s">
        <v>511</v>
      </c>
      <c r="J2361" s="44" t="s">
        <v>768</v>
      </c>
      <c r="K2361" s="44" t="s">
        <v>768</v>
      </c>
      <c r="L2361" s="44" t="s">
        <v>520</v>
      </c>
      <c r="M2361" s="44" t="s">
        <v>976</v>
      </c>
      <c r="N2361" s="44" t="s">
        <v>839</v>
      </c>
      <c r="O2361" s="45" t="s">
        <v>383</v>
      </c>
      <c r="P2361" s="45" t="s">
        <v>3760</v>
      </c>
      <c r="Q2361" s="59" t="str">
        <f>MID(Tabla1[[#This Row],[Aplicación]],14,1)</f>
        <v>2</v>
      </c>
      <c r="R2361" s="35" t="s">
        <v>298</v>
      </c>
      <c r="S2361" s="59" t="str">
        <f>MID(Tabla1[[#This Row],[Aplicación]],6,2)</f>
        <v>06</v>
      </c>
      <c r="T2361" s="35" t="str">
        <f>VLOOKUP(Tabla1[[#This Row],[AREA]],Hoja1!A:B,2,FALSE)</f>
        <v>06. Educación, infancia, juventud e igualdad</v>
      </c>
      <c r="U2361" s="56" t="str">
        <f>MID(Tabla1[[#This Row],[Aplicación]],9,4)</f>
        <v>2314</v>
      </c>
      <c r="V2361" s="35" t="str">
        <f>VLOOKUP(Tabla1[[#This Row],[PROGRAMA]],Hoja1!A:B,2,FALSE)</f>
        <v>2314. Centro de programas juveniles</v>
      </c>
      <c r="W2361" s="56" t="str">
        <f>MID(Tabla1[[#This Row],[Aplicación]],14,2)</f>
        <v>22</v>
      </c>
      <c r="X2361" s="56" t="str">
        <f>MID(Tabla1[[#This Row],[Aplicación]],14,6)</f>
        <v>22613</v>
      </c>
    </row>
    <row r="2362" spans="1:24" x14ac:dyDescent="0.25">
      <c r="A2362" s="62">
        <v>220230020803</v>
      </c>
      <c r="B2362" s="44" t="s">
        <v>507</v>
      </c>
      <c r="C2362" s="64">
        <v>45062</v>
      </c>
      <c r="D2362" s="62">
        <v>22023004517</v>
      </c>
      <c r="E2362" s="44" t="s">
        <v>1191</v>
      </c>
      <c r="F2362" s="65">
        <v>166.38</v>
      </c>
      <c r="G2362" s="44" t="s">
        <v>3927</v>
      </c>
      <c r="H2362" s="44" t="s">
        <v>3931</v>
      </c>
      <c r="I2362" s="62" t="s">
        <v>511</v>
      </c>
      <c r="J2362" s="44" t="s">
        <v>768</v>
      </c>
      <c r="K2362" s="44" t="s">
        <v>768</v>
      </c>
      <c r="L2362" s="44" t="s">
        <v>520</v>
      </c>
      <c r="M2362" s="44" t="s">
        <v>976</v>
      </c>
      <c r="N2362" s="44" t="s">
        <v>839</v>
      </c>
      <c r="O2362" s="45" t="s">
        <v>383</v>
      </c>
      <c r="P2362" s="45" t="s">
        <v>3760</v>
      </c>
      <c r="Q2362" s="59" t="str">
        <f>MID(Tabla1[[#This Row],[Aplicación]],14,1)</f>
        <v>2</v>
      </c>
      <c r="R2362" s="35" t="s">
        <v>298</v>
      </c>
      <c r="S2362" s="59" t="str">
        <f>MID(Tabla1[[#This Row],[Aplicación]],6,2)</f>
        <v>06</v>
      </c>
      <c r="T2362" s="35" t="str">
        <f>VLOOKUP(Tabla1[[#This Row],[AREA]],Hoja1!A:B,2,FALSE)</f>
        <v>06. Educación, infancia, juventud e igualdad</v>
      </c>
      <c r="U2362" s="56" t="str">
        <f>MID(Tabla1[[#This Row],[Aplicación]],9,4)</f>
        <v>2315</v>
      </c>
      <c r="V2362" s="35" t="str">
        <f>VLOOKUP(Tabla1[[#This Row],[PROGRAMA]],Hoja1!A:B,2,FALSE)</f>
        <v>2315. Políticas de Igualdad e infancia</v>
      </c>
      <c r="W2362" s="56" t="str">
        <f>MID(Tabla1[[#This Row],[Aplicación]],14,2)</f>
        <v>22</v>
      </c>
      <c r="X2362" s="56" t="str">
        <f>MID(Tabla1[[#This Row],[Aplicación]],14,6)</f>
        <v>22611</v>
      </c>
    </row>
    <row r="2363" spans="1:24" x14ac:dyDescent="0.25">
      <c r="A2363" s="62">
        <v>220230024857</v>
      </c>
      <c r="B2363" s="44" t="s">
        <v>507</v>
      </c>
      <c r="C2363" s="64">
        <v>45070</v>
      </c>
      <c r="D2363" s="62">
        <v>22023004632</v>
      </c>
      <c r="E2363" s="44" t="s">
        <v>1043</v>
      </c>
      <c r="F2363" s="65">
        <v>352.91</v>
      </c>
      <c r="G2363" s="44" t="s">
        <v>1189</v>
      </c>
      <c r="H2363" s="44" t="s">
        <v>3932</v>
      </c>
      <c r="I2363" s="62" t="s">
        <v>511</v>
      </c>
      <c r="J2363" s="44" t="s">
        <v>953</v>
      </c>
      <c r="K2363" s="44" t="s">
        <v>519</v>
      </c>
      <c r="L2363" s="44" t="s">
        <v>520</v>
      </c>
      <c r="M2363" s="44" t="s">
        <v>976</v>
      </c>
      <c r="N2363" s="44" t="s">
        <v>839</v>
      </c>
      <c r="O2363" s="45" t="s">
        <v>383</v>
      </c>
      <c r="P2363" s="45" t="s">
        <v>3760</v>
      </c>
      <c r="Q2363" s="59" t="str">
        <f>MID(Tabla1[[#This Row],[Aplicación]],14,1)</f>
        <v>2</v>
      </c>
      <c r="R2363" s="35" t="s">
        <v>298</v>
      </c>
      <c r="S2363" s="59" t="str">
        <f>MID(Tabla1[[#This Row],[Aplicación]],6,2)</f>
        <v>10</v>
      </c>
      <c r="T2363" s="35" t="str">
        <f>VLOOKUP(Tabla1[[#This Row],[AREA]],Hoja1!A:B,2,FALSE)</f>
        <v>10. Servicios sociales y mediación comunitaria</v>
      </c>
      <c r="U2363" s="56" t="str">
        <f>MID(Tabla1[[#This Row],[Aplicación]],9,4)</f>
        <v>2312</v>
      </c>
      <c r="V2363" s="35" t="str">
        <f>VLOOKUP(Tabla1[[#This Row],[PROGRAMA]],Hoja1!A:B,2,FALSE)</f>
        <v>2312. Iniciativas sociales</v>
      </c>
      <c r="W2363" s="56" t="str">
        <f>MID(Tabla1[[#This Row],[Aplicación]],14,2)</f>
        <v>22</v>
      </c>
      <c r="X2363" s="56" t="str">
        <f>MID(Tabla1[[#This Row],[Aplicación]],14,6)</f>
        <v>22699</v>
      </c>
    </row>
    <row r="2364" spans="1:24" x14ac:dyDescent="0.25">
      <c r="A2364" s="62">
        <v>220230018572</v>
      </c>
      <c r="B2364" s="44" t="s">
        <v>1514</v>
      </c>
      <c r="C2364" s="64">
        <v>45055</v>
      </c>
      <c r="D2364" s="62">
        <v>22023001343</v>
      </c>
      <c r="E2364" s="44" t="s">
        <v>1506</v>
      </c>
      <c r="F2364" s="65">
        <v>316.20999999999998</v>
      </c>
      <c r="G2364" s="44" t="s">
        <v>2477</v>
      </c>
      <c r="H2364" s="44" t="s">
        <v>3933</v>
      </c>
      <c r="I2364" s="62" t="s">
        <v>1517</v>
      </c>
      <c r="J2364" s="44" t="s">
        <v>519</v>
      </c>
      <c r="K2364" s="44" t="s">
        <v>519</v>
      </c>
      <c r="L2364" s="44" t="s">
        <v>552</v>
      </c>
      <c r="M2364" s="44" t="s">
        <v>514</v>
      </c>
      <c r="N2364" s="44" t="s">
        <v>604</v>
      </c>
      <c r="O2364" s="45" t="s">
        <v>382</v>
      </c>
      <c r="P2364" s="45" t="s">
        <v>3760</v>
      </c>
      <c r="Q2364" s="59" t="str">
        <f>MID(Tabla1[[#This Row],[Aplicación]],14,1)</f>
        <v>2</v>
      </c>
      <c r="R2364" s="35" t="s">
        <v>298</v>
      </c>
      <c r="S2364" s="59" t="str">
        <f>MID(Tabla1[[#This Row],[Aplicación]],6,2)</f>
        <v>03</v>
      </c>
      <c r="T2364" s="35" t="str">
        <f>VLOOKUP(Tabla1[[#This Row],[AREA]],Hoja1!A:B,2,FALSE)</f>
        <v>03. Participación ciudadana y deportes</v>
      </c>
      <c r="U2364" s="56" t="str">
        <f>MID(Tabla1[[#This Row],[Aplicación]],9,4)</f>
        <v>9241</v>
      </c>
      <c r="V2364" s="35" t="str">
        <f>VLOOKUP(Tabla1[[#This Row],[PROGRAMA]],Hoja1!A:B,2,FALSE)</f>
        <v>9241. Participación ciudadana</v>
      </c>
      <c r="W2364" s="56" t="str">
        <f>MID(Tabla1[[#This Row],[Aplicación]],14,2)</f>
        <v>21</v>
      </c>
      <c r="X2364" s="56" t="str">
        <f>MID(Tabla1[[#This Row],[Aplicación]],14,6)</f>
        <v>212</v>
      </c>
    </row>
    <row r="2365" spans="1:24" x14ac:dyDescent="0.25">
      <c r="A2365" s="62">
        <v>220230024857</v>
      </c>
      <c r="B2365" s="44" t="s">
        <v>507</v>
      </c>
      <c r="C2365" s="64">
        <v>45070</v>
      </c>
      <c r="D2365" s="62">
        <v>22023004631</v>
      </c>
      <c r="E2365" s="44" t="s">
        <v>1043</v>
      </c>
      <c r="F2365" s="65">
        <v>252.09</v>
      </c>
      <c r="G2365" s="44" t="s">
        <v>1189</v>
      </c>
      <c r="H2365" s="44" t="s">
        <v>3932</v>
      </c>
      <c r="I2365" s="62" t="s">
        <v>511</v>
      </c>
      <c r="J2365" s="44" t="s">
        <v>953</v>
      </c>
      <c r="K2365" s="44" t="s">
        <v>519</v>
      </c>
      <c r="L2365" s="44" t="s">
        <v>520</v>
      </c>
      <c r="M2365" s="44" t="s">
        <v>976</v>
      </c>
      <c r="N2365" s="44" t="s">
        <v>839</v>
      </c>
      <c r="O2365" s="45" t="s">
        <v>383</v>
      </c>
      <c r="P2365" s="45" t="s">
        <v>3760</v>
      </c>
      <c r="Q2365" s="59" t="str">
        <f>MID(Tabla1[[#This Row],[Aplicación]],14,1)</f>
        <v>2</v>
      </c>
      <c r="R2365" s="35" t="s">
        <v>298</v>
      </c>
      <c r="S2365" s="59" t="str">
        <f>MID(Tabla1[[#This Row],[Aplicación]],6,2)</f>
        <v>10</v>
      </c>
      <c r="T2365" s="35" t="str">
        <f>VLOOKUP(Tabla1[[#This Row],[AREA]],Hoja1!A:B,2,FALSE)</f>
        <v>10. Servicios sociales y mediación comunitaria</v>
      </c>
      <c r="U2365" s="56" t="str">
        <f>MID(Tabla1[[#This Row],[Aplicación]],9,4)</f>
        <v>2312</v>
      </c>
      <c r="V2365" s="35" t="str">
        <f>VLOOKUP(Tabla1[[#This Row],[PROGRAMA]],Hoja1!A:B,2,FALSE)</f>
        <v>2312. Iniciativas sociales</v>
      </c>
      <c r="W2365" s="56" t="str">
        <f>MID(Tabla1[[#This Row],[Aplicación]],14,2)</f>
        <v>22</v>
      </c>
      <c r="X2365" s="56" t="str">
        <f>MID(Tabla1[[#This Row],[Aplicación]],14,6)</f>
        <v>22699</v>
      </c>
    </row>
    <row r="2366" spans="1:24" x14ac:dyDescent="0.25">
      <c r="A2366" s="62">
        <v>220230015950</v>
      </c>
      <c r="B2366" s="44" t="s">
        <v>507</v>
      </c>
      <c r="C2366" s="64">
        <v>45042</v>
      </c>
      <c r="D2366" s="62">
        <v>22023003943</v>
      </c>
      <c r="E2366" s="44" t="s">
        <v>1382</v>
      </c>
      <c r="F2366" s="65">
        <v>617.1</v>
      </c>
      <c r="G2366" s="44" t="s">
        <v>113</v>
      </c>
      <c r="H2366" s="44" t="s">
        <v>3934</v>
      </c>
      <c r="I2366" s="62" t="s">
        <v>511</v>
      </c>
      <c r="J2366" s="44" t="s">
        <v>519</v>
      </c>
      <c r="K2366" s="44" t="s">
        <v>519</v>
      </c>
      <c r="L2366" s="44" t="s">
        <v>552</v>
      </c>
      <c r="M2366" s="44" t="s">
        <v>976</v>
      </c>
      <c r="N2366" s="44" t="s">
        <v>839</v>
      </c>
      <c r="O2366" s="45" t="s">
        <v>383</v>
      </c>
      <c r="P2366" s="45" t="s">
        <v>3760</v>
      </c>
      <c r="Q2366" s="59" t="str">
        <f>MID(Tabla1[[#This Row],[Aplicación]],14,1)</f>
        <v>2</v>
      </c>
      <c r="R2366" s="35" t="s">
        <v>298</v>
      </c>
      <c r="S2366" s="59" t="str">
        <f>MID(Tabla1[[#This Row],[Aplicación]],6,2)</f>
        <v>03</v>
      </c>
      <c r="T2366" s="35" t="str">
        <f>VLOOKUP(Tabla1[[#This Row],[AREA]],Hoja1!A:B,2,FALSE)</f>
        <v>03. Participación ciudadana y deportes</v>
      </c>
      <c r="U2366" s="56" t="str">
        <f>MID(Tabla1[[#This Row],[Aplicación]],9,4)</f>
        <v>9241</v>
      </c>
      <c r="V2366" s="35" t="str">
        <f>VLOOKUP(Tabla1[[#This Row],[PROGRAMA]],Hoja1!A:B,2,FALSE)</f>
        <v>9241. Participación ciudadana</v>
      </c>
      <c r="W2366" s="56" t="str">
        <f>MID(Tabla1[[#This Row],[Aplicación]],14,2)</f>
        <v>22</v>
      </c>
      <c r="X2366" s="56" t="str">
        <f>MID(Tabla1[[#This Row],[Aplicación]],14,6)</f>
        <v>22699</v>
      </c>
    </row>
    <row r="2367" spans="1:24" x14ac:dyDescent="0.25">
      <c r="A2367" s="62">
        <v>220230022359</v>
      </c>
      <c r="B2367" s="44" t="s">
        <v>507</v>
      </c>
      <c r="C2367" s="64">
        <v>45065</v>
      </c>
      <c r="D2367" s="62">
        <v>22023004488</v>
      </c>
      <c r="E2367" s="44" t="s">
        <v>3400</v>
      </c>
      <c r="F2367" s="65">
        <v>195.74</v>
      </c>
      <c r="G2367" s="44" t="s">
        <v>2394</v>
      </c>
      <c r="H2367" s="44" t="s">
        <v>3935</v>
      </c>
      <c r="I2367" s="62" t="s">
        <v>511</v>
      </c>
      <c r="J2367" s="44" t="s">
        <v>519</v>
      </c>
      <c r="K2367" s="44" t="s">
        <v>519</v>
      </c>
      <c r="L2367" s="44" t="s">
        <v>552</v>
      </c>
      <c r="M2367" s="44" t="s">
        <v>976</v>
      </c>
      <c r="N2367" s="44" t="s">
        <v>839</v>
      </c>
      <c r="O2367" s="45" t="s">
        <v>383</v>
      </c>
      <c r="P2367" s="45" t="s">
        <v>3760</v>
      </c>
      <c r="Q2367" s="59" t="str">
        <f>MID(Tabla1[[#This Row],[Aplicación]],14,1)</f>
        <v>6</v>
      </c>
      <c r="R2367" s="35" t="s">
        <v>299</v>
      </c>
      <c r="S2367" s="59" t="str">
        <f>MID(Tabla1[[#This Row],[Aplicación]],6,2)</f>
        <v>04</v>
      </c>
      <c r="T2367" s="35" t="str">
        <f>VLOOKUP(Tabla1[[#This Row],[AREA]],Hoja1!A:B,2,FALSE)</f>
        <v>04. Planificación y recursos</v>
      </c>
      <c r="U2367" s="56" t="str">
        <f>MID(Tabla1[[#This Row],[Aplicación]],9,4)</f>
        <v>9209</v>
      </c>
      <c r="V2367" s="35" t="str">
        <f>VLOOKUP(Tabla1[[#This Row],[PROGRAMA]],Hoja1!A:B,2,FALSE)</f>
        <v>9209. Dirección del area de hacienda y función pública</v>
      </c>
      <c r="W2367" s="56" t="str">
        <f>MID(Tabla1[[#This Row],[Aplicación]],14,2)</f>
        <v>62</v>
      </c>
      <c r="X2367" s="56" t="str">
        <f>MID(Tabla1[[#This Row],[Aplicación]],14,6)</f>
        <v>625</v>
      </c>
    </row>
    <row r="2368" spans="1:24" x14ac:dyDescent="0.25">
      <c r="A2368" s="63">
        <v>220230028603</v>
      </c>
      <c r="B2368" s="44" t="s">
        <v>1514</v>
      </c>
      <c r="C2368" s="64">
        <v>45084</v>
      </c>
      <c r="D2368" s="62">
        <v>22023004052</v>
      </c>
      <c r="E2368" s="44" t="s">
        <v>1290</v>
      </c>
      <c r="F2368" s="65">
        <v>3757.98</v>
      </c>
      <c r="G2368" s="44" t="s">
        <v>2257</v>
      </c>
      <c r="H2368" s="44" t="s">
        <v>3936</v>
      </c>
      <c r="I2368" s="62" t="s">
        <v>1517</v>
      </c>
      <c r="J2368" s="44" t="s">
        <v>519</v>
      </c>
      <c r="K2368" s="44" t="s">
        <v>519</v>
      </c>
      <c r="L2368" s="44" t="s">
        <v>552</v>
      </c>
      <c r="M2368" s="44" t="s">
        <v>514</v>
      </c>
      <c r="N2368" s="44" t="s">
        <v>515</v>
      </c>
      <c r="O2368" s="45" t="s">
        <v>382</v>
      </c>
      <c r="P2368" s="45" t="s">
        <v>3760</v>
      </c>
      <c r="Q2368" s="59" t="str">
        <f>MID(Tabla1[[#This Row],[Aplicación]],14,1)</f>
        <v>2</v>
      </c>
      <c r="R2368" s="35" t="s">
        <v>298</v>
      </c>
      <c r="S2368" s="59" t="str">
        <f>MID(Tabla1[[#This Row],[Aplicación]],6,2)</f>
        <v>11</v>
      </c>
      <c r="T2368" s="35" t="str">
        <f>VLOOKUP(Tabla1[[#This Row],[AREA]],Hoja1!A:B,2,FALSE)</f>
        <v>11. Salud pública y seguridad ciudadana</v>
      </c>
      <c r="U2368" s="56" t="str">
        <f>MID(Tabla1[[#This Row],[Aplicación]],9,4)</f>
        <v>1621</v>
      </c>
      <c r="V2368" s="35" t="str">
        <f>VLOOKUP(Tabla1[[#This Row],[PROGRAMA]],Hoja1!A:B,2,FALSE)</f>
        <v>1621. Servicio de limpieza</v>
      </c>
      <c r="W2368" s="56" t="str">
        <f>MID(Tabla1[[#This Row],[Aplicación]],14,2)</f>
        <v>21</v>
      </c>
      <c r="X2368" s="56" t="str">
        <f>MID(Tabla1[[#This Row],[Aplicación]],14,6)</f>
        <v>214</v>
      </c>
    </row>
    <row r="2369" spans="1:24" x14ac:dyDescent="0.25">
      <c r="A2369" s="62">
        <v>220220014646</v>
      </c>
      <c r="B2369" s="44" t="s">
        <v>507</v>
      </c>
      <c r="C2369" s="64">
        <v>45037</v>
      </c>
      <c r="D2369" s="62">
        <v>22022001911</v>
      </c>
      <c r="E2369" s="44" t="s">
        <v>711</v>
      </c>
      <c r="F2369" s="65">
        <v>31730.74</v>
      </c>
      <c r="G2369" s="44" t="s">
        <v>82</v>
      </c>
      <c r="H2369" s="44" t="s">
        <v>989</v>
      </c>
      <c r="I2369" s="62" t="s">
        <v>511</v>
      </c>
      <c r="J2369" s="44" t="s">
        <v>519</v>
      </c>
      <c r="K2369" s="44" t="s">
        <v>519</v>
      </c>
      <c r="L2369" s="44" t="s">
        <v>520</v>
      </c>
      <c r="M2369" s="44" t="s">
        <v>514</v>
      </c>
      <c r="N2369" s="44" t="s">
        <v>515</v>
      </c>
      <c r="O2369" s="45" t="s">
        <v>371</v>
      </c>
      <c r="P2369" s="45" t="s">
        <v>3760</v>
      </c>
      <c r="Q2369" s="59" t="str">
        <f>MID(Tabla1[[#This Row],[Aplicación]],14,1)</f>
        <v>6</v>
      </c>
      <c r="R2369" s="35" t="s">
        <v>299</v>
      </c>
      <c r="S2369" s="59" t="str">
        <f>MID(Tabla1[[#This Row],[Aplicación]],6,2)</f>
        <v>04</v>
      </c>
      <c r="T2369" s="35" t="str">
        <f>VLOOKUP(Tabla1[[#This Row],[AREA]],Hoja1!A:B,2,FALSE)</f>
        <v>04. Planificación y recursos</v>
      </c>
      <c r="U2369" s="56" t="str">
        <f>MID(Tabla1[[#This Row],[Aplicación]],9,4)</f>
        <v>9204</v>
      </c>
      <c r="V2369" s="35" t="str">
        <f>VLOOKUP(Tabla1[[#This Row],[PROGRAMA]],Hoja1!A:B,2,FALSE)</f>
        <v>9204. Tecnologías de la información y comunicación</v>
      </c>
      <c r="W2369" s="56" t="str">
        <f>MID(Tabla1[[#This Row],[Aplicación]],14,2)</f>
        <v>63</v>
      </c>
      <c r="X2369" s="56" t="str">
        <f>MID(Tabla1[[#This Row],[Aplicación]],14,6)</f>
        <v>636</v>
      </c>
    </row>
    <row r="2370" spans="1:24" x14ac:dyDescent="0.25">
      <c r="A2370" s="62">
        <v>220230015992</v>
      </c>
      <c r="B2370" s="44" t="s">
        <v>507</v>
      </c>
      <c r="C2370" s="64">
        <v>45042</v>
      </c>
      <c r="D2370" s="62">
        <v>22023004046</v>
      </c>
      <c r="E2370" s="44" t="s">
        <v>659</v>
      </c>
      <c r="F2370" s="65">
        <v>810.7</v>
      </c>
      <c r="G2370" s="44" t="s">
        <v>120</v>
      </c>
      <c r="H2370" s="44" t="s">
        <v>3937</v>
      </c>
      <c r="I2370" s="62" t="s">
        <v>511</v>
      </c>
      <c r="J2370" s="44" t="s">
        <v>519</v>
      </c>
      <c r="K2370" s="44" t="s">
        <v>519</v>
      </c>
      <c r="L2370" s="44" t="s">
        <v>520</v>
      </c>
      <c r="M2370" s="44" t="s">
        <v>976</v>
      </c>
      <c r="N2370" s="44" t="s">
        <v>839</v>
      </c>
      <c r="O2370" s="45" t="s">
        <v>383</v>
      </c>
      <c r="P2370" s="45" t="s">
        <v>3760</v>
      </c>
      <c r="Q2370" s="59" t="str">
        <f>MID(Tabla1[[#This Row],[Aplicación]],14,1)</f>
        <v>2</v>
      </c>
      <c r="R2370" s="35" t="s">
        <v>298</v>
      </c>
      <c r="S2370" s="59" t="str">
        <f>MID(Tabla1[[#This Row],[Aplicación]],6,2)</f>
        <v>11</v>
      </c>
      <c r="T2370" s="35" t="str">
        <f>VLOOKUP(Tabla1[[#This Row],[AREA]],Hoja1!A:B,2,FALSE)</f>
        <v>11. Salud pública y seguridad ciudadana</v>
      </c>
      <c r="U2370" s="56" t="str">
        <f>MID(Tabla1[[#This Row],[Aplicación]],9,4)</f>
        <v>1321</v>
      </c>
      <c r="V2370" s="35" t="str">
        <f>VLOOKUP(Tabla1[[#This Row],[PROGRAMA]],Hoja1!A:B,2,FALSE)</f>
        <v>1321. Policía municipal</v>
      </c>
      <c r="W2370" s="56" t="str">
        <f>MID(Tabla1[[#This Row],[Aplicación]],14,2)</f>
        <v>21</v>
      </c>
      <c r="X2370" s="56" t="str">
        <f>MID(Tabla1[[#This Row],[Aplicación]],14,6)</f>
        <v>213</v>
      </c>
    </row>
    <row r="2371" spans="1:24" x14ac:dyDescent="0.25">
      <c r="A2371" s="62">
        <v>220230017753</v>
      </c>
      <c r="B2371" s="44" t="s">
        <v>1249</v>
      </c>
      <c r="C2371" s="64">
        <v>45050</v>
      </c>
      <c r="D2371" s="62">
        <v>22023003987</v>
      </c>
      <c r="E2371" s="44" t="s">
        <v>1714</v>
      </c>
      <c r="F2371" s="65">
        <v>630</v>
      </c>
      <c r="G2371" s="44" t="s">
        <v>1715</v>
      </c>
      <c r="H2371" s="44" t="s">
        <v>3938</v>
      </c>
      <c r="I2371" s="62" t="s">
        <v>1251</v>
      </c>
      <c r="J2371" s="44" t="s">
        <v>1717</v>
      </c>
      <c r="K2371" s="44" t="s">
        <v>1718</v>
      </c>
      <c r="L2371" s="44" t="s">
        <v>520</v>
      </c>
      <c r="M2371" s="44" t="s">
        <v>976</v>
      </c>
      <c r="N2371" s="44" t="s">
        <v>839</v>
      </c>
      <c r="O2371" s="45" t="s">
        <v>383</v>
      </c>
      <c r="P2371" s="45" t="s">
        <v>3760</v>
      </c>
      <c r="Q2371" s="59" t="str">
        <f>MID(Tabla1[[#This Row],[Aplicación]],14,1)</f>
        <v>2</v>
      </c>
      <c r="R2371" s="35" t="s">
        <v>298</v>
      </c>
      <c r="S2371" s="59" t="str">
        <f>MID(Tabla1[[#This Row],[Aplicación]],6,2)</f>
        <v>02</v>
      </c>
      <c r="T2371" s="35" t="str">
        <f>VLOOKUP(Tabla1[[#This Row],[AREA]],Hoja1!A:B,2,FALSE)</f>
        <v>02. Planeamiento urbanístico y vivienda</v>
      </c>
      <c r="U2371" s="56" t="str">
        <f>MID(Tabla1[[#This Row],[Aplicación]],9,4)</f>
        <v>1511</v>
      </c>
      <c r="V2371" s="35" t="str">
        <f>VLOOKUP(Tabla1[[#This Row],[PROGRAMA]],Hoja1!A:B,2,FALSE)</f>
        <v>1511. Planficación y gestión del urbanismo</v>
      </c>
      <c r="W2371" s="56" t="str">
        <f>MID(Tabla1[[#This Row],[Aplicación]],14,2)</f>
        <v>20</v>
      </c>
      <c r="X2371" s="56" t="str">
        <f>MID(Tabla1[[#This Row],[Aplicación]],14,6)</f>
        <v>206</v>
      </c>
    </row>
    <row r="2372" spans="1:24" x14ac:dyDescent="0.25">
      <c r="A2372" s="63">
        <v>220230031195</v>
      </c>
      <c r="B2372" s="44" t="s">
        <v>507</v>
      </c>
      <c r="C2372" s="64">
        <v>45099</v>
      </c>
      <c r="D2372" s="62">
        <v>22023005154</v>
      </c>
      <c r="E2372" s="44" t="s">
        <v>2732</v>
      </c>
      <c r="F2372" s="65">
        <v>670.12</v>
      </c>
      <c r="G2372" s="44" t="s">
        <v>1163</v>
      </c>
      <c r="H2372" s="44" t="s">
        <v>3939</v>
      </c>
      <c r="I2372" s="62" t="s">
        <v>511</v>
      </c>
      <c r="J2372" s="44" t="s">
        <v>1165</v>
      </c>
      <c r="K2372" s="44" t="s">
        <v>837</v>
      </c>
      <c r="L2372" s="44" t="s">
        <v>520</v>
      </c>
      <c r="M2372" s="44" t="s">
        <v>514</v>
      </c>
      <c r="N2372" s="44" t="s">
        <v>515</v>
      </c>
      <c r="O2372" s="45" t="s">
        <v>382</v>
      </c>
      <c r="P2372" s="45" t="s">
        <v>3760</v>
      </c>
      <c r="Q2372" s="59" t="str">
        <f>MID(Tabla1[[#This Row],[Aplicación]],14,1)</f>
        <v>6</v>
      </c>
      <c r="R2372" s="35" t="s">
        <v>299</v>
      </c>
      <c r="S2372" s="59" t="str">
        <f>MID(Tabla1[[#This Row],[Aplicación]],6,2)</f>
        <v>06</v>
      </c>
      <c r="T2372" s="35" t="str">
        <f>VLOOKUP(Tabla1[[#This Row],[AREA]],Hoja1!A:B,2,FALSE)</f>
        <v>06. Educación, infancia, juventud e igualdad</v>
      </c>
      <c r="U2372" s="56" t="str">
        <f>MID(Tabla1[[#This Row],[Aplicación]],9,4)</f>
        <v>3232</v>
      </c>
      <c r="V2372" s="35" t="str">
        <f>VLOOKUP(Tabla1[[#This Row],[PROGRAMA]],Hoja1!A:B,2,FALSE)</f>
        <v>3232. Conservación y mantenimiento centros educación infantil y primaria</v>
      </c>
      <c r="W2372" s="56" t="str">
        <f>MID(Tabla1[[#This Row],[Aplicación]],14,2)</f>
        <v>63</v>
      </c>
      <c r="X2372" s="56" t="str">
        <f>MID(Tabla1[[#This Row],[Aplicación]],14,6)</f>
        <v>632</v>
      </c>
    </row>
    <row r="2373" spans="1:24" x14ac:dyDescent="0.25">
      <c r="A2373" s="63">
        <v>220230031200</v>
      </c>
      <c r="B2373" s="44" t="s">
        <v>507</v>
      </c>
      <c r="C2373" s="64">
        <v>45099</v>
      </c>
      <c r="D2373" s="62">
        <v>22023005052</v>
      </c>
      <c r="E2373" s="44" t="s">
        <v>3940</v>
      </c>
      <c r="F2373" s="65">
        <v>670.12</v>
      </c>
      <c r="G2373" s="44" t="s">
        <v>1163</v>
      </c>
      <c r="H2373" s="44" t="s">
        <v>3941</v>
      </c>
      <c r="I2373" s="62" t="s">
        <v>511</v>
      </c>
      <c r="J2373" s="44" t="s">
        <v>1165</v>
      </c>
      <c r="K2373" s="44" t="s">
        <v>837</v>
      </c>
      <c r="L2373" s="44" t="s">
        <v>520</v>
      </c>
      <c r="M2373" s="44" t="s">
        <v>514</v>
      </c>
      <c r="N2373" s="44" t="s">
        <v>515</v>
      </c>
      <c r="O2373" s="45" t="s">
        <v>382</v>
      </c>
      <c r="P2373" s="45" t="s">
        <v>3760</v>
      </c>
      <c r="Q2373" s="59" t="str">
        <f>MID(Tabla1[[#This Row],[Aplicación]],14,1)</f>
        <v>6</v>
      </c>
      <c r="R2373" s="35" t="s">
        <v>299</v>
      </c>
      <c r="S2373" s="59" t="str">
        <f>MID(Tabla1[[#This Row],[Aplicación]],6,2)</f>
        <v>06</v>
      </c>
      <c r="T2373" s="35" t="str">
        <f>VLOOKUP(Tabla1[[#This Row],[AREA]],Hoja1!A:B,2,FALSE)</f>
        <v>06. Educación, infancia, juventud e igualdad</v>
      </c>
      <c r="U2373" s="56" t="str">
        <f>MID(Tabla1[[#This Row],[Aplicación]],9,4)</f>
        <v>3231</v>
      </c>
      <c r="V2373" s="35" t="str">
        <f>VLOOKUP(Tabla1[[#This Row],[PROGRAMA]],Hoja1!A:B,2,FALSE)</f>
        <v>3231. Escuelas infantiles</v>
      </c>
      <c r="W2373" s="56" t="str">
        <f>MID(Tabla1[[#This Row],[Aplicación]],14,2)</f>
        <v>63</v>
      </c>
      <c r="X2373" s="56" t="str">
        <f>MID(Tabla1[[#This Row],[Aplicación]],14,6)</f>
        <v>632</v>
      </c>
    </row>
    <row r="2374" spans="1:24" x14ac:dyDescent="0.25">
      <c r="A2374" s="63">
        <v>220230031202</v>
      </c>
      <c r="B2374" s="44" t="s">
        <v>507</v>
      </c>
      <c r="C2374" s="64">
        <v>45099</v>
      </c>
      <c r="D2374" s="62">
        <v>22023005054</v>
      </c>
      <c r="E2374" s="44" t="s">
        <v>3940</v>
      </c>
      <c r="F2374" s="65">
        <v>514.86</v>
      </c>
      <c r="G2374" s="44" t="s">
        <v>1163</v>
      </c>
      <c r="H2374" s="44" t="s">
        <v>3942</v>
      </c>
      <c r="I2374" s="62" t="s">
        <v>511</v>
      </c>
      <c r="J2374" s="44" t="s">
        <v>1165</v>
      </c>
      <c r="K2374" s="44" t="s">
        <v>837</v>
      </c>
      <c r="L2374" s="44" t="s">
        <v>520</v>
      </c>
      <c r="M2374" s="44" t="s">
        <v>514</v>
      </c>
      <c r="N2374" s="44" t="s">
        <v>515</v>
      </c>
      <c r="O2374" s="45" t="s">
        <v>382</v>
      </c>
      <c r="P2374" s="45" t="s">
        <v>3760</v>
      </c>
      <c r="Q2374" s="59" t="str">
        <f>MID(Tabla1[[#This Row],[Aplicación]],14,1)</f>
        <v>6</v>
      </c>
      <c r="R2374" s="35" t="s">
        <v>299</v>
      </c>
      <c r="S2374" s="59" t="str">
        <f>MID(Tabla1[[#This Row],[Aplicación]],6,2)</f>
        <v>06</v>
      </c>
      <c r="T2374" s="35" t="str">
        <f>VLOOKUP(Tabla1[[#This Row],[AREA]],Hoja1!A:B,2,FALSE)</f>
        <v>06. Educación, infancia, juventud e igualdad</v>
      </c>
      <c r="U2374" s="56" t="str">
        <f>MID(Tabla1[[#This Row],[Aplicación]],9,4)</f>
        <v>3231</v>
      </c>
      <c r="V2374" s="35" t="str">
        <f>VLOOKUP(Tabla1[[#This Row],[PROGRAMA]],Hoja1!A:B,2,FALSE)</f>
        <v>3231. Escuelas infantiles</v>
      </c>
      <c r="W2374" s="56" t="str">
        <f>MID(Tabla1[[#This Row],[Aplicación]],14,2)</f>
        <v>63</v>
      </c>
      <c r="X2374" s="56" t="str">
        <f>MID(Tabla1[[#This Row],[Aplicación]],14,6)</f>
        <v>632</v>
      </c>
    </row>
    <row r="2375" spans="1:24" x14ac:dyDescent="0.25">
      <c r="A2375" s="62">
        <v>220230022349</v>
      </c>
      <c r="B2375" s="44" t="s">
        <v>507</v>
      </c>
      <c r="C2375" s="64">
        <v>45065</v>
      </c>
      <c r="D2375" s="62">
        <v>22023002293</v>
      </c>
      <c r="E2375" s="44" t="s">
        <v>3600</v>
      </c>
      <c r="F2375" s="65">
        <v>15528.33</v>
      </c>
      <c r="G2375" s="44" t="s">
        <v>3943</v>
      </c>
      <c r="H2375" s="44" t="s">
        <v>3944</v>
      </c>
      <c r="I2375" s="62" t="s">
        <v>2168</v>
      </c>
      <c r="J2375" s="44" t="s">
        <v>3945</v>
      </c>
      <c r="K2375" s="44" t="s">
        <v>545</v>
      </c>
      <c r="L2375" s="44" t="s">
        <v>520</v>
      </c>
      <c r="M2375" s="44" t="s">
        <v>514</v>
      </c>
      <c r="N2375" s="44" t="s">
        <v>515</v>
      </c>
      <c r="O2375" s="45" t="s">
        <v>371</v>
      </c>
      <c r="P2375" s="45" t="s">
        <v>3760</v>
      </c>
      <c r="Q2375" s="59" t="str">
        <f>MID(Tabla1[[#This Row],[Aplicación]],14,1)</f>
        <v>6</v>
      </c>
      <c r="R2375" s="35" t="s">
        <v>299</v>
      </c>
      <c r="S2375" s="59" t="str">
        <f>MID(Tabla1[[#This Row],[Aplicación]],6,2)</f>
        <v>04</v>
      </c>
      <c r="T2375" s="35" t="str">
        <f>VLOOKUP(Tabla1[[#This Row],[AREA]],Hoja1!A:B,2,FALSE)</f>
        <v>04. Planificación y recursos</v>
      </c>
      <c r="U2375" s="56" t="str">
        <f>MID(Tabla1[[#This Row],[Aplicación]],9,4)</f>
        <v>9321</v>
      </c>
      <c r="V2375" s="35" t="str">
        <f>VLOOKUP(Tabla1[[#This Row],[PROGRAMA]],Hoja1!A:B,2,FALSE)</f>
        <v>9321. Gestión de ingresos e inspección</v>
      </c>
      <c r="W2375" s="56" t="str">
        <f>MID(Tabla1[[#This Row],[Aplicación]],14,2)</f>
        <v>64</v>
      </c>
      <c r="X2375" s="56" t="str">
        <f>MID(Tabla1[[#This Row],[Aplicación]],14,6)</f>
        <v>641</v>
      </c>
    </row>
    <row r="2376" spans="1:24" x14ac:dyDescent="0.25">
      <c r="A2376" s="63">
        <v>220230031210</v>
      </c>
      <c r="B2376" s="44" t="s">
        <v>507</v>
      </c>
      <c r="C2376" s="64">
        <v>45099</v>
      </c>
      <c r="D2376" s="62">
        <v>22023005080</v>
      </c>
      <c r="E2376" s="44" t="s">
        <v>2732</v>
      </c>
      <c r="F2376" s="65">
        <v>666.21</v>
      </c>
      <c r="G2376" s="44" t="s">
        <v>1163</v>
      </c>
      <c r="H2376" s="44" t="s">
        <v>3946</v>
      </c>
      <c r="I2376" s="62" t="s">
        <v>511</v>
      </c>
      <c r="J2376" s="44" t="s">
        <v>1165</v>
      </c>
      <c r="K2376" s="44" t="s">
        <v>837</v>
      </c>
      <c r="L2376" s="44" t="s">
        <v>520</v>
      </c>
      <c r="M2376" s="44" t="s">
        <v>514</v>
      </c>
      <c r="N2376" s="44" t="s">
        <v>515</v>
      </c>
      <c r="O2376" s="45" t="s">
        <v>382</v>
      </c>
      <c r="P2376" s="45" t="s">
        <v>3760</v>
      </c>
      <c r="Q2376" s="59" t="str">
        <f>MID(Tabla1[[#This Row],[Aplicación]],14,1)</f>
        <v>6</v>
      </c>
      <c r="R2376" s="35" t="s">
        <v>299</v>
      </c>
      <c r="S2376" s="59" t="str">
        <f>MID(Tabla1[[#This Row],[Aplicación]],6,2)</f>
        <v>06</v>
      </c>
      <c r="T2376" s="35" t="str">
        <f>VLOOKUP(Tabla1[[#This Row],[AREA]],Hoja1!A:B,2,FALSE)</f>
        <v>06. Educación, infancia, juventud e igualdad</v>
      </c>
      <c r="U2376" s="56" t="str">
        <f>MID(Tabla1[[#This Row],[Aplicación]],9,4)</f>
        <v>3232</v>
      </c>
      <c r="V2376" s="35" t="str">
        <f>VLOOKUP(Tabla1[[#This Row],[PROGRAMA]],Hoja1!A:B,2,FALSE)</f>
        <v>3232. Conservación y mantenimiento centros educación infantil y primaria</v>
      </c>
      <c r="W2376" s="56" t="str">
        <f>MID(Tabla1[[#This Row],[Aplicación]],14,2)</f>
        <v>63</v>
      </c>
      <c r="X2376" s="56" t="str">
        <f>MID(Tabla1[[#This Row],[Aplicación]],14,6)</f>
        <v>632</v>
      </c>
    </row>
    <row r="2377" spans="1:24" x14ac:dyDescent="0.25">
      <c r="A2377" s="63">
        <v>220230031213</v>
      </c>
      <c r="B2377" s="44" t="s">
        <v>507</v>
      </c>
      <c r="C2377" s="64">
        <v>45099</v>
      </c>
      <c r="D2377" s="62">
        <v>22023005084</v>
      </c>
      <c r="E2377" s="44" t="s">
        <v>2732</v>
      </c>
      <c r="F2377" s="65">
        <v>510.33</v>
      </c>
      <c r="G2377" s="44" t="s">
        <v>1163</v>
      </c>
      <c r="H2377" s="44" t="s">
        <v>3947</v>
      </c>
      <c r="I2377" s="62" t="s">
        <v>511</v>
      </c>
      <c r="J2377" s="44" t="s">
        <v>1165</v>
      </c>
      <c r="K2377" s="44" t="s">
        <v>837</v>
      </c>
      <c r="L2377" s="44" t="s">
        <v>520</v>
      </c>
      <c r="M2377" s="44" t="s">
        <v>514</v>
      </c>
      <c r="N2377" s="44" t="s">
        <v>515</v>
      </c>
      <c r="O2377" s="45" t="s">
        <v>382</v>
      </c>
      <c r="P2377" s="45" t="s">
        <v>3760</v>
      </c>
      <c r="Q2377" s="59" t="str">
        <f>MID(Tabla1[[#This Row],[Aplicación]],14,1)</f>
        <v>6</v>
      </c>
      <c r="R2377" s="35" t="s">
        <v>299</v>
      </c>
      <c r="S2377" s="59" t="str">
        <f>MID(Tabla1[[#This Row],[Aplicación]],6,2)</f>
        <v>06</v>
      </c>
      <c r="T2377" s="35" t="str">
        <f>VLOOKUP(Tabla1[[#This Row],[AREA]],Hoja1!A:B,2,FALSE)</f>
        <v>06. Educación, infancia, juventud e igualdad</v>
      </c>
      <c r="U2377" s="56" t="str">
        <f>MID(Tabla1[[#This Row],[Aplicación]],9,4)</f>
        <v>3232</v>
      </c>
      <c r="V2377" s="35" t="str">
        <f>VLOOKUP(Tabla1[[#This Row],[PROGRAMA]],Hoja1!A:B,2,FALSE)</f>
        <v>3232. Conservación y mantenimiento centros educación infantil y primaria</v>
      </c>
      <c r="W2377" s="56" t="str">
        <f>MID(Tabla1[[#This Row],[Aplicación]],14,2)</f>
        <v>63</v>
      </c>
      <c r="X2377" s="56" t="str">
        <f>MID(Tabla1[[#This Row],[Aplicación]],14,6)</f>
        <v>632</v>
      </c>
    </row>
    <row r="2378" spans="1:24" x14ac:dyDescent="0.25">
      <c r="A2378" s="62">
        <v>220230017787</v>
      </c>
      <c r="B2378" s="44" t="s">
        <v>507</v>
      </c>
      <c r="C2378" s="64">
        <v>45050</v>
      </c>
      <c r="D2378" s="62">
        <v>22023000935</v>
      </c>
      <c r="E2378" s="44" t="s">
        <v>967</v>
      </c>
      <c r="F2378" s="65">
        <v>20563.12</v>
      </c>
      <c r="G2378" s="44" t="s">
        <v>1027</v>
      </c>
      <c r="H2378" s="44" t="s">
        <v>3949</v>
      </c>
      <c r="I2378" s="62" t="s">
        <v>511</v>
      </c>
      <c r="J2378" s="44" t="s">
        <v>573</v>
      </c>
      <c r="K2378" s="44" t="s">
        <v>573</v>
      </c>
      <c r="L2378" s="44" t="s">
        <v>520</v>
      </c>
      <c r="M2378" s="44" t="s">
        <v>514</v>
      </c>
      <c r="N2378" s="44" t="s">
        <v>515</v>
      </c>
      <c r="O2378" s="45" t="s">
        <v>371</v>
      </c>
      <c r="P2378" s="45" t="s">
        <v>3760</v>
      </c>
      <c r="Q2378" s="59" t="str">
        <f>MID(Tabla1[[#This Row],[Aplicación]],14,1)</f>
        <v>2</v>
      </c>
      <c r="R2378" s="35" t="s">
        <v>298</v>
      </c>
      <c r="S2378" s="59" t="str">
        <f>MID(Tabla1[[#This Row],[Aplicación]],6,2)</f>
        <v>11</v>
      </c>
      <c r="T2378" s="35" t="str">
        <f>VLOOKUP(Tabla1[[#This Row],[AREA]],Hoja1!A:B,2,FALSE)</f>
        <v>11. Salud pública y seguridad ciudadana</v>
      </c>
      <c r="U2378" s="56" t="str">
        <f>MID(Tabla1[[#This Row],[Aplicación]],9,4)</f>
        <v>1631</v>
      </c>
      <c r="V2378" s="35" t="str">
        <f>VLOOKUP(Tabla1[[#This Row],[PROGRAMA]],Hoja1!A:B,2,FALSE)</f>
        <v>1631. Limpieza viaria</v>
      </c>
      <c r="W2378" s="56" t="str">
        <f>MID(Tabla1[[#This Row],[Aplicación]],14,2)</f>
        <v>22</v>
      </c>
      <c r="X2378" s="56" t="str">
        <f>MID(Tabla1[[#This Row],[Aplicación]],14,6)</f>
        <v>22700</v>
      </c>
    </row>
    <row r="2379" spans="1:24" x14ac:dyDescent="0.25">
      <c r="A2379" s="62">
        <v>220230018432</v>
      </c>
      <c r="B2379" s="44" t="s">
        <v>1514</v>
      </c>
      <c r="C2379" s="64">
        <v>45055</v>
      </c>
      <c r="D2379" s="62">
        <v>22023001459</v>
      </c>
      <c r="E2379" s="44" t="s">
        <v>1290</v>
      </c>
      <c r="F2379" s="65">
        <v>288.45999999999998</v>
      </c>
      <c r="G2379" s="44" t="s">
        <v>2391</v>
      </c>
      <c r="H2379" s="44" t="s">
        <v>3950</v>
      </c>
      <c r="I2379" s="62" t="s">
        <v>1517</v>
      </c>
      <c r="J2379" s="44" t="s">
        <v>519</v>
      </c>
      <c r="K2379" s="44" t="s">
        <v>519</v>
      </c>
      <c r="L2379" s="44" t="s">
        <v>520</v>
      </c>
      <c r="M2379" s="44" t="s">
        <v>514</v>
      </c>
      <c r="N2379" s="44" t="s">
        <v>515</v>
      </c>
      <c r="O2379" s="45" t="s">
        <v>382</v>
      </c>
      <c r="P2379" s="45" t="s">
        <v>3760</v>
      </c>
      <c r="Q2379" s="59" t="str">
        <f>MID(Tabla1[[#This Row],[Aplicación]],14,1)</f>
        <v>2</v>
      </c>
      <c r="R2379" s="35" t="s">
        <v>298</v>
      </c>
      <c r="S2379" s="59" t="str">
        <f>MID(Tabla1[[#This Row],[Aplicación]],6,2)</f>
        <v>11</v>
      </c>
      <c r="T2379" s="35" t="str">
        <f>VLOOKUP(Tabla1[[#This Row],[AREA]],Hoja1!A:B,2,FALSE)</f>
        <v>11. Salud pública y seguridad ciudadana</v>
      </c>
      <c r="U2379" s="56" t="str">
        <f>MID(Tabla1[[#This Row],[Aplicación]],9,4)</f>
        <v>1621</v>
      </c>
      <c r="V2379" s="35" t="str">
        <f>VLOOKUP(Tabla1[[#This Row],[PROGRAMA]],Hoja1!A:B,2,FALSE)</f>
        <v>1621. Servicio de limpieza</v>
      </c>
      <c r="W2379" s="56" t="str">
        <f>MID(Tabla1[[#This Row],[Aplicación]],14,2)</f>
        <v>21</v>
      </c>
      <c r="X2379" s="56" t="str">
        <f>MID(Tabla1[[#This Row],[Aplicación]],14,6)</f>
        <v>214</v>
      </c>
    </row>
    <row r="2380" spans="1:24" x14ac:dyDescent="0.25">
      <c r="A2380" s="62">
        <v>220230020122</v>
      </c>
      <c r="B2380" s="44" t="s">
        <v>1514</v>
      </c>
      <c r="C2380" s="64">
        <v>45057</v>
      </c>
      <c r="D2380" s="62">
        <v>22023001459</v>
      </c>
      <c r="E2380" s="44" t="s">
        <v>1290</v>
      </c>
      <c r="F2380" s="65">
        <v>458.59</v>
      </c>
      <c r="G2380" s="44" t="s">
        <v>2619</v>
      </c>
      <c r="H2380" s="44" t="s">
        <v>3951</v>
      </c>
      <c r="I2380" s="62" t="s">
        <v>1517</v>
      </c>
      <c r="J2380" s="44" t="s">
        <v>519</v>
      </c>
      <c r="K2380" s="44" t="s">
        <v>519</v>
      </c>
      <c r="L2380" s="44" t="s">
        <v>520</v>
      </c>
      <c r="M2380" s="44" t="s">
        <v>514</v>
      </c>
      <c r="N2380" s="44" t="s">
        <v>515</v>
      </c>
      <c r="O2380" s="45" t="s">
        <v>382</v>
      </c>
      <c r="P2380" s="45" t="s">
        <v>3760</v>
      </c>
      <c r="Q2380" s="59" t="str">
        <f>MID(Tabla1[[#This Row],[Aplicación]],14,1)</f>
        <v>2</v>
      </c>
      <c r="R2380" s="35" t="s">
        <v>298</v>
      </c>
      <c r="S2380" s="59" t="str">
        <f>MID(Tabla1[[#This Row],[Aplicación]],6,2)</f>
        <v>11</v>
      </c>
      <c r="T2380" s="35" t="str">
        <f>VLOOKUP(Tabla1[[#This Row],[AREA]],Hoja1!A:B,2,FALSE)</f>
        <v>11. Salud pública y seguridad ciudadana</v>
      </c>
      <c r="U2380" s="56" t="str">
        <f>MID(Tabla1[[#This Row],[Aplicación]],9,4)</f>
        <v>1621</v>
      </c>
      <c r="V2380" s="35" t="str">
        <f>VLOOKUP(Tabla1[[#This Row],[PROGRAMA]],Hoja1!A:B,2,FALSE)</f>
        <v>1621. Servicio de limpieza</v>
      </c>
      <c r="W2380" s="56" t="str">
        <f>MID(Tabla1[[#This Row],[Aplicación]],14,2)</f>
        <v>21</v>
      </c>
      <c r="X2380" s="56" t="str">
        <f>MID(Tabla1[[#This Row],[Aplicación]],14,6)</f>
        <v>214</v>
      </c>
    </row>
    <row r="2381" spans="1:24" x14ac:dyDescent="0.25">
      <c r="A2381" s="62">
        <v>220230026506</v>
      </c>
      <c r="B2381" s="44" t="s">
        <v>1514</v>
      </c>
      <c r="C2381" s="64">
        <v>45077</v>
      </c>
      <c r="D2381" s="62">
        <v>22023001459</v>
      </c>
      <c r="E2381" s="44" t="s">
        <v>1290</v>
      </c>
      <c r="F2381" s="65">
        <v>1988.03</v>
      </c>
      <c r="G2381" s="44" t="s">
        <v>2619</v>
      </c>
      <c r="H2381" s="44" t="s">
        <v>3952</v>
      </c>
      <c r="I2381" s="62" t="s">
        <v>1517</v>
      </c>
      <c r="J2381" s="44" t="s">
        <v>519</v>
      </c>
      <c r="K2381" s="44" t="s">
        <v>519</v>
      </c>
      <c r="L2381" s="44" t="s">
        <v>520</v>
      </c>
      <c r="M2381" s="44" t="s">
        <v>514</v>
      </c>
      <c r="N2381" s="44" t="s">
        <v>515</v>
      </c>
      <c r="O2381" s="45" t="s">
        <v>382</v>
      </c>
      <c r="P2381" s="45" t="s">
        <v>3760</v>
      </c>
      <c r="Q2381" s="59" t="str">
        <f>MID(Tabla1[[#This Row],[Aplicación]],14,1)</f>
        <v>2</v>
      </c>
      <c r="R2381" s="35" t="s">
        <v>298</v>
      </c>
      <c r="S2381" s="59" t="str">
        <f>MID(Tabla1[[#This Row],[Aplicación]],6,2)</f>
        <v>11</v>
      </c>
      <c r="T2381" s="35" t="str">
        <f>VLOOKUP(Tabla1[[#This Row],[AREA]],Hoja1!A:B,2,FALSE)</f>
        <v>11. Salud pública y seguridad ciudadana</v>
      </c>
      <c r="U2381" s="56" t="str">
        <f>MID(Tabla1[[#This Row],[Aplicación]],9,4)</f>
        <v>1621</v>
      </c>
      <c r="V2381" s="35" t="str">
        <f>VLOOKUP(Tabla1[[#This Row],[PROGRAMA]],Hoja1!A:B,2,FALSE)</f>
        <v>1621. Servicio de limpieza</v>
      </c>
      <c r="W2381" s="56" t="str">
        <f>MID(Tabla1[[#This Row],[Aplicación]],14,2)</f>
        <v>21</v>
      </c>
      <c r="X2381" s="56" t="str">
        <f>MID(Tabla1[[#This Row],[Aplicación]],14,6)</f>
        <v>214</v>
      </c>
    </row>
    <row r="2382" spans="1:24" x14ac:dyDescent="0.25">
      <c r="A2382" s="62">
        <v>220230016083</v>
      </c>
      <c r="B2382" s="44" t="s">
        <v>1514</v>
      </c>
      <c r="C2382" s="64">
        <v>45043</v>
      </c>
      <c r="D2382" s="62">
        <v>22023001462</v>
      </c>
      <c r="E2382" s="44" t="s">
        <v>1290</v>
      </c>
      <c r="F2382" s="65">
        <v>135.96</v>
      </c>
      <c r="G2382" s="44" t="s">
        <v>1979</v>
      </c>
      <c r="H2382" s="44" t="s">
        <v>3953</v>
      </c>
      <c r="I2382" s="62" t="s">
        <v>1517</v>
      </c>
      <c r="J2382" s="44" t="s">
        <v>519</v>
      </c>
      <c r="K2382" s="44" t="s">
        <v>519</v>
      </c>
      <c r="L2382" s="44" t="s">
        <v>552</v>
      </c>
      <c r="M2382" s="44" t="s">
        <v>514</v>
      </c>
      <c r="N2382" s="44" t="s">
        <v>515</v>
      </c>
      <c r="O2382" s="45" t="s">
        <v>382</v>
      </c>
      <c r="P2382" s="45" t="s">
        <v>3760</v>
      </c>
      <c r="Q2382" s="59" t="str">
        <f>MID(Tabla1[[#This Row],[Aplicación]],14,1)</f>
        <v>2</v>
      </c>
      <c r="R2382" s="35" t="s">
        <v>298</v>
      </c>
      <c r="S2382" s="59" t="str">
        <f>MID(Tabla1[[#This Row],[Aplicación]],6,2)</f>
        <v>11</v>
      </c>
      <c r="T2382" s="35" t="str">
        <f>VLOOKUP(Tabla1[[#This Row],[AREA]],Hoja1!A:B,2,FALSE)</f>
        <v>11. Salud pública y seguridad ciudadana</v>
      </c>
      <c r="U2382" s="56" t="str">
        <f>MID(Tabla1[[#This Row],[Aplicación]],9,4)</f>
        <v>1621</v>
      </c>
      <c r="V2382" s="35" t="str">
        <f>VLOOKUP(Tabla1[[#This Row],[PROGRAMA]],Hoja1!A:B,2,FALSE)</f>
        <v>1621. Servicio de limpieza</v>
      </c>
      <c r="W2382" s="56" t="str">
        <f>MID(Tabla1[[#This Row],[Aplicación]],14,2)</f>
        <v>21</v>
      </c>
      <c r="X2382" s="56" t="str">
        <f>MID(Tabla1[[#This Row],[Aplicación]],14,6)</f>
        <v>214</v>
      </c>
    </row>
    <row r="2383" spans="1:24" x14ac:dyDescent="0.25">
      <c r="A2383" s="62">
        <v>220230016178</v>
      </c>
      <c r="B2383" s="44" t="s">
        <v>1514</v>
      </c>
      <c r="C2383" s="64">
        <v>45043</v>
      </c>
      <c r="D2383" s="62">
        <v>22023002185</v>
      </c>
      <c r="E2383" s="44" t="s">
        <v>2458</v>
      </c>
      <c r="F2383" s="65">
        <v>9.68</v>
      </c>
      <c r="G2383" s="44" t="s">
        <v>1979</v>
      </c>
      <c r="H2383" s="44" t="s">
        <v>3954</v>
      </c>
      <c r="I2383" s="62" t="s">
        <v>1517</v>
      </c>
      <c r="J2383" s="44" t="s">
        <v>519</v>
      </c>
      <c r="K2383" s="44" t="s">
        <v>519</v>
      </c>
      <c r="L2383" s="44" t="s">
        <v>552</v>
      </c>
      <c r="M2383" s="44" t="s">
        <v>514</v>
      </c>
      <c r="N2383" s="44" t="s">
        <v>515</v>
      </c>
      <c r="O2383" s="45" t="s">
        <v>382</v>
      </c>
      <c r="P2383" s="45" t="s">
        <v>3760</v>
      </c>
      <c r="Q2383" s="59" t="str">
        <f>MID(Tabla1[[#This Row],[Aplicación]],14,1)</f>
        <v>2</v>
      </c>
      <c r="R2383" s="35" t="s">
        <v>298</v>
      </c>
      <c r="S2383" s="59" t="str">
        <f>MID(Tabla1[[#This Row],[Aplicación]],6,2)</f>
        <v>06</v>
      </c>
      <c r="T2383" s="35" t="str">
        <f>VLOOKUP(Tabla1[[#This Row],[AREA]],Hoja1!A:B,2,FALSE)</f>
        <v>06. Educación, infancia, juventud e igualdad</v>
      </c>
      <c r="U2383" s="56" t="str">
        <f>MID(Tabla1[[#This Row],[Aplicación]],9,4)</f>
        <v>3231</v>
      </c>
      <c r="V2383" s="35" t="str">
        <f>VLOOKUP(Tabla1[[#This Row],[PROGRAMA]],Hoja1!A:B,2,FALSE)</f>
        <v>3231. Escuelas infantiles</v>
      </c>
      <c r="W2383" s="56" t="str">
        <f>MID(Tabla1[[#This Row],[Aplicación]],14,2)</f>
        <v>21</v>
      </c>
      <c r="X2383" s="56" t="str">
        <f>MID(Tabla1[[#This Row],[Aplicación]],14,6)</f>
        <v>212</v>
      </c>
    </row>
    <row r="2384" spans="1:24" x14ac:dyDescent="0.25">
      <c r="A2384" s="62">
        <v>220230024842</v>
      </c>
      <c r="B2384" s="44" t="s">
        <v>507</v>
      </c>
      <c r="C2384" s="64">
        <v>45070</v>
      </c>
      <c r="D2384" s="62">
        <v>22023003837</v>
      </c>
      <c r="E2384" s="44" t="s">
        <v>799</v>
      </c>
      <c r="F2384" s="65">
        <v>15906.64</v>
      </c>
      <c r="G2384" s="44" t="s">
        <v>800</v>
      </c>
      <c r="H2384" s="44" t="s">
        <v>3955</v>
      </c>
      <c r="I2384" s="62" t="s">
        <v>511</v>
      </c>
      <c r="J2384" s="44" t="s">
        <v>802</v>
      </c>
      <c r="K2384" s="44" t="s">
        <v>590</v>
      </c>
      <c r="L2384" s="44" t="s">
        <v>520</v>
      </c>
      <c r="M2384" s="44" t="s">
        <v>514</v>
      </c>
      <c r="N2384" s="44" t="s">
        <v>515</v>
      </c>
      <c r="O2384" s="45" t="s">
        <v>371</v>
      </c>
      <c r="P2384" s="45" t="s">
        <v>3760</v>
      </c>
      <c r="Q2384" s="59" t="str">
        <f>MID(Tabla1[[#This Row],[Aplicación]],14,1)</f>
        <v>2</v>
      </c>
      <c r="R2384" s="35" t="s">
        <v>298</v>
      </c>
      <c r="S2384" s="59" t="str">
        <f>MID(Tabla1[[#This Row],[Aplicación]],6,2)</f>
        <v>02</v>
      </c>
      <c r="T2384" s="35" t="str">
        <f>VLOOKUP(Tabla1[[#This Row],[AREA]],Hoja1!A:B,2,FALSE)</f>
        <v>02. Planeamiento urbanístico y vivienda</v>
      </c>
      <c r="U2384" s="56" t="str">
        <f>MID(Tabla1[[#This Row],[Aplicación]],9,4)</f>
        <v>9331</v>
      </c>
      <c r="V2384" s="35" t="str">
        <f>VLOOKUP(Tabla1[[#This Row],[PROGRAMA]],Hoja1!A:B,2,FALSE)</f>
        <v>9331. Gestión del patrimonio</v>
      </c>
      <c r="W2384" s="56" t="str">
        <f>MID(Tabla1[[#This Row],[Aplicación]],14,2)</f>
        <v>22</v>
      </c>
      <c r="X2384" s="56" t="str">
        <f>MID(Tabla1[[#This Row],[Aplicación]],14,6)</f>
        <v>224</v>
      </c>
    </row>
    <row r="2385" spans="1:24" x14ac:dyDescent="0.25">
      <c r="A2385" s="62">
        <v>220230014336</v>
      </c>
      <c r="B2385" s="44" t="s">
        <v>1514</v>
      </c>
      <c r="C2385" s="64">
        <v>45037</v>
      </c>
      <c r="D2385" s="62">
        <v>22023002598</v>
      </c>
      <c r="E2385" s="44" t="s">
        <v>591</v>
      </c>
      <c r="F2385" s="65">
        <v>196.87</v>
      </c>
      <c r="G2385" s="44" t="s">
        <v>1979</v>
      </c>
      <c r="H2385" s="44" t="s">
        <v>3956</v>
      </c>
      <c r="I2385" s="62" t="s">
        <v>1517</v>
      </c>
      <c r="J2385" s="44" t="s">
        <v>519</v>
      </c>
      <c r="K2385" s="44" t="s">
        <v>519</v>
      </c>
      <c r="L2385" s="44" t="s">
        <v>552</v>
      </c>
      <c r="M2385" s="44" t="s">
        <v>514</v>
      </c>
      <c r="N2385" s="44" t="s">
        <v>515</v>
      </c>
      <c r="O2385" s="45" t="s">
        <v>382</v>
      </c>
      <c r="P2385" s="45" t="s">
        <v>3760</v>
      </c>
      <c r="Q2385" s="59" t="str">
        <f>MID(Tabla1[[#This Row],[Aplicación]],14,1)</f>
        <v>2</v>
      </c>
      <c r="R2385" s="35" t="s">
        <v>298</v>
      </c>
      <c r="S2385" s="59" t="str">
        <f>MID(Tabla1[[#This Row],[Aplicación]],6,2)</f>
        <v>04</v>
      </c>
      <c r="T2385" s="35" t="str">
        <f>VLOOKUP(Tabla1[[#This Row],[AREA]],Hoja1!A:B,2,FALSE)</f>
        <v>04. Planificación y recursos</v>
      </c>
      <c r="U2385" s="56" t="str">
        <f>MID(Tabla1[[#This Row],[Aplicación]],9,4)</f>
        <v>9204</v>
      </c>
      <c r="V2385" s="35" t="str">
        <f>VLOOKUP(Tabla1[[#This Row],[PROGRAMA]],Hoja1!A:B,2,FALSE)</f>
        <v>9204. Tecnologías de la información y comunicación</v>
      </c>
      <c r="W2385" s="56" t="str">
        <f>MID(Tabla1[[#This Row],[Aplicación]],14,2)</f>
        <v>21</v>
      </c>
      <c r="X2385" s="56" t="str">
        <f>MID(Tabla1[[#This Row],[Aplicación]],14,6)</f>
        <v>213</v>
      </c>
    </row>
    <row r="2386" spans="1:24" x14ac:dyDescent="0.25">
      <c r="A2386" s="62">
        <v>220230014338</v>
      </c>
      <c r="B2386" s="44" t="s">
        <v>1514</v>
      </c>
      <c r="C2386" s="64">
        <v>45037</v>
      </c>
      <c r="D2386" s="62">
        <v>22023002598</v>
      </c>
      <c r="E2386" s="44" t="s">
        <v>591</v>
      </c>
      <c r="F2386" s="65">
        <v>434.75</v>
      </c>
      <c r="G2386" s="44" t="s">
        <v>1979</v>
      </c>
      <c r="H2386" s="44" t="s">
        <v>3956</v>
      </c>
      <c r="I2386" s="62" t="s">
        <v>1517</v>
      </c>
      <c r="J2386" s="44" t="s">
        <v>519</v>
      </c>
      <c r="K2386" s="44" t="s">
        <v>519</v>
      </c>
      <c r="L2386" s="44" t="s">
        <v>552</v>
      </c>
      <c r="M2386" s="44" t="s">
        <v>514</v>
      </c>
      <c r="N2386" s="44" t="s">
        <v>515</v>
      </c>
      <c r="O2386" s="45" t="s">
        <v>382</v>
      </c>
      <c r="P2386" s="45" t="s">
        <v>3760</v>
      </c>
      <c r="Q2386" s="59" t="str">
        <f>MID(Tabla1[[#This Row],[Aplicación]],14,1)</f>
        <v>2</v>
      </c>
      <c r="R2386" s="35" t="s">
        <v>298</v>
      </c>
      <c r="S2386" s="59" t="str">
        <f>MID(Tabla1[[#This Row],[Aplicación]],6,2)</f>
        <v>04</v>
      </c>
      <c r="T2386" s="35" t="str">
        <f>VLOOKUP(Tabla1[[#This Row],[AREA]],Hoja1!A:B,2,FALSE)</f>
        <v>04. Planificación y recursos</v>
      </c>
      <c r="U2386" s="56" t="str">
        <f>MID(Tabla1[[#This Row],[Aplicación]],9,4)</f>
        <v>9204</v>
      </c>
      <c r="V2386" s="35" t="str">
        <f>VLOOKUP(Tabla1[[#This Row],[PROGRAMA]],Hoja1!A:B,2,FALSE)</f>
        <v>9204. Tecnologías de la información y comunicación</v>
      </c>
      <c r="W2386" s="56" t="str">
        <f>MID(Tabla1[[#This Row],[Aplicación]],14,2)</f>
        <v>21</v>
      </c>
      <c r="X2386" s="56" t="str">
        <f>MID(Tabla1[[#This Row],[Aplicación]],14,6)</f>
        <v>213</v>
      </c>
    </row>
    <row r="2387" spans="1:24" x14ac:dyDescent="0.25">
      <c r="A2387" s="62">
        <v>220220068619</v>
      </c>
      <c r="B2387" s="44" t="s">
        <v>507</v>
      </c>
      <c r="C2387" s="64">
        <v>45037</v>
      </c>
      <c r="D2387" s="62">
        <v>22022005417</v>
      </c>
      <c r="E2387" s="44" t="s">
        <v>3786</v>
      </c>
      <c r="F2387" s="65">
        <v>21598.5</v>
      </c>
      <c r="G2387" s="44" t="s">
        <v>389</v>
      </c>
      <c r="H2387" s="44" t="s">
        <v>3957</v>
      </c>
      <c r="I2387" s="62" t="s">
        <v>511</v>
      </c>
      <c r="J2387" s="44" t="s">
        <v>1699</v>
      </c>
      <c r="K2387" s="44" t="s">
        <v>519</v>
      </c>
      <c r="L2387" s="44" t="s">
        <v>527</v>
      </c>
      <c r="M2387" s="44" t="s">
        <v>514</v>
      </c>
      <c r="N2387" s="44" t="s">
        <v>515</v>
      </c>
      <c r="O2387" s="45" t="s">
        <v>371</v>
      </c>
      <c r="P2387" s="45" t="s">
        <v>3760</v>
      </c>
      <c r="Q2387" s="59" t="str">
        <f>MID(Tabla1[[#This Row],[Aplicación]],14,1)</f>
        <v>6</v>
      </c>
      <c r="R2387" s="35" t="s">
        <v>299</v>
      </c>
      <c r="S2387" s="59" t="str">
        <f>MID(Tabla1[[#This Row],[Aplicación]],6,2)</f>
        <v>10</v>
      </c>
      <c r="T2387" s="35" t="str">
        <f>VLOOKUP(Tabla1[[#This Row],[AREA]],Hoja1!A:B,2,FALSE)</f>
        <v>10. Servicios sociales y mediación comunitaria</v>
      </c>
      <c r="U2387" s="56" t="str">
        <f>MID(Tabla1[[#This Row],[Aplicación]],9,4)</f>
        <v>2312</v>
      </c>
      <c r="V2387" s="35" t="str">
        <f>VLOOKUP(Tabla1[[#This Row],[PROGRAMA]],Hoja1!A:B,2,FALSE)</f>
        <v>2312. Iniciativas sociales</v>
      </c>
      <c r="W2387" s="56" t="str">
        <f>MID(Tabla1[[#This Row],[Aplicación]],14,2)</f>
        <v>63</v>
      </c>
      <c r="X2387" s="56" t="str">
        <f>MID(Tabla1[[#This Row],[Aplicación]],14,6)</f>
        <v>632</v>
      </c>
    </row>
    <row r="2388" spans="1:24" x14ac:dyDescent="0.25">
      <c r="A2388" s="62">
        <v>220230023287</v>
      </c>
      <c r="B2388" s="44" t="s">
        <v>1249</v>
      </c>
      <c r="C2388" s="64">
        <v>45068</v>
      </c>
      <c r="D2388" s="62">
        <v>22023004557</v>
      </c>
      <c r="E2388" s="44" t="s">
        <v>1479</v>
      </c>
      <c r="F2388" s="65">
        <v>3630</v>
      </c>
      <c r="G2388" s="44" t="s">
        <v>3958</v>
      </c>
      <c r="H2388" s="44" t="s">
        <v>3959</v>
      </c>
      <c r="I2388" s="62" t="s">
        <v>1251</v>
      </c>
      <c r="J2388" s="44" t="s">
        <v>519</v>
      </c>
      <c r="K2388" s="44" t="s">
        <v>519</v>
      </c>
      <c r="L2388" s="44" t="s">
        <v>520</v>
      </c>
      <c r="M2388" s="44" t="s">
        <v>976</v>
      </c>
      <c r="N2388" s="44" t="s">
        <v>839</v>
      </c>
      <c r="O2388" s="45" t="s">
        <v>383</v>
      </c>
      <c r="P2388" s="45" t="s">
        <v>3760</v>
      </c>
      <c r="Q2388" s="59" t="str">
        <f>MID(Tabla1[[#This Row],[Aplicación]],14,1)</f>
        <v>2</v>
      </c>
      <c r="R2388" s="35" t="s">
        <v>298</v>
      </c>
      <c r="S2388" s="59" t="str">
        <f>MID(Tabla1[[#This Row],[Aplicación]],6,2)</f>
        <v>03</v>
      </c>
      <c r="T2388" s="35" t="str">
        <f>VLOOKUP(Tabla1[[#This Row],[AREA]],Hoja1!A:B,2,FALSE)</f>
        <v>03. Participación ciudadana y deportes</v>
      </c>
      <c r="U2388" s="56" t="str">
        <f>MID(Tabla1[[#This Row],[Aplicación]],9,4)</f>
        <v>9241</v>
      </c>
      <c r="V2388" s="35" t="str">
        <f>VLOOKUP(Tabla1[[#This Row],[PROGRAMA]],Hoja1!A:B,2,FALSE)</f>
        <v>9241. Participación ciudadana</v>
      </c>
      <c r="W2388" s="56" t="str">
        <f>MID(Tabla1[[#This Row],[Aplicación]],14,2)</f>
        <v>22</v>
      </c>
      <c r="X2388" s="56" t="str">
        <f>MID(Tabla1[[#This Row],[Aplicación]],14,6)</f>
        <v>22609</v>
      </c>
    </row>
    <row r="2389" spans="1:24" x14ac:dyDescent="0.25">
      <c r="A2389" s="63">
        <v>220230031265</v>
      </c>
      <c r="B2389" s="44" t="s">
        <v>1514</v>
      </c>
      <c r="C2389" s="64">
        <v>45099</v>
      </c>
      <c r="D2389" s="62">
        <v>22022008399</v>
      </c>
      <c r="E2389" s="44" t="s">
        <v>1460</v>
      </c>
      <c r="F2389" s="65">
        <v>2113.44</v>
      </c>
      <c r="G2389" s="44" t="s">
        <v>1163</v>
      </c>
      <c r="H2389" s="44" t="s">
        <v>3960</v>
      </c>
      <c r="I2389" s="62" t="s">
        <v>1517</v>
      </c>
      <c r="J2389" s="44" t="s">
        <v>1165</v>
      </c>
      <c r="K2389" s="44" t="s">
        <v>837</v>
      </c>
      <c r="L2389" s="44" t="s">
        <v>520</v>
      </c>
      <c r="M2389" s="44" t="s">
        <v>514</v>
      </c>
      <c r="N2389" s="44" t="s">
        <v>515</v>
      </c>
      <c r="O2389" s="45" t="s">
        <v>382</v>
      </c>
      <c r="P2389" s="45" t="s">
        <v>3760</v>
      </c>
      <c r="Q2389" s="59" t="str">
        <f>MID(Tabla1[[#This Row],[Aplicación]],14,1)</f>
        <v>6</v>
      </c>
      <c r="R2389" s="35" t="s">
        <v>299</v>
      </c>
      <c r="S2389" s="59" t="str">
        <f>MID(Tabla1[[#This Row],[Aplicación]],6,2)</f>
        <v>03</v>
      </c>
      <c r="T2389" s="35" t="str">
        <f>VLOOKUP(Tabla1[[#This Row],[AREA]],Hoja1!A:B,2,FALSE)</f>
        <v>03. Participación ciudadana y deportes</v>
      </c>
      <c r="U2389" s="56" t="str">
        <f>MID(Tabla1[[#This Row],[Aplicación]],9,4)</f>
        <v>9241</v>
      </c>
      <c r="V2389" s="35" t="str">
        <f>VLOOKUP(Tabla1[[#This Row],[PROGRAMA]],Hoja1!A:B,2,FALSE)</f>
        <v>9241. Participación ciudadana</v>
      </c>
      <c r="W2389" s="56" t="str">
        <f>MID(Tabla1[[#This Row],[Aplicación]],14,2)</f>
        <v>63</v>
      </c>
      <c r="X2389" s="56" t="str">
        <f>MID(Tabla1[[#This Row],[Aplicación]],14,6)</f>
        <v>633</v>
      </c>
    </row>
    <row r="2390" spans="1:24" x14ac:dyDescent="0.25">
      <c r="A2390" s="62">
        <v>220230018773</v>
      </c>
      <c r="B2390" s="44" t="s">
        <v>1249</v>
      </c>
      <c r="C2390" s="64">
        <v>45055</v>
      </c>
      <c r="D2390" s="62">
        <v>22023004285</v>
      </c>
      <c r="E2390" s="44" t="s">
        <v>1714</v>
      </c>
      <c r="F2390" s="65">
        <v>546</v>
      </c>
      <c r="G2390" s="44" t="s">
        <v>1715</v>
      </c>
      <c r="H2390" s="44" t="s">
        <v>3961</v>
      </c>
      <c r="I2390" s="62" t="s">
        <v>1251</v>
      </c>
      <c r="J2390" s="44" t="s">
        <v>1717</v>
      </c>
      <c r="K2390" s="44" t="s">
        <v>1718</v>
      </c>
      <c r="L2390" s="44" t="s">
        <v>520</v>
      </c>
      <c r="M2390" s="44" t="s">
        <v>976</v>
      </c>
      <c r="N2390" s="44" t="s">
        <v>839</v>
      </c>
      <c r="O2390" s="45" t="s">
        <v>383</v>
      </c>
      <c r="P2390" s="45" t="s">
        <v>3760</v>
      </c>
      <c r="Q2390" s="59" t="str">
        <f>MID(Tabla1[[#This Row],[Aplicación]],14,1)</f>
        <v>2</v>
      </c>
      <c r="R2390" s="35" t="s">
        <v>298</v>
      </c>
      <c r="S2390" s="59" t="str">
        <f>MID(Tabla1[[#This Row],[Aplicación]],6,2)</f>
        <v>02</v>
      </c>
      <c r="T2390" s="35" t="str">
        <f>VLOOKUP(Tabla1[[#This Row],[AREA]],Hoja1!A:B,2,FALSE)</f>
        <v>02. Planeamiento urbanístico y vivienda</v>
      </c>
      <c r="U2390" s="56" t="str">
        <f>MID(Tabla1[[#This Row],[Aplicación]],9,4)</f>
        <v>1511</v>
      </c>
      <c r="V2390" s="35" t="str">
        <f>VLOOKUP(Tabla1[[#This Row],[PROGRAMA]],Hoja1!A:B,2,FALSE)</f>
        <v>1511. Planficación y gestión del urbanismo</v>
      </c>
      <c r="W2390" s="56" t="str">
        <f>MID(Tabla1[[#This Row],[Aplicación]],14,2)</f>
        <v>20</v>
      </c>
      <c r="X2390" s="56" t="str">
        <f>MID(Tabla1[[#This Row],[Aplicación]],14,6)</f>
        <v>206</v>
      </c>
    </row>
    <row r="2391" spans="1:24" x14ac:dyDescent="0.25">
      <c r="A2391" s="63">
        <v>220230026799</v>
      </c>
      <c r="B2391" s="44" t="s">
        <v>507</v>
      </c>
      <c r="C2391" s="64">
        <v>45078</v>
      </c>
      <c r="D2391" s="62">
        <v>22023004830</v>
      </c>
      <c r="E2391" s="44" t="s">
        <v>659</v>
      </c>
      <c r="F2391" s="65">
        <v>465.85</v>
      </c>
      <c r="G2391" s="44" t="s">
        <v>37</v>
      </c>
      <c r="H2391" s="44" t="s">
        <v>3962</v>
      </c>
      <c r="I2391" s="62" t="s">
        <v>511</v>
      </c>
      <c r="J2391" s="44" t="s">
        <v>519</v>
      </c>
      <c r="K2391" s="44" t="s">
        <v>519</v>
      </c>
      <c r="L2391" s="44" t="s">
        <v>520</v>
      </c>
      <c r="M2391" s="44" t="s">
        <v>976</v>
      </c>
      <c r="N2391" s="44" t="s">
        <v>839</v>
      </c>
      <c r="O2391" s="45" t="s">
        <v>383</v>
      </c>
      <c r="P2391" s="45" t="s">
        <v>3760</v>
      </c>
      <c r="Q2391" s="59" t="str">
        <f>MID(Tabla1[[#This Row],[Aplicación]],14,1)</f>
        <v>2</v>
      </c>
      <c r="R2391" s="35" t="s">
        <v>298</v>
      </c>
      <c r="S2391" s="59" t="str">
        <f>MID(Tabla1[[#This Row],[Aplicación]],6,2)</f>
        <v>11</v>
      </c>
      <c r="T2391" s="35" t="str">
        <f>VLOOKUP(Tabla1[[#This Row],[AREA]],Hoja1!A:B,2,FALSE)</f>
        <v>11. Salud pública y seguridad ciudadana</v>
      </c>
      <c r="U2391" s="56" t="str">
        <f>MID(Tabla1[[#This Row],[Aplicación]],9,4)</f>
        <v>1321</v>
      </c>
      <c r="V2391" s="35" t="str">
        <f>VLOOKUP(Tabla1[[#This Row],[PROGRAMA]],Hoja1!A:B,2,FALSE)</f>
        <v>1321. Policía municipal</v>
      </c>
      <c r="W2391" s="56" t="str">
        <f>MID(Tabla1[[#This Row],[Aplicación]],14,2)</f>
        <v>21</v>
      </c>
      <c r="X2391" s="56" t="str">
        <f>MID(Tabla1[[#This Row],[Aplicación]],14,6)</f>
        <v>213</v>
      </c>
    </row>
    <row r="2392" spans="1:24" x14ac:dyDescent="0.25">
      <c r="A2392" s="62">
        <v>220230016013</v>
      </c>
      <c r="B2392" s="44" t="s">
        <v>507</v>
      </c>
      <c r="C2392" s="64">
        <v>45042</v>
      </c>
      <c r="D2392" s="62">
        <v>22023004104</v>
      </c>
      <c r="E2392" s="44" t="s">
        <v>663</v>
      </c>
      <c r="F2392" s="65">
        <v>2420</v>
      </c>
      <c r="G2392" s="44" t="s">
        <v>102</v>
      </c>
      <c r="H2392" s="44" t="s">
        <v>3963</v>
      </c>
      <c r="I2392" s="62" t="s">
        <v>511</v>
      </c>
      <c r="J2392" s="44" t="s">
        <v>519</v>
      </c>
      <c r="K2392" s="44" t="s">
        <v>519</v>
      </c>
      <c r="L2392" s="44" t="s">
        <v>552</v>
      </c>
      <c r="M2392" s="44" t="s">
        <v>976</v>
      </c>
      <c r="N2392" s="44" t="s">
        <v>839</v>
      </c>
      <c r="O2392" s="45" t="s">
        <v>383</v>
      </c>
      <c r="P2392" s="45" t="s">
        <v>3760</v>
      </c>
      <c r="Q2392" s="59" t="str">
        <f>MID(Tabla1[[#This Row],[Aplicación]],14,1)</f>
        <v>2</v>
      </c>
      <c r="R2392" s="35" t="s">
        <v>298</v>
      </c>
      <c r="S2392" s="59" t="str">
        <f>MID(Tabla1[[#This Row],[Aplicación]],6,2)</f>
        <v>08</v>
      </c>
      <c r="T2392" s="35" t="str">
        <f>VLOOKUP(Tabla1[[#This Row],[AREA]],Hoja1!A:B,2,FALSE)</f>
        <v>08. Movilidad y espacio urbano</v>
      </c>
      <c r="U2392" s="56" t="str">
        <f>MID(Tabla1[[#This Row],[Aplicación]],9,4)</f>
        <v>1532</v>
      </c>
      <c r="V2392" s="35" t="str">
        <f>VLOOKUP(Tabla1[[#This Row],[PROGRAMA]],Hoja1!A:B,2,FALSE)</f>
        <v>1532. Pavimentación vias públicas y otros servicios urbanísticos</v>
      </c>
      <c r="W2392" s="56" t="str">
        <f>MID(Tabla1[[#This Row],[Aplicación]],14,2)</f>
        <v>20</v>
      </c>
      <c r="X2392" s="56" t="str">
        <f>MID(Tabla1[[#This Row],[Aplicación]],14,6)</f>
        <v>203</v>
      </c>
    </row>
    <row r="2393" spans="1:24" x14ac:dyDescent="0.25">
      <c r="A2393" s="62">
        <v>220230012982</v>
      </c>
      <c r="B2393" s="44" t="s">
        <v>507</v>
      </c>
      <c r="C2393" s="64">
        <v>45019</v>
      </c>
      <c r="D2393" s="62">
        <v>22023003740</v>
      </c>
      <c r="E2393" s="44" t="s">
        <v>2558</v>
      </c>
      <c r="F2393" s="65">
        <v>2148.96</v>
      </c>
      <c r="G2393" s="44" t="s">
        <v>102</v>
      </c>
      <c r="H2393" s="44" t="s">
        <v>3964</v>
      </c>
      <c r="I2393" s="62" t="s">
        <v>511</v>
      </c>
      <c r="J2393" s="44" t="s">
        <v>519</v>
      </c>
      <c r="K2393" s="44" t="s">
        <v>519</v>
      </c>
      <c r="L2393" s="44" t="s">
        <v>552</v>
      </c>
      <c r="M2393" s="44" t="s">
        <v>976</v>
      </c>
      <c r="N2393" s="44" t="s">
        <v>839</v>
      </c>
      <c r="O2393" s="45" t="s">
        <v>383</v>
      </c>
      <c r="P2393" s="45" t="s">
        <v>3760</v>
      </c>
      <c r="Q2393" s="59" t="str">
        <f>MID(Tabla1[[#This Row],[Aplicación]],14,1)</f>
        <v>2</v>
      </c>
      <c r="R2393" s="35" t="s">
        <v>298</v>
      </c>
      <c r="S2393" s="59" t="str">
        <f>MID(Tabla1[[#This Row],[Aplicación]],6,2)</f>
        <v>08</v>
      </c>
      <c r="T2393" s="35" t="str">
        <f>VLOOKUP(Tabla1[[#This Row],[AREA]],Hoja1!A:B,2,FALSE)</f>
        <v>08. Movilidad y espacio urbano</v>
      </c>
      <c r="U2393" s="56" t="str">
        <f>MID(Tabla1[[#This Row],[Aplicación]],9,4)</f>
        <v>1532</v>
      </c>
      <c r="V2393" s="35" t="str">
        <f>VLOOKUP(Tabla1[[#This Row],[PROGRAMA]],Hoja1!A:B,2,FALSE)</f>
        <v>1532. Pavimentación vias públicas y otros servicios urbanísticos</v>
      </c>
      <c r="W2393" s="56" t="str">
        <f>MID(Tabla1[[#This Row],[Aplicación]],14,2)</f>
        <v>22</v>
      </c>
      <c r="X2393" s="56" t="str">
        <f>MID(Tabla1[[#This Row],[Aplicación]],14,6)</f>
        <v>22199</v>
      </c>
    </row>
    <row r="2394" spans="1:24" x14ac:dyDescent="0.25">
      <c r="A2394" s="62">
        <v>220230016193</v>
      </c>
      <c r="B2394" s="44" t="s">
        <v>1514</v>
      </c>
      <c r="C2394" s="64">
        <v>45043</v>
      </c>
      <c r="D2394" s="62">
        <v>22023002181</v>
      </c>
      <c r="E2394" s="44" t="s">
        <v>1305</v>
      </c>
      <c r="F2394" s="65">
        <v>176.96</v>
      </c>
      <c r="G2394" s="44" t="s">
        <v>1979</v>
      </c>
      <c r="H2394" s="44" t="s">
        <v>3965</v>
      </c>
      <c r="I2394" s="62" t="s">
        <v>1517</v>
      </c>
      <c r="J2394" s="44" t="s">
        <v>519</v>
      </c>
      <c r="K2394" s="44" t="s">
        <v>519</v>
      </c>
      <c r="L2394" s="44" t="s">
        <v>552</v>
      </c>
      <c r="M2394" s="44" t="s">
        <v>514</v>
      </c>
      <c r="N2394" s="44" t="s">
        <v>515</v>
      </c>
      <c r="O2394" s="45" t="s">
        <v>382</v>
      </c>
      <c r="P2394" s="45" t="s">
        <v>3760</v>
      </c>
      <c r="Q2394" s="59" t="str">
        <f>MID(Tabla1[[#This Row],[Aplicación]],14,1)</f>
        <v>2</v>
      </c>
      <c r="R2394" s="35" t="s">
        <v>298</v>
      </c>
      <c r="S2394" s="59" t="str">
        <f>MID(Tabla1[[#This Row],[Aplicación]],6,2)</f>
        <v>06</v>
      </c>
      <c r="T2394" s="35" t="str">
        <f>VLOOKUP(Tabla1[[#This Row],[AREA]],Hoja1!A:B,2,FALSE)</f>
        <v>06. Educación, infancia, juventud e igualdad</v>
      </c>
      <c r="U2394" s="56" t="str">
        <f>MID(Tabla1[[#This Row],[Aplicación]],9,4)</f>
        <v>3232</v>
      </c>
      <c r="V2394" s="35" t="str">
        <f>VLOOKUP(Tabla1[[#This Row],[PROGRAMA]],Hoja1!A:B,2,FALSE)</f>
        <v>3232. Conservación y mantenimiento centros educación infantil y primaria</v>
      </c>
      <c r="W2394" s="56" t="str">
        <f>MID(Tabla1[[#This Row],[Aplicación]],14,2)</f>
        <v>21</v>
      </c>
      <c r="X2394" s="56" t="str">
        <f>MID(Tabla1[[#This Row],[Aplicación]],14,6)</f>
        <v>212</v>
      </c>
    </row>
    <row r="2395" spans="1:24" x14ac:dyDescent="0.25">
      <c r="A2395" s="62">
        <v>220230016201</v>
      </c>
      <c r="B2395" s="44" t="s">
        <v>1514</v>
      </c>
      <c r="C2395" s="64">
        <v>45043</v>
      </c>
      <c r="D2395" s="62">
        <v>22023000268</v>
      </c>
      <c r="E2395" s="44" t="s">
        <v>659</v>
      </c>
      <c r="F2395" s="65">
        <v>268.44</v>
      </c>
      <c r="G2395" s="44" t="s">
        <v>1979</v>
      </c>
      <c r="H2395" s="44" t="s">
        <v>3966</v>
      </c>
      <c r="I2395" s="62" t="s">
        <v>1517</v>
      </c>
      <c r="J2395" s="44" t="s">
        <v>519</v>
      </c>
      <c r="K2395" s="44" t="s">
        <v>519</v>
      </c>
      <c r="L2395" s="44" t="s">
        <v>552</v>
      </c>
      <c r="M2395" s="44" t="s">
        <v>514</v>
      </c>
      <c r="N2395" s="44" t="s">
        <v>515</v>
      </c>
      <c r="O2395" s="45" t="s">
        <v>382</v>
      </c>
      <c r="P2395" s="45" t="s">
        <v>3760</v>
      </c>
      <c r="Q2395" s="59" t="str">
        <f>MID(Tabla1[[#This Row],[Aplicación]],14,1)</f>
        <v>2</v>
      </c>
      <c r="R2395" s="35" t="s">
        <v>298</v>
      </c>
      <c r="S2395" s="59" t="str">
        <f>MID(Tabla1[[#This Row],[Aplicación]],6,2)</f>
        <v>11</v>
      </c>
      <c r="T2395" s="35" t="str">
        <f>VLOOKUP(Tabla1[[#This Row],[AREA]],Hoja1!A:B,2,FALSE)</f>
        <v>11. Salud pública y seguridad ciudadana</v>
      </c>
      <c r="U2395" s="56" t="str">
        <f>MID(Tabla1[[#This Row],[Aplicación]],9,4)</f>
        <v>1321</v>
      </c>
      <c r="V2395" s="35" t="str">
        <f>VLOOKUP(Tabla1[[#This Row],[PROGRAMA]],Hoja1!A:B,2,FALSE)</f>
        <v>1321. Policía municipal</v>
      </c>
      <c r="W2395" s="56" t="str">
        <f>MID(Tabla1[[#This Row],[Aplicación]],14,2)</f>
        <v>21</v>
      </c>
      <c r="X2395" s="56" t="str">
        <f>MID(Tabla1[[#This Row],[Aplicación]],14,6)</f>
        <v>213</v>
      </c>
    </row>
    <row r="2396" spans="1:24" x14ac:dyDescent="0.25">
      <c r="A2396" s="62">
        <v>220230016302</v>
      </c>
      <c r="B2396" s="44" t="s">
        <v>1514</v>
      </c>
      <c r="C2396" s="64">
        <v>45043</v>
      </c>
      <c r="D2396" s="62">
        <v>22023001344</v>
      </c>
      <c r="E2396" s="44" t="s">
        <v>1150</v>
      </c>
      <c r="F2396" s="65">
        <v>268.86</v>
      </c>
      <c r="G2396" s="44" t="s">
        <v>1979</v>
      </c>
      <c r="H2396" s="44" t="s">
        <v>3967</v>
      </c>
      <c r="I2396" s="62" t="s">
        <v>1517</v>
      </c>
      <c r="J2396" s="44" t="s">
        <v>519</v>
      </c>
      <c r="K2396" s="44" t="s">
        <v>519</v>
      </c>
      <c r="L2396" s="44" t="s">
        <v>552</v>
      </c>
      <c r="M2396" s="44" t="s">
        <v>514</v>
      </c>
      <c r="N2396" s="44" t="s">
        <v>604</v>
      </c>
      <c r="O2396" s="45" t="s">
        <v>382</v>
      </c>
      <c r="P2396" s="45" t="s">
        <v>3760</v>
      </c>
      <c r="Q2396" s="59" t="str">
        <f>MID(Tabla1[[#This Row],[Aplicación]],14,1)</f>
        <v>2</v>
      </c>
      <c r="R2396" s="35" t="s">
        <v>298</v>
      </c>
      <c r="S2396" s="59" t="str">
        <f>MID(Tabla1[[#This Row],[Aplicación]],6,2)</f>
        <v>03</v>
      </c>
      <c r="T2396" s="35" t="str">
        <f>VLOOKUP(Tabla1[[#This Row],[AREA]],Hoja1!A:B,2,FALSE)</f>
        <v>03. Participación ciudadana y deportes</v>
      </c>
      <c r="U2396" s="56" t="str">
        <f>MID(Tabla1[[#This Row],[Aplicación]],9,4)</f>
        <v>9241</v>
      </c>
      <c r="V2396" s="35" t="str">
        <f>VLOOKUP(Tabla1[[#This Row],[PROGRAMA]],Hoja1!A:B,2,FALSE)</f>
        <v>9241. Participación ciudadana</v>
      </c>
      <c r="W2396" s="56" t="str">
        <f>MID(Tabla1[[#This Row],[Aplicación]],14,2)</f>
        <v>21</v>
      </c>
      <c r="X2396" s="56" t="str">
        <f>MID(Tabla1[[#This Row],[Aplicación]],14,6)</f>
        <v>213</v>
      </c>
    </row>
    <row r="2397" spans="1:24" x14ac:dyDescent="0.25">
      <c r="A2397" s="62">
        <v>220230017690</v>
      </c>
      <c r="B2397" s="44" t="s">
        <v>1514</v>
      </c>
      <c r="C2397" s="64">
        <v>45050</v>
      </c>
      <c r="D2397" s="62">
        <v>22023002378</v>
      </c>
      <c r="E2397" s="44" t="s">
        <v>1362</v>
      </c>
      <c r="F2397" s="65">
        <v>195.81</v>
      </c>
      <c r="G2397" s="44" t="s">
        <v>1979</v>
      </c>
      <c r="H2397" s="44" t="s">
        <v>3968</v>
      </c>
      <c r="I2397" s="62" t="s">
        <v>1517</v>
      </c>
      <c r="J2397" s="44" t="s">
        <v>519</v>
      </c>
      <c r="K2397" s="44" t="s">
        <v>519</v>
      </c>
      <c r="L2397" s="44" t="s">
        <v>552</v>
      </c>
      <c r="M2397" s="44" t="s">
        <v>514</v>
      </c>
      <c r="N2397" s="44" t="s">
        <v>515</v>
      </c>
      <c r="O2397" s="45" t="s">
        <v>382</v>
      </c>
      <c r="P2397" s="45" t="s">
        <v>3760</v>
      </c>
      <c r="Q2397" s="59" t="str">
        <f>MID(Tabla1[[#This Row],[Aplicación]],14,1)</f>
        <v>2</v>
      </c>
      <c r="R2397" s="35" t="s">
        <v>298</v>
      </c>
      <c r="S2397" s="59" t="str">
        <f>MID(Tabla1[[#This Row],[Aplicación]],6,2)</f>
        <v>09</v>
      </c>
      <c r="T2397" s="35" t="str">
        <f>VLOOKUP(Tabla1[[#This Row],[AREA]],Hoja1!A:B,2,FALSE)</f>
        <v>09. Cultura y turismo</v>
      </c>
      <c r="U2397" s="56" t="str">
        <f>MID(Tabla1[[#This Row],[Aplicación]],9,4)</f>
        <v>3341</v>
      </c>
      <c r="V2397" s="35" t="str">
        <f>VLOOKUP(Tabla1[[#This Row],[PROGRAMA]],Hoja1!A:B,2,FALSE)</f>
        <v>3341. Coordinación de políticas culturales</v>
      </c>
      <c r="W2397" s="56" t="str">
        <f>MID(Tabla1[[#This Row],[Aplicación]],14,2)</f>
        <v>21</v>
      </c>
      <c r="X2397" s="56" t="str">
        <f>MID(Tabla1[[#This Row],[Aplicación]],14,6)</f>
        <v>213</v>
      </c>
    </row>
    <row r="2398" spans="1:24" x14ac:dyDescent="0.25">
      <c r="A2398" s="62">
        <v>220230018508</v>
      </c>
      <c r="B2398" s="44" t="s">
        <v>1514</v>
      </c>
      <c r="C2398" s="64">
        <v>45055</v>
      </c>
      <c r="D2398" s="62">
        <v>22023001467</v>
      </c>
      <c r="E2398" s="44" t="s">
        <v>1512</v>
      </c>
      <c r="F2398" s="65">
        <v>27.41</v>
      </c>
      <c r="G2398" s="44" t="s">
        <v>1979</v>
      </c>
      <c r="H2398" s="44" t="s">
        <v>3969</v>
      </c>
      <c r="I2398" s="62" t="s">
        <v>1517</v>
      </c>
      <c r="J2398" s="44" t="s">
        <v>519</v>
      </c>
      <c r="K2398" s="44" t="s">
        <v>519</v>
      </c>
      <c r="L2398" s="44" t="s">
        <v>552</v>
      </c>
      <c r="M2398" s="44" t="s">
        <v>514</v>
      </c>
      <c r="N2398" s="44" t="s">
        <v>515</v>
      </c>
      <c r="O2398" s="45" t="s">
        <v>382</v>
      </c>
      <c r="P2398" s="45" t="s">
        <v>3760</v>
      </c>
      <c r="Q2398" s="59" t="str">
        <f>MID(Tabla1[[#This Row],[Aplicación]],14,1)</f>
        <v>2</v>
      </c>
      <c r="R2398" s="35" t="s">
        <v>298</v>
      </c>
      <c r="S2398" s="59" t="str">
        <f>MID(Tabla1[[#This Row],[Aplicación]],6,2)</f>
        <v>10</v>
      </c>
      <c r="T2398" s="35" t="str">
        <f>VLOOKUP(Tabla1[[#This Row],[AREA]],Hoja1!A:B,2,FALSE)</f>
        <v>10. Servicios sociales y mediación comunitaria</v>
      </c>
      <c r="U2398" s="56" t="str">
        <f>MID(Tabla1[[#This Row],[Aplicación]],9,4)</f>
        <v>2312</v>
      </c>
      <c r="V2398" s="35" t="str">
        <f>VLOOKUP(Tabla1[[#This Row],[PROGRAMA]],Hoja1!A:B,2,FALSE)</f>
        <v>2312. Iniciativas sociales</v>
      </c>
      <c r="W2398" s="56" t="str">
        <f>MID(Tabla1[[#This Row],[Aplicación]],14,2)</f>
        <v>21</v>
      </c>
      <c r="X2398" s="56" t="str">
        <f>MID(Tabla1[[#This Row],[Aplicación]],14,6)</f>
        <v>212</v>
      </c>
    </row>
    <row r="2399" spans="1:24" x14ac:dyDescent="0.25">
      <c r="A2399" s="62">
        <v>220230018528</v>
      </c>
      <c r="B2399" s="44" t="s">
        <v>1514</v>
      </c>
      <c r="C2399" s="64">
        <v>45055</v>
      </c>
      <c r="D2399" s="62">
        <v>22023001462</v>
      </c>
      <c r="E2399" s="44" t="s">
        <v>1290</v>
      </c>
      <c r="F2399" s="65">
        <v>105.21</v>
      </c>
      <c r="G2399" s="44" t="s">
        <v>1979</v>
      </c>
      <c r="H2399" s="44" t="s">
        <v>3970</v>
      </c>
      <c r="I2399" s="62" t="s">
        <v>1517</v>
      </c>
      <c r="J2399" s="44" t="s">
        <v>519</v>
      </c>
      <c r="K2399" s="44" t="s">
        <v>519</v>
      </c>
      <c r="L2399" s="44" t="s">
        <v>552</v>
      </c>
      <c r="M2399" s="44" t="s">
        <v>514</v>
      </c>
      <c r="N2399" s="44" t="s">
        <v>515</v>
      </c>
      <c r="O2399" s="45" t="s">
        <v>382</v>
      </c>
      <c r="P2399" s="45" t="s">
        <v>3760</v>
      </c>
      <c r="Q2399" s="59" t="str">
        <f>MID(Tabla1[[#This Row],[Aplicación]],14,1)</f>
        <v>2</v>
      </c>
      <c r="R2399" s="35" t="s">
        <v>298</v>
      </c>
      <c r="S2399" s="59" t="str">
        <f>MID(Tabla1[[#This Row],[Aplicación]],6,2)</f>
        <v>11</v>
      </c>
      <c r="T2399" s="35" t="str">
        <f>VLOOKUP(Tabla1[[#This Row],[AREA]],Hoja1!A:B,2,FALSE)</f>
        <v>11. Salud pública y seguridad ciudadana</v>
      </c>
      <c r="U2399" s="56" t="str">
        <f>MID(Tabla1[[#This Row],[Aplicación]],9,4)</f>
        <v>1621</v>
      </c>
      <c r="V2399" s="35" t="str">
        <f>VLOOKUP(Tabla1[[#This Row],[PROGRAMA]],Hoja1!A:B,2,FALSE)</f>
        <v>1621. Servicio de limpieza</v>
      </c>
      <c r="W2399" s="56" t="str">
        <f>MID(Tabla1[[#This Row],[Aplicación]],14,2)</f>
        <v>21</v>
      </c>
      <c r="X2399" s="56" t="str">
        <f>MID(Tabla1[[#This Row],[Aplicación]],14,6)</f>
        <v>214</v>
      </c>
    </row>
    <row r="2400" spans="1:24" x14ac:dyDescent="0.25">
      <c r="A2400" s="62">
        <v>220230018546</v>
      </c>
      <c r="B2400" s="44" t="s">
        <v>1514</v>
      </c>
      <c r="C2400" s="64">
        <v>45055</v>
      </c>
      <c r="D2400" s="62">
        <v>22023001344</v>
      </c>
      <c r="E2400" s="44" t="s">
        <v>1150</v>
      </c>
      <c r="F2400" s="65">
        <v>53.77</v>
      </c>
      <c r="G2400" s="44" t="s">
        <v>1979</v>
      </c>
      <c r="H2400" s="44" t="s">
        <v>3967</v>
      </c>
      <c r="I2400" s="62" t="s">
        <v>1517</v>
      </c>
      <c r="J2400" s="44" t="s">
        <v>519</v>
      </c>
      <c r="K2400" s="44" t="s">
        <v>519</v>
      </c>
      <c r="L2400" s="44" t="s">
        <v>552</v>
      </c>
      <c r="M2400" s="44" t="s">
        <v>514</v>
      </c>
      <c r="N2400" s="44" t="s">
        <v>604</v>
      </c>
      <c r="O2400" s="45" t="s">
        <v>382</v>
      </c>
      <c r="P2400" s="45" t="s">
        <v>3760</v>
      </c>
      <c r="Q2400" s="59" t="str">
        <f>MID(Tabla1[[#This Row],[Aplicación]],14,1)</f>
        <v>2</v>
      </c>
      <c r="R2400" s="35" t="s">
        <v>298</v>
      </c>
      <c r="S2400" s="59" t="str">
        <f>MID(Tabla1[[#This Row],[Aplicación]],6,2)</f>
        <v>03</v>
      </c>
      <c r="T2400" s="35" t="str">
        <f>VLOOKUP(Tabla1[[#This Row],[AREA]],Hoja1!A:B,2,FALSE)</f>
        <v>03. Participación ciudadana y deportes</v>
      </c>
      <c r="U2400" s="56" t="str">
        <f>MID(Tabla1[[#This Row],[Aplicación]],9,4)</f>
        <v>9241</v>
      </c>
      <c r="V2400" s="35" t="str">
        <f>VLOOKUP(Tabla1[[#This Row],[PROGRAMA]],Hoja1!A:B,2,FALSE)</f>
        <v>9241. Participación ciudadana</v>
      </c>
      <c r="W2400" s="56" t="str">
        <f>MID(Tabla1[[#This Row],[Aplicación]],14,2)</f>
        <v>21</v>
      </c>
      <c r="X2400" s="56" t="str">
        <f>MID(Tabla1[[#This Row],[Aplicación]],14,6)</f>
        <v>213</v>
      </c>
    </row>
    <row r="2401" spans="1:24" x14ac:dyDescent="0.25">
      <c r="A2401" s="62">
        <v>220230020948</v>
      </c>
      <c r="B2401" s="44" t="s">
        <v>1514</v>
      </c>
      <c r="C2401" s="64">
        <v>45062</v>
      </c>
      <c r="D2401" s="62">
        <v>22023001549</v>
      </c>
      <c r="E2401" s="44" t="s">
        <v>1515</v>
      </c>
      <c r="F2401" s="65">
        <v>4.71</v>
      </c>
      <c r="G2401" s="44" t="s">
        <v>1979</v>
      </c>
      <c r="H2401" s="44" t="s">
        <v>3971</v>
      </c>
      <c r="I2401" s="62" t="s">
        <v>1517</v>
      </c>
      <c r="J2401" s="44" t="s">
        <v>519</v>
      </c>
      <c r="K2401" s="44" t="s">
        <v>519</v>
      </c>
      <c r="L2401" s="44" t="s">
        <v>552</v>
      </c>
      <c r="M2401" s="44" t="s">
        <v>514</v>
      </c>
      <c r="N2401" s="44" t="s">
        <v>515</v>
      </c>
      <c r="O2401" s="45" t="s">
        <v>382</v>
      </c>
      <c r="P2401" s="45" t="s">
        <v>3760</v>
      </c>
      <c r="Q2401" s="59" t="str">
        <f>MID(Tabla1[[#This Row],[Aplicación]],14,1)</f>
        <v>2</v>
      </c>
      <c r="R2401" s="35" t="s">
        <v>298</v>
      </c>
      <c r="S2401" s="59" t="str">
        <f>MID(Tabla1[[#This Row],[Aplicación]],6,2)</f>
        <v>07</v>
      </c>
      <c r="T2401" s="35" t="str">
        <f>VLOOKUP(Tabla1[[#This Row],[AREA]],Hoja1!A:B,2,FALSE)</f>
        <v>07. Medio ambiente y desarrollo sostenible</v>
      </c>
      <c r="U2401" s="56" t="str">
        <f>MID(Tabla1[[#This Row],[Aplicación]],9,4)</f>
        <v>1711</v>
      </c>
      <c r="V2401" s="35" t="str">
        <f>VLOOKUP(Tabla1[[#This Row],[PROGRAMA]],Hoja1!A:B,2,FALSE)</f>
        <v>1711. Parques y jardines</v>
      </c>
      <c r="W2401" s="56" t="str">
        <f>MID(Tabla1[[#This Row],[Aplicación]],14,2)</f>
        <v>22</v>
      </c>
      <c r="X2401" s="56" t="str">
        <f>MID(Tabla1[[#This Row],[Aplicación]],14,6)</f>
        <v>22199</v>
      </c>
    </row>
    <row r="2402" spans="1:24" x14ac:dyDescent="0.25">
      <c r="A2402" s="62">
        <v>220230020964</v>
      </c>
      <c r="B2402" s="44" t="s">
        <v>1514</v>
      </c>
      <c r="C2402" s="64">
        <v>45062</v>
      </c>
      <c r="D2402" s="62">
        <v>22023001344</v>
      </c>
      <c r="E2402" s="44" t="s">
        <v>1150</v>
      </c>
      <c r="F2402" s="65">
        <v>22.66</v>
      </c>
      <c r="G2402" s="44" t="s">
        <v>1979</v>
      </c>
      <c r="H2402" s="44" t="s">
        <v>3972</v>
      </c>
      <c r="I2402" s="62" t="s">
        <v>1517</v>
      </c>
      <c r="J2402" s="44" t="s">
        <v>519</v>
      </c>
      <c r="K2402" s="44" t="s">
        <v>519</v>
      </c>
      <c r="L2402" s="44" t="s">
        <v>552</v>
      </c>
      <c r="M2402" s="44" t="s">
        <v>514</v>
      </c>
      <c r="N2402" s="44" t="s">
        <v>604</v>
      </c>
      <c r="O2402" s="45" t="s">
        <v>382</v>
      </c>
      <c r="P2402" s="45" t="s">
        <v>3760</v>
      </c>
      <c r="Q2402" s="59" t="str">
        <f>MID(Tabla1[[#This Row],[Aplicación]],14,1)</f>
        <v>2</v>
      </c>
      <c r="R2402" s="35" t="s">
        <v>298</v>
      </c>
      <c r="S2402" s="59" t="str">
        <f>MID(Tabla1[[#This Row],[Aplicación]],6,2)</f>
        <v>03</v>
      </c>
      <c r="T2402" s="35" t="str">
        <f>VLOOKUP(Tabla1[[#This Row],[AREA]],Hoja1!A:B,2,FALSE)</f>
        <v>03. Participación ciudadana y deportes</v>
      </c>
      <c r="U2402" s="56" t="str">
        <f>MID(Tabla1[[#This Row],[Aplicación]],9,4)</f>
        <v>9241</v>
      </c>
      <c r="V2402" s="35" t="str">
        <f>VLOOKUP(Tabla1[[#This Row],[PROGRAMA]],Hoja1!A:B,2,FALSE)</f>
        <v>9241. Participación ciudadana</v>
      </c>
      <c r="W2402" s="56" t="str">
        <f>MID(Tabla1[[#This Row],[Aplicación]],14,2)</f>
        <v>21</v>
      </c>
      <c r="X2402" s="56" t="str">
        <f>MID(Tabla1[[#This Row],[Aplicación]],14,6)</f>
        <v>213</v>
      </c>
    </row>
    <row r="2403" spans="1:24" x14ac:dyDescent="0.25">
      <c r="A2403" s="62">
        <v>220230021009</v>
      </c>
      <c r="B2403" s="44" t="s">
        <v>1514</v>
      </c>
      <c r="C2403" s="64">
        <v>45062</v>
      </c>
      <c r="D2403" s="62">
        <v>22023002185</v>
      </c>
      <c r="E2403" s="44" t="s">
        <v>2458</v>
      </c>
      <c r="F2403" s="65">
        <v>16.34</v>
      </c>
      <c r="G2403" s="44" t="s">
        <v>1979</v>
      </c>
      <c r="H2403" s="44" t="s">
        <v>3973</v>
      </c>
      <c r="I2403" s="62" t="s">
        <v>1517</v>
      </c>
      <c r="J2403" s="44" t="s">
        <v>519</v>
      </c>
      <c r="K2403" s="44" t="s">
        <v>519</v>
      </c>
      <c r="L2403" s="44" t="s">
        <v>552</v>
      </c>
      <c r="M2403" s="44" t="s">
        <v>514</v>
      </c>
      <c r="N2403" s="44" t="s">
        <v>515</v>
      </c>
      <c r="O2403" s="45" t="s">
        <v>382</v>
      </c>
      <c r="P2403" s="45" t="s">
        <v>3760</v>
      </c>
      <c r="Q2403" s="59" t="str">
        <f>MID(Tabla1[[#This Row],[Aplicación]],14,1)</f>
        <v>2</v>
      </c>
      <c r="R2403" s="35" t="s">
        <v>298</v>
      </c>
      <c r="S2403" s="59" t="str">
        <f>MID(Tabla1[[#This Row],[Aplicación]],6,2)</f>
        <v>06</v>
      </c>
      <c r="T2403" s="35" t="str">
        <f>VLOOKUP(Tabla1[[#This Row],[AREA]],Hoja1!A:B,2,FALSE)</f>
        <v>06. Educación, infancia, juventud e igualdad</v>
      </c>
      <c r="U2403" s="56" t="str">
        <f>MID(Tabla1[[#This Row],[Aplicación]],9,4)</f>
        <v>3231</v>
      </c>
      <c r="V2403" s="35" t="str">
        <f>VLOOKUP(Tabla1[[#This Row],[PROGRAMA]],Hoja1!A:B,2,FALSE)</f>
        <v>3231. Escuelas infantiles</v>
      </c>
      <c r="W2403" s="56" t="str">
        <f>MID(Tabla1[[#This Row],[Aplicación]],14,2)</f>
        <v>21</v>
      </c>
      <c r="X2403" s="56" t="str">
        <f>MID(Tabla1[[#This Row],[Aplicación]],14,6)</f>
        <v>212</v>
      </c>
    </row>
    <row r="2404" spans="1:24" x14ac:dyDescent="0.25">
      <c r="A2404" s="62">
        <v>220230026269</v>
      </c>
      <c r="B2404" s="44" t="s">
        <v>1514</v>
      </c>
      <c r="C2404" s="64">
        <v>45077</v>
      </c>
      <c r="D2404" s="62">
        <v>22023001467</v>
      </c>
      <c r="E2404" s="44" t="s">
        <v>1512</v>
      </c>
      <c r="F2404" s="65">
        <v>58.08</v>
      </c>
      <c r="G2404" s="44" t="s">
        <v>1979</v>
      </c>
      <c r="H2404" s="44" t="s">
        <v>3974</v>
      </c>
      <c r="I2404" s="62" t="s">
        <v>1517</v>
      </c>
      <c r="J2404" s="44" t="s">
        <v>519</v>
      </c>
      <c r="K2404" s="44" t="s">
        <v>519</v>
      </c>
      <c r="L2404" s="44" t="s">
        <v>552</v>
      </c>
      <c r="M2404" s="44" t="s">
        <v>514</v>
      </c>
      <c r="N2404" s="44" t="s">
        <v>515</v>
      </c>
      <c r="O2404" s="45" t="s">
        <v>382</v>
      </c>
      <c r="P2404" s="45" t="s">
        <v>3760</v>
      </c>
      <c r="Q2404" s="59" t="str">
        <f>MID(Tabla1[[#This Row],[Aplicación]],14,1)</f>
        <v>2</v>
      </c>
      <c r="R2404" s="35" t="s">
        <v>298</v>
      </c>
      <c r="S2404" s="59" t="str">
        <f>MID(Tabla1[[#This Row],[Aplicación]],6,2)</f>
        <v>10</v>
      </c>
      <c r="T2404" s="35" t="str">
        <f>VLOOKUP(Tabla1[[#This Row],[AREA]],Hoja1!A:B,2,FALSE)</f>
        <v>10. Servicios sociales y mediación comunitaria</v>
      </c>
      <c r="U2404" s="56" t="str">
        <f>MID(Tabla1[[#This Row],[Aplicación]],9,4)</f>
        <v>2312</v>
      </c>
      <c r="V2404" s="35" t="str">
        <f>VLOOKUP(Tabla1[[#This Row],[PROGRAMA]],Hoja1!A:B,2,FALSE)</f>
        <v>2312. Iniciativas sociales</v>
      </c>
      <c r="W2404" s="56" t="str">
        <f>MID(Tabla1[[#This Row],[Aplicación]],14,2)</f>
        <v>21</v>
      </c>
      <c r="X2404" s="56" t="str">
        <f>MID(Tabla1[[#This Row],[Aplicación]],14,6)</f>
        <v>212</v>
      </c>
    </row>
    <row r="2405" spans="1:24" x14ac:dyDescent="0.25">
      <c r="A2405" s="62">
        <v>220230016004</v>
      </c>
      <c r="B2405" s="44" t="s">
        <v>507</v>
      </c>
      <c r="C2405" s="64">
        <v>45042</v>
      </c>
      <c r="D2405" s="62">
        <v>22023004102</v>
      </c>
      <c r="E2405" s="44" t="s">
        <v>2558</v>
      </c>
      <c r="F2405" s="65">
        <v>786.5</v>
      </c>
      <c r="G2405" s="44" t="s">
        <v>2443</v>
      </c>
      <c r="H2405" s="44" t="s">
        <v>3975</v>
      </c>
      <c r="I2405" s="62" t="s">
        <v>511</v>
      </c>
      <c r="J2405" s="44" t="s">
        <v>519</v>
      </c>
      <c r="K2405" s="44" t="s">
        <v>519</v>
      </c>
      <c r="L2405" s="44" t="s">
        <v>552</v>
      </c>
      <c r="M2405" s="44" t="s">
        <v>976</v>
      </c>
      <c r="N2405" s="44" t="s">
        <v>839</v>
      </c>
      <c r="O2405" s="45" t="s">
        <v>383</v>
      </c>
      <c r="P2405" s="45" t="s">
        <v>3760</v>
      </c>
      <c r="Q2405" s="59" t="str">
        <f>MID(Tabla1[[#This Row],[Aplicación]],14,1)</f>
        <v>2</v>
      </c>
      <c r="R2405" s="35" t="s">
        <v>298</v>
      </c>
      <c r="S2405" s="59" t="str">
        <f>MID(Tabla1[[#This Row],[Aplicación]],6,2)</f>
        <v>08</v>
      </c>
      <c r="T2405" s="35" t="str">
        <f>VLOOKUP(Tabla1[[#This Row],[AREA]],Hoja1!A:B,2,FALSE)</f>
        <v>08. Movilidad y espacio urbano</v>
      </c>
      <c r="U2405" s="56" t="str">
        <f>MID(Tabla1[[#This Row],[Aplicación]],9,4)</f>
        <v>1532</v>
      </c>
      <c r="V2405" s="35" t="str">
        <f>VLOOKUP(Tabla1[[#This Row],[PROGRAMA]],Hoja1!A:B,2,FALSE)</f>
        <v>1532. Pavimentación vias públicas y otros servicios urbanísticos</v>
      </c>
      <c r="W2405" s="56" t="str">
        <f>MID(Tabla1[[#This Row],[Aplicación]],14,2)</f>
        <v>22</v>
      </c>
      <c r="X2405" s="56" t="str">
        <f>MID(Tabla1[[#This Row],[Aplicación]],14,6)</f>
        <v>22199</v>
      </c>
    </row>
    <row r="2406" spans="1:24" x14ac:dyDescent="0.25">
      <c r="A2406" s="62">
        <v>220230025386</v>
      </c>
      <c r="B2406" s="44" t="s">
        <v>507</v>
      </c>
      <c r="C2406" s="64">
        <v>45072</v>
      </c>
      <c r="D2406" s="62">
        <v>22023004636</v>
      </c>
      <c r="E2406" s="44" t="s">
        <v>1191</v>
      </c>
      <c r="F2406" s="65">
        <v>145.41999999999999</v>
      </c>
      <c r="G2406" s="44" t="s">
        <v>419</v>
      </c>
      <c r="H2406" s="44" t="s">
        <v>3976</v>
      </c>
      <c r="I2406" s="62" t="s">
        <v>511</v>
      </c>
      <c r="J2406" s="44" t="s">
        <v>519</v>
      </c>
      <c r="K2406" s="44" t="s">
        <v>519</v>
      </c>
      <c r="L2406" s="44" t="s">
        <v>552</v>
      </c>
      <c r="M2406" s="44" t="s">
        <v>976</v>
      </c>
      <c r="N2406" s="44" t="s">
        <v>839</v>
      </c>
      <c r="O2406" s="45" t="s">
        <v>383</v>
      </c>
      <c r="P2406" s="45" t="s">
        <v>3760</v>
      </c>
      <c r="Q2406" s="59" t="str">
        <f>MID(Tabla1[[#This Row],[Aplicación]],14,1)</f>
        <v>2</v>
      </c>
      <c r="R2406" s="35" t="s">
        <v>298</v>
      </c>
      <c r="S2406" s="59" t="str">
        <f>MID(Tabla1[[#This Row],[Aplicación]],6,2)</f>
        <v>06</v>
      </c>
      <c r="T2406" s="35" t="str">
        <f>VLOOKUP(Tabla1[[#This Row],[AREA]],Hoja1!A:B,2,FALSE)</f>
        <v>06. Educación, infancia, juventud e igualdad</v>
      </c>
      <c r="U2406" s="56" t="str">
        <f>MID(Tabla1[[#This Row],[Aplicación]],9,4)</f>
        <v>2315</v>
      </c>
      <c r="V2406" s="35" t="str">
        <f>VLOOKUP(Tabla1[[#This Row],[PROGRAMA]],Hoja1!A:B,2,FALSE)</f>
        <v>2315. Políticas de Igualdad e infancia</v>
      </c>
      <c r="W2406" s="56" t="str">
        <f>MID(Tabla1[[#This Row],[Aplicación]],14,2)</f>
        <v>22</v>
      </c>
      <c r="X2406" s="56" t="str">
        <f>MID(Tabla1[[#This Row],[Aplicación]],14,6)</f>
        <v>22611</v>
      </c>
    </row>
    <row r="2407" spans="1:24" x14ac:dyDescent="0.25">
      <c r="A2407" s="62">
        <v>220230012985</v>
      </c>
      <c r="B2407" s="44" t="s">
        <v>507</v>
      </c>
      <c r="C2407" s="64">
        <v>45019</v>
      </c>
      <c r="D2407" s="62">
        <v>22023003734</v>
      </c>
      <c r="E2407" s="44" t="s">
        <v>1506</v>
      </c>
      <c r="F2407" s="65">
        <v>7018</v>
      </c>
      <c r="G2407" s="44" t="s">
        <v>3977</v>
      </c>
      <c r="H2407" s="44" t="s">
        <v>3978</v>
      </c>
      <c r="I2407" s="62" t="s">
        <v>511</v>
      </c>
      <c r="J2407" s="44" t="s">
        <v>519</v>
      </c>
      <c r="K2407" s="44" t="s">
        <v>519</v>
      </c>
      <c r="L2407" s="44" t="s">
        <v>552</v>
      </c>
      <c r="M2407" s="44" t="s">
        <v>976</v>
      </c>
      <c r="N2407" s="44" t="s">
        <v>839</v>
      </c>
      <c r="O2407" s="45" t="s">
        <v>383</v>
      </c>
      <c r="P2407" s="45" t="s">
        <v>3760</v>
      </c>
      <c r="Q2407" s="59" t="str">
        <f>MID(Tabla1[[#This Row],[Aplicación]],14,1)</f>
        <v>2</v>
      </c>
      <c r="R2407" s="35" t="s">
        <v>298</v>
      </c>
      <c r="S2407" s="59" t="str">
        <f>MID(Tabla1[[#This Row],[Aplicación]],6,2)</f>
        <v>03</v>
      </c>
      <c r="T2407" s="35" t="str">
        <f>VLOOKUP(Tabla1[[#This Row],[AREA]],Hoja1!A:B,2,FALSE)</f>
        <v>03. Participación ciudadana y deportes</v>
      </c>
      <c r="U2407" s="56" t="str">
        <f>MID(Tabla1[[#This Row],[Aplicación]],9,4)</f>
        <v>9241</v>
      </c>
      <c r="V2407" s="35" t="str">
        <f>VLOOKUP(Tabla1[[#This Row],[PROGRAMA]],Hoja1!A:B,2,FALSE)</f>
        <v>9241. Participación ciudadana</v>
      </c>
      <c r="W2407" s="56" t="str">
        <f>MID(Tabla1[[#This Row],[Aplicación]],14,2)</f>
        <v>21</v>
      </c>
      <c r="X2407" s="56" t="str">
        <f>MID(Tabla1[[#This Row],[Aplicación]],14,6)</f>
        <v>212</v>
      </c>
    </row>
    <row r="2408" spans="1:24" x14ac:dyDescent="0.25">
      <c r="A2408" s="62">
        <v>220230017053</v>
      </c>
      <c r="B2408" s="44" t="s">
        <v>507</v>
      </c>
      <c r="C2408" s="64">
        <v>45048</v>
      </c>
      <c r="D2408" s="62">
        <v>22023004064</v>
      </c>
      <c r="E2408" s="44" t="s">
        <v>1436</v>
      </c>
      <c r="F2408" s="65">
        <v>700</v>
      </c>
      <c r="G2408" s="44" t="s">
        <v>416</v>
      </c>
      <c r="H2408" s="44" t="s">
        <v>3979</v>
      </c>
      <c r="I2408" s="62" t="s">
        <v>511</v>
      </c>
      <c r="J2408" s="44" t="s">
        <v>573</v>
      </c>
      <c r="K2408" s="44" t="s">
        <v>573</v>
      </c>
      <c r="L2408" s="44" t="s">
        <v>652</v>
      </c>
      <c r="M2408" s="44" t="s">
        <v>976</v>
      </c>
      <c r="N2408" s="44" t="s">
        <v>839</v>
      </c>
      <c r="O2408" s="45" t="s">
        <v>383</v>
      </c>
      <c r="P2408" s="45" t="s">
        <v>3760</v>
      </c>
      <c r="Q2408" s="59" t="str">
        <f>MID(Tabla1[[#This Row],[Aplicación]],14,1)</f>
        <v>2</v>
      </c>
      <c r="R2408" s="35" t="s">
        <v>298</v>
      </c>
      <c r="S2408" s="59" t="str">
        <f>MID(Tabla1[[#This Row],[Aplicación]],6,2)</f>
        <v>04</v>
      </c>
      <c r="T2408" s="35" t="str">
        <f>VLOOKUP(Tabla1[[#This Row],[AREA]],Hoja1!A:B,2,FALSE)</f>
        <v>04. Planificación y recursos</v>
      </c>
      <c r="U2408" s="56" t="str">
        <f>MID(Tabla1[[#This Row],[Aplicación]],9,4)</f>
        <v>9202</v>
      </c>
      <c r="V2408" s="35" t="str">
        <f>VLOOKUP(Tabla1[[#This Row],[PROGRAMA]],Hoja1!A:B,2,FALSE)</f>
        <v>9202. Gestión de recursos humanos</v>
      </c>
      <c r="W2408" s="56" t="str">
        <f>MID(Tabla1[[#This Row],[Aplicación]],14,2)</f>
        <v>22</v>
      </c>
      <c r="X2408" s="56" t="str">
        <f>MID(Tabla1[[#This Row],[Aplicación]],14,6)</f>
        <v>22607</v>
      </c>
    </row>
    <row r="2409" spans="1:24" x14ac:dyDescent="0.25">
      <c r="A2409" s="62">
        <v>220230025383</v>
      </c>
      <c r="B2409" s="44" t="s">
        <v>507</v>
      </c>
      <c r="C2409" s="64">
        <v>45072</v>
      </c>
      <c r="D2409" s="62">
        <v>22023004536</v>
      </c>
      <c r="E2409" s="44" t="s">
        <v>1436</v>
      </c>
      <c r="F2409" s="65">
        <v>700</v>
      </c>
      <c r="G2409" s="44" t="s">
        <v>416</v>
      </c>
      <c r="H2409" s="44" t="s">
        <v>3980</v>
      </c>
      <c r="I2409" s="62" t="s">
        <v>511</v>
      </c>
      <c r="J2409" s="44" t="s">
        <v>573</v>
      </c>
      <c r="K2409" s="44" t="s">
        <v>573</v>
      </c>
      <c r="L2409" s="44" t="s">
        <v>520</v>
      </c>
      <c r="M2409" s="44" t="s">
        <v>976</v>
      </c>
      <c r="N2409" s="44" t="s">
        <v>839</v>
      </c>
      <c r="O2409" s="45" t="s">
        <v>383</v>
      </c>
      <c r="P2409" s="45" t="s">
        <v>3760</v>
      </c>
      <c r="Q2409" s="59" t="str">
        <f>MID(Tabla1[[#This Row],[Aplicación]],14,1)</f>
        <v>2</v>
      </c>
      <c r="R2409" s="35" t="s">
        <v>298</v>
      </c>
      <c r="S2409" s="59" t="str">
        <f>MID(Tabla1[[#This Row],[Aplicación]],6,2)</f>
        <v>04</v>
      </c>
      <c r="T2409" s="35" t="str">
        <f>VLOOKUP(Tabla1[[#This Row],[AREA]],Hoja1!A:B,2,FALSE)</f>
        <v>04. Planificación y recursos</v>
      </c>
      <c r="U2409" s="56" t="str">
        <f>MID(Tabla1[[#This Row],[Aplicación]],9,4)</f>
        <v>9202</v>
      </c>
      <c r="V2409" s="35" t="str">
        <f>VLOOKUP(Tabla1[[#This Row],[PROGRAMA]],Hoja1!A:B,2,FALSE)</f>
        <v>9202. Gestión de recursos humanos</v>
      </c>
      <c r="W2409" s="56" t="str">
        <f>MID(Tabla1[[#This Row],[Aplicación]],14,2)</f>
        <v>22</v>
      </c>
      <c r="X2409" s="56" t="str">
        <f>MID(Tabla1[[#This Row],[Aplicación]],14,6)</f>
        <v>22607</v>
      </c>
    </row>
    <row r="2410" spans="1:24" x14ac:dyDescent="0.25">
      <c r="A2410" s="62">
        <v>220230013647</v>
      </c>
      <c r="B2410" s="44" t="s">
        <v>507</v>
      </c>
      <c r="C2410" s="64">
        <v>45026</v>
      </c>
      <c r="D2410" s="62">
        <v>22023003078</v>
      </c>
      <c r="E2410" s="44" t="s">
        <v>835</v>
      </c>
      <c r="F2410" s="65">
        <v>6755.16</v>
      </c>
      <c r="G2410" s="44" t="s">
        <v>3981</v>
      </c>
      <c r="H2410" s="44" t="s">
        <v>3982</v>
      </c>
      <c r="I2410" s="62" t="s">
        <v>2168</v>
      </c>
      <c r="J2410" s="44" t="s">
        <v>519</v>
      </c>
      <c r="K2410" s="44" t="s">
        <v>519</v>
      </c>
      <c r="L2410" s="44" t="s">
        <v>520</v>
      </c>
      <c r="M2410" s="44" t="s">
        <v>976</v>
      </c>
      <c r="N2410" s="44" t="s">
        <v>839</v>
      </c>
      <c r="O2410" s="45" t="s">
        <v>383</v>
      </c>
      <c r="P2410" s="45" t="s">
        <v>3760</v>
      </c>
      <c r="Q2410" s="59" t="str">
        <f>MID(Tabla1[[#This Row],[Aplicación]],14,1)</f>
        <v>2</v>
      </c>
      <c r="R2410" s="35" t="s">
        <v>298</v>
      </c>
      <c r="S2410" s="59" t="str">
        <f>MID(Tabla1[[#This Row],[Aplicación]],6,2)</f>
        <v>05</v>
      </c>
      <c r="T2410" s="35" t="str">
        <f>VLOOKUP(Tabla1[[#This Row],[AREA]],Hoja1!A:B,2,FALSE)</f>
        <v>05. Innovación, desarrollo económico, empleo y comercio</v>
      </c>
      <c r="U2410" s="56" t="str">
        <f>MID(Tabla1[[#This Row],[Aplicación]],9,4)</f>
        <v>4331</v>
      </c>
      <c r="V2410" s="35" t="str">
        <f>VLOOKUP(Tabla1[[#This Row],[PROGRAMA]],Hoja1!A:B,2,FALSE)</f>
        <v>4331. Desarrollo empresarial</v>
      </c>
      <c r="W2410" s="56" t="str">
        <f>MID(Tabla1[[#This Row],[Aplicación]],14,2)</f>
        <v>22</v>
      </c>
      <c r="X2410" s="56" t="str">
        <f>MID(Tabla1[[#This Row],[Aplicación]],14,6)</f>
        <v>22799</v>
      </c>
    </row>
    <row r="2411" spans="1:24" x14ac:dyDescent="0.25">
      <c r="A2411" s="62">
        <v>220230018973</v>
      </c>
      <c r="B2411" s="44" t="s">
        <v>507</v>
      </c>
      <c r="C2411" s="64">
        <v>45056</v>
      </c>
      <c r="D2411" s="62">
        <v>22023004087</v>
      </c>
      <c r="E2411" s="44" t="s">
        <v>1209</v>
      </c>
      <c r="F2411" s="65">
        <v>17879.560000000001</v>
      </c>
      <c r="G2411" s="44" t="s">
        <v>1210</v>
      </c>
      <c r="H2411" s="44" t="s">
        <v>3983</v>
      </c>
      <c r="I2411" s="62" t="s">
        <v>511</v>
      </c>
      <c r="J2411" s="44" t="s">
        <v>519</v>
      </c>
      <c r="K2411" s="44" t="s">
        <v>519</v>
      </c>
      <c r="L2411" s="44" t="s">
        <v>552</v>
      </c>
      <c r="M2411" s="44" t="s">
        <v>976</v>
      </c>
      <c r="N2411" s="44" t="s">
        <v>839</v>
      </c>
      <c r="O2411" s="45" t="s">
        <v>383</v>
      </c>
      <c r="P2411" s="45" t="s">
        <v>3760</v>
      </c>
      <c r="Q2411" s="59" t="str">
        <f>MID(Tabla1[[#This Row],[Aplicación]],14,1)</f>
        <v>2</v>
      </c>
      <c r="R2411" s="35" t="s">
        <v>298</v>
      </c>
      <c r="S2411" s="59" t="str">
        <f>MID(Tabla1[[#This Row],[Aplicación]],6,2)</f>
        <v>11</v>
      </c>
      <c r="T2411" s="35" t="str">
        <f>VLOOKUP(Tabla1[[#This Row],[AREA]],Hoja1!A:B,2,FALSE)</f>
        <v>11. Salud pública y seguridad ciudadana</v>
      </c>
      <c r="U2411" s="56" t="str">
        <f>MID(Tabla1[[#This Row],[Aplicación]],9,4)</f>
        <v>3111</v>
      </c>
      <c r="V2411" s="35" t="str">
        <f>VLOOKUP(Tabla1[[#This Row],[PROGRAMA]],Hoja1!A:B,2,FALSE)</f>
        <v>3111. Protección de la salubridad pública</v>
      </c>
      <c r="W2411" s="56" t="str">
        <f>MID(Tabla1[[#This Row],[Aplicación]],14,2)</f>
        <v>22</v>
      </c>
      <c r="X2411" s="56" t="str">
        <f>MID(Tabla1[[#This Row],[Aplicación]],14,6)</f>
        <v>22113</v>
      </c>
    </row>
    <row r="2412" spans="1:24" x14ac:dyDescent="0.25">
      <c r="A2412" s="62">
        <v>220230025392</v>
      </c>
      <c r="B2412" s="44" t="s">
        <v>507</v>
      </c>
      <c r="C2412" s="64">
        <v>45072</v>
      </c>
      <c r="D2412" s="62">
        <v>22023004706</v>
      </c>
      <c r="E2412" s="44" t="s">
        <v>2046</v>
      </c>
      <c r="F2412" s="65">
        <v>33</v>
      </c>
      <c r="G2412" s="44" t="s">
        <v>390</v>
      </c>
      <c r="H2412" s="44" t="s">
        <v>3984</v>
      </c>
      <c r="I2412" s="62" t="s">
        <v>511</v>
      </c>
      <c r="J2412" s="44" t="s">
        <v>519</v>
      </c>
      <c r="K2412" s="44" t="s">
        <v>519</v>
      </c>
      <c r="L2412" s="44" t="s">
        <v>552</v>
      </c>
      <c r="M2412" s="44" t="s">
        <v>976</v>
      </c>
      <c r="N2412" s="44" t="s">
        <v>839</v>
      </c>
      <c r="O2412" s="45" t="s">
        <v>383</v>
      </c>
      <c r="P2412" s="45" t="s">
        <v>3760</v>
      </c>
      <c r="Q2412" s="59" t="str">
        <f>MID(Tabla1[[#This Row],[Aplicación]],14,1)</f>
        <v>2</v>
      </c>
      <c r="R2412" s="35" t="s">
        <v>298</v>
      </c>
      <c r="S2412" s="59" t="str">
        <f>MID(Tabla1[[#This Row],[Aplicación]],6,2)</f>
        <v>06</v>
      </c>
      <c r="T2412" s="35" t="str">
        <f>VLOOKUP(Tabla1[[#This Row],[AREA]],Hoja1!A:B,2,FALSE)</f>
        <v>06. Educación, infancia, juventud e igualdad</v>
      </c>
      <c r="U2412" s="56" t="str">
        <f>MID(Tabla1[[#This Row],[Aplicación]],9,4)</f>
        <v>3321</v>
      </c>
      <c r="V2412" s="35" t="str">
        <f>VLOOKUP(Tabla1[[#This Row],[PROGRAMA]],Hoja1!A:B,2,FALSE)</f>
        <v>3321. Bibliotecas públicas</v>
      </c>
      <c r="W2412" s="56" t="str">
        <f>MID(Tabla1[[#This Row],[Aplicación]],14,2)</f>
        <v>22</v>
      </c>
      <c r="X2412" s="56" t="str">
        <f>MID(Tabla1[[#This Row],[Aplicación]],14,6)</f>
        <v>22199</v>
      </c>
    </row>
    <row r="2413" spans="1:24" x14ac:dyDescent="0.25">
      <c r="A2413" s="62">
        <v>220230017785</v>
      </c>
      <c r="B2413" s="44" t="s">
        <v>507</v>
      </c>
      <c r="C2413" s="64">
        <v>45050</v>
      </c>
      <c r="D2413" s="62">
        <v>22023003885</v>
      </c>
      <c r="E2413" s="44" t="s">
        <v>931</v>
      </c>
      <c r="F2413" s="65">
        <v>4089</v>
      </c>
      <c r="G2413" s="44" t="s">
        <v>1706</v>
      </c>
      <c r="H2413" s="44" t="s">
        <v>3985</v>
      </c>
      <c r="I2413" s="62" t="s">
        <v>511</v>
      </c>
      <c r="J2413" s="44" t="s">
        <v>519</v>
      </c>
      <c r="K2413" s="44" t="s">
        <v>519</v>
      </c>
      <c r="L2413" s="44" t="s">
        <v>520</v>
      </c>
      <c r="M2413" s="44" t="s">
        <v>976</v>
      </c>
      <c r="N2413" s="44" t="s">
        <v>839</v>
      </c>
      <c r="O2413" s="45" t="s">
        <v>383</v>
      </c>
      <c r="P2413" s="45" t="s">
        <v>3760</v>
      </c>
      <c r="Q2413" s="59" t="str">
        <f>MID(Tabla1[[#This Row],[Aplicación]],14,1)</f>
        <v>2</v>
      </c>
      <c r="R2413" s="35" t="s">
        <v>298</v>
      </c>
      <c r="S2413" s="59" t="str">
        <f>MID(Tabla1[[#This Row],[Aplicación]],6,2)</f>
        <v>09</v>
      </c>
      <c r="T2413" s="35" t="str">
        <f>VLOOKUP(Tabla1[[#This Row],[AREA]],Hoja1!A:B,2,FALSE)</f>
        <v>09. Cultura y turismo</v>
      </c>
      <c r="U2413" s="56" t="str">
        <f>MID(Tabla1[[#This Row],[Aplicación]],9,4)</f>
        <v>3341</v>
      </c>
      <c r="V2413" s="35" t="str">
        <f>VLOOKUP(Tabla1[[#This Row],[PROGRAMA]],Hoja1!A:B,2,FALSE)</f>
        <v>3341. Coordinación de políticas culturales</v>
      </c>
      <c r="W2413" s="56" t="str">
        <f>MID(Tabla1[[#This Row],[Aplicación]],14,2)</f>
        <v>22</v>
      </c>
      <c r="X2413" s="56" t="str">
        <f>MID(Tabla1[[#This Row],[Aplicación]],14,6)</f>
        <v>22799</v>
      </c>
    </row>
    <row r="2414" spans="1:24" x14ac:dyDescent="0.25">
      <c r="A2414" s="62">
        <v>220230013747</v>
      </c>
      <c r="B2414" s="44" t="s">
        <v>507</v>
      </c>
      <c r="C2414" s="64">
        <v>45027</v>
      </c>
      <c r="D2414" s="62">
        <v>22023003802</v>
      </c>
      <c r="E2414" s="44" t="s">
        <v>1532</v>
      </c>
      <c r="F2414" s="65">
        <v>3500</v>
      </c>
      <c r="G2414" s="44" t="s">
        <v>1706</v>
      </c>
      <c r="H2414" s="44" t="s">
        <v>3986</v>
      </c>
      <c r="I2414" s="62" t="s">
        <v>511</v>
      </c>
      <c r="J2414" s="44" t="s">
        <v>519</v>
      </c>
      <c r="K2414" s="44" t="s">
        <v>519</v>
      </c>
      <c r="L2414" s="44" t="s">
        <v>652</v>
      </c>
      <c r="M2414" s="44" t="s">
        <v>976</v>
      </c>
      <c r="N2414" s="44" t="s">
        <v>839</v>
      </c>
      <c r="O2414" s="45" t="s">
        <v>383</v>
      </c>
      <c r="P2414" s="45" t="s">
        <v>3760</v>
      </c>
      <c r="Q2414" s="59" t="str">
        <f>MID(Tabla1[[#This Row],[Aplicación]],14,1)</f>
        <v>2</v>
      </c>
      <c r="R2414" s="35" t="s">
        <v>298</v>
      </c>
      <c r="S2414" s="59" t="str">
        <f>MID(Tabla1[[#This Row],[Aplicación]],6,2)</f>
        <v>09</v>
      </c>
      <c r="T2414" s="35" t="str">
        <f>VLOOKUP(Tabla1[[#This Row],[AREA]],Hoja1!A:B,2,FALSE)</f>
        <v>09. Cultura y turismo</v>
      </c>
      <c r="U2414" s="56" t="str">
        <f>MID(Tabla1[[#This Row],[Aplicación]],9,4)</f>
        <v>3341</v>
      </c>
      <c r="V2414" s="35" t="str">
        <f>VLOOKUP(Tabla1[[#This Row],[PROGRAMA]],Hoja1!A:B,2,FALSE)</f>
        <v>3341. Coordinación de políticas culturales</v>
      </c>
      <c r="W2414" s="56" t="str">
        <f>MID(Tabla1[[#This Row],[Aplicación]],14,2)</f>
        <v>22</v>
      </c>
      <c r="X2414" s="56" t="str">
        <f>MID(Tabla1[[#This Row],[Aplicación]],14,6)</f>
        <v>22699</v>
      </c>
    </row>
    <row r="2415" spans="1:24" x14ac:dyDescent="0.25">
      <c r="A2415" s="62">
        <v>220230012965</v>
      </c>
      <c r="B2415" s="44" t="s">
        <v>507</v>
      </c>
      <c r="C2415" s="64">
        <v>45019</v>
      </c>
      <c r="D2415" s="62">
        <v>22023002906</v>
      </c>
      <c r="E2415" s="44" t="s">
        <v>3138</v>
      </c>
      <c r="F2415" s="65">
        <v>16713.12</v>
      </c>
      <c r="G2415" s="44" t="s">
        <v>17</v>
      </c>
      <c r="H2415" s="44" t="s">
        <v>3987</v>
      </c>
      <c r="I2415" s="62" t="s">
        <v>511</v>
      </c>
      <c r="J2415" s="44" t="s">
        <v>519</v>
      </c>
      <c r="K2415" s="44" t="s">
        <v>519</v>
      </c>
      <c r="L2415" s="44" t="s">
        <v>552</v>
      </c>
      <c r="M2415" s="44" t="s">
        <v>976</v>
      </c>
      <c r="N2415" s="44" t="s">
        <v>839</v>
      </c>
      <c r="O2415" s="45" t="s">
        <v>383</v>
      </c>
      <c r="P2415" s="45" t="s">
        <v>3760</v>
      </c>
      <c r="Q2415" s="59" t="str">
        <f>MID(Tabla1[[#This Row],[Aplicación]],14,1)</f>
        <v>2</v>
      </c>
      <c r="R2415" s="35" t="s">
        <v>298</v>
      </c>
      <c r="S2415" s="59" t="str">
        <f>MID(Tabla1[[#This Row],[Aplicación]],6,2)</f>
        <v>08</v>
      </c>
      <c r="T2415" s="35" t="str">
        <f>VLOOKUP(Tabla1[[#This Row],[AREA]],Hoja1!A:B,2,FALSE)</f>
        <v>08. Movilidad y espacio urbano</v>
      </c>
      <c r="U2415" s="56" t="str">
        <f>MID(Tabla1[[#This Row],[Aplicación]],9,4)</f>
        <v>1532</v>
      </c>
      <c r="V2415" s="35" t="str">
        <f>VLOOKUP(Tabla1[[#This Row],[PROGRAMA]],Hoja1!A:B,2,FALSE)</f>
        <v>1532. Pavimentación vias públicas y otros servicios urbanísticos</v>
      </c>
      <c r="W2415" s="56" t="str">
        <f>MID(Tabla1[[#This Row],[Aplicación]],14,2)</f>
        <v>22</v>
      </c>
      <c r="X2415" s="56" t="str">
        <f>MID(Tabla1[[#This Row],[Aplicación]],14,6)</f>
        <v>22104</v>
      </c>
    </row>
    <row r="2416" spans="1:24" x14ac:dyDescent="0.25">
      <c r="A2416" s="62">
        <v>220230024846</v>
      </c>
      <c r="B2416" s="44" t="s">
        <v>507</v>
      </c>
      <c r="C2416" s="64">
        <v>45070</v>
      </c>
      <c r="D2416" s="62">
        <v>22023002906</v>
      </c>
      <c r="E2416" s="44" t="s">
        <v>3138</v>
      </c>
      <c r="F2416" s="65">
        <v>370</v>
      </c>
      <c r="G2416" s="44" t="s">
        <v>17</v>
      </c>
      <c r="H2416" s="44" t="s">
        <v>3988</v>
      </c>
      <c r="I2416" s="62" t="s">
        <v>511</v>
      </c>
      <c r="J2416" s="44" t="s">
        <v>519</v>
      </c>
      <c r="K2416" s="44" t="s">
        <v>519</v>
      </c>
      <c r="L2416" s="44" t="s">
        <v>552</v>
      </c>
      <c r="M2416" s="44" t="s">
        <v>976</v>
      </c>
      <c r="N2416" s="44" t="s">
        <v>839</v>
      </c>
      <c r="O2416" s="45" t="s">
        <v>383</v>
      </c>
      <c r="P2416" s="45" t="s">
        <v>3760</v>
      </c>
      <c r="Q2416" s="59" t="str">
        <f>MID(Tabla1[[#This Row],[Aplicación]],14,1)</f>
        <v>2</v>
      </c>
      <c r="R2416" s="35" t="s">
        <v>298</v>
      </c>
      <c r="S2416" s="59" t="str">
        <f>MID(Tabla1[[#This Row],[Aplicación]],6,2)</f>
        <v>08</v>
      </c>
      <c r="T2416" s="35" t="str">
        <f>VLOOKUP(Tabla1[[#This Row],[AREA]],Hoja1!A:B,2,FALSE)</f>
        <v>08. Movilidad y espacio urbano</v>
      </c>
      <c r="U2416" s="56" t="str">
        <f>MID(Tabla1[[#This Row],[Aplicación]],9,4)</f>
        <v>1532</v>
      </c>
      <c r="V2416" s="35" t="str">
        <f>VLOOKUP(Tabla1[[#This Row],[PROGRAMA]],Hoja1!A:B,2,FALSE)</f>
        <v>1532. Pavimentación vias públicas y otros servicios urbanísticos</v>
      </c>
      <c r="W2416" s="56" t="str">
        <f>MID(Tabla1[[#This Row],[Aplicación]],14,2)</f>
        <v>22</v>
      </c>
      <c r="X2416" s="56" t="str">
        <f>MID(Tabla1[[#This Row],[Aplicación]],14,6)</f>
        <v>22104</v>
      </c>
    </row>
    <row r="2417" spans="1:24" x14ac:dyDescent="0.25">
      <c r="A2417" s="62">
        <v>220230016845</v>
      </c>
      <c r="B2417" s="44" t="s">
        <v>507</v>
      </c>
      <c r="C2417" s="64">
        <v>45048</v>
      </c>
      <c r="D2417" s="62">
        <v>22023004152</v>
      </c>
      <c r="E2417" s="44" t="s">
        <v>1022</v>
      </c>
      <c r="F2417" s="65">
        <v>2414</v>
      </c>
      <c r="G2417" s="44" t="s">
        <v>70</v>
      </c>
      <c r="H2417" s="44" t="s">
        <v>3989</v>
      </c>
      <c r="I2417" s="62" t="s">
        <v>511</v>
      </c>
      <c r="J2417" s="44" t="s">
        <v>519</v>
      </c>
      <c r="K2417" s="44" t="s">
        <v>519</v>
      </c>
      <c r="L2417" s="44" t="s">
        <v>552</v>
      </c>
      <c r="M2417" s="44" t="s">
        <v>976</v>
      </c>
      <c r="N2417" s="44" t="s">
        <v>839</v>
      </c>
      <c r="O2417" s="45" t="s">
        <v>383</v>
      </c>
      <c r="P2417" s="45" t="s">
        <v>3760</v>
      </c>
      <c r="Q2417" s="59" t="str">
        <f>MID(Tabla1[[#This Row],[Aplicación]],14,1)</f>
        <v>2</v>
      </c>
      <c r="R2417" s="35" t="s">
        <v>298</v>
      </c>
      <c r="S2417" s="59" t="str">
        <f>MID(Tabla1[[#This Row],[Aplicación]],6,2)</f>
        <v>11</v>
      </c>
      <c r="T2417" s="35" t="str">
        <f>VLOOKUP(Tabla1[[#This Row],[AREA]],Hoja1!A:B,2,FALSE)</f>
        <v>11. Salud pública y seguridad ciudadana</v>
      </c>
      <c r="U2417" s="56" t="str">
        <f>MID(Tabla1[[#This Row],[Aplicación]],9,4)</f>
        <v>1631</v>
      </c>
      <c r="V2417" s="35" t="str">
        <f>VLOOKUP(Tabla1[[#This Row],[PROGRAMA]],Hoja1!A:B,2,FALSE)</f>
        <v>1631. Limpieza viaria</v>
      </c>
      <c r="W2417" s="56" t="str">
        <f>MID(Tabla1[[#This Row],[Aplicación]],14,2)</f>
        <v>22</v>
      </c>
      <c r="X2417" s="56" t="str">
        <f>MID(Tabla1[[#This Row],[Aplicación]],14,6)</f>
        <v>22104</v>
      </c>
    </row>
    <row r="2418" spans="1:24" x14ac:dyDescent="0.25">
      <c r="A2418" s="63">
        <v>220230030676</v>
      </c>
      <c r="B2418" s="44" t="s">
        <v>507</v>
      </c>
      <c r="C2418" s="64">
        <v>45097</v>
      </c>
      <c r="D2418" s="62">
        <v>22023004544</v>
      </c>
      <c r="E2418" s="44" t="s">
        <v>1277</v>
      </c>
      <c r="F2418" s="65">
        <v>57.55</v>
      </c>
      <c r="G2418" s="44" t="s">
        <v>476</v>
      </c>
      <c r="H2418" s="44" t="s">
        <v>3990</v>
      </c>
      <c r="I2418" s="62" t="s">
        <v>511</v>
      </c>
      <c r="J2418" s="44" t="s">
        <v>947</v>
      </c>
      <c r="K2418" s="44" t="s">
        <v>947</v>
      </c>
      <c r="L2418" s="44" t="s">
        <v>520</v>
      </c>
      <c r="M2418" s="44" t="s">
        <v>514</v>
      </c>
      <c r="N2418" s="44" t="s">
        <v>515</v>
      </c>
      <c r="O2418" s="45" t="s">
        <v>382</v>
      </c>
      <c r="P2418" s="45" t="s">
        <v>3760</v>
      </c>
      <c r="Q2418" s="59">
        <v>6</v>
      </c>
      <c r="R2418" s="35" t="s">
        <v>299</v>
      </c>
      <c r="S2418" s="59" t="str">
        <f>MID(Tabla1[[#This Row],[Aplicación]],6,2)</f>
        <v>05</v>
      </c>
      <c r="T2418" s="35" t="str">
        <f>VLOOKUP(Tabla1[[#This Row],[AREA]],Hoja1!A:B,2,FALSE)</f>
        <v>05. Innovación, desarrollo económico, empleo y comercio</v>
      </c>
      <c r="U2418" s="56" t="str">
        <f>MID(Tabla1[[#This Row],[Aplicación]],9,4)</f>
        <v>0 43</v>
      </c>
      <c r="V2418" s="59">
        <v>4312</v>
      </c>
      <c r="W2418" s="59">
        <v>63</v>
      </c>
      <c r="X2418" s="59">
        <v>632</v>
      </c>
    </row>
    <row r="2419" spans="1:24" x14ac:dyDescent="0.25">
      <c r="A2419" s="63">
        <v>220230031201</v>
      </c>
      <c r="B2419" s="44" t="s">
        <v>507</v>
      </c>
      <c r="C2419" s="64">
        <v>45099</v>
      </c>
      <c r="D2419" s="62">
        <v>22023005053</v>
      </c>
      <c r="E2419" s="44" t="s">
        <v>3940</v>
      </c>
      <c r="F2419" s="65">
        <v>178.62</v>
      </c>
      <c r="G2419" s="44" t="s">
        <v>476</v>
      </c>
      <c r="H2419" s="44" t="s">
        <v>3991</v>
      </c>
      <c r="I2419" s="62" t="s">
        <v>511</v>
      </c>
      <c r="J2419" s="44" t="s">
        <v>947</v>
      </c>
      <c r="K2419" s="44" t="s">
        <v>947</v>
      </c>
      <c r="L2419" s="44" t="s">
        <v>520</v>
      </c>
      <c r="M2419" s="44" t="s">
        <v>514</v>
      </c>
      <c r="N2419" s="44" t="s">
        <v>515</v>
      </c>
      <c r="O2419" s="45" t="s">
        <v>382</v>
      </c>
      <c r="P2419" s="45" t="s">
        <v>3760</v>
      </c>
      <c r="Q2419" s="59" t="str">
        <f>MID(Tabla1[[#This Row],[Aplicación]],14,1)</f>
        <v>6</v>
      </c>
      <c r="R2419" s="35" t="s">
        <v>299</v>
      </c>
      <c r="S2419" s="59" t="str">
        <f>MID(Tabla1[[#This Row],[Aplicación]],6,2)</f>
        <v>06</v>
      </c>
      <c r="T2419" s="35" t="str">
        <f>VLOOKUP(Tabla1[[#This Row],[AREA]],Hoja1!A:B,2,FALSE)</f>
        <v>06. Educación, infancia, juventud e igualdad</v>
      </c>
      <c r="U2419" s="56" t="str">
        <f>MID(Tabla1[[#This Row],[Aplicación]],9,4)</f>
        <v>3231</v>
      </c>
      <c r="V2419" s="35" t="str">
        <f>VLOOKUP(Tabla1[[#This Row],[PROGRAMA]],Hoja1!A:B,2,FALSE)</f>
        <v>3231. Escuelas infantiles</v>
      </c>
      <c r="W2419" s="56" t="str">
        <f>MID(Tabla1[[#This Row],[Aplicación]],14,2)</f>
        <v>63</v>
      </c>
      <c r="X2419" s="56" t="str">
        <f>MID(Tabla1[[#This Row],[Aplicación]],14,6)</f>
        <v>632</v>
      </c>
    </row>
    <row r="2420" spans="1:24" x14ac:dyDescent="0.25">
      <c r="A2420" s="63">
        <v>220230030688</v>
      </c>
      <c r="B2420" s="44" t="s">
        <v>507</v>
      </c>
      <c r="C2420" s="64">
        <v>45097</v>
      </c>
      <c r="D2420" s="62">
        <v>22023003082</v>
      </c>
      <c r="E2420" s="44" t="s">
        <v>1196</v>
      </c>
      <c r="F2420" s="65">
        <v>84934.41</v>
      </c>
      <c r="G2420" s="44" t="s">
        <v>3430</v>
      </c>
      <c r="H2420" s="44" t="s">
        <v>3992</v>
      </c>
      <c r="I2420" s="62" t="s">
        <v>511</v>
      </c>
      <c r="J2420" s="44" t="s">
        <v>519</v>
      </c>
      <c r="K2420" s="44" t="s">
        <v>519</v>
      </c>
      <c r="L2420" s="44" t="s">
        <v>520</v>
      </c>
      <c r="M2420" s="44" t="s">
        <v>514</v>
      </c>
      <c r="N2420" s="44" t="s">
        <v>515</v>
      </c>
      <c r="O2420" s="45" t="s">
        <v>371</v>
      </c>
      <c r="P2420" s="45" t="s">
        <v>3760</v>
      </c>
      <c r="Q2420" s="59">
        <v>6</v>
      </c>
      <c r="R2420" s="35" t="s">
        <v>299</v>
      </c>
      <c r="S2420" s="59" t="str">
        <f>MID(Tabla1[[#This Row],[Aplicación]],6,2)</f>
        <v>02</v>
      </c>
      <c r="T2420" s="35" t="str">
        <f>VLOOKUP(Tabla1[[#This Row],[AREA]],Hoja1!A:B,2,FALSE)</f>
        <v>02. Planeamiento urbanístico y vivienda</v>
      </c>
      <c r="U2420" s="56" t="str">
        <f>MID(Tabla1[[#This Row],[Aplicación]],9,4)</f>
        <v>0 93</v>
      </c>
      <c r="V2420" s="59">
        <v>9332</v>
      </c>
      <c r="W2420" s="59">
        <v>63</v>
      </c>
      <c r="X2420" s="59">
        <v>632</v>
      </c>
    </row>
    <row r="2421" spans="1:24" x14ac:dyDescent="0.25">
      <c r="A2421" s="63">
        <v>220230031273</v>
      </c>
      <c r="B2421" s="44" t="s">
        <v>1514</v>
      </c>
      <c r="C2421" s="64">
        <v>45099</v>
      </c>
      <c r="D2421" s="62">
        <v>22023003104</v>
      </c>
      <c r="E2421" s="44" t="s">
        <v>583</v>
      </c>
      <c r="F2421" s="65">
        <v>83433.740000000005</v>
      </c>
      <c r="G2421" s="44" t="s">
        <v>3440</v>
      </c>
      <c r="H2421" s="44" t="s">
        <v>3993</v>
      </c>
      <c r="I2421" s="62" t="s">
        <v>1517</v>
      </c>
      <c r="J2421" s="44" t="s">
        <v>3442</v>
      </c>
      <c r="K2421" s="44" t="s">
        <v>1293</v>
      </c>
      <c r="L2421" s="44" t="s">
        <v>520</v>
      </c>
      <c r="M2421" s="44" t="s">
        <v>514</v>
      </c>
      <c r="N2421" s="44" t="s">
        <v>515</v>
      </c>
      <c r="O2421" s="45" t="s">
        <v>371</v>
      </c>
      <c r="P2421" s="45" t="s">
        <v>3760</v>
      </c>
      <c r="Q2421" s="59" t="str">
        <f>MID(Tabla1[[#This Row],[Aplicación]],14,1)</f>
        <v>6</v>
      </c>
      <c r="R2421" s="35" t="s">
        <v>299</v>
      </c>
      <c r="S2421" s="59" t="str">
        <f>MID(Tabla1[[#This Row],[Aplicación]],6,2)</f>
        <v>02</v>
      </c>
      <c r="T2421" s="35" t="str">
        <f>VLOOKUP(Tabla1[[#This Row],[AREA]],Hoja1!A:B,2,FALSE)</f>
        <v>02. Planeamiento urbanístico y vivienda</v>
      </c>
      <c r="U2421" s="56" t="str">
        <f>MID(Tabla1[[#This Row],[Aplicación]],9,4)</f>
        <v>1511</v>
      </c>
      <c r="V2421" s="35" t="str">
        <f>VLOOKUP(Tabla1[[#This Row],[PROGRAMA]],Hoja1!A:B,2,FALSE)</f>
        <v>1511. Planficación y gestión del urbanismo</v>
      </c>
      <c r="W2421" s="56" t="str">
        <f>MID(Tabla1[[#This Row],[Aplicación]],14,2)</f>
        <v>60</v>
      </c>
      <c r="X2421" s="56" t="str">
        <f>MID(Tabla1[[#This Row],[Aplicación]],14,6)</f>
        <v>609</v>
      </c>
    </row>
    <row r="2422" spans="1:24" x14ac:dyDescent="0.25">
      <c r="A2422" s="62">
        <v>220230022634</v>
      </c>
      <c r="B2422" s="44" t="s">
        <v>507</v>
      </c>
      <c r="C2422" s="64">
        <v>45068</v>
      </c>
      <c r="D2422" s="62">
        <v>22023004608</v>
      </c>
      <c r="E2422" s="44" t="s">
        <v>667</v>
      </c>
      <c r="F2422" s="65">
        <v>317.88</v>
      </c>
      <c r="G2422" s="44" t="s">
        <v>99</v>
      </c>
      <c r="H2422" s="44" t="s">
        <v>3994</v>
      </c>
      <c r="I2422" s="62" t="s">
        <v>511</v>
      </c>
      <c r="J2422" s="44" t="s">
        <v>2045</v>
      </c>
      <c r="K2422" s="44" t="s">
        <v>519</v>
      </c>
      <c r="L2422" s="44" t="s">
        <v>520</v>
      </c>
      <c r="M2422" s="44" t="s">
        <v>976</v>
      </c>
      <c r="N2422" s="44" t="s">
        <v>839</v>
      </c>
      <c r="O2422" s="45" t="s">
        <v>383</v>
      </c>
      <c r="P2422" s="45" t="s">
        <v>3760</v>
      </c>
      <c r="Q2422" s="59" t="str">
        <f>MID(Tabla1[[#This Row],[Aplicación]],14,1)</f>
        <v>2</v>
      </c>
      <c r="R2422" s="35" t="s">
        <v>298</v>
      </c>
      <c r="S2422" s="59" t="str">
        <f>MID(Tabla1[[#This Row],[Aplicación]],6,2)</f>
        <v>03</v>
      </c>
      <c r="T2422" s="35" t="str">
        <f>VLOOKUP(Tabla1[[#This Row],[AREA]],Hoja1!A:B,2,FALSE)</f>
        <v>03. Participación ciudadana y deportes</v>
      </c>
      <c r="U2422" s="56" t="str">
        <f>MID(Tabla1[[#This Row],[Aplicación]],9,4)</f>
        <v>9241</v>
      </c>
      <c r="V2422" s="35" t="str">
        <f>VLOOKUP(Tabla1[[#This Row],[PROGRAMA]],Hoja1!A:B,2,FALSE)</f>
        <v>9241. Participación ciudadana</v>
      </c>
      <c r="W2422" s="56" t="str">
        <f>MID(Tabla1[[#This Row],[Aplicación]],14,2)</f>
        <v>20</v>
      </c>
      <c r="X2422" s="56" t="str">
        <f>MID(Tabla1[[#This Row],[Aplicación]],14,6)</f>
        <v>203</v>
      </c>
    </row>
    <row r="2423" spans="1:24" x14ac:dyDescent="0.25">
      <c r="A2423" s="62">
        <v>220230016703</v>
      </c>
      <c r="B2423" s="44" t="s">
        <v>507</v>
      </c>
      <c r="C2423" s="64">
        <v>45043</v>
      </c>
      <c r="D2423" s="62">
        <v>22023004317</v>
      </c>
      <c r="E2423" s="44" t="s">
        <v>1234</v>
      </c>
      <c r="F2423" s="65">
        <v>363</v>
      </c>
      <c r="G2423" s="44" t="s">
        <v>3995</v>
      </c>
      <c r="H2423" s="44" t="s">
        <v>3996</v>
      </c>
      <c r="I2423" s="62" t="s">
        <v>511</v>
      </c>
      <c r="J2423" s="44" t="s">
        <v>837</v>
      </c>
      <c r="K2423" s="44" t="s">
        <v>837</v>
      </c>
      <c r="L2423" s="44" t="s">
        <v>652</v>
      </c>
      <c r="M2423" s="44" t="s">
        <v>976</v>
      </c>
      <c r="N2423" s="44" t="s">
        <v>839</v>
      </c>
      <c r="O2423" s="45" t="s">
        <v>383</v>
      </c>
      <c r="P2423" s="45" t="s">
        <v>3760</v>
      </c>
      <c r="Q2423" s="59" t="str">
        <f>MID(Tabla1[[#This Row],[Aplicación]],14,1)</f>
        <v>2</v>
      </c>
      <c r="R2423" s="35" t="s">
        <v>298</v>
      </c>
      <c r="S2423" s="59" t="str">
        <f>MID(Tabla1[[#This Row],[Aplicación]],6,2)</f>
        <v>10</v>
      </c>
      <c r="T2423" s="35" t="str">
        <f>VLOOKUP(Tabla1[[#This Row],[AREA]],Hoja1!A:B,2,FALSE)</f>
        <v>10. Servicios sociales y mediación comunitaria</v>
      </c>
      <c r="U2423" s="56" t="str">
        <f>MID(Tabla1[[#This Row],[Aplicación]],9,4)</f>
        <v>2316</v>
      </c>
      <c r="V2423" s="35" t="str">
        <f>VLOOKUP(Tabla1[[#This Row],[PROGRAMA]],Hoja1!A:B,2,FALSE)</f>
        <v>2316. Mediación comunitaria</v>
      </c>
      <c r="W2423" s="56" t="str">
        <f>MID(Tabla1[[#This Row],[Aplicación]],14,2)</f>
        <v>22</v>
      </c>
      <c r="X2423" s="56" t="str">
        <f>MID(Tabla1[[#This Row],[Aplicación]],14,6)</f>
        <v>22616</v>
      </c>
    </row>
    <row r="2424" spans="1:24" x14ac:dyDescent="0.25">
      <c r="A2424" s="62">
        <v>220230015991</v>
      </c>
      <c r="B2424" s="44" t="s">
        <v>507</v>
      </c>
      <c r="C2424" s="64">
        <v>45042</v>
      </c>
      <c r="D2424" s="62">
        <v>22023004044</v>
      </c>
      <c r="E2424" s="44" t="s">
        <v>659</v>
      </c>
      <c r="F2424" s="65">
        <v>1936</v>
      </c>
      <c r="G2424" s="44" t="s">
        <v>37</v>
      </c>
      <c r="H2424" s="44" t="s">
        <v>3997</v>
      </c>
      <c r="I2424" s="62" t="s">
        <v>511</v>
      </c>
      <c r="J2424" s="44" t="s">
        <v>519</v>
      </c>
      <c r="K2424" s="44" t="s">
        <v>519</v>
      </c>
      <c r="L2424" s="44" t="s">
        <v>520</v>
      </c>
      <c r="M2424" s="44" t="s">
        <v>976</v>
      </c>
      <c r="N2424" s="44" t="s">
        <v>839</v>
      </c>
      <c r="O2424" s="45" t="s">
        <v>383</v>
      </c>
      <c r="P2424" s="45" t="s">
        <v>3760</v>
      </c>
      <c r="Q2424" s="59" t="str">
        <f>MID(Tabla1[[#This Row],[Aplicación]],14,1)</f>
        <v>2</v>
      </c>
      <c r="R2424" s="35" t="s">
        <v>298</v>
      </c>
      <c r="S2424" s="59" t="str">
        <f>MID(Tabla1[[#This Row],[Aplicación]],6,2)</f>
        <v>11</v>
      </c>
      <c r="T2424" s="35" t="str">
        <f>VLOOKUP(Tabla1[[#This Row],[AREA]],Hoja1!A:B,2,FALSE)</f>
        <v>11. Salud pública y seguridad ciudadana</v>
      </c>
      <c r="U2424" s="56" t="str">
        <f>MID(Tabla1[[#This Row],[Aplicación]],9,4)</f>
        <v>1321</v>
      </c>
      <c r="V2424" s="35" t="str">
        <f>VLOOKUP(Tabla1[[#This Row],[PROGRAMA]],Hoja1!A:B,2,FALSE)</f>
        <v>1321. Policía municipal</v>
      </c>
      <c r="W2424" s="56" t="str">
        <f>MID(Tabla1[[#This Row],[Aplicación]],14,2)</f>
        <v>21</v>
      </c>
      <c r="X2424" s="56" t="str">
        <f>MID(Tabla1[[#This Row],[Aplicación]],14,6)</f>
        <v>213</v>
      </c>
    </row>
    <row r="2425" spans="1:24" x14ac:dyDescent="0.25">
      <c r="A2425" s="62">
        <v>220230020469</v>
      </c>
      <c r="B2425" s="44" t="s">
        <v>507</v>
      </c>
      <c r="C2425" s="64">
        <v>45057</v>
      </c>
      <c r="D2425" s="62">
        <v>22023004373</v>
      </c>
      <c r="E2425" s="44" t="s">
        <v>1506</v>
      </c>
      <c r="F2425" s="65">
        <v>772.51</v>
      </c>
      <c r="G2425" s="44" t="s">
        <v>1915</v>
      </c>
      <c r="H2425" s="44" t="s">
        <v>3998</v>
      </c>
      <c r="I2425" s="62" t="s">
        <v>511</v>
      </c>
      <c r="J2425" s="44" t="s">
        <v>953</v>
      </c>
      <c r="K2425" s="44" t="s">
        <v>519</v>
      </c>
      <c r="L2425" s="44" t="s">
        <v>552</v>
      </c>
      <c r="M2425" s="44" t="s">
        <v>514</v>
      </c>
      <c r="N2425" s="44" t="s">
        <v>515</v>
      </c>
      <c r="O2425" s="45" t="s">
        <v>382</v>
      </c>
      <c r="P2425" s="45" t="s">
        <v>3760</v>
      </c>
      <c r="Q2425" s="59" t="str">
        <f>MID(Tabla1[[#This Row],[Aplicación]],14,1)</f>
        <v>2</v>
      </c>
      <c r="R2425" s="35" t="s">
        <v>298</v>
      </c>
      <c r="S2425" s="59" t="str">
        <f>MID(Tabla1[[#This Row],[Aplicación]],6,2)</f>
        <v>03</v>
      </c>
      <c r="T2425" s="35" t="str">
        <f>VLOOKUP(Tabla1[[#This Row],[AREA]],Hoja1!A:B,2,FALSE)</f>
        <v>03. Participación ciudadana y deportes</v>
      </c>
      <c r="U2425" s="56" t="str">
        <f>MID(Tabla1[[#This Row],[Aplicación]],9,4)</f>
        <v>9241</v>
      </c>
      <c r="V2425" s="35" t="str">
        <f>VLOOKUP(Tabla1[[#This Row],[PROGRAMA]],Hoja1!A:B,2,FALSE)</f>
        <v>9241. Participación ciudadana</v>
      </c>
      <c r="W2425" s="56" t="str">
        <f>MID(Tabla1[[#This Row],[Aplicación]],14,2)</f>
        <v>21</v>
      </c>
      <c r="X2425" s="56" t="str">
        <f>MID(Tabla1[[#This Row],[Aplicación]],14,6)</f>
        <v>212</v>
      </c>
    </row>
    <row r="2426" spans="1:24" x14ac:dyDescent="0.25">
      <c r="A2426" s="62">
        <v>220230022632</v>
      </c>
      <c r="B2426" s="44" t="s">
        <v>507</v>
      </c>
      <c r="C2426" s="64">
        <v>45068</v>
      </c>
      <c r="D2426" s="62">
        <v>22023004584</v>
      </c>
      <c r="E2426" s="44" t="s">
        <v>1386</v>
      </c>
      <c r="F2426" s="65">
        <v>699.95</v>
      </c>
      <c r="G2426" s="44" t="s">
        <v>2056</v>
      </c>
      <c r="H2426" s="44" t="s">
        <v>3999</v>
      </c>
      <c r="I2426" s="62" t="s">
        <v>511</v>
      </c>
      <c r="J2426" s="44" t="s">
        <v>512</v>
      </c>
      <c r="K2426" s="44" t="s">
        <v>512</v>
      </c>
      <c r="L2426" s="44" t="s">
        <v>552</v>
      </c>
      <c r="M2426" s="44" t="s">
        <v>976</v>
      </c>
      <c r="N2426" s="44" t="s">
        <v>839</v>
      </c>
      <c r="O2426" s="45" t="s">
        <v>383</v>
      </c>
      <c r="P2426" s="45" t="s">
        <v>3760</v>
      </c>
      <c r="Q2426" s="59" t="str">
        <f>MID(Tabla1[[#This Row],[Aplicación]],14,1)</f>
        <v>2</v>
      </c>
      <c r="R2426" s="35" t="s">
        <v>298</v>
      </c>
      <c r="S2426" s="59" t="str">
        <f>MID(Tabla1[[#This Row],[Aplicación]],6,2)</f>
        <v>01</v>
      </c>
      <c r="T2426" s="35" t="str">
        <f>VLOOKUP(Tabla1[[#This Row],[AREA]],Hoja1!A:B,2,FALSE)</f>
        <v>01. Alcaldía</v>
      </c>
      <c r="U2426" s="56" t="str">
        <f>MID(Tabla1[[#This Row],[Aplicación]],9,4)</f>
        <v>9207</v>
      </c>
      <c r="V2426" s="35" t="str">
        <f>VLOOKUP(Tabla1[[#This Row],[PROGRAMA]],Hoja1!A:B,2,FALSE)</f>
        <v>9207. Gobierno y relaciones</v>
      </c>
      <c r="W2426" s="56" t="str">
        <f>MID(Tabla1[[#This Row],[Aplicación]],14,2)</f>
        <v>22</v>
      </c>
      <c r="X2426" s="56" t="str">
        <f>MID(Tabla1[[#This Row],[Aplicación]],14,6)</f>
        <v>22001</v>
      </c>
    </row>
    <row r="2427" spans="1:24" x14ac:dyDescent="0.25">
      <c r="A2427" s="62">
        <v>220230013636</v>
      </c>
      <c r="B2427" s="44" t="s">
        <v>507</v>
      </c>
      <c r="C2427" s="64">
        <v>45026</v>
      </c>
      <c r="D2427" s="62">
        <v>22023003754</v>
      </c>
      <c r="E2427" s="44" t="s">
        <v>4000</v>
      </c>
      <c r="F2427" s="65">
        <v>605</v>
      </c>
      <c r="G2427" s="44" t="s">
        <v>1764</v>
      </c>
      <c r="H2427" s="44" t="s">
        <v>4001</v>
      </c>
      <c r="I2427" s="62" t="s">
        <v>511</v>
      </c>
      <c r="J2427" s="44" t="s">
        <v>519</v>
      </c>
      <c r="K2427" s="44" t="s">
        <v>519</v>
      </c>
      <c r="L2427" s="44" t="s">
        <v>520</v>
      </c>
      <c r="M2427" s="44" t="s">
        <v>514</v>
      </c>
      <c r="N2427" s="44" t="s">
        <v>515</v>
      </c>
      <c r="O2427" s="45" t="s">
        <v>382</v>
      </c>
      <c r="P2427" s="45" t="s">
        <v>3760</v>
      </c>
      <c r="Q2427" s="59" t="str">
        <f>MID(Tabla1[[#This Row],[Aplicación]],14,1)</f>
        <v>2</v>
      </c>
      <c r="R2427" s="35" t="s">
        <v>298</v>
      </c>
      <c r="S2427" s="59" t="str">
        <f>MID(Tabla1[[#This Row],[Aplicación]],6,2)</f>
        <v>04</v>
      </c>
      <c r="T2427" s="35" t="str">
        <f>VLOOKUP(Tabla1[[#This Row],[AREA]],Hoja1!A:B,2,FALSE)</f>
        <v>04. Planificación y recursos</v>
      </c>
      <c r="U2427" s="56" t="str">
        <f>MID(Tabla1[[#This Row],[Aplicación]],9,4)</f>
        <v>9231</v>
      </c>
      <c r="V2427" s="35" t="str">
        <f>VLOOKUP(Tabla1[[#This Row],[PROGRAMA]],Hoja1!A:B,2,FALSE)</f>
        <v>9231. Información, registro y gestión del padrón</v>
      </c>
      <c r="W2427" s="56" t="str">
        <f>MID(Tabla1[[#This Row],[Aplicación]],14,2)</f>
        <v>22</v>
      </c>
      <c r="X2427" s="56" t="str">
        <f>MID(Tabla1[[#This Row],[Aplicación]],14,6)</f>
        <v>22705</v>
      </c>
    </row>
    <row r="2428" spans="1:24" x14ac:dyDescent="0.25">
      <c r="A2428" s="62">
        <v>220230016012</v>
      </c>
      <c r="B2428" s="44" t="s">
        <v>507</v>
      </c>
      <c r="C2428" s="64">
        <v>45042</v>
      </c>
      <c r="D2428" s="62">
        <v>22023004099</v>
      </c>
      <c r="E2428" s="44" t="s">
        <v>1299</v>
      </c>
      <c r="F2428" s="65">
        <v>50.63</v>
      </c>
      <c r="G2428" s="44" t="s">
        <v>4002</v>
      </c>
      <c r="H2428" s="44" t="s">
        <v>4003</v>
      </c>
      <c r="I2428" s="62" t="s">
        <v>511</v>
      </c>
      <c r="J2428" s="44" t="s">
        <v>837</v>
      </c>
      <c r="K2428" s="44" t="s">
        <v>837</v>
      </c>
      <c r="L2428" s="44" t="s">
        <v>552</v>
      </c>
      <c r="M2428" s="44" t="s">
        <v>976</v>
      </c>
      <c r="N2428" s="44" t="s">
        <v>839</v>
      </c>
      <c r="O2428" s="45" t="s">
        <v>383</v>
      </c>
      <c r="P2428" s="45" t="s">
        <v>3760</v>
      </c>
      <c r="Q2428" s="59" t="str">
        <f>MID(Tabla1[[#This Row],[Aplicación]],14,1)</f>
        <v>2</v>
      </c>
      <c r="R2428" s="35" t="s">
        <v>298</v>
      </c>
      <c r="S2428" s="59" t="str">
        <f>MID(Tabla1[[#This Row],[Aplicación]],6,2)</f>
        <v>06</v>
      </c>
      <c r="T2428" s="35" t="str">
        <f>VLOOKUP(Tabla1[[#This Row],[AREA]],Hoja1!A:B,2,FALSE)</f>
        <v>06. Educación, infancia, juventud e igualdad</v>
      </c>
      <c r="U2428" s="56" t="str">
        <f>MID(Tabla1[[#This Row],[Aplicación]],9,4)</f>
        <v>3321</v>
      </c>
      <c r="V2428" s="35" t="str">
        <f>VLOOKUP(Tabla1[[#This Row],[PROGRAMA]],Hoja1!A:B,2,FALSE)</f>
        <v>3321. Bibliotecas públicas</v>
      </c>
      <c r="W2428" s="56" t="str">
        <f>MID(Tabla1[[#This Row],[Aplicación]],14,2)</f>
        <v>22</v>
      </c>
      <c r="X2428" s="56" t="str">
        <f>MID(Tabla1[[#This Row],[Aplicación]],14,6)</f>
        <v>22001</v>
      </c>
    </row>
    <row r="2429" spans="1:24" x14ac:dyDescent="0.25">
      <c r="A2429" s="62">
        <v>220230015963</v>
      </c>
      <c r="B2429" s="44" t="s">
        <v>507</v>
      </c>
      <c r="C2429" s="64">
        <v>45042</v>
      </c>
      <c r="D2429" s="62">
        <v>22023003950</v>
      </c>
      <c r="E2429" s="44" t="s">
        <v>1191</v>
      </c>
      <c r="F2429" s="65">
        <v>6171</v>
      </c>
      <c r="G2429" s="44" t="s">
        <v>4004</v>
      </c>
      <c r="H2429" s="44" t="s">
        <v>4005</v>
      </c>
      <c r="I2429" s="62" t="s">
        <v>511</v>
      </c>
      <c r="J2429" s="44" t="s">
        <v>512</v>
      </c>
      <c r="K2429" s="44" t="s">
        <v>512</v>
      </c>
      <c r="L2429" s="44" t="s">
        <v>520</v>
      </c>
      <c r="M2429" s="44" t="s">
        <v>976</v>
      </c>
      <c r="N2429" s="44" t="s">
        <v>839</v>
      </c>
      <c r="O2429" s="45" t="s">
        <v>383</v>
      </c>
      <c r="P2429" s="45" t="s">
        <v>3760</v>
      </c>
      <c r="Q2429" s="59" t="str">
        <f>MID(Tabla1[[#This Row],[Aplicación]],14,1)</f>
        <v>2</v>
      </c>
      <c r="R2429" s="35" t="s">
        <v>298</v>
      </c>
      <c r="S2429" s="59" t="str">
        <f>MID(Tabla1[[#This Row],[Aplicación]],6,2)</f>
        <v>06</v>
      </c>
      <c r="T2429" s="35" t="str">
        <f>VLOOKUP(Tabla1[[#This Row],[AREA]],Hoja1!A:B,2,FALSE)</f>
        <v>06. Educación, infancia, juventud e igualdad</v>
      </c>
      <c r="U2429" s="56" t="str">
        <f>MID(Tabla1[[#This Row],[Aplicación]],9,4)</f>
        <v>2315</v>
      </c>
      <c r="V2429" s="35" t="str">
        <f>VLOOKUP(Tabla1[[#This Row],[PROGRAMA]],Hoja1!A:B,2,FALSE)</f>
        <v>2315. Políticas de Igualdad e infancia</v>
      </c>
      <c r="W2429" s="56" t="str">
        <f>MID(Tabla1[[#This Row],[Aplicación]],14,2)</f>
        <v>22</v>
      </c>
      <c r="X2429" s="56" t="str">
        <f>MID(Tabla1[[#This Row],[Aplicación]],14,6)</f>
        <v>22611</v>
      </c>
    </row>
    <row r="2430" spans="1:24" x14ac:dyDescent="0.25">
      <c r="A2430" s="62">
        <v>220230016011</v>
      </c>
      <c r="B2430" s="44" t="s">
        <v>507</v>
      </c>
      <c r="C2430" s="64">
        <v>45042</v>
      </c>
      <c r="D2430" s="62">
        <v>22023004098</v>
      </c>
      <c r="E2430" s="44" t="s">
        <v>1299</v>
      </c>
      <c r="F2430" s="65">
        <v>170</v>
      </c>
      <c r="G2430" s="44" t="s">
        <v>4006</v>
      </c>
      <c r="H2430" s="44" t="s">
        <v>4007</v>
      </c>
      <c r="I2430" s="62" t="s">
        <v>511</v>
      </c>
      <c r="J2430" s="44" t="s">
        <v>512</v>
      </c>
      <c r="K2430" s="44" t="s">
        <v>512</v>
      </c>
      <c r="L2430" s="44" t="s">
        <v>552</v>
      </c>
      <c r="M2430" s="44" t="s">
        <v>976</v>
      </c>
      <c r="N2430" s="44" t="s">
        <v>839</v>
      </c>
      <c r="O2430" s="45" t="s">
        <v>383</v>
      </c>
      <c r="P2430" s="45" t="s">
        <v>3760</v>
      </c>
      <c r="Q2430" s="59" t="str">
        <f>MID(Tabla1[[#This Row],[Aplicación]],14,1)</f>
        <v>2</v>
      </c>
      <c r="R2430" s="35" t="s">
        <v>298</v>
      </c>
      <c r="S2430" s="59" t="str">
        <f>MID(Tabla1[[#This Row],[Aplicación]],6,2)</f>
        <v>06</v>
      </c>
      <c r="T2430" s="35" t="str">
        <f>VLOOKUP(Tabla1[[#This Row],[AREA]],Hoja1!A:B,2,FALSE)</f>
        <v>06. Educación, infancia, juventud e igualdad</v>
      </c>
      <c r="U2430" s="56" t="str">
        <f>MID(Tabla1[[#This Row],[Aplicación]],9,4)</f>
        <v>3321</v>
      </c>
      <c r="V2430" s="35" t="str">
        <f>VLOOKUP(Tabla1[[#This Row],[PROGRAMA]],Hoja1!A:B,2,FALSE)</f>
        <v>3321. Bibliotecas públicas</v>
      </c>
      <c r="W2430" s="56" t="str">
        <f>MID(Tabla1[[#This Row],[Aplicación]],14,2)</f>
        <v>22</v>
      </c>
      <c r="X2430" s="56" t="str">
        <f>MID(Tabla1[[#This Row],[Aplicación]],14,6)</f>
        <v>22001</v>
      </c>
    </row>
    <row r="2431" spans="1:24" x14ac:dyDescent="0.25">
      <c r="A2431" s="62">
        <v>220230024851</v>
      </c>
      <c r="B2431" s="44" t="s">
        <v>507</v>
      </c>
      <c r="C2431" s="64">
        <v>45070</v>
      </c>
      <c r="D2431" s="62">
        <v>22023004532</v>
      </c>
      <c r="E2431" s="44" t="s">
        <v>1318</v>
      </c>
      <c r="F2431" s="65">
        <v>18150</v>
      </c>
      <c r="G2431" s="44" t="s">
        <v>4008</v>
      </c>
      <c r="H2431" s="44" t="s">
        <v>4009</v>
      </c>
      <c r="I2431" s="62" t="s">
        <v>511</v>
      </c>
      <c r="J2431" s="44" t="s">
        <v>519</v>
      </c>
      <c r="K2431" s="44" t="s">
        <v>519</v>
      </c>
      <c r="L2431" s="44" t="s">
        <v>652</v>
      </c>
      <c r="M2431" s="44" t="s">
        <v>976</v>
      </c>
      <c r="N2431" s="44" t="s">
        <v>839</v>
      </c>
      <c r="O2431" s="45" t="s">
        <v>383</v>
      </c>
      <c r="P2431" s="45" t="s">
        <v>3760</v>
      </c>
      <c r="Q2431" s="59" t="str">
        <f>MID(Tabla1[[#This Row],[Aplicación]],14,1)</f>
        <v>2</v>
      </c>
      <c r="R2431" s="35" t="s">
        <v>298</v>
      </c>
      <c r="S2431" s="59" t="str">
        <f>MID(Tabla1[[#This Row],[Aplicación]],6,2)</f>
        <v>05</v>
      </c>
      <c r="T2431" s="35" t="str">
        <f>VLOOKUP(Tabla1[[#This Row],[AREA]],Hoja1!A:B,2,FALSE)</f>
        <v>05. Innovación, desarrollo económico, empleo y comercio</v>
      </c>
      <c r="U2431" s="56" t="str">
        <f>MID(Tabla1[[#This Row],[Aplicación]],9,4)</f>
        <v>4331</v>
      </c>
      <c r="V2431" s="35" t="str">
        <f>VLOOKUP(Tabla1[[#This Row],[PROGRAMA]],Hoja1!A:B,2,FALSE)</f>
        <v>4331. Desarrollo empresarial</v>
      </c>
      <c r="W2431" s="56" t="str">
        <f>MID(Tabla1[[#This Row],[Aplicación]],14,2)</f>
        <v>22</v>
      </c>
      <c r="X2431" s="56" t="str">
        <f>MID(Tabla1[[#This Row],[Aplicación]],14,6)</f>
        <v>22699</v>
      </c>
    </row>
    <row r="2432" spans="1:24" x14ac:dyDescent="0.25">
      <c r="A2432" s="62">
        <v>220230018176</v>
      </c>
      <c r="B2432" s="44" t="s">
        <v>507</v>
      </c>
      <c r="C2432" s="64">
        <v>45054</v>
      </c>
      <c r="D2432" s="62">
        <v>22023004343</v>
      </c>
      <c r="E2432" s="44" t="s">
        <v>1382</v>
      </c>
      <c r="F2432" s="65">
        <v>702.9</v>
      </c>
      <c r="G2432" s="44" t="s">
        <v>115</v>
      </c>
      <c r="H2432" s="44" t="s">
        <v>4010</v>
      </c>
      <c r="I2432" s="62" t="s">
        <v>511</v>
      </c>
      <c r="J2432" s="44" t="s">
        <v>1726</v>
      </c>
      <c r="K2432" s="44" t="s">
        <v>519</v>
      </c>
      <c r="L2432" s="44" t="s">
        <v>520</v>
      </c>
      <c r="M2432" s="44" t="s">
        <v>976</v>
      </c>
      <c r="N2432" s="44" t="s">
        <v>839</v>
      </c>
      <c r="O2432" s="45" t="s">
        <v>383</v>
      </c>
      <c r="P2432" s="45" t="s">
        <v>3760</v>
      </c>
      <c r="Q2432" s="59" t="str">
        <f>MID(Tabla1[[#This Row],[Aplicación]],14,1)</f>
        <v>2</v>
      </c>
      <c r="R2432" s="35" t="s">
        <v>298</v>
      </c>
      <c r="S2432" s="59" t="str">
        <f>MID(Tabla1[[#This Row],[Aplicación]],6,2)</f>
        <v>03</v>
      </c>
      <c r="T2432" s="35" t="str">
        <f>VLOOKUP(Tabla1[[#This Row],[AREA]],Hoja1!A:B,2,FALSE)</f>
        <v>03. Participación ciudadana y deportes</v>
      </c>
      <c r="U2432" s="56" t="str">
        <f>MID(Tabla1[[#This Row],[Aplicación]],9,4)</f>
        <v>9241</v>
      </c>
      <c r="V2432" s="35" t="str">
        <f>VLOOKUP(Tabla1[[#This Row],[PROGRAMA]],Hoja1!A:B,2,FALSE)</f>
        <v>9241. Participación ciudadana</v>
      </c>
      <c r="W2432" s="56" t="str">
        <f>MID(Tabla1[[#This Row],[Aplicación]],14,2)</f>
        <v>22</v>
      </c>
      <c r="X2432" s="56" t="str">
        <f>MID(Tabla1[[#This Row],[Aplicación]],14,6)</f>
        <v>22699</v>
      </c>
    </row>
    <row r="2433" spans="1:24" x14ac:dyDescent="0.25">
      <c r="A2433" s="62">
        <v>220230015962</v>
      </c>
      <c r="B2433" s="44" t="s">
        <v>507</v>
      </c>
      <c r="C2433" s="64">
        <v>45042</v>
      </c>
      <c r="D2433" s="62">
        <v>22023003945</v>
      </c>
      <c r="E2433" s="44" t="s">
        <v>2624</v>
      </c>
      <c r="F2433" s="65">
        <v>494.29</v>
      </c>
      <c r="G2433" s="44" t="s">
        <v>58</v>
      </c>
      <c r="H2433" s="44" t="s">
        <v>4011</v>
      </c>
      <c r="I2433" s="62" t="s">
        <v>511</v>
      </c>
      <c r="J2433" s="44" t="s">
        <v>2902</v>
      </c>
      <c r="K2433" s="44" t="s">
        <v>512</v>
      </c>
      <c r="L2433" s="44" t="s">
        <v>552</v>
      </c>
      <c r="M2433" s="44" t="s">
        <v>976</v>
      </c>
      <c r="N2433" s="44" t="s">
        <v>839</v>
      </c>
      <c r="O2433" s="45" t="s">
        <v>383</v>
      </c>
      <c r="P2433" s="45" t="s">
        <v>3760</v>
      </c>
      <c r="Q2433" s="59" t="str">
        <f>MID(Tabla1[[#This Row],[Aplicación]],14,1)</f>
        <v>2</v>
      </c>
      <c r="R2433" s="35" t="s">
        <v>298</v>
      </c>
      <c r="S2433" s="59" t="str">
        <f>MID(Tabla1[[#This Row],[Aplicación]],6,2)</f>
        <v>11</v>
      </c>
      <c r="T2433" s="35" t="str">
        <f>VLOOKUP(Tabla1[[#This Row],[AREA]],Hoja1!A:B,2,FALSE)</f>
        <v>11. Salud pública y seguridad ciudadana</v>
      </c>
      <c r="U2433" s="56" t="str">
        <f>MID(Tabla1[[#This Row],[Aplicación]],9,4)</f>
        <v>1621</v>
      </c>
      <c r="V2433" s="35" t="str">
        <f>VLOOKUP(Tabla1[[#This Row],[PROGRAMA]],Hoja1!A:B,2,FALSE)</f>
        <v>1621. Servicio de limpieza</v>
      </c>
      <c r="W2433" s="56" t="str">
        <f>MID(Tabla1[[#This Row],[Aplicación]],14,2)</f>
        <v>22</v>
      </c>
      <c r="X2433" s="56" t="str">
        <f>MID(Tabla1[[#This Row],[Aplicación]],14,6)</f>
        <v>22199</v>
      </c>
    </row>
    <row r="2434" spans="1:24" x14ac:dyDescent="0.25">
      <c r="A2434" s="62">
        <v>220230020536</v>
      </c>
      <c r="B2434" s="44" t="s">
        <v>507</v>
      </c>
      <c r="C2434" s="64">
        <v>45058</v>
      </c>
      <c r="D2434" s="62">
        <v>22023004392</v>
      </c>
      <c r="E2434" s="44" t="s">
        <v>3877</v>
      </c>
      <c r="F2434" s="65">
        <v>1540</v>
      </c>
      <c r="G2434" s="44" t="s">
        <v>4012</v>
      </c>
      <c r="H2434" s="44" t="s">
        <v>4013</v>
      </c>
      <c r="I2434" s="62" t="s">
        <v>511</v>
      </c>
      <c r="J2434" s="44" t="s">
        <v>519</v>
      </c>
      <c r="K2434" s="44" t="s">
        <v>1497</v>
      </c>
      <c r="L2434" s="44" t="s">
        <v>520</v>
      </c>
      <c r="M2434" s="44" t="s">
        <v>976</v>
      </c>
      <c r="N2434" s="44" t="s">
        <v>839</v>
      </c>
      <c r="O2434" s="45" t="s">
        <v>383</v>
      </c>
      <c r="P2434" s="45" t="s">
        <v>3760</v>
      </c>
      <c r="Q2434" s="59" t="str">
        <f>MID(Tabla1[[#This Row],[Aplicación]],14,1)</f>
        <v>2</v>
      </c>
      <c r="R2434" s="35" t="s">
        <v>298</v>
      </c>
      <c r="S2434" s="59" t="str">
        <f>MID(Tabla1[[#This Row],[Aplicación]],6,2)</f>
        <v>10</v>
      </c>
      <c r="T2434" s="35" t="str">
        <f>VLOOKUP(Tabla1[[#This Row],[AREA]],Hoja1!A:B,2,FALSE)</f>
        <v>10. Servicios sociales y mediación comunitaria</v>
      </c>
      <c r="U2434" s="56" t="str">
        <f>MID(Tabla1[[#This Row],[Aplicación]],9,4)</f>
        <v>2312</v>
      </c>
      <c r="V2434" s="35" t="str">
        <f>VLOOKUP(Tabla1[[#This Row],[PROGRAMA]],Hoja1!A:B,2,FALSE)</f>
        <v>2312. Iniciativas sociales</v>
      </c>
      <c r="W2434" s="56" t="str">
        <f>MID(Tabla1[[#This Row],[Aplicación]],14,2)</f>
        <v>22</v>
      </c>
      <c r="X2434" s="56" t="str">
        <f>MID(Tabla1[[#This Row],[Aplicación]],14,6)</f>
        <v>22612</v>
      </c>
    </row>
    <row r="2435" spans="1:24" x14ac:dyDescent="0.25">
      <c r="A2435" s="62">
        <v>220230015984</v>
      </c>
      <c r="B2435" s="44" t="s">
        <v>507</v>
      </c>
      <c r="C2435" s="64">
        <v>45042</v>
      </c>
      <c r="D2435" s="62">
        <v>22023004036</v>
      </c>
      <c r="E2435" s="44" t="s">
        <v>1183</v>
      </c>
      <c r="F2435" s="65">
        <v>4836.53</v>
      </c>
      <c r="G2435" s="44" t="s">
        <v>4014</v>
      </c>
      <c r="H2435" s="44" t="s">
        <v>4015</v>
      </c>
      <c r="I2435" s="62" t="s">
        <v>511</v>
      </c>
      <c r="J2435" s="44" t="s">
        <v>1449</v>
      </c>
      <c r="K2435" s="44" t="s">
        <v>512</v>
      </c>
      <c r="L2435" s="44" t="s">
        <v>520</v>
      </c>
      <c r="M2435" s="44" t="s">
        <v>976</v>
      </c>
      <c r="N2435" s="44" t="s">
        <v>839</v>
      </c>
      <c r="O2435" s="45" t="s">
        <v>383</v>
      </c>
      <c r="P2435" s="45" t="s">
        <v>3760</v>
      </c>
      <c r="Q2435" s="59" t="str">
        <f>MID(Tabla1[[#This Row],[Aplicación]],14,1)</f>
        <v>2</v>
      </c>
      <c r="R2435" s="35" t="s">
        <v>298</v>
      </c>
      <c r="S2435" s="59" t="str">
        <f>MID(Tabla1[[#This Row],[Aplicación]],6,2)</f>
        <v>09</v>
      </c>
      <c r="T2435" s="35" t="str">
        <f>VLOOKUP(Tabla1[[#This Row],[AREA]],Hoja1!A:B,2,FALSE)</f>
        <v>09. Cultura y turismo</v>
      </c>
      <c r="U2435" s="56" t="str">
        <f>MID(Tabla1[[#This Row],[Aplicación]],9,4)</f>
        <v>3341</v>
      </c>
      <c r="V2435" s="35" t="str">
        <f>VLOOKUP(Tabla1[[#This Row],[PROGRAMA]],Hoja1!A:B,2,FALSE)</f>
        <v>3341. Coordinación de políticas culturales</v>
      </c>
      <c r="W2435" s="56" t="str">
        <f>MID(Tabla1[[#This Row],[Aplicación]],14,2)</f>
        <v>22</v>
      </c>
      <c r="X2435" s="56" t="str">
        <f>MID(Tabla1[[#This Row],[Aplicación]],14,6)</f>
        <v>22602</v>
      </c>
    </row>
    <row r="2436" spans="1:24" x14ac:dyDescent="0.25">
      <c r="A2436" s="62">
        <v>220230015955</v>
      </c>
      <c r="B2436" s="44" t="s">
        <v>507</v>
      </c>
      <c r="C2436" s="64">
        <v>45042</v>
      </c>
      <c r="D2436" s="62">
        <v>22023003918</v>
      </c>
      <c r="E2436" s="44" t="s">
        <v>1241</v>
      </c>
      <c r="F2436" s="65">
        <v>1500</v>
      </c>
      <c r="G2436" s="44" t="s">
        <v>18</v>
      </c>
      <c r="H2436" s="44" t="s">
        <v>4016</v>
      </c>
      <c r="I2436" s="62" t="s">
        <v>511</v>
      </c>
      <c r="J2436" s="44" t="s">
        <v>519</v>
      </c>
      <c r="K2436" s="44" t="s">
        <v>519</v>
      </c>
      <c r="L2436" s="44" t="s">
        <v>520</v>
      </c>
      <c r="M2436" s="44" t="s">
        <v>976</v>
      </c>
      <c r="N2436" s="44" t="s">
        <v>839</v>
      </c>
      <c r="O2436" s="45" t="s">
        <v>383</v>
      </c>
      <c r="P2436" s="45" t="s">
        <v>3760</v>
      </c>
      <c r="Q2436" s="59" t="str">
        <f>MID(Tabla1[[#This Row],[Aplicación]],14,1)</f>
        <v>2</v>
      </c>
      <c r="R2436" s="35" t="s">
        <v>298</v>
      </c>
      <c r="S2436" s="59" t="str">
        <f>MID(Tabla1[[#This Row],[Aplicación]],6,2)</f>
        <v>06</v>
      </c>
      <c r="T2436" s="35" t="str">
        <f>VLOOKUP(Tabla1[[#This Row],[AREA]],Hoja1!A:B,2,FALSE)</f>
        <v>06. Educación, infancia, juventud e igualdad</v>
      </c>
      <c r="U2436" s="56" t="str">
        <f>MID(Tabla1[[#This Row],[Aplicación]],9,4)</f>
        <v>3231</v>
      </c>
      <c r="V2436" s="35" t="str">
        <f>VLOOKUP(Tabla1[[#This Row],[PROGRAMA]],Hoja1!A:B,2,FALSE)</f>
        <v>3231. Escuelas infantiles</v>
      </c>
      <c r="W2436" s="56" t="str">
        <f>MID(Tabla1[[#This Row],[Aplicación]],14,2)</f>
        <v>21</v>
      </c>
      <c r="X2436" s="56" t="str">
        <f>MID(Tabla1[[#This Row],[Aplicación]],14,6)</f>
        <v>213</v>
      </c>
    </row>
    <row r="2437" spans="1:24" x14ac:dyDescent="0.25">
      <c r="A2437" s="62">
        <v>220230018165</v>
      </c>
      <c r="B2437" s="44" t="s">
        <v>507</v>
      </c>
      <c r="C2437" s="64">
        <v>45054</v>
      </c>
      <c r="D2437" s="62">
        <v>22023004376</v>
      </c>
      <c r="E2437" s="44" t="s">
        <v>665</v>
      </c>
      <c r="F2437" s="65">
        <v>560.96</v>
      </c>
      <c r="G2437" s="44" t="s">
        <v>18</v>
      </c>
      <c r="H2437" s="44" t="s">
        <v>4017</v>
      </c>
      <c r="I2437" s="62" t="s">
        <v>511</v>
      </c>
      <c r="J2437" s="44" t="s">
        <v>519</v>
      </c>
      <c r="K2437" s="44" t="s">
        <v>519</v>
      </c>
      <c r="L2437" s="44" t="s">
        <v>520</v>
      </c>
      <c r="M2437" s="44" t="s">
        <v>976</v>
      </c>
      <c r="N2437" s="44" t="s">
        <v>839</v>
      </c>
      <c r="O2437" s="45" t="s">
        <v>383</v>
      </c>
      <c r="P2437" s="45" t="s">
        <v>3760</v>
      </c>
      <c r="Q2437" s="59" t="str">
        <f>MID(Tabla1[[#This Row],[Aplicación]],14,1)</f>
        <v>2</v>
      </c>
      <c r="R2437" s="35" t="s">
        <v>298</v>
      </c>
      <c r="S2437" s="59" t="str">
        <f>MID(Tabla1[[#This Row],[Aplicación]],6,2)</f>
        <v>08</v>
      </c>
      <c r="T2437" s="35" t="str">
        <f>VLOOKUP(Tabla1[[#This Row],[AREA]],Hoja1!A:B,2,FALSE)</f>
        <v>08. Movilidad y espacio urbano</v>
      </c>
      <c r="U2437" s="56" t="str">
        <f>MID(Tabla1[[#This Row],[Aplicación]],9,4)</f>
        <v>1532</v>
      </c>
      <c r="V2437" s="35" t="str">
        <f>VLOOKUP(Tabla1[[#This Row],[PROGRAMA]],Hoja1!A:B,2,FALSE)</f>
        <v>1532. Pavimentación vias públicas y otros servicios urbanísticos</v>
      </c>
      <c r="W2437" s="56" t="str">
        <f>MID(Tabla1[[#This Row],[Aplicación]],14,2)</f>
        <v>21</v>
      </c>
      <c r="X2437" s="56" t="str">
        <f>MID(Tabla1[[#This Row],[Aplicación]],14,6)</f>
        <v>213</v>
      </c>
    </row>
    <row r="2438" spans="1:24" x14ac:dyDescent="0.25">
      <c r="A2438" s="62">
        <v>220230022640</v>
      </c>
      <c r="B2438" s="44" t="s">
        <v>507</v>
      </c>
      <c r="C2438" s="64">
        <v>45068</v>
      </c>
      <c r="D2438" s="62">
        <v>22023004614</v>
      </c>
      <c r="E2438" s="44" t="s">
        <v>1558</v>
      </c>
      <c r="F2438" s="65">
        <v>116.16</v>
      </c>
      <c r="G2438" s="44" t="s">
        <v>18</v>
      </c>
      <c r="H2438" s="44" t="s">
        <v>4018</v>
      </c>
      <c r="I2438" s="62" t="s">
        <v>511</v>
      </c>
      <c r="J2438" s="44" t="s">
        <v>519</v>
      </c>
      <c r="K2438" s="44" t="s">
        <v>519</v>
      </c>
      <c r="L2438" s="44" t="s">
        <v>520</v>
      </c>
      <c r="M2438" s="44" t="s">
        <v>976</v>
      </c>
      <c r="N2438" s="44" t="s">
        <v>839</v>
      </c>
      <c r="O2438" s="45" t="s">
        <v>383</v>
      </c>
      <c r="P2438" s="45" t="s">
        <v>3760</v>
      </c>
      <c r="Q2438" s="59" t="str">
        <f>MID(Tabla1[[#This Row],[Aplicación]],14,1)</f>
        <v>2</v>
      </c>
      <c r="R2438" s="35" t="s">
        <v>298</v>
      </c>
      <c r="S2438" s="59" t="str">
        <f>MID(Tabla1[[#This Row],[Aplicación]],6,2)</f>
        <v>11</v>
      </c>
      <c r="T2438" s="35" t="str">
        <f>VLOOKUP(Tabla1[[#This Row],[AREA]],Hoja1!A:B,2,FALSE)</f>
        <v>11. Salud pública y seguridad ciudadana</v>
      </c>
      <c r="U2438" s="56" t="str">
        <f>MID(Tabla1[[#This Row],[Aplicación]],9,4)</f>
        <v>3111</v>
      </c>
      <c r="V2438" s="35" t="str">
        <f>VLOOKUP(Tabla1[[#This Row],[PROGRAMA]],Hoja1!A:B,2,FALSE)</f>
        <v>3111. Protección de la salubridad pública</v>
      </c>
      <c r="W2438" s="56" t="str">
        <f>MID(Tabla1[[#This Row],[Aplicación]],14,2)</f>
        <v>21</v>
      </c>
      <c r="X2438" s="56" t="str">
        <f>MID(Tabla1[[#This Row],[Aplicación]],14,6)</f>
        <v>213</v>
      </c>
    </row>
    <row r="2439" spans="1:24" x14ac:dyDescent="0.25">
      <c r="A2439" s="62">
        <v>220230024860</v>
      </c>
      <c r="B2439" s="44" t="s">
        <v>507</v>
      </c>
      <c r="C2439" s="64">
        <v>45070</v>
      </c>
      <c r="D2439" s="62">
        <v>22023004654</v>
      </c>
      <c r="E2439" s="44" t="s">
        <v>665</v>
      </c>
      <c r="F2439" s="65">
        <v>1512.55</v>
      </c>
      <c r="G2439" s="44" t="s">
        <v>435</v>
      </c>
      <c r="H2439" s="44" t="s">
        <v>4019</v>
      </c>
      <c r="I2439" s="62" t="s">
        <v>511</v>
      </c>
      <c r="J2439" s="44" t="s">
        <v>519</v>
      </c>
      <c r="K2439" s="44" t="s">
        <v>519</v>
      </c>
      <c r="L2439" s="44" t="s">
        <v>520</v>
      </c>
      <c r="M2439" s="44" t="s">
        <v>976</v>
      </c>
      <c r="N2439" s="44" t="s">
        <v>839</v>
      </c>
      <c r="O2439" s="45" t="s">
        <v>383</v>
      </c>
      <c r="P2439" s="45" t="s">
        <v>3760</v>
      </c>
      <c r="Q2439" s="59" t="str">
        <f>MID(Tabla1[[#This Row],[Aplicación]],14,1)</f>
        <v>2</v>
      </c>
      <c r="R2439" s="35" t="s">
        <v>298</v>
      </c>
      <c r="S2439" s="59" t="str">
        <f>MID(Tabla1[[#This Row],[Aplicación]],6,2)</f>
        <v>08</v>
      </c>
      <c r="T2439" s="35" t="str">
        <f>VLOOKUP(Tabla1[[#This Row],[AREA]],Hoja1!A:B,2,FALSE)</f>
        <v>08. Movilidad y espacio urbano</v>
      </c>
      <c r="U2439" s="56" t="str">
        <f>MID(Tabla1[[#This Row],[Aplicación]],9,4)</f>
        <v>1532</v>
      </c>
      <c r="V2439" s="35" t="str">
        <f>VLOOKUP(Tabla1[[#This Row],[PROGRAMA]],Hoja1!A:B,2,FALSE)</f>
        <v>1532. Pavimentación vias públicas y otros servicios urbanísticos</v>
      </c>
      <c r="W2439" s="56" t="str">
        <f>MID(Tabla1[[#This Row],[Aplicación]],14,2)</f>
        <v>21</v>
      </c>
      <c r="X2439" s="56" t="str">
        <f>MID(Tabla1[[#This Row],[Aplicación]],14,6)</f>
        <v>213</v>
      </c>
    </row>
    <row r="2440" spans="1:24" x14ac:dyDescent="0.25">
      <c r="A2440" s="62">
        <v>220230016849</v>
      </c>
      <c r="B2440" s="44" t="s">
        <v>507</v>
      </c>
      <c r="C2440" s="64">
        <v>45048</v>
      </c>
      <c r="D2440" s="62">
        <v>22023004186</v>
      </c>
      <c r="E2440" s="44" t="s">
        <v>4020</v>
      </c>
      <c r="F2440" s="65">
        <v>387.2</v>
      </c>
      <c r="G2440" s="44" t="s">
        <v>1372</v>
      </c>
      <c r="H2440" s="44" t="s">
        <v>4021</v>
      </c>
      <c r="I2440" s="62" t="s">
        <v>511</v>
      </c>
      <c r="J2440" s="44" t="s">
        <v>519</v>
      </c>
      <c r="K2440" s="44" t="s">
        <v>519</v>
      </c>
      <c r="L2440" s="44" t="s">
        <v>552</v>
      </c>
      <c r="M2440" s="44" t="s">
        <v>976</v>
      </c>
      <c r="N2440" s="44" t="s">
        <v>839</v>
      </c>
      <c r="O2440" s="45" t="s">
        <v>383</v>
      </c>
      <c r="P2440" s="45" t="s">
        <v>3760</v>
      </c>
      <c r="Q2440" s="59" t="str">
        <f>MID(Tabla1[[#This Row],[Aplicación]],14,1)</f>
        <v>6</v>
      </c>
      <c r="R2440" s="35" t="s">
        <v>299</v>
      </c>
      <c r="S2440" s="59" t="str">
        <f>MID(Tabla1[[#This Row],[Aplicación]],6,2)</f>
        <v>10</v>
      </c>
      <c r="T2440" s="35" t="str">
        <f>VLOOKUP(Tabla1[[#This Row],[AREA]],Hoja1!A:B,2,FALSE)</f>
        <v>10. Servicios sociales y mediación comunitaria</v>
      </c>
      <c r="U2440" s="56" t="str">
        <f>MID(Tabla1[[#This Row],[Aplicación]],9,4)</f>
        <v>2412</v>
      </c>
      <c r="V2440" s="35" t="str">
        <f>VLOOKUP(Tabla1[[#This Row],[PROGRAMA]],Hoja1!A:B,2,FALSE)</f>
        <v>2412. Formación para el empleo</v>
      </c>
      <c r="W2440" s="56" t="str">
        <f>MID(Tabla1[[#This Row],[Aplicación]],14,2)</f>
        <v>63</v>
      </c>
      <c r="X2440" s="56" t="str">
        <f>MID(Tabla1[[#This Row],[Aplicación]],14,6)</f>
        <v>633</v>
      </c>
    </row>
    <row r="2441" spans="1:24" x14ac:dyDescent="0.25">
      <c r="A2441" s="62">
        <v>220230012981</v>
      </c>
      <c r="B2441" s="44" t="s">
        <v>507</v>
      </c>
      <c r="C2441" s="64">
        <v>45019</v>
      </c>
      <c r="D2441" s="62">
        <v>22023003729</v>
      </c>
      <c r="E2441" s="44" t="s">
        <v>732</v>
      </c>
      <c r="F2441" s="65">
        <v>665.5</v>
      </c>
      <c r="G2441" s="44" t="s">
        <v>2366</v>
      </c>
      <c r="H2441" s="44" t="s">
        <v>4022</v>
      </c>
      <c r="I2441" s="62" t="s">
        <v>511</v>
      </c>
      <c r="J2441" s="44" t="s">
        <v>519</v>
      </c>
      <c r="K2441" s="44" t="s">
        <v>519</v>
      </c>
      <c r="L2441" s="44" t="s">
        <v>520</v>
      </c>
      <c r="M2441" s="44" t="s">
        <v>976</v>
      </c>
      <c r="N2441" s="44" t="s">
        <v>839</v>
      </c>
      <c r="O2441" s="45" t="s">
        <v>383</v>
      </c>
      <c r="P2441" s="45" t="s">
        <v>3760</v>
      </c>
      <c r="Q2441" s="59" t="str">
        <f>MID(Tabla1[[#This Row],[Aplicación]],14,1)</f>
        <v>2</v>
      </c>
      <c r="R2441" s="35" t="s">
        <v>298</v>
      </c>
      <c r="S2441" s="59" t="str">
        <f>MID(Tabla1[[#This Row],[Aplicación]],6,2)</f>
        <v>06</v>
      </c>
      <c r="T2441" s="35" t="str">
        <f>VLOOKUP(Tabla1[[#This Row],[AREA]],Hoja1!A:B,2,FALSE)</f>
        <v>06. Educación, infancia, juventud e igualdad</v>
      </c>
      <c r="U2441" s="56" t="str">
        <f>MID(Tabla1[[#This Row],[Aplicación]],9,4)</f>
        <v>3321</v>
      </c>
      <c r="V2441" s="35" t="str">
        <f>VLOOKUP(Tabla1[[#This Row],[PROGRAMA]],Hoja1!A:B,2,FALSE)</f>
        <v>3321. Bibliotecas públicas</v>
      </c>
      <c r="W2441" s="56" t="str">
        <f>MID(Tabla1[[#This Row],[Aplicación]],14,2)</f>
        <v>22</v>
      </c>
      <c r="X2441" s="56" t="str">
        <f>MID(Tabla1[[#This Row],[Aplicación]],14,6)</f>
        <v>22799</v>
      </c>
    </row>
    <row r="2442" spans="1:24" x14ac:dyDescent="0.25">
      <c r="A2442" s="62">
        <v>220230015936</v>
      </c>
      <c r="B2442" s="44" t="s">
        <v>507</v>
      </c>
      <c r="C2442" s="64">
        <v>45042</v>
      </c>
      <c r="D2442" s="62">
        <v>22023002882</v>
      </c>
      <c r="E2442" s="44" t="s">
        <v>1492</v>
      </c>
      <c r="F2442" s="65">
        <v>8646</v>
      </c>
      <c r="G2442" s="44" t="s">
        <v>4023</v>
      </c>
      <c r="H2442" s="44" t="s">
        <v>4024</v>
      </c>
      <c r="I2442" s="62" t="s">
        <v>511</v>
      </c>
      <c r="J2442" s="44" t="s">
        <v>519</v>
      </c>
      <c r="K2442" s="44" t="s">
        <v>519</v>
      </c>
      <c r="L2442" s="44" t="s">
        <v>520</v>
      </c>
      <c r="M2442" s="44" t="s">
        <v>976</v>
      </c>
      <c r="N2442" s="44" t="s">
        <v>839</v>
      </c>
      <c r="O2442" s="45" t="s">
        <v>383</v>
      </c>
      <c r="P2442" s="45" t="s">
        <v>3760</v>
      </c>
      <c r="Q2442" s="59" t="str">
        <f>MID(Tabla1[[#This Row],[Aplicación]],14,1)</f>
        <v>2</v>
      </c>
      <c r="R2442" s="35" t="s">
        <v>298</v>
      </c>
      <c r="S2442" s="59" t="str">
        <f>MID(Tabla1[[#This Row],[Aplicación]],6,2)</f>
        <v>10</v>
      </c>
      <c r="T2442" s="35" t="str">
        <f>VLOOKUP(Tabla1[[#This Row],[AREA]],Hoja1!A:B,2,FALSE)</f>
        <v>10. Servicios sociales y mediación comunitaria</v>
      </c>
      <c r="U2442" s="56" t="str">
        <f>MID(Tabla1[[#This Row],[Aplicación]],9,4)</f>
        <v>2316</v>
      </c>
      <c r="V2442" s="35" t="str">
        <f>VLOOKUP(Tabla1[[#This Row],[PROGRAMA]],Hoja1!A:B,2,FALSE)</f>
        <v>2316. Mediación comunitaria</v>
      </c>
      <c r="W2442" s="56" t="str">
        <f>MID(Tabla1[[#This Row],[Aplicación]],14,2)</f>
        <v>22</v>
      </c>
      <c r="X2442" s="56" t="str">
        <f>MID(Tabla1[[#This Row],[Aplicación]],14,6)</f>
        <v>22799</v>
      </c>
    </row>
    <row r="2443" spans="1:24" x14ac:dyDescent="0.25">
      <c r="A2443" s="62">
        <v>220230025400</v>
      </c>
      <c r="B2443" s="44" t="s">
        <v>507</v>
      </c>
      <c r="C2443" s="64">
        <v>45072</v>
      </c>
      <c r="D2443" s="62">
        <v>22023004695</v>
      </c>
      <c r="E2443" s="44" t="s">
        <v>1382</v>
      </c>
      <c r="F2443" s="65">
        <v>1008.72</v>
      </c>
      <c r="G2443" s="44" t="s">
        <v>24</v>
      </c>
      <c r="H2443" s="44" t="s">
        <v>4025</v>
      </c>
      <c r="I2443" s="62" t="s">
        <v>511</v>
      </c>
      <c r="J2443" s="44" t="s">
        <v>519</v>
      </c>
      <c r="K2443" s="44" t="s">
        <v>519</v>
      </c>
      <c r="L2443" s="44" t="s">
        <v>520</v>
      </c>
      <c r="M2443" s="44" t="s">
        <v>976</v>
      </c>
      <c r="N2443" s="44" t="s">
        <v>839</v>
      </c>
      <c r="O2443" s="45" t="s">
        <v>383</v>
      </c>
      <c r="P2443" s="45" t="s">
        <v>3760</v>
      </c>
      <c r="Q2443" s="59" t="str">
        <f>MID(Tabla1[[#This Row],[Aplicación]],14,1)</f>
        <v>2</v>
      </c>
      <c r="R2443" s="35" t="s">
        <v>298</v>
      </c>
      <c r="S2443" s="59" t="str">
        <f>MID(Tabla1[[#This Row],[Aplicación]],6,2)</f>
        <v>03</v>
      </c>
      <c r="T2443" s="35" t="str">
        <f>VLOOKUP(Tabla1[[#This Row],[AREA]],Hoja1!A:B,2,FALSE)</f>
        <v>03. Participación ciudadana y deportes</v>
      </c>
      <c r="U2443" s="56" t="str">
        <f>MID(Tabla1[[#This Row],[Aplicación]],9,4)</f>
        <v>9241</v>
      </c>
      <c r="V2443" s="35" t="str">
        <f>VLOOKUP(Tabla1[[#This Row],[PROGRAMA]],Hoja1!A:B,2,FALSE)</f>
        <v>9241. Participación ciudadana</v>
      </c>
      <c r="W2443" s="56" t="str">
        <f>MID(Tabla1[[#This Row],[Aplicación]],14,2)</f>
        <v>22</v>
      </c>
      <c r="X2443" s="56" t="str">
        <f>MID(Tabla1[[#This Row],[Aplicación]],14,6)</f>
        <v>22699</v>
      </c>
    </row>
    <row r="2444" spans="1:24" x14ac:dyDescent="0.25">
      <c r="A2444" s="62">
        <v>220230015989</v>
      </c>
      <c r="B2444" s="44" t="s">
        <v>507</v>
      </c>
      <c r="C2444" s="64">
        <v>45042</v>
      </c>
      <c r="D2444" s="62">
        <v>22023004109</v>
      </c>
      <c r="E2444" s="44" t="s">
        <v>1260</v>
      </c>
      <c r="F2444" s="65">
        <v>18.149999999999999</v>
      </c>
      <c r="G2444" s="44" t="s">
        <v>90</v>
      </c>
      <c r="H2444" s="44" t="s">
        <v>4026</v>
      </c>
      <c r="I2444" s="62" t="s">
        <v>511</v>
      </c>
      <c r="J2444" s="44" t="s">
        <v>519</v>
      </c>
      <c r="K2444" s="44" t="s">
        <v>519</v>
      </c>
      <c r="L2444" s="44" t="s">
        <v>520</v>
      </c>
      <c r="M2444" s="44" t="s">
        <v>976</v>
      </c>
      <c r="N2444" s="44" t="s">
        <v>839</v>
      </c>
      <c r="O2444" s="45" t="s">
        <v>383</v>
      </c>
      <c r="P2444" s="45" t="s">
        <v>3760</v>
      </c>
      <c r="Q2444" s="59" t="str">
        <f>MID(Tabla1[[#This Row],[Aplicación]],14,1)</f>
        <v>2</v>
      </c>
      <c r="R2444" s="35" t="s">
        <v>298</v>
      </c>
      <c r="S2444" s="59" t="str">
        <f>MID(Tabla1[[#This Row],[Aplicación]],6,2)</f>
        <v>03</v>
      </c>
      <c r="T2444" s="35" t="str">
        <f>VLOOKUP(Tabla1[[#This Row],[AREA]],Hoja1!A:B,2,FALSE)</f>
        <v>03. Participación ciudadana y deportes</v>
      </c>
      <c r="U2444" s="56" t="str">
        <f>MID(Tabla1[[#This Row],[Aplicación]],9,4)</f>
        <v>9241</v>
      </c>
      <c r="V2444" s="35" t="str">
        <f>VLOOKUP(Tabla1[[#This Row],[PROGRAMA]],Hoja1!A:B,2,FALSE)</f>
        <v>9241. Participación ciudadana</v>
      </c>
      <c r="W2444" s="56" t="str">
        <f>MID(Tabla1[[#This Row],[Aplicación]],14,2)</f>
        <v>22</v>
      </c>
      <c r="X2444" s="56" t="str">
        <f>MID(Tabla1[[#This Row],[Aplicación]],14,6)</f>
        <v>22602</v>
      </c>
    </row>
    <row r="2445" spans="1:24" x14ac:dyDescent="0.25">
      <c r="A2445" s="62">
        <v>220230015965</v>
      </c>
      <c r="B2445" s="44" t="s">
        <v>507</v>
      </c>
      <c r="C2445" s="64">
        <v>45042</v>
      </c>
      <c r="D2445" s="62">
        <v>22023003977</v>
      </c>
      <c r="E2445" s="44" t="s">
        <v>4027</v>
      </c>
      <c r="F2445" s="65">
        <v>212.36</v>
      </c>
      <c r="G2445" s="44" t="s">
        <v>1310</v>
      </c>
      <c r="H2445" s="44" t="s">
        <v>4028</v>
      </c>
      <c r="I2445" s="62" t="s">
        <v>511</v>
      </c>
      <c r="J2445" s="44" t="s">
        <v>1312</v>
      </c>
      <c r="K2445" s="44" t="s">
        <v>590</v>
      </c>
      <c r="L2445" s="44" t="s">
        <v>552</v>
      </c>
      <c r="M2445" s="44" t="s">
        <v>976</v>
      </c>
      <c r="N2445" s="44" t="s">
        <v>839</v>
      </c>
      <c r="O2445" s="45" t="s">
        <v>383</v>
      </c>
      <c r="P2445" s="45" t="s">
        <v>3760</v>
      </c>
      <c r="Q2445" s="59" t="str">
        <f>MID(Tabla1[[#This Row],[Aplicación]],14,1)</f>
        <v>2</v>
      </c>
      <c r="R2445" s="35" t="s">
        <v>298</v>
      </c>
      <c r="S2445" s="59" t="str">
        <f>MID(Tabla1[[#This Row],[Aplicación]],6,2)</f>
        <v>08</v>
      </c>
      <c r="T2445" s="35" t="str">
        <f>VLOOKUP(Tabla1[[#This Row],[AREA]],Hoja1!A:B,2,FALSE)</f>
        <v>08. Movilidad y espacio urbano</v>
      </c>
      <c r="U2445" s="56" t="str">
        <f>MID(Tabla1[[#This Row],[Aplicación]],9,4)</f>
        <v>1651</v>
      </c>
      <c r="V2445" s="35" t="str">
        <f>VLOOKUP(Tabla1[[#This Row],[PROGRAMA]],Hoja1!A:B,2,FALSE)</f>
        <v>1651. Alumbrado público</v>
      </c>
      <c r="W2445" s="56" t="str">
        <f>MID(Tabla1[[#This Row],[Aplicación]],14,2)</f>
        <v>22</v>
      </c>
      <c r="X2445" s="56" t="str">
        <f>MID(Tabla1[[#This Row],[Aplicación]],14,6)</f>
        <v>22699</v>
      </c>
    </row>
    <row r="2446" spans="1:24" x14ac:dyDescent="0.25">
      <c r="A2446" s="62">
        <v>220230017786</v>
      </c>
      <c r="B2446" s="44" t="s">
        <v>507</v>
      </c>
      <c r="C2446" s="64">
        <v>45050</v>
      </c>
      <c r="D2446" s="62">
        <v>22023004139</v>
      </c>
      <c r="E2446" s="44" t="s">
        <v>1913</v>
      </c>
      <c r="F2446" s="65">
        <v>10769</v>
      </c>
      <c r="G2446" s="44" t="s">
        <v>4029</v>
      </c>
      <c r="H2446" s="44" t="s">
        <v>4030</v>
      </c>
      <c r="I2446" s="62" t="s">
        <v>511</v>
      </c>
      <c r="J2446" s="44" t="s">
        <v>519</v>
      </c>
      <c r="K2446" s="44" t="s">
        <v>519</v>
      </c>
      <c r="L2446" s="44" t="s">
        <v>520</v>
      </c>
      <c r="M2446" s="44" t="s">
        <v>976</v>
      </c>
      <c r="N2446" s="44" t="s">
        <v>839</v>
      </c>
      <c r="O2446" s="45" t="s">
        <v>383</v>
      </c>
      <c r="P2446" s="45" t="s">
        <v>3760</v>
      </c>
      <c r="Q2446" s="59" t="str">
        <f>MID(Tabla1[[#This Row],[Aplicación]],14,1)</f>
        <v>2</v>
      </c>
      <c r="R2446" s="35" t="s">
        <v>298</v>
      </c>
      <c r="S2446" s="59" t="str">
        <f>MID(Tabla1[[#This Row],[Aplicación]],6,2)</f>
        <v>05</v>
      </c>
      <c r="T2446" s="35" t="str">
        <f>VLOOKUP(Tabla1[[#This Row],[AREA]],Hoja1!A:B,2,FALSE)</f>
        <v>05. Innovación, desarrollo económico, empleo y comercio</v>
      </c>
      <c r="U2446" s="56" t="str">
        <f>MID(Tabla1[[#This Row],[Aplicación]],9,4)</f>
        <v>4312</v>
      </c>
      <c r="V2446" s="35" t="str">
        <f>VLOOKUP(Tabla1[[#This Row],[PROGRAMA]],Hoja1!A:B,2,FALSE)</f>
        <v>4312. Mercados, abastos y lonjas</v>
      </c>
      <c r="W2446" s="56" t="str">
        <f>MID(Tabla1[[#This Row],[Aplicación]],14,2)</f>
        <v>22</v>
      </c>
      <c r="X2446" s="56" t="str">
        <f>MID(Tabla1[[#This Row],[Aplicación]],14,6)</f>
        <v>22706</v>
      </c>
    </row>
    <row r="2447" spans="1:24" x14ac:dyDescent="0.25">
      <c r="A2447" s="62">
        <v>220230016809</v>
      </c>
      <c r="B2447" s="44" t="s">
        <v>507</v>
      </c>
      <c r="C2447" s="64">
        <v>45044</v>
      </c>
      <c r="D2447" s="62">
        <v>22023003668</v>
      </c>
      <c r="E2447" s="44" t="s">
        <v>2006</v>
      </c>
      <c r="F2447" s="65">
        <v>15999.99</v>
      </c>
      <c r="G2447" s="44" t="s">
        <v>2800</v>
      </c>
      <c r="H2447" s="44" t="s">
        <v>4031</v>
      </c>
      <c r="I2447" s="62" t="s">
        <v>511</v>
      </c>
      <c r="J2447" s="44" t="s">
        <v>519</v>
      </c>
      <c r="K2447" s="44" t="s">
        <v>519</v>
      </c>
      <c r="L2447" s="44" t="s">
        <v>520</v>
      </c>
      <c r="M2447" s="44" t="s">
        <v>514</v>
      </c>
      <c r="N2447" s="44" t="s">
        <v>515</v>
      </c>
      <c r="O2447" s="45" t="s">
        <v>382</v>
      </c>
      <c r="P2447" s="45" t="s">
        <v>3760</v>
      </c>
      <c r="Q2447" s="59" t="str">
        <f>MID(Tabla1[[#This Row],[Aplicación]],14,1)</f>
        <v>2</v>
      </c>
      <c r="R2447" s="35" t="s">
        <v>298</v>
      </c>
      <c r="S2447" s="59" t="str">
        <f>MID(Tabla1[[#This Row],[Aplicación]],6,2)</f>
        <v>08</v>
      </c>
      <c r="T2447" s="35" t="str">
        <f>VLOOKUP(Tabla1[[#This Row],[AREA]],Hoja1!A:B,2,FALSE)</f>
        <v>08. Movilidad y espacio urbano</v>
      </c>
      <c r="U2447" s="56" t="str">
        <f>MID(Tabla1[[#This Row],[Aplicación]],9,4)</f>
        <v>1341</v>
      </c>
      <c r="V2447" s="35" t="str">
        <f>VLOOKUP(Tabla1[[#This Row],[PROGRAMA]],Hoja1!A:B,2,FALSE)</f>
        <v>1341. Movilidad</v>
      </c>
      <c r="W2447" s="56" t="str">
        <f>MID(Tabla1[[#This Row],[Aplicación]],14,2)</f>
        <v>22</v>
      </c>
      <c r="X2447" s="56" t="str">
        <f>MID(Tabla1[[#This Row],[Aplicación]],14,6)</f>
        <v>22602</v>
      </c>
    </row>
    <row r="2448" spans="1:24" x14ac:dyDescent="0.25">
      <c r="A2448" s="62">
        <v>220230013644</v>
      </c>
      <c r="B2448" s="44" t="s">
        <v>507</v>
      </c>
      <c r="C2448" s="64">
        <v>45026</v>
      </c>
      <c r="D2448" s="62">
        <v>22023003770</v>
      </c>
      <c r="E2448" s="44" t="s">
        <v>4032</v>
      </c>
      <c r="F2448" s="65">
        <v>1210</v>
      </c>
      <c r="G2448" s="44" t="s">
        <v>1764</v>
      </c>
      <c r="H2448" s="44" t="s">
        <v>4033</v>
      </c>
      <c r="I2448" s="62" t="s">
        <v>511</v>
      </c>
      <c r="J2448" s="44" t="s">
        <v>519</v>
      </c>
      <c r="K2448" s="44" t="s">
        <v>519</v>
      </c>
      <c r="L2448" s="44" t="s">
        <v>520</v>
      </c>
      <c r="M2448" s="44" t="s">
        <v>514</v>
      </c>
      <c r="N2448" s="44" t="s">
        <v>515</v>
      </c>
      <c r="O2448" s="45" t="s">
        <v>382</v>
      </c>
      <c r="P2448" s="45" t="s">
        <v>3760</v>
      </c>
      <c r="Q2448" s="59" t="str">
        <f>MID(Tabla1[[#This Row],[Aplicación]],14,1)</f>
        <v>2</v>
      </c>
      <c r="R2448" s="35" t="s">
        <v>298</v>
      </c>
      <c r="S2448" s="59" t="str">
        <f>MID(Tabla1[[#This Row],[Aplicación]],6,2)</f>
        <v>08</v>
      </c>
      <c r="T2448" s="35" t="str">
        <f>VLOOKUP(Tabla1[[#This Row],[AREA]],Hoja1!A:B,2,FALSE)</f>
        <v>08. Movilidad y espacio urbano</v>
      </c>
      <c r="U2448" s="56" t="str">
        <f>MID(Tabla1[[#This Row],[Aplicación]],9,4)</f>
        <v>1301</v>
      </c>
      <c r="V2448" s="35" t="str">
        <f>VLOOKUP(Tabla1[[#This Row],[PROGRAMA]],Hoja1!A:B,2,FALSE)</f>
        <v>1301. Dirección del área de seguridad</v>
      </c>
      <c r="W2448" s="56" t="str">
        <f>MID(Tabla1[[#This Row],[Aplicación]],14,2)</f>
        <v>22</v>
      </c>
      <c r="X2448" s="56" t="str">
        <f>MID(Tabla1[[#This Row],[Aplicación]],14,6)</f>
        <v>22602</v>
      </c>
    </row>
    <row r="2449" spans="1:24" x14ac:dyDescent="0.25">
      <c r="A2449" s="62">
        <v>220230022579</v>
      </c>
      <c r="B2449" s="44" t="s">
        <v>1249</v>
      </c>
      <c r="C2449" s="64">
        <v>45065</v>
      </c>
      <c r="D2449" s="62">
        <v>22023004411</v>
      </c>
      <c r="E2449" s="44" t="s">
        <v>1132</v>
      </c>
      <c r="F2449" s="65">
        <v>39.46</v>
      </c>
      <c r="G2449" s="44" t="s">
        <v>2103</v>
      </c>
      <c r="H2449" s="44" t="s">
        <v>4034</v>
      </c>
      <c r="I2449" s="62" t="s">
        <v>1251</v>
      </c>
      <c r="J2449" s="44" t="s">
        <v>589</v>
      </c>
      <c r="K2449" s="44" t="s">
        <v>590</v>
      </c>
      <c r="L2449" s="44" t="s">
        <v>652</v>
      </c>
      <c r="M2449" s="44" t="s">
        <v>976</v>
      </c>
      <c r="N2449" s="44" t="s">
        <v>839</v>
      </c>
      <c r="O2449" s="45" t="s">
        <v>383</v>
      </c>
      <c r="P2449" s="45" t="s">
        <v>3760</v>
      </c>
      <c r="Q2449" s="59" t="str">
        <f>MID(Tabla1[[#This Row],[Aplicación]],14,1)</f>
        <v>2</v>
      </c>
      <c r="R2449" s="35" t="s">
        <v>298</v>
      </c>
      <c r="S2449" s="59" t="str">
        <f>MID(Tabla1[[#This Row],[Aplicación]],6,2)</f>
        <v>07</v>
      </c>
      <c r="T2449" s="35" t="str">
        <f>VLOOKUP(Tabla1[[#This Row],[AREA]],Hoja1!A:B,2,FALSE)</f>
        <v>07. Medio ambiente y desarrollo sostenible</v>
      </c>
      <c r="U2449" s="56" t="str">
        <f>MID(Tabla1[[#This Row],[Aplicación]],9,4)</f>
        <v>1721</v>
      </c>
      <c r="V2449" s="35" t="str">
        <f>VLOOKUP(Tabla1[[#This Row],[PROGRAMA]],Hoja1!A:B,2,FALSE)</f>
        <v>1721. Protección del medio ambiente</v>
      </c>
      <c r="W2449" s="56" t="str">
        <f>MID(Tabla1[[#This Row],[Aplicación]],14,2)</f>
        <v>22</v>
      </c>
      <c r="X2449" s="56" t="str">
        <f>MID(Tabla1[[#This Row],[Aplicación]],14,6)</f>
        <v>22100</v>
      </c>
    </row>
    <row r="2450" spans="1:24" x14ac:dyDescent="0.25">
      <c r="A2450" s="62">
        <v>220220034179</v>
      </c>
      <c r="B2450" s="44" t="s">
        <v>507</v>
      </c>
      <c r="C2450" s="64">
        <v>45037</v>
      </c>
      <c r="D2450" s="62">
        <v>22022002693</v>
      </c>
      <c r="E2450" s="44" t="s">
        <v>711</v>
      </c>
      <c r="F2450" s="65">
        <v>4889.7299999999996</v>
      </c>
      <c r="G2450" s="44" t="s">
        <v>1351</v>
      </c>
      <c r="H2450" s="44" t="s">
        <v>1352</v>
      </c>
      <c r="I2450" s="62" t="s">
        <v>511</v>
      </c>
      <c r="J2450" s="44" t="s">
        <v>519</v>
      </c>
      <c r="K2450" s="44" t="s">
        <v>519</v>
      </c>
      <c r="L2450" s="44" t="s">
        <v>520</v>
      </c>
      <c r="M2450" s="44" t="s">
        <v>514</v>
      </c>
      <c r="N2450" s="44" t="s">
        <v>515</v>
      </c>
      <c r="O2450" s="45" t="s">
        <v>371</v>
      </c>
      <c r="P2450" s="45" t="s">
        <v>3760</v>
      </c>
      <c r="Q2450" s="59" t="str">
        <f>MID(Tabla1[[#This Row],[Aplicación]],14,1)</f>
        <v>6</v>
      </c>
      <c r="R2450" s="35" t="s">
        <v>299</v>
      </c>
      <c r="S2450" s="59" t="str">
        <f>MID(Tabla1[[#This Row],[Aplicación]],6,2)</f>
        <v>04</v>
      </c>
      <c r="T2450" s="35" t="str">
        <f>VLOOKUP(Tabla1[[#This Row],[AREA]],Hoja1!A:B,2,FALSE)</f>
        <v>04. Planificación y recursos</v>
      </c>
      <c r="U2450" s="56" t="str">
        <f>MID(Tabla1[[#This Row],[Aplicación]],9,4)</f>
        <v>9204</v>
      </c>
      <c r="V2450" s="35" t="str">
        <f>VLOOKUP(Tabla1[[#This Row],[PROGRAMA]],Hoja1!A:B,2,FALSE)</f>
        <v>9204. Tecnologías de la información y comunicación</v>
      </c>
      <c r="W2450" s="56" t="str">
        <f>MID(Tabla1[[#This Row],[Aplicación]],14,2)</f>
        <v>63</v>
      </c>
      <c r="X2450" s="56" t="str">
        <f>MID(Tabla1[[#This Row],[Aplicación]],14,6)</f>
        <v>636</v>
      </c>
    </row>
    <row r="2451" spans="1:24" x14ac:dyDescent="0.25">
      <c r="A2451" s="62">
        <v>220230019396</v>
      </c>
      <c r="B2451" s="44" t="s">
        <v>507</v>
      </c>
      <c r="C2451" s="64">
        <v>45056</v>
      </c>
      <c r="D2451" s="62">
        <v>22023002404</v>
      </c>
      <c r="E2451" s="44" t="s">
        <v>2857</v>
      </c>
      <c r="F2451" s="65">
        <v>7532.25</v>
      </c>
      <c r="G2451" s="44" t="s">
        <v>4035</v>
      </c>
      <c r="H2451" s="44" t="s">
        <v>4036</v>
      </c>
      <c r="I2451" s="62" t="s">
        <v>511</v>
      </c>
      <c r="J2451" s="44" t="s">
        <v>4037</v>
      </c>
      <c r="K2451" s="44" t="s">
        <v>512</v>
      </c>
      <c r="L2451" s="44" t="s">
        <v>552</v>
      </c>
      <c r="M2451" s="44" t="s">
        <v>514</v>
      </c>
      <c r="N2451" s="44" t="s">
        <v>515</v>
      </c>
      <c r="O2451" s="45" t="s">
        <v>371</v>
      </c>
      <c r="P2451" s="45" t="s">
        <v>3760</v>
      </c>
      <c r="Q2451" s="59" t="str">
        <f>MID(Tabla1[[#This Row],[Aplicación]],14,1)</f>
        <v>2</v>
      </c>
      <c r="R2451" s="35" t="s">
        <v>298</v>
      </c>
      <c r="S2451" s="59" t="str">
        <f>MID(Tabla1[[#This Row],[Aplicación]],6,2)</f>
        <v>11</v>
      </c>
      <c r="T2451" s="35" t="str">
        <f>VLOOKUP(Tabla1[[#This Row],[AREA]],Hoja1!A:B,2,FALSE)</f>
        <v>11. Salud pública y seguridad ciudadana</v>
      </c>
      <c r="U2451" s="56" t="str">
        <f>MID(Tabla1[[#This Row],[Aplicación]],9,4)</f>
        <v>1361</v>
      </c>
      <c r="V2451" s="35" t="str">
        <f>VLOOKUP(Tabla1[[#This Row],[PROGRAMA]],Hoja1!A:B,2,FALSE)</f>
        <v>1361. Prevención y extinción de incencios</v>
      </c>
      <c r="W2451" s="56" t="str">
        <f>MID(Tabla1[[#This Row],[Aplicación]],14,2)</f>
        <v>22</v>
      </c>
      <c r="X2451" s="56" t="str">
        <f>MID(Tabla1[[#This Row],[Aplicación]],14,6)</f>
        <v>22104</v>
      </c>
    </row>
    <row r="2452" spans="1:24" x14ac:dyDescent="0.25">
      <c r="A2452" s="63">
        <v>220230029594</v>
      </c>
      <c r="B2452" s="44" t="s">
        <v>507</v>
      </c>
      <c r="C2452" s="64">
        <v>45091</v>
      </c>
      <c r="D2452" s="62">
        <v>22023003993</v>
      </c>
      <c r="E2452" s="44" t="s">
        <v>741</v>
      </c>
      <c r="F2452" s="65">
        <v>50276.43</v>
      </c>
      <c r="G2452" s="44" t="s">
        <v>769</v>
      </c>
      <c r="H2452" s="44" t="s">
        <v>4038</v>
      </c>
      <c r="I2452" s="62" t="s">
        <v>511</v>
      </c>
      <c r="J2452" s="44" t="s">
        <v>771</v>
      </c>
      <c r="K2452" s="44" t="s">
        <v>771</v>
      </c>
      <c r="L2452" s="44" t="s">
        <v>527</v>
      </c>
      <c r="M2452" s="44" t="s">
        <v>514</v>
      </c>
      <c r="N2452" s="44" t="s">
        <v>515</v>
      </c>
      <c r="O2452" s="45" t="s">
        <v>371</v>
      </c>
      <c r="P2452" s="45" t="s">
        <v>3760</v>
      </c>
      <c r="Q2452" s="59" t="str">
        <f>MID(Tabla1[[#This Row],[Aplicación]],14,1)</f>
        <v>6</v>
      </c>
      <c r="R2452" s="35" t="s">
        <v>299</v>
      </c>
      <c r="S2452" s="59" t="str">
        <f>MID(Tabla1[[#This Row],[Aplicación]],6,2)</f>
        <v>07</v>
      </c>
      <c r="T2452" s="35" t="str">
        <f>VLOOKUP(Tabla1[[#This Row],[AREA]],Hoja1!A:B,2,FALSE)</f>
        <v>07. Medio ambiente y desarrollo sostenible</v>
      </c>
      <c r="U2452" s="56" t="str">
        <f>MID(Tabla1[[#This Row],[Aplicación]],9,4)</f>
        <v>1711</v>
      </c>
      <c r="V2452" s="35" t="str">
        <f>VLOOKUP(Tabla1[[#This Row],[PROGRAMA]],Hoja1!A:B,2,FALSE)</f>
        <v>1711. Parques y jardines</v>
      </c>
      <c r="W2452" s="56" t="str">
        <f>MID(Tabla1[[#This Row],[Aplicación]],14,2)</f>
        <v>61</v>
      </c>
      <c r="X2452" s="56" t="str">
        <f>MID(Tabla1[[#This Row],[Aplicación]],14,6)</f>
        <v>619</v>
      </c>
    </row>
    <row r="2453" spans="1:24" x14ac:dyDescent="0.25">
      <c r="A2453" s="63">
        <v>220230031261</v>
      </c>
      <c r="B2453" s="44" t="s">
        <v>1514</v>
      </c>
      <c r="C2453" s="64">
        <v>45099</v>
      </c>
      <c r="D2453" s="62">
        <v>22023000202</v>
      </c>
      <c r="E2453" s="44" t="s">
        <v>762</v>
      </c>
      <c r="F2453" s="65">
        <v>27036.240000000002</v>
      </c>
      <c r="G2453" s="44" t="s">
        <v>906</v>
      </c>
      <c r="H2453" s="44" t="s">
        <v>4039</v>
      </c>
      <c r="I2453" s="62" t="s">
        <v>1517</v>
      </c>
      <c r="J2453" s="44" t="s">
        <v>908</v>
      </c>
      <c r="K2453" s="44" t="s">
        <v>908</v>
      </c>
      <c r="L2453" s="44" t="s">
        <v>552</v>
      </c>
      <c r="M2453" s="44" t="s">
        <v>514</v>
      </c>
      <c r="N2453" s="44" t="s">
        <v>515</v>
      </c>
      <c r="O2453" s="45" t="s">
        <v>371</v>
      </c>
      <c r="P2453" s="45" t="s">
        <v>3760</v>
      </c>
      <c r="Q2453" s="59" t="str">
        <f>MID(Tabla1[[#This Row],[Aplicación]],14,1)</f>
        <v>2</v>
      </c>
      <c r="R2453" s="35" t="s">
        <v>298</v>
      </c>
      <c r="S2453" s="59" t="str">
        <f>MID(Tabla1[[#This Row],[Aplicación]],6,2)</f>
        <v>11</v>
      </c>
      <c r="T2453" s="35" t="str">
        <f>VLOOKUP(Tabla1[[#This Row],[AREA]],Hoja1!A:B,2,FALSE)</f>
        <v>11. Salud pública y seguridad ciudadana</v>
      </c>
      <c r="U2453" s="56" t="str">
        <f>MID(Tabla1[[#This Row],[Aplicación]],9,4)</f>
        <v>1321</v>
      </c>
      <c r="V2453" s="35" t="str">
        <f>VLOOKUP(Tabla1[[#This Row],[PROGRAMA]],Hoja1!A:B,2,FALSE)</f>
        <v>1321. Policía municipal</v>
      </c>
      <c r="W2453" s="56" t="str">
        <f>MID(Tabla1[[#This Row],[Aplicación]],14,2)</f>
        <v>20</v>
      </c>
      <c r="X2453" s="56" t="str">
        <f>MID(Tabla1[[#This Row],[Aplicación]],14,6)</f>
        <v>204</v>
      </c>
    </row>
    <row r="2454" spans="1:24" x14ac:dyDescent="0.25">
      <c r="A2454" s="63">
        <v>220230030682</v>
      </c>
      <c r="B2454" s="44" t="s">
        <v>507</v>
      </c>
      <c r="C2454" s="64">
        <v>45097</v>
      </c>
      <c r="D2454" s="62">
        <v>22023004957</v>
      </c>
      <c r="E2454" s="44" t="s">
        <v>4040</v>
      </c>
      <c r="F2454" s="65">
        <v>11700.99</v>
      </c>
      <c r="G2454" s="44" t="s">
        <v>315</v>
      </c>
      <c r="H2454" s="44" t="s">
        <v>4041</v>
      </c>
      <c r="I2454" s="62" t="s">
        <v>511</v>
      </c>
      <c r="J2454" s="44" t="s">
        <v>519</v>
      </c>
      <c r="K2454" s="44" t="s">
        <v>519</v>
      </c>
      <c r="L2454" s="44" t="s">
        <v>520</v>
      </c>
      <c r="M2454" s="44" t="s">
        <v>514</v>
      </c>
      <c r="N2454" s="44" t="s">
        <v>604</v>
      </c>
      <c r="O2454" s="45" t="s">
        <v>382</v>
      </c>
      <c r="P2454" s="45" t="s">
        <v>3760</v>
      </c>
      <c r="Q2454" s="59">
        <v>2</v>
      </c>
      <c r="R2454" s="35" t="s">
        <v>298</v>
      </c>
      <c r="S2454" s="59" t="str">
        <f>MID(Tabla1[[#This Row],[Aplicación]],6,2)</f>
        <v>08</v>
      </c>
      <c r="T2454" s="35" t="str">
        <f>VLOOKUP(Tabla1[[#This Row],[AREA]],Hoja1!A:B,2,FALSE)</f>
        <v>08. Movilidad y espacio urbano</v>
      </c>
      <c r="U2454" s="56" t="str">
        <f>MID(Tabla1[[#This Row],[Aplicación]],9,4)</f>
        <v>0 13</v>
      </c>
      <c r="V2454" s="59">
        <v>1301</v>
      </c>
      <c r="W2454" s="59">
        <v>22</v>
      </c>
      <c r="X2454" s="59">
        <v>22706</v>
      </c>
    </row>
    <row r="2455" spans="1:24" x14ac:dyDescent="0.25">
      <c r="A2455" s="63">
        <v>220230031393</v>
      </c>
      <c r="B2455" s="44" t="s">
        <v>507</v>
      </c>
      <c r="C2455" s="64">
        <v>45103</v>
      </c>
      <c r="D2455" s="62">
        <v>22023005151</v>
      </c>
      <c r="E2455" s="44" t="s">
        <v>2732</v>
      </c>
      <c r="F2455" s="65">
        <v>47161.27</v>
      </c>
      <c r="G2455" s="44" t="s">
        <v>4042</v>
      </c>
      <c r="H2455" s="44" t="s">
        <v>4043</v>
      </c>
      <c r="I2455" s="62" t="s">
        <v>511</v>
      </c>
      <c r="J2455" s="44" t="s">
        <v>573</v>
      </c>
      <c r="K2455" s="44" t="s">
        <v>573</v>
      </c>
      <c r="L2455" s="44" t="s">
        <v>527</v>
      </c>
      <c r="M2455" s="44" t="s">
        <v>976</v>
      </c>
      <c r="N2455" s="44" t="s">
        <v>839</v>
      </c>
      <c r="O2455" s="45" t="s">
        <v>383</v>
      </c>
      <c r="P2455" s="45" t="s">
        <v>3760</v>
      </c>
      <c r="Q2455" s="59" t="str">
        <f>MID(Tabla1[[#This Row],[Aplicación]],14,1)</f>
        <v>6</v>
      </c>
      <c r="R2455" s="35" t="s">
        <v>299</v>
      </c>
      <c r="S2455" s="59" t="str">
        <f>MID(Tabla1[[#This Row],[Aplicación]],6,2)</f>
        <v>06</v>
      </c>
      <c r="T2455" s="35" t="str">
        <f>VLOOKUP(Tabla1[[#This Row],[AREA]],Hoja1!A:B,2,FALSE)</f>
        <v>06. Educación, infancia, juventud e igualdad</v>
      </c>
      <c r="U2455" s="56" t="str">
        <f>MID(Tabla1[[#This Row],[Aplicación]],9,4)</f>
        <v>3232</v>
      </c>
      <c r="V2455" s="35" t="str">
        <f>VLOOKUP(Tabla1[[#This Row],[PROGRAMA]],Hoja1!A:B,2,FALSE)</f>
        <v>3232. Conservación y mantenimiento centros educación infantil y primaria</v>
      </c>
      <c r="W2455" s="56" t="str">
        <f>MID(Tabla1[[#This Row],[Aplicación]],14,2)</f>
        <v>63</v>
      </c>
      <c r="X2455" s="56" t="str">
        <f>MID(Tabla1[[#This Row],[Aplicación]],14,6)</f>
        <v>632</v>
      </c>
    </row>
    <row r="2456" spans="1:24" x14ac:dyDescent="0.25">
      <c r="A2456" s="62">
        <v>220230012983</v>
      </c>
      <c r="B2456" s="44" t="s">
        <v>507</v>
      </c>
      <c r="C2456" s="64">
        <v>45019</v>
      </c>
      <c r="D2456" s="62">
        <v>22023003741</v>
      </c>
      <c r="E2456" s="44" t="s">
        <v>958</v>
      </c>
      <c r="F2456" s="65">
        <v>2354.41</v>
      </c>
      <c r="G2456" s="44" t="s">
        <v>35</v>
      </c>
      <c r="H2456" s="44" t="s">
        <v>4044</v>
      </c>
      <c r="I2456" s="62" t="s">
        <v>511</v>
      </c>
      <c r="J2456" s="44" t="s">
        <v>519</v>
      </c>
      <c r="K2456" s="44" t="s">
        <v>519</v>
      </c>
      <c r="L2456" s="44" t="s">
        <v>552</v>
      </c>
      <c r="M2456" s="44" t="s">
        <v>976</v>
      </c>
      <c r="N2456" s="44" t="s">
        <v>839</v>
      </c>
      <c r="O2456" s="45" t="s">
        <v>383</v>
      </c>
      <c r="P2456" s="45" t="s">
        <v>3760</v>
      </c>
      <c r="Q2456" s="59" t="str">
        <f>MID(Tabla1[[#This Row],[Aplicación]],14,1)</f>
        <v>2</v>
      </c>
      <c r="R2456" s="35" t="s">
        <v>298</v>
      </c>
      <c r="S2456" s="59" t="str">
        <f>MID(Tabla1[[#This Row],[Aplicación]],6,2)</f>
        <v>08</v>
      </c>
      <c r="T2456" s="35" t="str">
        <f>VLOOKUP(Tabla1[[#This Row],[AREA]],Hoja1!A:B,2,FALSE)</f>
        <v>08. Movilidad y espacio urbano</v>
      </c>
      <c r="U2456" s="56" t="str">
        <f>MID(Tabla1[[#This Row],[Aplicación]],9,4)</f>
        <v>1532</v>
      </c>
      <c r="V2456" s="35" t="str">
        <f>VLOOKUP(Tabla1[[#This Row],[PROGRAMA]],Hoja1!A:B,2,FALSE)</f>
        <v>1532. Pavimentación vias públicas y otros servicios urbanísticos</v>
      </c>
      <c r="W2456" s="56" t="str">
        <f>MID(Tabla1[[#This Row],[Aplicación]],14,2)</f>
        <v>22</v>
      </c>
      <c r="X2456" s="56" t="str">
        <f>MID(Tabla1[[#This Row],[Aplicación]],14,6)</f>
        <v>22103</v>
      </c>
    </row>
    <row r="2457" spans="1:24" x14ac:dyDescent="0.25">
      <c r="A2457" s="62">
        <v>220230020466</v>
      </c>
      <c r="B2457" s="44" t="s">
        <v>507</v>
      </c>
      <c r="C2457" s="64">
        <v>45057</v>
      </c>
      <c r="D2457" s="62">
        <v>22023003741</v>
      </c>
      <c r="E2457" s="44" t="s">
        <v>958</v>
      </c>
      <c r="F2457" s="65">
        <v>252.66</v>
      </c>
      <c r="G2457" s="44" t="s">
        <v>35</v>
      </c>
      <c r="H2457" s="44" t="s">
        <v>4045</v>
      </c>
      <c r="I2457" s="62" t="s">
        <v>511</v>
      </c>
      <c r="J2457" s="44" t="s">
        <v>519</v>
      </c>
      <c r="K2457" s="44" t="s">
        <v>519</v>
      </c>
      <c r="L2457" s="44" t="s">
        <v>552</v>
      </c>
      <c r="M2457" s="44" t="s">
        <v>976</v>
      </c>
      <c r="N2457" s="44" t="s">
        <v>839</v>
      </c>
      <c r="O2457" s="45" t="s">
        <v>383</v>
      </c>
      <c r="P2457" s="45" t="s">
        <v>3760</v>
      </c>
      <c r="Q2457" s="59" t="str">
        <f>MID(Tabla1[[#This Row],[Aplicación]],14,1)</f>
        <v>2</v>
      </c>
      <c r="R2457" s="35" t="s">
        <v>298</v>
      </c>
      <c r="S2457" s="59" t="str">
        <f>MID(Tabla1[[#This Row],[Aplicación]],6,2)</f>
        <v>08</v>
      </c>
      <c r="T2457" s="35" t="str">
        <f>VLOOKUP(Tabla1[[#This Row],[AREA]],Hoja1!A:B,2,FALSE)</f>
        <v>08. Movilidad y espacio urbano</v>
      </c>
      <c r="U2457" s="56" t="str">
        <f>MID(Tabla1[[#This Row],[Aplicación]],9,4)</f>
        <v>1532</v>
      </c>
      <c r="V2457" s="35" t="str">
        <f>VLOOKUP(Tabla1[[#This Row],[PROGRAMA]],Hoja1!A:B,2,FALSE)</f>
        <v>1532. Pavimentación vias públicas y otros servicios urbanísticos</v>
      </c>
      <c r="W2457" s="56" t="str">
        <f>MID(Tabla1[[#This Row],[Aplicación]],14,2)</f>
        <v>22</v>
      </c>
      <c r="X2457" s="56" t="str">
        <f>MID(Tabla1[[#This Row],[Aplicación]],14,6)</f>
        <v>22103</v>
      </c>
    </row>
    <row r="2458" spans="1:24" x14ac:dyDescent="0.25">
      <c r="A2458" s="62">
        <v>220230024866</v>
      </c>
      <c r="B2458" s="44" t="s">
        <v>507</v>
      </c>
      <c r="C2458" s="64">
        <v>45070</v>
      </c>
      <c r="D2458" s="62">
        <v>22023004647</v>
      </c>
      <c r="E2458" s="44" t="s">
        <v>2310</v>
      </c>
      <c r="F2458" s="65">
        <v>2000</v>
      </c>
      <c r="G2458" s="44" t="s">
        <v>394</v>
      </c>
      <c r="H2458" s="44" t="s">
        <v>4046</v>
      </c>
      <c r="I2458" s="62" t="s">
        <v>511</v>
      </c>
      <c r="J2458" s="44" t="s">
        <v>519</v>
      </c>
      <c r="K2458" s="44" t="s">
        <v>519</v>
      </c>
      <c r="L2458" s="44" t="s">
        <v>552</v>
      </c>
      <c r="M2458" s="44" t="s">
        <v>976</v>
      </c>
      <c r="N2458" s="44" t="s">
        <v>839</v>
      </c>
      <c r="O2458" s="45" t="s">
        <v>383</v>
      </c>
      <c r="P2458" s="45" t="s">
        <v>3760</v>
      </c>
      <c r="Q2458" s="59" t="str">
        <f>MID(Tabla1[[#This Row],[Aplicación]],14,1)</f>
        <v>2</v>
      </c>
      <c r="R2458" s="35" t="s">
        <v>298</v>
      </c>
      <c r="S2458" s="59" t="str">
        <f>MID(Tabla1[[#This Row],[Aplicación]],6,2)</f>
        <v>11</v>
      </c>
      <c r="T2458" s="35" t="str">
        <f>VLOOKUP(Tabla1[[#This Row],[AREA]],Hoja1!A:B,2,FALSE)</f>
        <v>11. Salud pública y seguridad ciudadana</v>
      </c>
      <c r="U2458" s="56" t="str">
        <f>MID(Tabla1[[#This Row],[Aplicación]],9,4)</f>
        <v>1321</v>
      </c>
      <c r="V2458" s="35" t="str">
        <f>VLOOKUP(Tabla1[[#This Row],[PROGRAMA]],Hoja1!A:B,2,FALSE)</f>
        <v>1321. Policía municipal</v>
      </c>
      <c r="W2458" s="56" t="str">
        <f>MID(Tabla1[[#This Row],[Aplicación]],14,2)</f>
        <v>22</v>
      </c>
      <c r="X2458" s="56" t="str">
        <f>MID(Tabla1[[#This Row],[Aplicación]],14,6)</f>
        <v>22199</v>
      </c>
    </row>
    <row r="2459" spans="1:24" x14ac:dyDescent="0.25">
      <c r="A2459" s="62">
        <v>220230025384</v>
      </c>
      <c r="B2459" s="44" t="s">
        <v>507</v>
      </c>
      <c r="C2459" s="64">
        <v>45072</v>
      </c>
      <c r="D2459" s="62">
        <v>22023004587</v>
      </c>
      <c r="E2459" s="44" t="s">
        <v>2562</v>
      </c>
      <c r="F2459" s="65">
        <v>1000</v>
      </c>
      <c r="G2459" s="44" t="s">
        <v>394</v>
      </c>
      <c r="H2459" s="44" t="s">
        <v>4047</v>
      </c>
      <c r="I2459" s="62" t="s">
        <v>511</v>
      </c>
      <c r="J2459" s="44" t="s">
        <v>519</v>
      </c>
      <c r="K2459" s="44" t="s">
        <v>519</v>
      </c>
      <c r="L2459" s="44" t="s">
        <v>520</v>
      </c>
      <c r="M2459" s="44" t="s">
        <v>976</v>
      </c>
      <c r="N2459" s="44" t="s">
        <v>839</v>
      </c>
      <c r="O2459" s="45" t="s">
        <v>383</v>
      </c>
      <c r="P2459" s="45" t="s">
        <v>3760</v>
      </c>
      <c r="Q2459" s="59" t="str">
        <f>MID(Tabla1[[#This Row],[Aplicación]],14,1)</f>
        <v>2</v>
      </c>
      <c r="R2459" s="35" t="s">
        <v>298</v>
      </c>
      <c r="S2459" s="59" t="str">
        <f>MID(Tabla1[[#This Row],[Aplicación]],6,2)</f>
        <v>06</v>
      </c>
      <c r="T2459" s="35" t="str">
        <f>VLOOKUP(Tabla1[[#This Row],[AREA]],Hoja1!A:B,2,FALSE)</f>
        <v>06. Educación, infancia, juventud e igualdad</v>
      </c>
      <c r="U2459" s="56" t="str">
        <f>MID(Tabla1[[#This Row],[Aplicación]],9,4)</f>
        <v>2315</v>
      </c>
      <c r="V2459" s="35" t="str">
        <f>VLOOKUP(Tabla1[[#This Row],[PROGRAMA]],Hoja1!A:B,2,FALSE)</f>
        <v>2315. Políticas de Igualdad e infancia</v>
      </c>
      <c r="W2459" s="56" t="str">
        <f>MID(Tabla1[[#This Row],[Aplicación]],14,2)</f>
        <v>22</v>
      </c>
      <c r="X2459" s="56" t="str">
        <f>MID(Tabla1[[#This Row],[Aplicación]],14,6)</f>
        <v>22699</v>
      </c>
    </row>
    <row r="2460" spans="1:24" x14ac:dyDescent="0.25">
      <c r="A2460" s="62">
        <v>220230022637</v>
      </c>
      <c r="B2460" s="44" t="s">
        <v>507</v>
      </c>
      <c r="C2460" s="64">
        <v>45068</v>
      </c>
      <c r="D2460" s="62">
        <v>22023004591</v>
      </c>
      <c r="E2460" s="44" t="s">
        <v>2662</v>
      </c>
      <c r="F2460" s="65">
        <v>711.99</v>
      </c>
      <c r="G2460" s="44" t="s">
        <v>394</v>
      </c>
      <c r="H2460" s="44" t="s">
        <v>4048</v>
      </c>
      <c r="I2460" s="62" t="s">
        <v>511</v>
      </c>
      <c r="J2460" s="44" t="s">
        <v>519</v>
      </c>
      <c r="K2460" s="44" t="s">
        <v>519</v>
      </c>
      <c r="L2460" s="44" t="s">
        <v>552</v>
      </c>
      <c r="M2460" s="44" t="s">
        <v>976</v>
      </c>
      <c r="N2460" s="44" t="s">
        <v>839</v>
      </c>
      <c r="O2460" s="45" t="s">
        <v>383</v>
      </c>
      <c r="P2460" s="45" t="s">
        <v>3760</v>
      </c>
      <c r="Q2460" s="59" t="str">
        <f>MID(Tabla1[[#This Row],[Aplicación]],14,1)</f>
        <v>2</v>
      </c>
      <c r="R2460" s="35" t="s">
        <v>298</v>
      </c>
      <c r="S2460" s="59" t="str">
        <f>MID(Tabla1[[#This Row],[Aplicación]],6,2)</f>
        <v>11</v>
      </c>
      <c r="T2460" s="35" t="str">
        <f>VLOOKUP(Tabla1[[#This Row],[AREA]],Hoja1!A:B,2,FALSE)</f>
        <v>11. Salud pública y seguridad ciudadana</v>
      </c>
      <c r="U2460" s="56" t="str">
        <f>MID(Tabla1[[#This Row],[Aplicación]],9,4)</f>
        <v>1631</v>
      </c>
      <c r="V2460" s="35" t="str">
        <f>VLOOKUP(Tabla1[[#This Row],[PROGRAMA]],Hoja1!A:B,2,FALSE)</f>
        <v>1631. Limpieza viaria</v>
      </c>
      <c r="W2460" s="56" t="str">
        <f>MID(Tabla1[[#This Row],[Aplicación]],14,2)</f>
        <v>22</v>
      </c>
      <c r="X2460" s="56" t="str">
        <f>MID(Tabla1[[#This Row],[Aplicación]],14,6)</f>
        <v>22199</v>
      </c>
    </row>
    <row r="2461" spans="1:24" x14ac:dyDescent="0.25">
      <c r="A2461" s="62">
        <v>220230022644</v>
      </c>
      <c r="B2461" s="44" t="s">
        <v>507</v>
      </c>
      <c r="C2461" s="64">
        <v>45068</v>
      </c>
      <c r="D2461" s="62">
        <v>22023004627</v>
      </c>
      <c r="E2461" s="44" t="s">
        <v>1532</v>
      </c>
      <c r="F2461" s="65">
        <v>605</v>
      </c>
      <c r="G2461" s="44" t="s">
        <v>394</v>
      </c>
      <c r="H2461" s="44" t="s">
        <v>4049</v>
      </c>
      <c r="I2461" s="62" t="s">
        <v>511</v>
      </c>
      <c r="J2461" s="44" t="s">
        <v>519</v>
      </c>
      <c r="K2461" s="44" t="s">
        <v>519</v>
      </c>
      <c r="L2461" s="44" t="s">
        <v>552</v>
      </c>
      <c r="M2461" s="44" t="s">
        <v>976</v>
      </c>
      <c r="N2461" s="44" t="s">
        <v>839</v>
      </c>
      <c r="O2461" s="45" t="s">
        <v>383</v>
      </c>
      <c r="P2461" s="45" t="s">
        <v>3760</v>
      </c>
      <c r="Q2461" s="59" t="str">
        <f>MID(Tabla1[[#This Row],[Aplicación]],14,1)</f>
        <v>2</v>
      </c>
      <c r="R2461" s="35" t="s">
        <v>298</v>
      </c>
      <c r="S2461" s="59" t="str">
        <f>MID(Tabla1[[#This Row],[Aplicación]],6,2)</f>
        <v>09</v>
      </c>
      <c r="T2461" s="35" t="str">
        <f>VLOOKUP(Tabla1[[#This Row],[AREA]],Hoja1!A:B,2,FALSE)</f>
        <v>09. Cultura y turismo</v>
      </c>
      <c r="U2461" s="56" t="str">
        <f>MID(Tabla1[[#This Row],[Aplicación]],9,4)</f>
        <v>3341</v>
      </c>
      <c r="V2461" s="35" t="str">
        <f>VLOOKUP(Tabla1[[#This Row],[PROGRAMA]],Hoja1!A:B,2,FALSE)</f>
        <v>3341. Coordinación de políticas culturales</v>
      </c>
      <c r="W2461" s="56" t="str">
        <f>MID(Tabla1[[#This Row],[Aplicación]],14,2)</f>
        <v>22</v>
      </c>
      <c r="X2461" s="56" t="str">
        <f>MID(Tabla1[[#This Row],[Aplicación]],14,6)</f>
        <v>22699</v>
      </c>
    </row>
    <row r="2462" spans="1:24" x14ac:dyDescent="0.25">
      <c r="A2462" s="62">
        <v>220230022635</v>
      </c>
      <c r="B2462" s="44" t="s">
        <v>507</v>
      </c>
      <c r="C2462" s="64">
        <v>45068</v>
      </c>
      <c r="D2462" s="62">
        <v>22023004612</v>
      </c>
      <c r="E2462" s="44" t="s">
        <v>1479</v>
      </c>
      <c r="F2462" s="65">
        <v>332.27</v>
      </c>
      <c r="G2462" s="44" t="s">
        <v>394</v>
      </c>
      <c r="H2462" s="44" t="s">
        <v>4050</v>
      </c>
      <c r="I2462" s="62" t="s">
        <v>511</v>
      </c>
      <c r="J2462" s="44" t="s">
        <v>519</v>
      </c>
      <c r="K2462" s="44" t="s">
        <v>519</v>
      </c>
      <c r="L2462" s="44" t="s">
        <v>552</v>
      </c>
      <c r="M2462" s="44" t="s">
        <v>976</v>
      </c>
      <c r="N2462" s="44" t="s">
        <v>839</v>
      </c>
      <c r="O2462" s="45" t="s">
        <v>383</v>
      </c>
      <c r="P2462" s="45" t="s">
        <v>3760</v>
      </c>
      <c r="Q2462" s="59" t="str">
        <f>MID(Tabla1[[#This Row],[Aplicación]],14,1)</f>
        <v>2</v>
      </c>
      <c r="R2462" s="35" t="s">
        <v>298</v>
      </c>
      <c r="S2462" s="59" t="str">
        <f>MID(Tabla1[[#This Row],[Aplicación]],6,2)</f>
        <v>03</v>
      </c>
      <c r="T2462" s="35" t="str">
        <f>VLOOKUP(Tabla1[[#This Row],[AREA]],Hoja1!A:B,2,FALSE)</f>
        <v>03. Participación ciudadana y deportes</v>
      </c>
      <c r="U2462" s="56" t="str">
        <f>MID(Tabla1[[#This Row],[Aplicación]],9,4)</f>
        <v>9241</v>
      </c>
      <c r="V2462" s="35" t="str">
        <f>VLOOKUP(Tabla1[[#This Row],[PROGRAMA]],Hoja1!A:B,2,FALSE)</f>
        <v>9241. Participación ciudadana</v>
      </c>
      <c r="W2462" s="56" t="str">
        <f>MID(Tabla1[[#This Row],[Aplicación]],14,2)</f>
        <v>22</v>
      </c>
      <c r="X2462" s="56" t="str">
        <f>MID(Tabla1[[#This Row],[Aplicación]],14,6)</f>
        <v>22609</v>
      </c>
    </row>
    <row r="2463" spans="1:24" x14ac:dyDescent="0.25">
      <c r="A2463" s="62">
        <v>220230015954</v>
      </c>
      <c r="B2463" s="44" t="s">
        <v>507</v>
      </c>
      <c r="C2463" s="64">
        <v>45042</v>
      </c>
      <c r="D2463" s="62">
        <v>22023003952</v>
      </c>
      <c r="E2463" s="44" t="s">
        <v>1260</v>
      </c>
      <c r="F2463" s="65">
        <v>275.83</v>
      </c>
      <c r="G2463" s="44" t="s">
        <v>394</v>
      </c>
      <c r="H2463" s="44" t="s">
        <v>4051</v>
      </c>
      <c r="I2463" s="62" t="s">
        <v>511</v>
      </c>
      <c r="J2463" s="44" t="s">
        <v>519</v>
      </c>
      <c r="K2463" s="44" t="s">
        <v>519</v>
      </c>
      <c r="L2463" s="44" t="s">
        <v>552</v>
      </c>
      <c r="M2463" s="44" t="s">
        <v>976</v>
      </c>
      <c r="N2463" s="44" t="s">
        <v>839</v>
      </c>
      <c r="O2463" s="45" t="s">
        <v>383</v>
      </c>
      <c r="P2463" s="45" t="s">
        <v>3760</v>
      </c>
      <c r="Q2463" s="59" t="str">
        <f>MID(Tabla1[[#This Row],[Aplicación]],14,1)</f>
        <v>2</v>
      </c>
      <c r="R2463" s="35" t="s">
        <v>298</v>
      </c>
      <c r="S2463" s="59" t="str">
        <f>MID(Tabla1[[#This Row],[Aplicación]],6,2)</f>
        <v>03</v>
      </c>
      <c r="T2463" s="35" t="str">
        <f>VLOOKUP(Tabla1[[#This Row],[AREA]],Hoja1!A:B,2,FALSE)</f>
        <v>03. Participación ciudadana y deportes</v>
      </c>
      <c r="U2463" s="56" t="str">
        <f>MID(Tabla1[[#This Row],[Aplicación]],9,4)</f>
        <v>9241</v>
      </c>
      <c r="V2463" s="35" t="str">
        <f>VLOOKUP(Tabla1[[#This Row],[PROGRAMA]],Hoja1!A:B,2,FALSE)</f>
        <v>9241. Participación ciudadana</v>
      </c>
      <c r="W2463" s="56" t="str">
        <f>MID(Tabla1[[#This Row],[Aplicación]],14,2)</f>
        <v>22</v>
      </c>
      <c r="X2463" s="56" t="str">
        <f>MID(Tabla1[[#This Row],[Aplicación]],14,6)</f>
        <v>22602</v>
      </c>
    </row>
    <row r="2464" spans="1:24" x14ac:dyDescent="0.25">
      <c r="A2464" s="62">
        <v>220230015986</v>
      </c>
      <c r="B2464" s="44" t="s">
        <v>507</v>
      </c>
      <c r="C2464" s="64">
        <v>45042</v>
      </c>
      <c r="D2464" s="62">
        <v>22023004041</v>
      </c>
      <c r="E2464" s="44" t="s">
        <v>1260</v>
      </c>
      <c r="F2464" s="65">
        <v>234.01</v>
      </c>
      <c r="G2464" s="44" t="s">
        <v>394</v>
      </c>
      <c r="H2464" s="44" t="s">
        <v>4052</v>
      </c>
      <c r="I2464" s="62" t="s">
        <v>511</v>
      </c>
      <c r="J2464" s="44" t="s">
        <v>519</v>
      </c>
      <c r="K2464" s="44" t="s">
        <v>519</v>
      </c>
      <c r="L2464" s="44" t="s">
        <v>552</v>
      </c>
      <c r="M2464" s="44" t="s">
        <v>976</v>
      </c>
      <c r="N2464" s="44" t="s">
        <v>839</v>
      </c>
      <c r="O2464" s="45" t="s">
        <v>383</v>
      </c>
      <c r="P2464" s="45" t="s">
        <v>3760</v>
      </c>
      <c r="Q2464" s="59" t="str">
        <f>MID(Tabla1[[#This Row],[Aplicación]],14,1)</f>
        <v>2</v>
      </c>
      <c r="R2464" s="35" t="s">
        <v>298</v>
      </c>
      <c r="S2464" s="59" t="str">
        <f>MID(Tabla1[[#This Row],[Aplicación]],6,2)</f>
        <v>03</v>
      </c>
      <c r="T2464" s="35" t="str">
        <f>VLOOKUP(Tabla1[[#This Row],[AREA]],Hoja1!A:B,2,FALSE)</f>
        <v>03. Participación ciudadana y deportes</v>
      </c>
      <c r="U2464" s="56" t="str">
        <f>MID(Tabla1[[#This Row],[Aplicación]],9,4)</f>
        <v>9241</v>
      </c>
      <c r="V2464" s="35" t="str">
        <f>VLOOKUP(Tabla1[[#This Row],[PROGRAMA]],Hoja1!A:B,2,FALSE)</f>
        <v>9241. Participación ciudadana</v>
      </c>
      <c r="W2464" s="56" t="str">
        <f>MID(Tabla1[[#This Row],[Aplicación]],14,2)</f>
        <v>22</v>
      </c>
      <c r="X2464" s="56" t="str">
        <f>MID(Tabla1[[#This Row],[Aplicación]],14,6)</f>
        <v>22602</v>
      </c>
    </row>
    <row r="2465" spans="1:24" x14ac:dyDescent="0.25">
      <c r="A2465" s="62">
        <v>220230018168</v>
      </c>
      <c r="B2465" s="44" t="s">
        <v>507</v>
      </c>
      <c r="C2465" s="64">
        <v>45054</v>
      </c>
      <c r="D2465" s="62">
        <v>22023004293</v>
      </c>
      <c r="E2465" s="44" t="s">
        <v>4053</v>
      </c>
      <c r="F2465" s="65">
        <v>37.15</v>
      </c>
      <c r="G2465" s="44" t="s">
        <v>394</v>
      </c>
      <c r="H2465" s="44" t="s">
        <v>4054</v>
      </c>
      <c r="I2465" s="62" t="s">
        <v>511</v>
      </c>
      <c r="J2465" s="44" t="s">
        <v>519</v>
      </c>
      <c r="K2465" s="44" t="s">
        <v>519</v>
      </c>
      <c r="L2465" s="44" t="s">
        <v>552</v>
      </c>
      <c r="M2465" s="44" t="s">
        <v>976</v>
      </c>
      <c r="N2465" s="44" t="s">
        <v>839</v>
      </c>
      <c r="O2465" s="45" t="s">
        <v>383</v>
      </c>
      <c r="P2465" s="45" t="s">
        <v>3760</v>
      </c>
      <c r="Q2465" s="59" t="str">
        <f>MID(Tabla1[[#This Row],[Aplicación]],14,1)</f>
        <v>2</v>
      </c>
      <c r="R2465" s="35" t="s">
        <v>298</v>
      </c>
      <c r="S2465" s="59" t="str">
        <f>MID(Tabla1[[#This Row],[Aplicación]],6,2)</f>
        <v>05</v>
      </c>
      <c r="T2465" s="35" t="str">
        <f>VLOOKUP(Tabla1[[#This Row],[AREA]],Hoja1!A:B,2,FALSE)</f>
        <v>05. Innovación, desarrollo económico, empleo y comercio</v>
      </c>
      <c r="U2465" s="56" t="str">
        <f>MID(Tabla1[[#This Row],[Aplicación]],9,4)</f>
        <v>4331</v>
      </c>
      <c r="V2465" s="35" t="str">
        <f>VLOOKUP(Tabla1[[#This Row],[PROGRAMA]],Hoja1!A:B,2,FALSE)</f>
        <v>4331. Desarrollo empresarial</v>
      </c>
      <c r="W2465" s="56" t="str">
        <f>MID(Tabla1[[#This Row],[Aplicación]],14,2)</f>
        <v>22</v>
      </c>
      <c r="X2465" s="56" t="str">
        <f>MID(Tabla1[[#This Row],[Aplicación]],14,6)</f>
        <v>22199</v>
      </c>
    </row>
    <row r="2466" spans="1:24" x14ac:dyDescent="0.25">
      <c r="A2466" s="62">
        <v>220230012980</v>
      </c>
      <c r="B2466" s="44" t="s">
        <v>507</v>
      </c>
      <c r="C2466" s="64">
        <v>45019</v>
      </c>
      <c r="D2466" s="62">
        <v>22023003722</v>
      </c>
      <c r="E2466" s="44" t="s">
        <v>2046</v>
      </c>
      <c r="F2466" s="65">
        <v>258.08999999999997</v>
      </c>
      <c r="G2466" s="44" t="s">
        <v>4055</v>
      </c>
      <c r="H2466" s="44" t="s">
        <v>4056</v>
      </c>
      <c r="I2466" s="62" t="s">
        <v>511</v>
      </c>
      <c r="J2466" s="44" t="s">
        <v>519</v>
      </c>
      <c r="K2466" s="44" t="s">
        <v>519</v>
      </c>
      <c r="L2466" s="44" t="s">
        <v>552</v>
      </c>
      <c r="M2466" s="44" t="s">
        <v>976</v>
      </c>
      <c r="N2466" s="44" t="s">
        <v>839</v>
      </c>
      <c r="O2466" s="45" t="s">
        <v>383</v>
      </c>
      <c r="P2466" s="45" t="s">
        <v>3760</v>
      </c>
      <c r="Q2466" s="59" t="str">
        <f>MID(Tabla1[[#This Row],[Aplicación]],14,1)</f>
        <v>2</v>
      </c>
      <c r="R2466" s="35" t="s">
        <v>298</v>
      </c>
      <c r="S2466" s="59" t="str">
        <f>MID(Tabla1[[#This Row],[Aplicación]],6,2)</f>
        <v>06</v>
      </c>
      <c r="T2466" s="35" t="str">
        <f>VLOOKUP(Tabla1[[#This Row],[AREA]],Hoja1!A:B,2,FALSE)</f>
        <v>06. Educación, infancia, juventud e igualdad</v>
      </c>
      <c r="U2466" s="56" t="str">
        <f>MID(Tabla1[[#This Row],[Aplicación]],9,4)</f>
        <v>3321</v>
      </c>
      <c r="V2466" s="35" t="str">
        <f>VLOOKUP(Tabla1[[#This Row],[PROGRAMA]],Hoja1!A:B,2,FALSE)</f>
        <v>3321. Bibliotecas públicas</v>
      </c>
      <c r="W2466" s="56" t="str">
        <f>MID(Tabla1[[#This Row],[Aplicación]],14,2)</f>
        <v>22</v>
      </c>
      <c r="X2466" s="56" t="str">
        <f>MID(Tabla1[[#This Row],[Aplicación]],14,6)</f>
        <v>22199</v>
      </c>
    </row>
    <row r="2467" spans="1:24" x14ac:dyDescent="0.25">
      <c r="A2467" s="62">
        <v>220230020787</v>
      </c>
      <c r="B2467" s="44" t="s">
        <v>507</v>
      </c>
      <c r="C2467" s="64">
        <v>45062</v>
      </c>
      <c r="D2467" s="62">
        <v>22023004448</v>
      </c>
      <c r="E2467" s="44" t="s">
        <v>4057</v>
      </c>
      <c r="F2467" s="65">
        <v>3485.01</v>
      </c>
      <c r="G2467" s="44" t="s">
        <v>4058</v>
      </c>
      <c r="H2467" s="44" t="s">
        <v>4059</v>
      </c>
      <c r="I2467" s="62" t="s">
        <v>511</v>
      </c>
      <c r="J2467" s="44" t="s">
        <v>519</v>
      </c>
      <c r="K2467" s="44" t="s">
        <v>519</v>
      </c>
      <c r="L2467" s="44" t="s">
        <v>552</v>
      </c>
      <c r="M2467" s="44" t="s">
        <v>976</v>
      </c>
      <c r="N2467" s="44" t="s">
        <v>839</v>
      </c>
      <c r="O2467" s="45" t="s">
        <v>383</v>
      </c>
      <c r="P2467" s="45" t="s">
        <v>3760</v>
      </c>
      <c r="Q2467" s="59" t="str">
        <f>MID(Tabla1[[#This Row],[Aplicación]],14,1)</f>
        <v>6</v>
      </c>
      <c r="R2467" s="35" t="s">
        <v>299</v>
      </c>
      <c r="S2467" s="59" t="str">
        <f>MID(Tabla1[[#This Row],[Aplicación]],6,2)</f>
        <v>05</v>
      </c>
      <c r="T2467" s="35" t="str">
        <f>VLOOKUP(Tabla1[[#This Row],[AREA]],Hoja1!A:B,2,FALSE)</f>
        <v>05. Innovación, desarrollo económico, empleo y comercio</v>
      </c>
      <c r="U2467" s="56" t="str">
        <f>MID(Tabla1[[#This Row],[Aplicación]],9,4)</f>
        <v>4312</v>
      </c>
      <c r="V2467" s="35" t="str">
        <f>VLOOKUP(Tabla1[[#This Row],[PROGRAMA]],Hoja1!A:B,2,FALSE)</f>
        <v>4312. Mercados, abastos y lonjas</v>
      </c>
      <c r="W2467" s="56" t="str">
        <f>MID(Tabla1[[#This Row],[Aplicación]],14,2)</f>
        <v>63</v>
      </c>
      <c r="X2467" s="56" t="str">
        <f>MID(Tabla1[[#This Row],[Aplicación]],14,6)</f>
        <v>632</v>
      </c>
    </row>
    <row r="2468" spans="1:24" x14ac:dyDescent="0.25">
      <c r="A2468" s="62">
        <v>220230020529</v>
      </c>
      <c r="B2468" s="44" t="s">
        <v>507</v>
      </c>
      <c r="C2468" s="64">
        <v>45058</v>
      </c>
      <c r="D2468" s="62">
        <v>22023004356</v>
      </c>
      <c r="E2468" s="44" t="s">
        <v>1285</v>
      </c>
      <c r="F2468" s="65">
        <v>338.16</v>
      </c>
      <c r="G2468" s="44" t="s">
        <v>4060</v>
      </c>
      <c r="H2468" s="44" t="s">
        <v>4061</v>
      </c>
      <c r="I2468" s="62" t="s">
        <v>511</v>
      </c>
      <c r="J2468" s="44" t="s">
        <v>519</v>
      </c>
      <c r="K2468" s="44" t="s">
        <v>519</v>
      </c>
      <c r="L2468" s="44" t="s">
        <v>552</v>
      </c>
      <c r="M2468" s="44" t="s">
        <v>976</v>
      </c>
      <c r="N2468" s="44" t="s">
        <v>839</v>
      </c>
      <c r="O2468" s="45" t="s">
        <v>383</v>
      </c>
      <c r="P2468" s="45" t="s">
        <v>3760</v>
      </c>
      <c r="Q2468" s="59" t="str">
        <f>MID(Tabla1[[#This Row],[Aplicación]],14,1)</f>
        <v>2</v>
      </c>
      <c r="R2468" s="35" t="s">
        <v>298</v>
      </c>
      <c r="S2468" s="59" t="str">
        <f>MID(Tabla1[[#This Row],[Aplicación]],6,2)</f>
        <v>11</v>
      </c>
      <c r="T2468" s="35" t="str">
        <f>VLOOKUP(Tabla1[[#This Row],[AREA]],Hoja1!A:B,2,FALSE)</f>
        <v>11. Salud pública y seguridad ciudadana</v>
      </c>
      <c r="U2468" s="56" t="str">
        <f>MID(Tabla1[[#This Row],[Aplicación]],9,4)</f>
        <v>1361</v>
      </c>
      <c r="V2468" s="35" t="str">
        <f>VLOOKUP(Tabla1[[#This Row],[PROGRAMA]],Hoja1!A:B,2,FALSE)</f>
        <v>1361. Prevención y extinción de incencios</v>
      </c>
      <c r="W2468" s="56" t="str">
        <f>MID(Tabla1[[#This Row],[Aplicación]],14,2)</f>
        <v>22</v>
      </c>
      <c r="X2468" s="56" t="str">
        <f>MID(Tabla1[[#This Row],[Aplicación]],14,6)</f>
        <v>22199</v>
      </c>
    </row>
    <row r="2469" spans="1:24" x14ac:dyDescent="0.25">
      <c r="A2469" s="62">
        <v>220230016601</v>
      </c>
      <c r="B2469" s="44" t="s">
        <v>507</v>
      </c>
      <c r="C2469" s="64">
        <v>45043</v>
      </c>
      <c r="D2469" s="62">
        <v>22023002880</v>
      </c>
      <c r="E2469" s="44" t="s">
        <v>1326</v>
      </c>
      <c r="F2469" s="65">
        <v>5242.66</v>
      </c>
      <c r="G2469" s="44" t="s">
        <v>1327</v>
      </c>
      <c r="H2469" s="44" t="s">
        <v>4062</v>
      </c>
      <c r="I2469" s="62" t="s">
        <v>511</v>
      </c>
      <c r="J2469" s="44" t="s">
        <v>573</v>
      </c>
      <c r="K2469" s="44" t="s">
        <v>573</v>
      </c>
      <c r="L2469" s="44" t="s">
        <v>520</v>
      </c>
      <c r="M2469" s="44" t="s">
        <v>514</v>
      </c>
      <c r="N2469" s="44" t="s">
        <v>515</v>
      </c>
      <c r="O2469" s="45" t="s">
        <v>371</v>
      </c>
      <c r="P2469" s="45" t="s">
        <v>3760</v>
      </c>
      <c r="Q2469" s="59" t="str">
        <f>MID(Tabla1[[#This Row],[Aplicación]],14,1)</f>
        <v>2</v>
      </c>
      <c r="R2469" s="35" t="s">
        <v>298</v>
      </c>
      <c r="S2469" s="59" t="str">
        <f>MID(Tabla1[[#This Row],[Aplicación]],6,2)</f>
        <v>07</v>
      </c>
      <c r="T2469" s="35" t="str">
        <f>VLOOKUP(Tabla1[[#This Row],[AREA]],Hoja1!A:B,2,FALSE)</f>
        <v>07. Medio ambiente y desarrollo sostenible</v>
      </c>
      <c r="U2469" s="56" t="str">
        <f>MID(Tabla1[[#This Row],[Aplicación]],9,4)</f>
        <v>1701</v>
      </c>
      <c r="V2469" s="35" t="str">
        <f>VLOOKUP(Tabla1[[#This Row],[PROGRAMA]],Hoja1!A:B,2,FALSE)</f>
        <v>1701. Dirección del área de medio ambiente</v>
      </c>
      <c r="W2469" s="56" t="str">
        <f>MID(Tabla1[[#This Row],[Aplicación]],14,2)</f>
        <v>22</v>
      </c>
      <c r="X2469" s="56" t="str">
        <f>MID(Tabla1[[#This Row],[Aplicación]],14,6)</f>
        <v>22799</v>
      </c>
    </row>
    <row r="2470" spans="1:24" x14ac:dyDescent="0.25">
      <c r="A2470" s="62">
        <v>220230018151</v>
      </c>
      <c r="B2470" s="44" t="s">
        <v>507</v>
      </c>
      <c r="C2470" s="64">
        <v>45054</v>
      </c>
      <c r="D2470" s="62">
        <v>22023004210</v>
      </c>
      <c r="E2470" s="44" t="s">
        <v>1386</v>
      </c>
      <c r="F2470" s="65">
        <v>1166</v>
      </c>
      <c r="G2470" s="44" t="s">
        <v>4063</v>
      </c>
      <c r="H2470" s="44" t="s">
        <v>4064</v>
      </c>
      <c r="I2470" s="62" t="s">
        <v>511</v>
      </c>
      <c r="J2470" s="44" t="s">
        <v>512</v>
      </c>
      <c r="K2470" s="44" t="s">
        <v>512</v>
      </c>
      <c r="L2470" s="44" t="s">
        <v>552</v>
      </c>
      <c r="M2470" s="44" t="s">
        <v>976</v>
      </c>
      <c r="N2470" s="44" t="s">
        <v>839</v>
      </c>
      <c r="O2470" s="45" t="s">
        <v>383</v>
      </c>
      <c r="P2470" s="45" t="s">
        <v>3760</v>
      </c>
      <c r="Q2470" s="59" t="str">
        <f>MID(Tabla1[[#This Row],[Aplicación]],14,1)</f>
        <v>2</v>
      </c>
      <c r="R2470" s="35" t="s">
        <v>298</v>
      </c>
      <c r="S2470" s="59" t="str">
        <f>MID(Tabla1[[#This Row],[Aplicación]],6,2)</f>
        <v>01</v>
      </c>
      <c r="T2470" s="35" t="str">
        <f>VLOOKUP(Tabla1[[#This Row],[AREA]],Hoja1!A:B,2,FALSE)</f>
        <v>01. Alcaldía</v>
      </c>
      <c r="U2470" s="56" t="str">
        <f>MID(Tabla1[[#This Row],[Aplicación]],9,4)</f>
        <v>9207</v>
      </c>
      <c r="V2470" s="35" t="str">
        <f>VLOOKUP(Tabla1[[#This Row],[PROGRAMA]],Hoja1!A:B,2,FALSE)</f>
        <v>9207. Gobierno y relaciones</v>
      </c>
      <c r="W2470" s="56" t="str">
        <f>MID(Tabla1[[#This Row],[Aplicación]],14,2)</f>
        <v>22</v>
      </c>
      <c r="X2470" s="56" t="str">
        <f>MID(Tabla1[[#This Row],[Aplicación]],14,6)</f>
        <v>22001</v>
      </c>
    </row>
    <row r="2471" spans="1:24" x14ac:dyDescent="0.25">
      <c r="A2471" s="62">
        <v>220230018155</v>
      </c>
      <c r="B2471" s="44" t="s">
        <v>507</v>
      </c>
      <c r="C2471" s="64">
        <v>45054</v>
      </c>
      <c r="D2471" s="62">
        <v>22023004334</v>
      </c>
      <c r="E2471" s="44" t="s">
        <v>1362</v>
      </c>
      <c r="F2471" s="65">
        <v>81.680000000000007</v>
      </c>
      <c r="G2471" s="44" t="s">
        <v>75</v>
      </c>
      <c r="H2471" s="44" t="s">
        <v>4065</v>
      </c>
      <c r="I2471" s="62" t="s">
        <v>511</v>
      </c>
      <c r="J2471" s="44" t="s">
        <v>1057</v>
      </c>
      <c r="K2471" s="44" t="s">
        <v>1057</v>
      </c>
      <c r="L2471" s="44" t="s">
        <v>520</v>
      </c>
      <c r="M2471" s="44" t="s">
        <v>976</v>
      </c>
      <c r="N2471" s="44" t="s">
        <v>839</v>
      </c>
      <c r="O2471" s="45" t="s">
        <v>383</v>
      </c>
      <c r="P2471" s="45" t="s">
        <v>3760</v>
      </c>
      <c r="Q2471" s="59" t="str">
        <f>MID(Tabla1[[#This Row],[Aplicación]],14,1)</f>
        <v>2</v>
      </c>
      <c r="R2471" s="35" t="s">
        <v>298</v>
      </c>
      <c r="S2471" s="59" t="str">
        <f>MID(Tabla1[[#This Row],[Aplicación]],6,2)</f>
        <v>09</v>
      </c>
      <c r="T2471" s="35" t="str">
        <f>VLOOKUP(Tabla1[[#This Row],[AREA]],Hoja1!A:B,2,FALSE)</f>
        <v>09. Cultura y turismo</v>
      </c>
      <c r="U2471" s="56" t="str">
        <f>MID(Tabla1[[#This Row],[Aplicación]],9,4)</f>
        <v>3341</v>
      </c>
      <c r="V2471" s="35" t="str">
        <f>VLOOKUP(Tabla1[[#This Row],[PROGRAMA]],Hoja1!A:B,2,FALSE)</f>
        <v>3341. Coordinación de políticas culturales</v>
      </c>
      <c r="W2471" s="56" t="str">
        <f>MID(Tabla1[[#This Row],[Aplicación]],14,2)</f>
        <v>21</v>
      </c>
      <c r="X2471" s="56" t="str">
        <f>MID(Tabla1[[#This Row],[Aplicación]],14,6)</f>
        <v>213</v>
      </c>
    </row>
    <row r="2472" spans="1:24" x14ac:dyDescent="0.25">
      <c r="A2472" s="62">
        <v>220230012973</v>
      </c>
      <c r="B2472" s="44" t="s">
        <v>507</v>
      </c>
      <c r="C2472" s="64">
        <v>45019</v>
      </c>
      <c r="D2472" s="62">
        <v>22023003494</v>
      </c>
      <c r="E2472" s="44" t="s">
        <v>1299</v>
      </c>
      <c r="F2472" s="65">
        <v>13893.74</v>
      </c>
      <c r="G2472" s="44" t="s">
        <v>95</v>
      </c>
      <c r="H2472" s="44" t="s">
        <v>4066</v>
      </c>
      <c r="I2472" s="62" t="s">
        <v>511</v>
      </c>
      <c r="J2472" s="44" t="s">
        <v>512</v>
      </c>
      <c r="K2472" s="44" t="s">
        <v>512</v>
      </c>
      <c r="L2472" s="44" t="s">
        <v>552</v>
      </c>
      <c r="M2472" s="44" t="s">
        <v>976</v>
      </c>
      <c r="N2472" s="44" t="s">
        <v>839</v>
      </c>
      <c r="O2472" s="45" t="s">
        <v>383</v>
      </c>
      <c r="P2472" s="45" t="s">
        <v>3760</v>
      </c>
      <c r="Q2472" s="59" t="str">
        <f>MID(Tabla1[[#This Row],[Aplicación]],14,1)</f>
        <v>2</v>
      </c>
      <c r="R2472" s="35" t="s">
        <v>298</v>
      </c>
      <c r="S2472" s="59" t="str">
        <f>MID(Tabla1[[#This Row],[Aplicación]],6,2)</f>
        <v>06</v>
      </c>
      <c r="T2472" s="35" t="str">
        <f>VLOOKUP(Tabla1[[#This Row],[AREA]],Hoja1!A:B,2,FALSE)</f>
        <v>06. Educación, infancia, juventud e igualdad</v>
      </c>
      <c r="U2472" s="56" t="str">
        <f>MID(Tabla1[[#This Row],[Aplicación]],9,4)</f>
        <v>3321</v>
      </c>
      <c r="V2472" s="35" t="str">
        <f>VLOOKUP(Tabla1[[#This Row],[PROGRAMA]],Hoja1!A:B,2,FALSE)</f>
        <v>3321. Bibliotecas públicas</v>
      </c>
      <c r="W2472" s="56" t="str">
        <f>MID(Tabla1[[#This Row],[Aplicación]],14,2)</f>
        <v>22</v>
      </c>
      <c r="X2472" s="56" t="str">
        <f>MID(Tabla1[[#This Row],[Aplicación]],14,6)</f>
        <v>22001</v>
      </c>
    </row>
    <row r="2473" spans="1:24" x14ac:dyDescent="0.25">
      <c r="A2473" s="62">
        <v>220230018175</v>
      </c>
      <c r="B2473" s="44" t="s">
        <v>507</v>
      </c>
      <c r="C2473" s="64">
        <v>45054</v>
      </c>
      <c r="D2473" s="62">
        <v>22023004342</v>
      </c>
      <c r="E2473" s="44" t="s">
        <v>1479</v>
      </c>
      <c r="F2473" s="65">
        <v>4598</v>
      </c>
      <c r="G2473" s="44" t="s">
        <v>4067</v>
      </c>
      <c r="H2473" s="44" t="s">
        <v>4068</v>
      </c>
      <c r="I2473" s="62" t="s">
        <v>511</v>
      </c>
      <c r="J2473" s="44" t="s">
        <v>519</v>
      </c>
      <c r="K2473" s="44" t="s">
        <v>519</v>
      </c>
      <c r="L2473" s="44" t="s">
        <v>520</v>
      </c>
      <c r="M2473" s="44" t="s">
        <v>976</v>
      </c>
      <c r="N2473" s="44" t="s">
        <v>839</v>
      </c>
      <c r="O2473" s="45" t="s">
        <v>383</v>
      </c>
      <c r="P2473" s="45" t="s">
        <v>3760</v>
      </c>
      <c r="Q2473" s="59" t="str">
        <f>MID(Tabla1[[#This Row],[Aplicación]],14,1)</f>
        <v>2</v>
      </c>
      <c r="R2473" s="35" t="s">
        <v>298</v>
      </c>
      <c r="S2473" s="59" t="str">
        <f>MID(Tabla1[[#This Row],[Aplicación]],6,2)</f>
        <v>03</v>
      </c>
      <c r="T2473" s="35" t="str">
        <f>VLOOKUP(Tabla1[[#This Row],[AREA]],Hoja1!A:B,2,FALSE)</f>
        <v>03. Participación ciudadana y deportes</v>
      </c>
      <c r="U2473" s="56" t="str">
        <f>MID(Tabla1[[#This Row],[Aplicación]],9,4)</f>
        <v>9241</v>
      </c>
      <c r="V2473" s="35" t="str">
        <f>VLOOKUP(Tabla1[[#This Row],[PROGRAMA]],Hoja1!A:B,2,FALSE)</f>
        <v>9241. Participación ciudadana</v>
      </c>
      <c r="W2473" s="56" t="str">
        <f>MID(Tabla1[[#This Row],[Aplicación]],14,2)</f>
        <v>22</v>
      </c>
      <c r="X2473" s="56" t="str">
        <f>MID(Tabla1[[#This Row],[Aplicación]],14,6)</f>
        <v>22609</v>
      </c>
    </row>
    <row r="2474" spans="1:24" x14ac:dyDescent="0.25">
      <c r="A2474" s="62">
        <v>220230020474</v>
      </c>
      <c r="B2474" s="44" t="s">
        <v>507</v>
      </c>
      <c r="C2474" s="64">
        <v>45057</v>
      </c>
      <c r="D2474" s="62">
        <v>22023004419</v>
      </c>
      <c r="E2474" s="44" t="s">
        <v>4057</v>
      </c>
      <c r="F2474" s="65">
        <v>7029.62</v>
      </c>
      <c r="G2474" s="44" t="s">
        <v>320</v>
      </c>
      <c r="H2474" s="44" t="s">
        <v>4069</v>
      </c>
      <c r="I2474" s="62" t="s">
        <v>511</v>
      </c>
      <c r="J2474" s="44" t="s">
        <v>519</v>
      </c>
      <c r="K2474" s="44" t="s">
        <v>519</v>
      </c>
      <c r="L2474" s="44" t="s">
        <v>520</v>
      </c>
      <c r="M2474" s="44" t="s">
        <v>976</v>
      </c>
      <c r="N2474" s="44" t="s">
        <v>839</v>
      </c>
      <c r="O2474" s="45" t="s">
        <v>383</v>
      </c>
      <c r="P2474" s="45" t="s">
        <v>3760</v>
      </c>
      <c r="Q2474" s="59" t="str">
        <f>MID(Tabla1[[#This Row],[Aplicación]],14,1)</f>
        <v>6</v>
      </c>
      <c r="R2474" s="35" t="s">
        <v>299</v>
      </c>
      <c r="S2474" s="59" t="str">
        <f>MID(Tabla1[[#This Row],[Aplicación]],6,2)</f>
        <v>05</v>
      </c>
      <c r="T2474" s="35" t="str">
        <f>VLOOKUP(Tabla1[[#This Row],[AREA]],Hoja1!A:B,2,FALSE)</f>
        <v>05. Innovación, desarrollo económico, empleo y comercio</v>
      </c>
      <c r="U2474" s="56" t="str">
        <f>MID(Tabla1[[#This Row],[Aplicación]],9,4)</f>
        <v>4312</v>
      </c>
      <c r="V2474" s="35" t="str">
        <f>VLOOKUP(Tabla1[[#This Row],[PROGRAMA]],Hoja1!A:B,2,FALSE)</f>
        <v>4312. Mercados, abastos y lonjas</v>
      </c>
      <c r="W2474" s="56" t="str">
        <f>MID(Tabla1[[#This Row],[Aplicación]],14,2)</f>
        <v>63</v>
      </c>
      <c r="X2474" s="56" t="str">
        <f>MID(Tabla1[[#This Row],[Aplicación]],14,6)</f>
        <v>632</v>
      </c>
    </row>
    <row r="2475" spans="1:24" x14ac:dyDescent="0.25">
      <c r="A2475" s="62">
        <v>220230015361</v>
      </c>
      <c r="B2475" s="44" t="s">
        <v>507</v>
      </c>
      <c r="C2475" s="64">
        <v>45041</v>
      </c>
      <c r="D2475" s="62">
        <v>22023003906</v>
      </c>
      <c r="E2475" s="44" t="s">
        <v>669</v>
      </c>
      <c r="F2475" s="65">
        <v>3000</v>
      </c>
      <c r="G2475" s="44" t="s">
        <v>320</v>
      </c>
      <c r="H2475" s="44" t="s">
        <v>4070</v>
      </c>
      <c r="I2475" s="62" t="s">
        <v>511</v>
      </c>
      <c r="J2475" s="44" t="s">
        <v>519</v>
      </c>
      <c r="K2475" s="44" t="s">
        <v>519</v>
      </c>
      <c r="L2475" s="44" t="s">
        <v>520</v>
      </c>
      <c r="M2475" s="44" t="s">
        <v>976</v>
      </c>
      <c r="N2475" s="44" t="s">
        <v>839</v>
      </c>
      <c r="O2475" s="45" t="s">
        <v>383</v>
      </c>
      <c r="P2475" s="45" t="s">
        <v>3760</v>
      </c>
      <c r="Q2475" s="59" t="str">
        <f>MID(Tabla1[[#This Row],[Aplicación]],14,1)</f>
        <v>2</v>
      </c>
      <c r="R2475" s="35" t="s">
        <v>298</v>
      </c>
      <c r="S2475" s="59" t="str">
        <f>MID(Tabla1[[#This Row],[Aplicación]],6,2)</f>
        <v>06</v>
      </c>
      <c r="T2475" s="35" t="str">
        <f>VLOOKUP(Tabla1[[#This Row],[AREA]],Hoja1!A:B,2,FALSE)</f>
        <v>06. Educación, infancia, juventud e igualdad</v>
      </c>
      <c r="U2475" s="56" t="str">
        <f>MID(Tabla1[[#This Row],[Aplicación]],9,4)</f>
        <v>3232</v>
      </c>
      <c r="V2475" s="35" t="str">
        <f>VLOOKUP(Tabla1[[#This Row],[PROGRAMA]],Hoja1!A:B,2,FALSE)</f>
        <v>3232. Conservación y mantenimiento centros educación infantil y primaria</v>
      </c>
      <c r="W2475" s="56" t="str">
        <f>MID(Tabla1[[#This Row],[Aplicación]],14,2)</f>
        <v>21</v>
      </c>
      <c r="X2475" s="56" t="str">
        <f>MID(Tabla1[[#This Row],[Aplicación]],14,6)</f>
        <v>213</v>
      </c>
    </row>
    <row r="2476" spans="1:24" x14ac:dyDescent="0.25">
      <c r="A2476" s="62">
        <v>220230016597</v>
      </c>
      <c r="B2476" s="44" t="s">
        <v>507</v>
      </c>
      <c r="C2476" s="64">
        <v>45043</v>
      </c>
      <c r="D2476" s="62">
        <v>22023002861</v>
      </c>
      <c r="E2476" s="44" t="s">
        <v>583</v>
      </c>
      <c r="F2476" s="65">
        <v>7562.5</v>
      </c>
      <c r="G2476" s="44" t="s">
        <v>2201</v>
      </c>
      <c r="H2476" s="44" t="s">
        <v>4071</v>
      </c>
      <c r="I2476" s="62" t="s">
        <v>511</v>
      </c>
      <c r="J2476" s="44" t="s">
        <v>1487</v>
      </c>
      <c r="K2476" s="44" t="s">
        <v>519</v>
      </c>
      <c r="L2476" s="44" t="s">
        <v>520</v>
      </c>
      <c r="M2476" s="44" t="s">
        <v>514</v>
      </c>
      <c r="N2476" s="44" t="s">
        <v>515</v>
      </c>
      <c r="O2476" s="45" t="s">
        <v>382</v>
      </c>
      <c r="P2476" s="45" t="s">
        <v>3760</v>
      </c>
      <c r="Q2476" s="59" t="str">
        <f>MID(Tabla1[[#This Row],[Aplicación]],14,1)</f>
        <v>6</v>
      </c>
      <c r="R2476" s="35" t="s">
        <v>299</v>
      </c>
      <c r="S2476" s="59" t="str">
        <f>MID(Tabla1[[#This Row],[Aplicación]],6,2)</f>
        <v>02</v>
      </c>
      <c r="T2476" s="35" t="str">
        <f>VLOOKUP(Tabla1[[#This Row],[AREA]],Hoja1!A:B,2,FALSE)</f>
        <v>02. Planeamiento urbanístico y vivienda</v>
      </c>
      <c r="U2476" s="56" t="str">
        <f>MID(Tabla1[[#This Row],[Aplicación]],9,4)</f>
        <v>1511</v>
      </c>
      <c r="V2476" s="35" t="str">
        <f>VLOOKUP(Tabla1[[#This Row],[PROGRAMA]],Hoja1!A:B,2,FALSE)</f>
        <v>1511. Planficación y gestión del urbanismo</v>
      </c>
      <c r="W2476" s="56" t="str">
        <f>MID(Tabla1[[#This Row],[Aplicación]],14,2)</f>
        <v>60</v>
      </c>
      <c r="X2476" s="56" t="str">
        <f>MID(Tabla1[[#This Row],[Aplicación]],14,6)</f>
        <v>609</v>
      </c>
    </row>
    <row r="2477" spans="1:24" x14ac:dyDescent="0.25">
      <c r="A2477" s="62">
        <v>220230020479</v>
      </c>
      <c r="B2477" s="44" t="s">
        <v>507</v>
      </c>
      <c r="C2477" s="64">
        <v>45057</v>
      </c>
      <c r="D2477" s="62">
        <v>22023004446</v>
      </c>
      <c r="E2477" s="44" t="s">
        <v>1150</v>
      </c>
      <c r="F2477" s="65">
        <v>1730</v>
      </c>
      <c r="G2477" s="44" t="s">
        <v>320</v>
      </c>
      <c r="H2477" s="44" t="s">
        <v>4072</v>
      </c>
      <c r="I2477" s="62" t="s">
        <v>511</v>
      </c>
      <c r="J2477" s="44" t="s">
        <v>519</v>
      </c>
      <c r="K2477" s="44" t="s">
        <v>519</v>
      </c>
      <c r="L2477" s="44" t="s">
        <v>552</v>
      </c>
      <c r="M2477" s="44" t="s">
        <v>976</v>
      </c>
      <c r="N2477" s="44" t="s">
        <v>839</v>
      </c>
      <c r="O2477" s="45" t="s">
        <v>383</v>
      </c>
      <c r="P2477" s="45" t="s">
        <v>3760</v>
      </c>
      <c r="Q2477" s="59" t="str">
        <f>MID(Tabla1[[#This Row],[Aplicación]],14,1)</f>
        <v>2</v>
      </c>
      <c r="R2477" s="35" t="s">
        <v>298</v>
      </c>
      <c r="S2477" s="59" t="str">
        <f>MID(Tabla1[[#This Row],[Aplicación]],6,2)</f>
        <v>03</v>
      </c>
      <c r="T2477" s="35" t="str">
        <f>VLOOKUP(Tabla1[[#This Row],[AREA]],Hoja1!A:B,2,FALSE)</f>
        <v>03. Participación ciudadana y deportes</v>
      </c>
      <c r="U2477" s="56" t="str">
        <f>MID(Tabla1[[#This Row],[Aplicación]],9,4)</f>
        <v>9241</v>
      </c>
      <c r="V2477" s="35" t="str">
        <f>VLOOKUP(Tabla1[[#This Row],[PROGRAMA]],Hoja1!A:B,2,FALSE)</f>
        <v>9241. Participación ciudadana</v>
      </c>
      <c r="W2477" s="56" t="str">
        <f>MID(Tabla1[[#This Row],[Aplicación]],14,2)</f>
        <v>21</v>
      </c>
      <c r="X2477" s="56" t="str">
        <f>MID(Tabla1[[#This Row],[Aplicación]],14,6)</f>
        <v>213</v>
      </c>
    </row>
    <row r="2478" spans="1:24" x14ac:dyDescent="0.25">
      <c r="A2478" s="62">
        <v>220230016838</v>
      </c>
      <c r="B2478" s="44" t="s">
        <v>507</v>
      </c>
      <c r="C2478" s="64">
        <v>45048</v>
      </c>
      <c r="D2478" s="62">
        <v>22023003869</v>
      </c>
      <c r="E2478" s="44" t="s">
        <v>607</v>
      </c>
      <c r="F2478" s="65">
        <v>17914.8</v>
      </c>
      <c r="G2478" s="44" t="s">
        <v>4073</v>
      </c>
      <c r="H2478" s="44" t="s">
        <v>4074</v>
      </c>
      <c r="I2478" s="62" t="s">
        <v>511</v>
      </c>
      <c r="J2478" s="44" t="s">
        <v>519</v>
      </c>
      <c r="K2478" s="44" t="s">
        <v>519</v>
      </c>
      <c r="L2478" s="44" t="s">
        <v>552</v>
      </c>
      <c r="M2478" s="44" t="s">
        <v>976</v>
      </c>
      <c r="N2478" s="44" t="s">
        <v>839</v>
      </c>
      <c r="O2478" s="45" t="s">
        <v>383</v>
      </c>
      <c r="P2478" s="45" t="s">
        <v>3760</v>
      </c>
      <c r="Q2478" s="59" t="str">
        <f>MID(Tabla1[[#This Row],[Aplicación]],14,1)</f>
        <v>2</v>
      </c>
      <c r="R2478" s="35" t="s">
        <v>298</v>
      </c>
      <c r="S2478" s="59" t="str">
        <f>MID(Tabla1[[#This Row],[Aplicación]],6,2)</f>
        <v>11</v>
      </c>
      <c r="T2478" s="35" t="str">
        <f>VLOOKUP(Tabla1[[#This Row],[AREA]],Hoja1!A:B,2,FALSE)</f>
        <v>11. Salud pública y seguridad ciudadana</v>
      </c>
      <c r="U2478" s="56" t="str">
        <f>MID(Tabla1[[#This Row],[Aplicación]],9,4)</f>
        <v>1621</v>
      </c>
      <c r="V2478" s="35" t="str">
        <f>VLOOKUP(Tabla1[[#This Row],[PROGRAMA]],Hoja1!A:B,2,FALSE)</f>
        <v>1621. Servicio de limpieza</v>
      </c>
      <c r="W2478" s="56" t="str">
        <f>MID(Tabla1[[#This Row],[Aplicación]],14,2)</f>
        <v>21</v>
      </c>
      <c r="X2478" s="56" t="str">
        <f>MID(Tabla1[[#This Row],[Aplicación]],14,6)</f>
        <v>213</v>
      </c>
    </row>
    <row r="2479" spans="1:24" x14ac:dyDescent="0.25">
      <c r="A2479" s="62">
        <v>220230016160</v>
      </c>
      <c r="B2479" s="44" t="s">
        <v>1514</v>
      </c>
      <c r="C2479" s="64">
        <v>45043</v>
      </c>
      <c r="D2479" s="62">
        <v>22023001670</v>
      </c>
      <c r="E2479" s="44" t="s">
        <v>1719</v>
      </c>
      <c r="F2479" s="65">
        <v>941.11</v>
      </c>
      <c r="G2479" s="44" t="s">
        <v>4075</v>
      </c>
      <c r="H2479" s="44" t="s">
        <v>4076</v>
      </c>
      <c r="I2479" s="62" t="s">
        <v>1517</v>
      </c>
      <c r="J2479" s="44" t="s">
        <v>519</v>
      </c>
      <c r="K2479" s="44" t="s">
        <v>519</v>
      </c>
      <c r="L2479" s="44" t="s">
        <v>552</v>
      </c>
      <c r="M2479" s="44" t="s">
        <v>976</v>
      </c>
      <c r="N2479" s="44" t="s">
        <v>839</v>
      </c>
      <c r="O2479" s="45" t="s">
        <v>383</v>
      </c>
      <c r="P2479" s="45" t="s">
        <v>3760</v>
      </c>
      <c r="Q2479" s="59" t="str">
        <f>MID(Tabla1[[#This Row],[Aplicación]],14,1)</f>
        <v>2</v>
      </c>
      <c r="R2479" s="35" t="s">
        <v>298</v>
      </c>
      <c r="S2479" s="59" t="str">
        <f>MID(Tabla1[[#This Row],[Aplicación]],6,2)</f>
        <v>01</v>
      </c>
      <c r="T2479" s="35" t="str">
        <f>VLOOKUP(Tabla1[[#This Row],[AREA]],Hoja1!A:B,2,FALSE)</f>
        <v>01. Alcaldía</v>
      </c>
      <c r="U2479" s="56" t="str">
        <f>MID(Tabla1[[#This Row],[Aplicación]],9,4)</f>
        <v>9206</v>
      </c>
      <c r="V2479" s="35" t="str">
        <f>VLOOKUP(Tabla1[[#This Row],[PROGRAMA]],Hoja1!A:B,2,FALSE)</f>
        <v>9206. Archivo municipal</v>
      </c>
      <c r="W2479" s="56" t="str">
        <f>MID(Tabla1[[#This Row],[Aplicación]],14,2)</f>
        <v>22</v>
      </c>
      <c r="X2479" s="56" t="str">
        <f>MID(Tabla1[[#This Row],[Aplicación]],14,6)</f>
        <v>22001</v>
      </c>
    </row>
    <row r="2480" spans="1:24" x14ac:dyDescent="0.25">
      <c r="A2480" s="62">
        <v>220230015977</v>
      </c>
      <c r="B2480" s="44" t="s">
        <v>507</v>
      </c>
      <c r="C2480" s="64">
        <v>45042</v>
      </c>
      <c r="D2480" s="62">
        <v>22023004065</v>
      </c>
      <c r="E2480" s="44" t="s">
        <v>1191</v>
      </c>
      <c r="F2480" s="65">
        <v>960</v>
      </c>
      <c r="G2480" s="44" t="s">
        <v>1407</v>
      </c>
      <c r="H2480" s="44" t="s">
        <v>4077</v>
      </c>
      <c r="I2480" s="62" t="s">
        <v>511</v>
      </c>
      <c r="J2480" s="44" t="s">
        <v>519</v>
      </c>
      <c r="K2480" s="44" t="s">
        <v>519</v>
      </c>
      <c r="L2480" s="44" t="s">
        <v>520</v>
      </c>
      <c r="M2480" s="44" t="s">
        <v>976</v>
      </c>
      <c r="N2480" s="44" t="s">
        <v>839</v>
      </c>
      <c r="O2480" s="45" t="s">
        <v>383</v>
      </c>
      <c r="P2480" s="45" t="s">
        <v>3760</v>
      </c>
      <c r="Q2480" s="59" t="str">
        <f>MID(Tabla1[[#This Row],[Aplicación]],14,1)</f>
        <v>2</v>
      </c>
      <c r="R2480" s="35" t="s">
        <v>298</v>
      </c>
      <c r="S2480" s="59" t="str">
        <f>MID(Tabla1[[#This Row],[Aplicación]],6,2)</f>
        <v>06</v>
      </c>
      <c r="T2480" s="35" t="str">
        <f>VLOOKUP(Tabla1[[#This Row],[AREA]],Hoja1!A:B,2,FALSE)</f>
        <v>06. Educación, infancia, juventud e igualdad</v>
      </c>
      <c r="U2480" s="56" t="str">
        <f>MID(Tabla1[[#This Row],[Aplicación]],9,4)</f>
        <v>2315</v>
      </c>
      <c r="V2480" s="35" t="str">
        <f>VLOOKUP(Tabla1[[#This Row],[PROGRAMA]],Hoja1!A:B,2,FALSE)</f>
        <v>2315. Políticas de Igualdad e infancia</v>
      </c>
      <c r="W2480" s="56" t="str">
        <f>MID(Tabla1[[#This Row],[Aplicación]],14,2)</f>
        <v>22</v>
      </c>
      <c r="X2480" s="56" t="str">
        <f>MID(Tabla1[[#This Row],[Aplicación]],14,6)</f>
        <v>22611</v>
      </c>
    </row>
    <row r="2481" spans="1:24" x14ac:dyDescent="0.25">
      <c r="A2481" s="62">
        <v>220230024849</v>
      </c>
      <c r="B2481" s="44" t="s">
        <v>507</v>
      </c>
      <c r="C2481" s="64">
        <v>45070</v>
      </c>
      <c r="D2481" s="62">
        <v>22023004511</v>
      </c>
      <c r="E2481" s="44" t="s">
        <v>817</v>
      </c>
      <c r="F2481" s="65">
        <v>7690.26</v>
      </c>
      <c r="G2481" s="44" t="s">
        <v>786</v>
      </c>
      <c r="H2481" s="44" t="s">
        <v>4078</v>
      </c>
      <c r="I2481" s="62" t="s">
        <v>511</v>
      </c>
      <c r="J2481" s="44" t="s">
        <v>519</v>
      </c>
      <c r="K2481" s="44" t="s">
        <v>519</v>
      </c>
      <c r="L2481" s="44" t="s">
        <v>527</v>
      </c>
      <c r="M2481" s="44" t="s">
        <v>514</v>
      </c>
      <c r="N2481" s="44" t="s">
        <v>515</v>
      </c>
      <c r="O2481" s="45" t="s">
        <v>371</v>
      </c>
      <c r="P2481" s="45" t="s">
        <v>3760</v>
      </c>
      <c r="Q2481" s="59" t="str">
        <f>MID(Tabla1[[#This Row],[Aplicación]],14,1)</f>
        <v>6</v>
      </c>
      <c r="R2481" s="35" t="s">
        <v>299</v>
      </c>
      <c r="S2481" s="59" t="str">
        <f>MID(Tabla1[[#This Row],[Aplicación]],6,2)</f>
        <v>05</v>
      </c>
      <c r="T2481" s="35" t="str">
        <f>VLOOKUP(Tabla1[[#This Row],[AREA]],Hoja1!A:B,2,FALSE)</f>
        <v>05. Innovación, desarrollo económico, empleo y comercio</v>
      </c>
      <c r="U2481" s="56" t="str">
        <f>MID(Tabla1[[#This Row],[Aplicación]],9,4)</f>
        <v>4331</v>
      </c>
      <c r="V2481" s="35" t="str">
        <f>VLOOKUP(Tabla1[[#This Row],[PROGRAMA]],Hoja1!A:B,2,FALSE)</f>
        <v>4331. Desarrollo empresarial</v>
      </c>
      <c r="W2481" s="56" t="str">
        <f>MID(Tabla1[[#This Row],[Aplicación]],14,2)</f>
        <v>60</v>
      </c>
      <c r="X2481" s="56" t="str">
        <f>MID(Tabla1[[#This Row],[Aplicación]],14,6)</f>
        <v>609</v>
      </c>
    </row>
    <row r="2482" spans="1:24" x14ac:dyDescent="0.25">
      <c r="A2482" s="62">
        <v>220230020513</v>
      </c>
      <c r="B2482" s="44" t="s">
        <v>507</v>
      </c>
      <c r="C2482" s="64">
        <v>45058</v>
      </c>
      <c r="D2482" s="62">
        <v>22023003362</v>
      </c>
      <c r="E2482" s="44" t="s">
        <v>539</v>
      </c>
      <c r="F2482" s="65">
        <v>6669.61</v>
      </c>
      <c r="G2482" s="44" t="s">
        <v>1570</v>
      </c>
      <c r="H2482" s="44" t="s">
        <v>4079</v>
      </c>
      <c r="I2482" s="62" t="s">
        <v>511</v>
      </c>
      <c r="J2482" s="44" t="s">
        <v>519</v>
      </c>
      <c r="K2482" s="44" t="s">
        <v>519</v>
      </c>
      <c r="L2482" s="44" t="s">
        <v>520</v>
      </c>
      <c r="M2482" s="44" t="s">
        <v>514</v>
      </c>
      <c r="N2482" s="44" t="s">
        <v>515</v>
      </c>
      <c r="O2482" s="45" t="s">
        <v>371</v>
      </c>
      <c r="P2482" s="45" t="s">
        <v>3760</v>
      </c>
      <c r="Q2482" s="59" t="str">
        <f>MID(Tabla1[[#This Row],[Aplicación]],14,1)</f>
        <v>2</v>
      </c>
      <c r="R2482" s="35" t="s">
        <v>298</v>
      </c>
      <c r="S2482" s="59" t="str">
        <f>MID(Tabla1[[#This Row],[Aplicación]],6,2)</f>
        <v>10</v>
      </c>
      <c r="T2482" s="35" t="str">
        <f>VLOOKUP(Tabla1[[#This Row],[AREA]],Hoja1!A:B,2,FALSE)</f>
        <v>10. Servicios sociales y mediación comunitaria</v>
      </c>
      <c r="U2482" s="56" t="str">
        <f>MID(Tabla1[[#This Row],[Aplicación]],9,4)</f>
        <v>2312</v>
      </c>
      <c r="V2482" s="35" t="str">
        <f>VLOOKUP(Tabla1[[#This Row],[PROGRAMA]],Hoja1!A:B,2,FALSE)</f>
        <v>2312. Iniciativas sociales</v>
      </c>
      <c r="W2482" s="56" t="str">
        <f>MID(Tabla1[[#This Row],[Aplicación]],14,2)</f>
        <v>22</v>
      </c>
      <c r="X2482" s="56" t="str">
        <f>MID(Tabla1[[#This Row],[Aplicación]],14,6)</f>
        <v>22799</v>
      </c>
    </row>
    <row r="2483" spans="1:24" x14ac:dyDescent="0.25">
      <c r="A2483" s="62">
        <v>220230015979</v>
      </c>
      <c r="B2483" s="44" t="s">
        <v>507</v>
      </c>
      <c r="C2483" s="64">
        <v>45042</v>
      </c>
      <c r="D2483" s="62">
        <v>22023004071</v>
      </c>
      <c r="E2483" s="44" t="s">
        <v>1191</v>
      </c>
      <c r="F2483" s="65">
        <v>960</v>
      </c>
      <c r="G2483" s="44" t="s">
        <v>1407</v>
      </c>
      <c r="H2483" s="44" t="s">
        <v>4080</v>
      </c>
      <c r="I2483" s="62" t="s">
        <v>511</v>
      </c>
      <c r="J2483" s="44" t="s">
        <v>519</v>
      </c>
      <c r="K2483" s="44" t="s">
        <v>519</v>
      </c>
      <c r="L2483" s="44" t="s">
        <v>520</v>
      </c>
      <c r="M2483" s="44" t="s">
        <v>976</v>
      </c>
      <c r="N2483" s="44" t="s">
        <v>839</v>
      </c>
      <c r="O2483" s="45" t="s">
        <v>383</v>
      </c>
      <c r="P2483" s="45" t="s">
        <v>3760</v>
      </c>
      <c r="Q2483" s="59" t="str">
        <f>MID(Tabla1[[#This Row],[Aplicación]],14,1)</f>
        <v>2</v>
      </c>
      <c r="R2483" s="35" t="s">
        <v>298</v>
      </c>
      <c r="S2483" s="59" t="str">
        <f>MID(Tabla1[[#This Row],[Aplicación]],6,2)</f>
        <v>06</v>
      </c>
      <c r="T2483" s="35" t="str">
        <f>VLOOKUP(Tabla1[[#This Row],[AREA]],Hoja1!A:B,2,FALSE)</f>
        <v>06. Educación, infancia, juventud e igualdad</v>
      </c>
      <c r="U2483" s="56" t="str">
        <f>MID(Tabla1[[#This Row],[Aplicación]],9,4)</f>
        <v>2315</v>
      </c>
      <c r="V2483" s="35" t="str">
        <f>VLOOKUP(Tabla1[[#This Row],[PROGRAMA]],Hoja1!A:B,2,FALSE)</f>
        <v>2315. Políticas de Igualdad e infancia</v>
      </c>
      <c r="W2483" s="56" t="str">
        <f>MID(Tabla1[[#This Row],[Aplicación]],14,2)</f>
        <v>22</v>
      </c>
      <c r="X2483" s="56" t="str">
        <f>MID(Tabla1[[#This Row],[Aplicación]],14,6)</f>
        <v>22611</v>
      </c>
    </row>
    <row r="2484" spans="1:24" x14ac:dyDescent="0.25">
      <c r="A2484" s="62">
        <v>220230013362</v>
      </c>
      <c r="B2484" s="44" t="s">
        <v>507</v>
      </c>
      <c r="C2484" s="64">
        <v>45020</v>
      </c>
      <c r="D2484" s="62">
        <v>22023003714</v>
      </c>
      <c r="E2484" s="44" t="s">
        <v>1191</v>
      </c>
      <c r="F2484" s="65">
        <v>800.94</v>
      </c>
      <c r="G2484" s="44" t="s">
        <v>4081</v>
      </c>
      <c r="H2484" s="44" t="s">
        <v>4082</v>
      </c>
      <c r="I2484" s="62" t="s">
        <v>511</v>
      </c>
      <c r="J2484" s="44" t="s">
        <v>512</v>
      </c>
      <c r="K2484" s="44" t="s">
        <v>512</v>
      </c>
      <c r="L2484" s="44" t="s">
        <v>520</v>
      </c>
      <c r="M2484" s="44" t="s">
        <v>976</v>
      </c>
      <c r="N2484" s="44" t="s">
        <v>839</v>
      </c>
      <c r="O2484" s="45" t="s">
        <v>383</v>
      </c>
      <c r="P2484" s="45" t="s">
        <v>3760</v>
      </c>
      <c r="Q2484" s="59" t="str">
        <f>MID(Tabla1[[#This Row],[Aplicación]],14,1)</f>
        <v>2</v>
      </c>
      <c r="R2484" s="35" t="s">
        <v>298</v>
      </c>
      <c r="S2484" s="59" t="str">
        <f>MID(Tabla1[[#This Row],[Aplicación]],6,2)</f>
        <v>06</v>
      </c>
      <c r="T2484" s="35" t="str">
        <f>VLOOKUP(Tabla1[[#This Row],[AREA]],Hoja1!A:B,2,FALSE)</f>
        <v>06. Educación, infancia, juventud e igualdad</v>
      </c>
      <c r="U2484" s="56" t="str">
        <f>MID(Tabla1[[#This Row],[Aplicación]],9,4)</f>
        <v>2315</v>
      </c>
      <c r="V2484" s="35" t="str">
        <f>VLOOKUP(Tabla1[[#This Row],[PROGRAMA]],Hoja1!A:B,2,FALSE)</f>
        <v>2315. Políticas de Igualdad e infancia</v>
      </c>
      <c r="W2484" s="56" t="str">
        <f>MID(Tabla1[[#This Row],[Aplicación]],14,2)</f>
        <v>22</v>
      </c>
      <c r="X2484" s="56" t="str">
        <f>MID(Tabla1[[#This Row],[Aplicación]],14,6)</f>
        <v>22611</v>
      </c>
    </row>
    <row r="2485" spans="1:24" x14ac:dyDescent="0.25">
      <c r="A2485" s="62">
        <v>220230013361</v>
      </c>
      <c r="B2485" s="44" t="s">
        <v>507</v>
      </c>
      <c r="C2485" s="64">
        <v>45020</v>
      </c>
      <c r="D2485" s="62">
        <v>22023003713</v>
      </c>
      <c r="E2485" s="44" t="s">
        <v>2107</v>
      </c>
      <c r="F2485" s="65">
        <v>2500</v>
      </c>
      <c r="G2485" s="44" t="s">
        <v>4083</v>
      </c>
      <c r="H2485" s="44" t="s">
        <v>4084</v>
      </c>
      <c r="I2485" s="62" t="s">
        <v>511</v>
      </c>
      <c r="J2485" s="44" t="s">
        <v>512</v>
      </c>
      <c r="K2485" s="44" t="s">
        <v>512</v>
      </c>
      <c r="L2485" s="44" t="s">
        <v>520</v>
      </c>
      <c r="M2485" s="44" t="s">
        <v>976</v>
      </c>
      <c r="N2485" s="44" t="s">
        <v>839</v>
      </c>
      <c r="O2485" s="45" t="s">
        <v>383</v>
      </c>
      <c r="P2485" s="45" t="s">
        <v>3760</v>
      </c>
      <c r="Q2485" s="59" t="str">
        <f>MID(Tabla1[[#This Row],[Aplicación]],14,1)</f>
        <v>2</v>
      </c>
      <c r="R2485" s="35" t="s">
        <v>298</v>
      </c>
      <c r="S2485" s="59" t="str">
        <f>MID(Tabla1[[#This Row],[Aplicación]],6,2)</f>
        <v>07</v>
      </c>
      <c r="T2485" s="35" t="str">
        <f>VLOOKUP(Tabla1[[#This Row],[AREA]],Hoja1!A:B,2,FALSE)</f>
        <v>07. Medio ambiente y desarrollo sostenible</v>
      </c>
      <c r="U2485" s="56" t="str">
        <f>MID(Tabla1[[#This Row],[Aplicación]],9,4)</f>
        <v>1711</v>
      </c>
      <c r="V2485" s="35" t="str">
        <f>VLOOKUP(Tabla1[[#This Row],[PROGRAMA]],Hoja1!A:B,2,FALSE)</f>
        <v>1711. Parques y jardines</v>
      </c>
      <c r="W2485" s="56" t="str">
        <f>MID(Tabla1[[#This Row],[Aplicación]],14,2)</f>
        <v>21</v>
      </c>
      <c r="X2485" s="56" t="str">
        <f>MID(Tabla1[[#This Row],[Aplicación]],14,6)</f>
        <v>213</v>
      </c>
    </row>
    <row r="2486" spans="1:24" x14ac:dyDescent="0.25">
      <c r="A2486" s="62">
        <v>220230022625</v>
      </c>
      <c r="B2486" s="44" t="s">
        <v>507</v>
      </c>
      <c r="C2486" s="64">
        <v>45068</v>
      </c>
      <c r="D2486" s="62">
        <v>22023004527</v>
      </c>
      <c r="E2486" s="44" t="s">
        <v>1430</v>
      </c>
      <c r="F2486" s="65">
        <v>240</v>
      </c>
      <c r="G2486" s="44" t="s">
        <v>4085</v>
      </c>
      <c r="H2486" s="44" t="s">
        <v>4086</v>
      </c>
      <c r="I2486" s="62" t="s">
        <v>511</v>
      </c>
      <c r="J2486" s="44" t="s">
        <v>519</v>
      </c>
      <c r="K2486" s="44" t="s">
        <v>519</v>
      </c>
      <c r="L2486" s="44" t="s">
        <v>520</v>
      </c>
      <c r="M2486" s="44" t="s">
        <v>976</v>
      </c>
      <c r="N2486" s="44" t="s">
        <v>839</v>
      </c>
      <c r="O2486" s="45" t="s">
        <v>383</v>
      </c>
      <c r="P2486" s="45" t="s">
        <v>3760</v>
      </c>
      <c r="Q2486" s="59" t="str">
        <f>MID(Tabla1[[#This Row],[Aplicación]],14,1)</f>
        <v>2</v>
      </c>
      <c r="R2486" s="35" t="s">
        <v>298</v>
      </c>
      <c r="S2486" s="59" t="str">
        <f>MID(Tabla1[[#This Row],[Aplicación]],6,2)</f>
        <v>06</v>
      </c>
      <c r="T2486" s="35" t="str">
        <f>VLOOKUP(Tabla1[[#This Row],[AREA]],Hoja1!A:B,2,FALSE)</f>
        <v>06. Educación, infancia, juventud e igualdad</v>
      </c>
      <c r="U2486" s="56" t="str">
        <f>MID(Tabla1[[#This Row],[Aplicación]],9,4)</f>
        <v>2315</v>
      </c>
      <c r="V2486" s="35" t="str">
        <f>VLOOKUP(Tabla1[[#This Row],[PROGRAMA]],Hoja1!A:B,2,FALSE)</f>
        <v>2315. Políticas de Igualdad e infancia</v>
      </c>
      <c r="W2486" s="56" t="str">
        <f>MID(Tabla1[[#This Row],[Aplicación]],14,2)</f>
        <v>22</v>
      </c>
      <c r="X2486" s="56" t="str">
        <f>MID(Tabla1[[#This Row],[Aplicación]],14,6)</f>
        <v>22614</v>
      </c>
    </row>
    <row r="2487" spans="1:24" x14ac:dyDescent="0.25">
      <c r="A2487" s="62">
        <v>220230015959</v>
      </c>
      <c r="B2487" s="44" t="s">
        <v>507</v>
      </c>
      <c r="C2487" s="64">
        <v>45042</v>
      </c>
      <c r="D2487" s="62">
        <v>22023003988</v>
      </c>
      <c r="E2487" s="44" t="s">
        <v>1907</v>
      </c>
      <c r="F2487" s="65">
        <v>715</v>
      </c>
      <c r="G2487" s="44" t="s">
        <v>1420</v>
      </c>
      <c r="H2487" s="44" t="s">
        <v>4087</v>
      </c>
      <c r="I2487" s="62" t="s">
        <v>511</v>
      </c>
      <c r="J2487" s="44" t="s">
        <v>1422</v>
      </c>
      <c r="K2487" s="44" t="s">
        <v>1289</v>
      </c>
      <c r="L2487" s="44" t="s">
        <v>520</v>
      </c>
      <c r="M2487" s="44" t="s">
        <v>976</v>
      </c>
      <c r="N2487" s="44" t="s">
        <v>839</v>
      </c>
      <c r="O2487" s="45" t="s">
        <v>383</v>
      </c>
      <c r="P2487" s="45" t="s">
        <v>3760</v>
      </c>
      <c r="Q2487" s="59" t="str">
        <f>MID(Tabla1[[#This Row],[Aplicación]],14,1)</f>
        <v>2</v>
      </c>
      <c r="R2487" s="35" t="s">
        <v>298</v>
      </c>
      <c r="S2487" s="59" t="str">
        <f>MID(Tabla1[[#This Row],[Aplicación]],6,2)</f>
        <v>10</v>
      </c>
      <c r="T2487" s="35" t="str">
        <f>VLOOKUP(Tabla1[[#This Row],[AREA]],Hoja1!A:B,2,FALSE)</f>
        <v>10. Servicios sociales y mediación comunitaria</v>
      </c>
      <c r="U2487" s="56" t="str">
        <f>MID(Tabla1[[#This Row],[Aplicación]],9,4)</f>
        <v>2313</v>
      </c>
      <c r="V2487" s="35" t="str">
        <f>VLOOKUP(Tabla1[[#This Row],[PROGRAMA]],Hoja1!A:B,2,FALSE)</f>
        <v>2313. Dirección del área de servicios sociales</v>
      </c>
      <c r="W2487" s="56" t="str">
        <f>MID(Tabla1[[#This Row],[Aplicación]],14,2)</f>
        <v>22</v>
      </c>
      <c r="X2487" s="56" t="str">
        <f>MID(Tabla1[[#This Row],[Aplicación]],14,6)</f>
        <v>22699</v>
      </c>
    </row>
    <row r="2488" spans="1:24" x14ac:dyDescent="0.25">
      <c r="A2488" s="62">
        <v>220230013746</v>
      </c>
      <c r="B2488" s="44" t="s">
        <v>507</v>
      </c>
      <c r="C2488" s="64">
        <v>45027</v>
      </c>
      <c r="D2488" s="62">
        <v>22023003801</v>
      </c>
      <c r="E2488" s="44" t="s">
        <v>1532</v>
      </c>
      <c r="F2488" s="65">
        <v>125.84</v>
      </c>
      <c r="G2488" s="44" t="s">
        <v>1420</v>
      </c>
      <c r="H2488" s="44" t="s">
        <v>4088</v>
      </c>
      <c r="I2488" s="62" t="s">
        <v>511</v>
      </c>
      <c r="J2488" s="44" t="s">
        <v>1422</v>
      </c>
      <c r="K2488" s="44" t="s">
        <v>1289</v>
      </c>
      <c r="L2488" s="44" t="s">
        <v>520</v>
      </c>
      <c r="M2488" s="44" t="s">
        <v>976</v>
      </c>
      <c r="N2488" s="44" t="s">
        <v>839</v>
      </c>
      <c r="O2488" s="45" t="s">
        <v>383</v>
      </c>
      <c r="P2488" s="45" t="s">
        <v>3760</v>
      </c>
      <c r="Q2488" s="59" t="str">
        <f>MID(Tabla1[[#This Row],[Aplicación]],14,1)</f>
        <v>2</v>
      </c>
      <c r="R2488" s="35" t="s">
        <v>298</v>
      </c>
      <c r="S2488" s="59" t="str">
        <f>MID(Tabla1[[#This Row],[Aplicación]],6,2)</f>
        <v>09</v>
      </c>
      <c r="T2488" s="35" t="str">
        <f>VLOOKUP(Tabla1[[#This Row],[AREA]],Hoja1!A:B,2,FALSE)</f>
        <v>09. Cultura y turismo</v>
      </c>
      <c r="U2488" s="56" t="str">
        <f>MID(Tabla1[[#This Row],[Aplicación]],9,4)</f>
        <v>3341</v>
      </c>
      <c r="V2488" s="35" t="str">
        <f>VLOOKUP(Tabla1[[#This Row],[PROGRAMA]],Hoja1!A:B,2,FALSE)</f>
        <v>3341. Coordinación de políticas culturales</v>
      </c>
      <c r="W2488" s="56" t="str">
        <f>MID(Tabla1[[#This Row],[Aplicación]],14,2)</f>
        <v>22</v>
      </c>
      <c r="X2488" s="56" t="str">
        <f>MID(Tabla1[[#This Row],[Aplicación]],14,6)</f>
        <v>22699</v>
      </c>
    </row>
    <row r="2489" spans="1:24" x14ac:dyDescent="0.25">
      <c r="A2489" s="62">
        <v>220230016014</v>
      </c>
      <c r="B2489" s="44" t="s">
        <v>507</v>
      </c>
      <c r="C2489" s="64">
        <v>45042</v>
      </c>
      <c r="D2489" s="62">
        <v>22023004106</v>
      </c>
      <c r="E2489" s="44" t="s">
        <v>2046</v>
      </c>
      <c r="F2489" s="65">
        <v>543.53</v>
      </c>
      <c r="G2489" s="44" t="s">
        <v>4089</v>
      </c>
      <c r="H2489" s="44" t="s">
        <v>4090</v>
      </c>
      <c r="I2489" s="62" t="s">
        <v>511</v>
      </c>
      <c r="J2489" s="44" t="s">
        <v>4091</v>
      </c>
      <c r="K2489" s="44" t="s">
        <v>519</v>
      </c>
      <c r="L2489" s="44" t="s">
        <v>552</v>
      </c>
      <c r="M2489" s="44" t="s">
        <v>976</v>
      </c>
      <c r="N2489" s="44" t="s">
        <v>839</v>
      </c>
      <c r="O2489" s="45" t="s">
        <v>383</v>
      </c>
      <c r="P2489" s="45" t="s">
        <v>3760</v>
      </c>
      <c r="Q2489" s="59" t="str">
        <f>MID(Tabla1[[#This Row],[Aplicación]],14,1)</f>
        <v>2</v>
      </c>
      <c r="R2489" s="35" t="s">
        <v>298</v>
      </c>
      <c r="S2489" s="59" t="str">
        <f>MID(Tabla1[[#This Row],[Aplicación]],6,2)</f>
        <v>06</v>
      </c>
      <c r="T2489" s="35" t="str">
        <f>VLOOKUP(Tabla1[[#This Row],[AREA]],Hoja1!A:B,2,FALSE)</f>
        <v>06. Educación, infancia, juventud e igualdad</v>
      </c>
      <c r="U2489" s="56" t="str">
        <f>MID(Tabla1[[#This Row],[Aplicación]],9,4)</f>
        <v>3321</v>
      </c>
      <c r="V2489" s="35" t="str">
        <f>VLOOKUP(Tabla1[[#This Row],[PROGRAMA]],Hoja1!A:B,2,FALSE)</f>
        <v>3321. Bibliotecas públicas</v>
      </c>
      <c r="W2489" s="56" t="str">
        <f>MID(Tabla1[[#This Row],[Aplicación]],14,2)</f>
        <v>22</v>
      </c>
      <c r="X2489" s="56" t="str">
        <f>MID(Tabla1[[#This Row],[Aplicación]],14,6)</f>
        <v>22199</v>
      </c>
    </row>
    <row r="2490" spans="1:24" x14ac:dyDescent="0.25">
      <c r="A2490" s="62">
        <v>220230022627</v>
      </c>
      <c r="B2490" s="44" t="s">
        <v>507</v>
      </c>
      <c r="C2490" s="64">
        <v>45068</v>
      </c>
      <c r="D2490" s="62">
        <v>22023004106</v>
      </c>
      <c r="E2490" s="44" t="s">
        <v>2046</v>
      </c>
      <c r="F2490" s="65">
        <v>148.59</v>
      </c>
      <c r="G2490" s="44" t="s">
        <v>4089</v>
      </c>
      <c r="H2490" s="44" t="s">
        <v>4092</v>
      </c>
      <c r="I2490" s="62" t="s">
        <v>511</v>
      </c>
      <c r="J2490" s="44" t="s">
        <v>4091</v>
      </c>
      <c r="K2490" s="44" t="s">
        <v>519</v>
      </c>
      <c r="L2490" s="44" t="s">
        <v>552</v>
      </c>
      <c r="M2490" s="44" t="s">
        <v>976</v>
      </c>
      <c r="N2490" s="44" t="s">
        <v>839</v>
      </c>
      <c r="O2490" s="45" t="s">
        <v>383</v>
      </c>
      <c r="P2490" s="45" t="s">
        <v>3760</v>
      </c>
      <c r="Q2490" s="59" t="str">
        <f>MID(Tabla1[[#This Row],[Aplicación]],14,1)</f>
        <v>2</v>
      </c>
      <c r="R2490" s="35" t="s">
        <v>298</v>
      </c>
      <c r="S2490" s="59" t="str">
        <f>MID(Tabla1[[#This Row],[Aplicación]],6,2)</f>
        <v>06</v>
      </c>
      <c r="T2490" s="35" t="str">
        <f>VLOOKUP(Tabla1[[#This Row],[AREA]],Hoja1!A:B,2,FALSE)</f>
        <v>06. Educación, infancia, juventud e igualdad</v>
      </c>
      <c r="U2490" s="56" t="str">
        <f>MID(Tabla1[[#This Row],[Aplicación]],9,4)</f>
        <v>3321</v>
      </c>
      <c r="V2490" s="35" t="str">
        <f>VLOOKUP(Tabla1[[#This Row],[PROGRAMA]],Hoja1!A:B,2,FALSE)</f>
        <v>3321. Bibliotecas públicas</v>
      </c>
      <c r="W2490" s="56" t="str">
        <f>MID(Tabla1[[#This Row],[Aplicación]],14,2)</f>
        <v>22</v>
      </c>
      <c r="X2490" s="56" t="str">
        <f>MID(Tabla1[[#This Row],[Aplicación]],14,6)</f>
        <v>22199</v>
      </c>
    </row>
    <row r="2491" spans="1:24" x14ac:dyDescent="0.25">
      <c r="A2491" s="62">
        <v>220230025394</v>
      </c>
      <c r="B2491" s="44" t="s">
        <v>507</v>
      </c>
      <c r="C2491" s="64">
        <v>45072</v>
      </c>
      <c r="D2491" s="62">
        <v>22023004697</v>
      </c>
      <c r="E2491" s="44" t="s">
        <v>618</v>
      </c>
      <c r="F2491" s="65">
        <v>3148.01</v>
      </c>
      <c r="G2491" s="44" t="s">
        <v>65</v>
      </c>
      <c r="H2491" s="44" t="s">
        <v>4093</v>
      </c>
      <c r="I2491" s="62" t="s">
        <v>511</v>
      </c>
      <c r="J2491" s="44" t="s">
        <v>519</v>
      </c>
      <c r="K2491" s="44" t="s">
        <v>519</v>
      </c>
      <c r="L2491" s="44" t="s">
        <v>552</v>
      </c>
      <c r="M2491" s="44" t="s">
        <v>976</v>
      </c>
      <c r="N2491" s="44" t="s">
        <v>839</v>
      </c>
      <c r="O2491" s="45" t="s">
        <v>383</v>
      </c>
      <c r="P2491" s="45" t="s">
        <v>3760</v>
      </c>
      <c r="Q2491" s="59" t="str">
        <f>MID(Tabla1[[#This Row],[Aplicación]],14,1)</f>
        <v>2</v>
      </c>
      <c r="R2491" s="35" t="s">
        <v>298</v>
      </c>
      <c r="S2491" s="59" t="str">
        <f>MID(Tabla1[[#This Row],[Aplicación]],6,2)</f>
        <v>10</v>
      </c>
      <c r="T2491" s="35" t="str">
        <f>VLOOKUP(Tabla1[[#This Row],[AREA]],Hoja1!A:B,2,FALSE)</f>
        <v>10. Servicios sociales y mediación comunitaria</v>
      </c>
      <c r="U2491" s="56" t="str">
        <f>MID(Tabla1[[#This Row],[Aplicación]],9,4)</f>
        <v>2311</v>
      </c>
      <c r="V2491" s="35" t="str">
        <f>VLOOKUP(Tabla1[[#This Row],[PROGRAMA]],Hoja1!A:B,2,FALSE)</f>
        <v>2311. Intervención social</v>
      </c>
      <c r="W2491" s="56" t="str">
        <f>MID(Tabla1[[#This Row],[Aplicación]],14,2)</f>
        <v>21</v>
      </c>
      <c r="X2491" s="56" t="str">
        <f>MID(Tabla1[[#This Row],[Aplicación]],14,6)</f>
        <v>213</v>
      </c>
    </row>
    <row r="2492" spans="1:24" x14ac:dyDescent="0.25">
      <c r="A2492" s="62">
        <v>220230022628</v>
      </c>
      <c r="B2492" s="44" t="s">
        <v>507</v>
      </c>
      <c r="C2492" s="64">
        <v>45068</v>
      </c>
      <c r="D2492" s="62">
        <v>22023004596</v>
      </c>
      <c r="E2492" s="44" t="s">
        <v>1155</v>
      </c>
      <c r="F2492" s="65">
        <v>1123.8499999999999</v>
      </c>
      <c r="G2492" s="44" t="s">
        <v>65</v>
      </c>
      <c r="H2492" s="44" t="s">
        <v>4094</v>
      </c>
      <c r="I2492" s="62" t="s">
        <v>511</v>
      </c>
      <c r="J2492" s="44" t="s">
        <v>519</v>
      </c>
      <c r="K2492" s="44" t="s">
        <v>519</v>
      </c>
      <c r="L2492" s="44" t="s">
        <v>520</v>
      </c>
      <c r="M2492" s="44" t="s">
        <v>976</v>
      </c>
      <c r="N2492" s="44" t="s">
        <v>839</v>
      </c>
      <c r="O2492" s="45" t="s">
        <v>383</v>
      </c>
      <c r="P2492" s="45" t="s">
        <v>3760</v>
      </c>
      <c r="Q2492" s="59" t="str">
        <f>MID(Tabla1[[#This Row],[Aplicación]],14,1)</f>
        <v>2</v>
      </c>
      <c r="R2492" s="35" t="s">
        <v>298</v>
      </c>
      <c r="S2492" s="59" t="str">
        <f>MID(Tabla1[[#This Row],[Aplicación]],6,2)</f>
        <v>06</v>
      </c>
      <c r="T2492" s="35" t="str">
        <f>VLOOKUP(Tabla1[[#This Row],[AREA]],Hoja1!A:B,2,FALSE)</f>
        <v>06. Educación, infancia, juventud e igualdad</v>
      </c>
      <c r="U2492" s="56" t="str">
        <f>MID(Tabla1[[#This Row],[Aplicación]],9,4)</f>
        <v>2314</v>
      </c>
      <c r="V2492" s="35" t="str">
        <f>VLOOKUP(Tabla1[[#This Row],[PROGRAMA]],Hoja1!A:B,2,FALSE)</f>
        <v>2314. Centro de programas juveniles</v>
      </c>
      <c r="W2492" s="56" t="str">
        <f>MID(Tabla1[[#This Row],[Aplicación]],14,2)</f>
        <v>21</v>
      </c>
      <c r="X2492" s="56" t="str">
        <f>MID(Tabla1[[#This Row],[Aplicación]],14,6)</f>
        <v>213</v>
      </c>
    </row>
    <row r="2493" spans="1:24" x14ac:dyDescent="0.25">
      <c r="A2493" s="62">
        <v>220230012984</v>
      </c>
      <c r="B2493" s="44" t="s">
        <v>507</v>
      </c>
      <c r="C2493" s="64">
        <v>45019</v>
      </c>
      <c r="D2493" s="62">
        <v>22023003727</v>
      </c>
      <c r="E2493" s="44" t="s">
        <v>1150</v>
      </c>
      <c r="F2493" s="65">
        <v>60.38</v>
      </c>
      <c r="G2493" s="44" t="s">
        <v>65</v>
      </c>
      <c r="H2493" s="44" t="s">
        <v>4095</v>
      </c>
      <c r="I2493" s="62" t="s">
        <v>511</v>
      </c>
      <c r="J2493" s="44" t="s">
        <v>519</v>
      </c>
      <c r="K2493" s="44" t="s">
        <v>519</v>
      </c>
      <c r="L2493" s="44" t="s">
        <v>552</v>
      </c>
      <c r="M2493" s="44" t="s">
        <v>976</v>
      </c>
      <c r="N2493" s="44" t="s">
        <v>839</v>
      </c>
      <c r="O2493" s="45" t="s">
        <v>383</v>
      </c>
      <c r="P2493" s="45" t="s">
        <v>3760</v>
      </c>
      <c r="Q2493" s="59" t="str">
        <f>MID(Tabla1[[#This Row],[Aplicación]],14,1)</f>
        <v>2</v>
      </c>
      <c r="R2493" s="35" t="s">
        <v>298</v>
      </c>
      <c r="S2493" s="59" t="str">
        <f>MID(Tabla1[[#This Row],[Aplicación]],6,2)</f>
        <v>03</v>
      </c>
      <c r="T2493" s="35" t="str">
        <f>VLOOKUP(Tabla1[[#This Row],[AREA]],Hoja1!A:B,2,FALSE)</f>
        <v>03. Participación ciudadana y deportes</v>
      </c>
      <c r="U2493" s="56" t="str">
        <f>MID(Tabla1[[#This Row],[Aplicación]],9,4)</f>
        <v>9241</v>
      </c>
      <c r="V2493" s="35" t="str">
        <f>VLOOKUP(Tabla1[[#This Row],[PROGRAMA]],Hoja1!A:B,2,FALSE)</f>
        <v>9241. Participación ciudadana</v>
      </c>
      <c r="W2493" s="56" t="str">
        <f>MID(Tabla1[[#This Row],[Aplicación]],14,2)</f>
        <v>21</v>
      </c>
      <c r="X2493" s="56" t="str">
        <f>MID(Tabla1[[#This Row],[Aplicación]],14,6)</f>
        <v>213</v>
      </c>
    </row>
    <row r="2494" spans="1:24" x14ac:dyDescent="0.25">
      <c r="A2494" s="62">
        <v>220230013737</v>
      </c>
      <c r="B2494" s="44" t="s">
        <v>507</v>
      </c>
      <c r="C2494" s="64">
        <v>45027</v>
      </c>
      <c r="D2494" s="62">
        <v>22023003772</v>
      </c>
      <c r="E2494" s="44" t="s">
        <v>931</v>
      </c>
      <c r="F2494" s="65">
        <v>2567.8200000000002</v>
      </c>
      <c r="G2494" s="44" t="s">
        <v>1485</v>
      </c>
      <c r="H2494" s="44" t="s">
        <v>4096</v>
      </c>
      <c r="I2494" s="62" t="s">
        <v>511</v>
      </c>
      <c r="J2494" s="44" t="s">
        <v>1487</v>
      </c>
      <c r="K2494" s="44" t="s">
        <v>519</v>
      </c>
      <c r="L2494" s="44" t="s">
        <v>520</v>
      </c>
      <c r="M2494" s="44" t="s">
        <v>976</v>
      </c>
      <c r="N2494" s="44" t="s">
        <v>839</v>
      </c>
      <c r="O2494" s="45" t="s">
        <v>383</v>
      </c>
      <c r="P2494" s="45" t="s">
        <v>3760</v>
      </c>
      <c r="Q2494" s="59" t="str">
        <f>MID(Tabla1[[#This Row],[Aplicación]],14,1)</f>
        <v>2</v>
      </c>
      <c r="R2494" s="35" t="s">
        <v>298</v>
      </c>
      <c r="S2494" s="59" t="str">
        <f>MID(Tabla1[[#This Row],[Aplicación]],6,2)</f>
        <v>09</v>
      </c>
      <c r="T2494" s="35" t="str">
        <f>VLOOKUP(Tabla1[[#This Row],[AREA]],Hoja1!A:B,2,FALSE)</f>
        <v>09. Cultura y turismo</v>
      </c>
      <c r="U2494" s="56" t="str">
        <f>MID(Tabla1[[#This Row],[Aplicación]],9,4)</f>
        <v>3341</v>
      </c>
      <c r="V2494" s="35" t="str">
        <f>VLOOKUP(Tabla1[[#This Row],[PROGRAMA]],Hoja1!A:B,2,FALSE)</f>
        <v>3341. Coordinación de políticas culturales</v>
      </c>
      <c r="W2494" s="56" t="str">
        <f>MID(Tabla1[[#This Row],[Aplicación]],14,2)</f>
        <v>22</v>
      </c>
      <c r="X2494" s="56" t="str">
        <f>MID(Tabla1[[#This Row],[Aplicación]],14,6)</f>
        <v>22799</v>
      </c>
    </row>
    <row r="2495" spans="1:24" x14ac:dyDescent="0.25">
      <c r="A2495" s="62">
        <v>220230015093</v>
      </c>
      <c r="B2495" s="44" t="s">
        <v>507</v>
      </c>
      <c r="C2495" s="64">
        <v>45041</v>
      </c>
      <c r="D2495" s="62">
        <v>22023003812</v>
      </c>
      <c r="E2495" s="44" t="s">
        <v>4097</v>
      </c>
      <c r="F2495" s="65">
        <v>1731.54</v>
      </c>
      <c r="G2495" s="44" t="s">
        <v>4098</v>
      </c>
      <c r="H2495" s="44" t="s">
        <v>4099</v>
      </c>
      <c r="I2495" s="62" t="s">
        <v>511</v>
      </c>
      <c r="J2495" s="44" t="s">
        <v>4100</v>
      </c>
      <c r="K2495" s="44" t="s">
        <v>2909</v>
      </c>
      <c r="L2495" s="44" t="s">
        <v>520</v>
      </c>
      <c r="M2495" s="44" t="s">
        <v>976</v>
      </c>
      <c r="N2495" s="44" t="s">
        <v>839</v>
      </c>
      <c r="O2495" s="45" t="s">
        <v>383</v>
      </c>
      <c r="P2495" s="45" t="s">
        <v>3760</v>
      </c>
      <c r="Q2495" s="59" t="str">
        <f>MID(Tabla1[[#This Row],[Aplicación]],14,1)</f>
        <v>2</v>
      </c>
      <c r="R2495" s="35" t="s">
        <v>298</v>
      </c>
      <c r="S2495" s="59" t="str">
        <f>MID(Tabla1[[#This Row],[Aplicación]],6,2)</f>
        <v>11</v>
      </c>
      <c r="T2495" s="35" t="str">
        <f>VLOOKUP(Tabla1[[#This Row],[AREA]],Hoja1!A:B,2,FALSE)</f>
        <v>11. Salud pública y seguridad ciudadana</v>
      </c>
      <c r="U2495" s="56" t="str">
        <f>MID(Tabla1[[#This Row],[Aplicación]],9,4)</f>
        <v>1631</v>
      </c>
      <c r="V2495" s="35" t="str">
        <f>VLOOKUP(Tabla1[[#This Row],[PROGRAMA]],Hoja1!A:B,2,FALSE)</f>
        <v>1631. Limpieza viaria</v>
      </c>
      <c r="W2495" s="56" t="str">
        <f>MID(Tabla1[[#This Row],[Aplicación]],14,2)</f>
        <v>21</v>
      </c>
      <c r="X2495" s="56" t="str">
        <f>MID(Tabla1[[#This Row],[Aplicación]],14,6)</f>
        <v>219</v>
      </c>
    </row>
    <row r="2496" spans="1:24" x14ac:dyDescent="0.25">
      <c r="A2496" s="62">
        <v>220230015976</v>
      </c>
      <c r="B2496" s="44" t="s">
        <v>507</v>
      </c>
      <c r="C2496" s="64">
        <v>45042</v>
      </c>
      <c r="D2496" s="62">
        <v>22023004063</v>
      </c>
      <c r="E2496" s="44" t="s">
        <v>1191</v>
      </c>
      <c r="F2496" s="65">
        <v>280</v>
      </c>
      <c r="G2496" s="44" t="s">
        <v>4101</v>
      </c>
      <c r="H2496" s="44" t="s">
        <v>4102</v>
      </c>
      <c r="I2496" s="62" t="s">
        <v>511</v>
      </c>
      <c r="J2496" s="44" t="s">
        <v>837</v>
      </c>
      <c r="K2496" s="44" t="s">
        <v>837</v>
      </c>
      <c r="L2496" s="44" t="s">
        <v>520</v>
      </c>
      <c r="M2496" s="44" t="s">
        <v>976</v>
      </c>
      <c r="N2496" s="44" t="s">
        <v>839</v>
      </c>
      <c r="O2496" s="45" t="s">
        <v>383</v>
      </c>
      <c r="P2496" s="45" t="s">
        <v>3760</v>
      </c>
      <c r="Q2496" s="59" t="str">
        <f>MID(Tabla1[[#This Row],[Aplicación]],14,1)</f>
        <v>2</v>
      </c>
      <c r="R2496" s="35" t="s">
        <v>298</v>
      </c>
      <c r="S2496" s="59" t="str">
        <f>MID(Tabla1[[#This Row],[Aplicación]],6,2)</f>
        <v>06</v>
      </c>
      <c r="T2496" s="35" t="str">
        <f>VLOOKUP(Tabla1[[#This Row],[AREA]],Hoja1!A:B,2,FALSE)</f>
        <v>06. Educación, infancia, juventud e igualdad</v>
      </c>
      <c r="U2496" s="56" t="str">
        <f>MID(Tabla1[[#This Row],[Aplicación]],9,4)</f>
        <v>2315</v>
      </c>
      <c r="V2496" s="35" t="str">
        <f>VLOOKUP(Tabla1[[#This Row],[PROGRAMA]],Hoja1!A:B,2,FALSE)</f>
        <v>2315. Políticas de Igualdad e infancia</v>
      </c>
      <c r="W2496" s="56" t="str">
        <f>MID(Tabla1[[#This Row],[Aplicación]],14,2)</f>
        <v>22</v>
      </c>
      <c r="X2496" s="56" t="str">
        <f>MID(Tabla1[[#This Row],[Aplicación]],14,6)</f>
        <v>22611</v>
      </c>
    </row>
    <row r="2497" spans="1:24" x14ac:dyDescent="0.25">
      <c r="A2497" s="62">
        <v>220230018153</v>
      </c>
      <c r="B2497" s="44" t="s">
        <v>507</v>
      </c>
      <c r="C2497" s="64">
        <v>45054</v>
      </c>
      <c r="D2497" s="62">
        <v>22023004282</v>
      </c>
      <c r="E2497" s="44" t="s">
        <v>1479</v>
      </c>
      <c r="F2497" s="65">
        <v>242</v>
      </c>
      <c r="G2497" s="44" t="s">
        <v>4101</v>
      </c>
      <c r="H2497" s="44" t="s">
        <v>4103</v>
      </c>
      <c r="I2497" s="62" t="s">
        <v>511</v>
      </c>
      <c r="J2497" s="44" t="s">
        <v>837</v>
      </c>
      <c r="K2497" s="44" t="s">
        <v>837</v>
      </c>
      <c r="L2497" s="44" t="s">
        <v>520</v>
      </c>
      <c r="M2497" s="44" t="s">
        <v>976</v>
      </c>
      <c r="N2497" s="44" t="s">
        <v>839</v>
      </c>
      <c r="O2497" s="45" t="s">
        <v>383</v>
      </c>
      <c r="P2497" s="45" t="s">
        <v>3760</v>
      </c>
      <c r="Q2497" s="59" t="str">
        <f>MID(Tabla1[[#This Row],[Aplicación]],14,1)</f>
        <v>2</v>
      </c>
      <c r="R2497" s="35" t="s">
        <v>298</v>
      </c>
      <c r="S2497" s="59" t="str">
        <f>MID(Tabla1[[#This Row],[Aplicación]],6,2)</f>
        <v>03</v>
      </c>
      <c r="T2497" s="35" t="str">
        <f>VLOOKUP(Tabla1[[#This Row],[AREA]],Hoja1!A:B,2,FALSE)</f>
        <v>03. Participación ciudadana y deportes</v>
      </c>
      <c r="U2497" s="56" t="str">
        <f>MID(Tabla1[[#This Row],[Aplicación]],9,4)</f>
        <v>9241</v>
      </c>
      <c r="V2497" s="35" t="str">
        <f>VLOOKUP(Tabla1[[#This Row],[PROGRAMA]],Hoja1!A:B,2,FALSE)</f>
        <v>9241. Participación ciudadana</v>
      </c>
      <c r="W2497" s="56" t="str">
        <f>MID(Tabla1[[#This Row],[Aplicación]],14,2)</f>
        <v>22</v>
      </c>
      <c r="X2497" s="56" t="str">
        <f>MID(Tabla1[[#This Row],[Aplicación]],14,6)</f>
        <v>22609</v>
      </c>
    </row>
    <row r="2498" spans="1:24" x14ac:dyDescent="0.25">
      <c r="A2498" s="62">
        <v>220230013366</v>
      </c>
      <c r="B2498" s="44" t="s">
        <v>507</v>
      </c>
      <c r="C2498" s="64">
        <v>45020</v>
      </c>
      <c r="D2498" s="62">
        <v>22023002089</v>
      </c>
      <c r="E2498" s="44" t="s">
        <v>574</v>
      </c>
      <c r="F2498" s="65">
        <v>14029.4</v>
      </c>
      <c r="G2498" s="44" t="s">
        <v>422</v>
      </c>
      <c r="H2498" s="44" t="s">
        <v>4104</v>
      </c>
      <c r="I2498" s="62" t="s">
        <v>511</v>
      </c>
      <c r="J2498" s="44" t="s">
        <v>512</v>
      </c>
      <c r="K2498" s="44" t="s">
        <v>512</v>
      </c>
      <c r="L2498" s="44" t="s">
        <v>520</v>
      </c>
      <c r="M2498" s="44" t="s">
        <v>976</v>
      </c>
      <c r="N2498" s="44" t="s">
        <v>839</v>
      </c>
      <c r="O2498" s="45" t="s">
        <v>383</v>
      </c>
      <c r="P2498" s="45" t="s">
        <v>3760</v>
      </c>
      <c r="Q2498" s="59" t="str">
        <f>MID(Tabla1[[#This Row],[Aplicación]],14,1)</f>
        <v>2</v>
      </c>
      <c r="R2498" s="35" t="s">
        <v>298</v>
      </c>
      <c r="S2498" s="59" t="str">
        <f>MID(Tabla1[[#This Row],[Aplicación]],6,2)</f>
        <v>11</v>
      </c>
      <c r="T2498" s="35" t="str">
        <f>VLOOKUP(Tabla1[[#This Row],[AREA]],Hoja1!A:B,2,FALSE)</f>
        <v>11. Salud pública y seguridad ciudadana</v>
      </c>
      <c r="U2498" s="56" t="str">
        <f>MID(Tabla1[[#This Row],[Aplicación]],9,4)</f>
        <v>1621</v>
      </c>
      <c r="V2498" s="35" t="str">
        <f>VLOOKUP(Tabla1[[#This Row],[PROGRAMA]],Hoja1!A:B,2,FALSE)</f>
        <v>1621. Servicio de limpieza</v>
      </c>
      <c r="W2498" s="56" t="str">
        <f>MID(Tabla1[[#This Row],[Aplicación]],14,2)</f>
        <v>22</v>
      </c>
      <c r="X2498" s="56" t="str">
        <f>MID(Tabla1[[#This Row],[Aplicación]],14,6)</f>
        <v>22700</v>
      </c>
    </row>
    <row r="2499" spans="1:24" x14ac:dyDescent="0.25">
      <c r="A2499" s="62">
        <v>220230022358</v>
      </c>
      <c r="B2499" s="44" t="s">
        <v>507</v>
      </c>
      <c r="C2499" s="64">
        <v>45065</v>
      </c>
      <c r="D2499" s="62">
        <v>22023004476</v>
      </c>
      <c r="E2499" s="44" t="s">
        <v>1315</v>
      </c>
      <c r="F2499" s="65">
        <v>1754.5</v>
      </c>
      <c r="G2499" s="44" t="s">
        <v>4105</v>
      </c>
      <c r="H2499" s="44" t="s">
        <v>4106</v>
      </c>
      <c r="I2499" s="62" t="s">
        <v>511</v>
      </c>
      <c r="J2499" s="44" t="s">
        <v>519</v>
      </c>
      <c r="K2499" s="44" t="s">
        <v>519</v>
      </c>
      <c r="L2499" s="44" t="s">
        <v>520</v>
      </c>
      <c r="M2499" s="44" t="s">
        <v>976</v>
      </c>
      <c r="N2499" s="44" t="s">
        <v>839</v>
      </c>
      <c r="O2499" s="45" t="s">
        <v>383</v>
      </c>
      <c r="P2499" s="45" t="s">
        <v>3760</v>
      </c>
      <c r="Q2499" s="59" t="str">
        <f>MID(Tabla1[[#This Row],[Aplicación]],14,1)</f>
        <v>2</v>
      </c>
      <c r="R2499" s="35" t="s">
        <v>298</v>
      </c>
      <c r="S2499" s="59" t="str">
        <f>MID(Tabla1[[#This Row],[Aplicación]],6,2)</f>
        <v>01</v>
      </c>
      <c r="T2499" s="35" t="str">
        <f>VLOOKUP(Tabla1[[#This Row],[AREA]],Hoja1!A:B,2,FALSE)</f>
        <v>01. Alcaldía</v>
      </c>
      <c r="U2499" s="56" t="str">
        <f>MID(Tabla1[[#This Row],[Aplicación]],9,4)</f>
        <v>9207</v>
      </c>
      <c r="V2499" s="35" t="str">
        <f>VLOOKUP(Tabla1[[#This Row],[PROGRAMA]],Hoja1!A:B,2,FALSE)</f>
        <v>9207. Gobierno y relaciones</v>
      </c>
      <c r="W2499" s="56" t="str">
        <f>MID(Tabla1[[#This Row],[Aplicación]],14,2)</f>
        <v>22</v>
      </c>
      <c r="X2499" s="56" t="str">
        <f>MID(Tabla1[[#This Row],[Aplicación]],14,6)</f>
        <v>22602</v>
      </c>
    </row>
    <row r="2500" spans="1:24" x14ac:dyDescent="0.25">
      <c r="A2500" s="62">
        <v>220230013646</v>
      </c>
      <c r="B2500" s="44" t="s">
        <v>507</v>
      </c>
      <c r="C2500" s="64">
        <v>45026</v>
      </c>
      <c r="D2500" s="62">
        <v>22023003525</v>
      </c>
      <c r="E2500" s="44" t="s">
        <v>967</v>
      </c>
      <c r="F2500" s="65">
        <v>6548.87</v>
      </c>
      <c r="G2500" s="44" t="s">
        <v>2485</v>
      </c>
      <c r="H2500" s="44" t="s">
        <v>4107</v>
      </c>
      <c r="I2500" s="62" t="s">
        <v>511</v>
      </c>
      <c r="J2500" s="44" t="s">
        <v>1535</v>
      </c>
      <c r="K2500" s="44" t="s">
        <v>512</v>
      </c>
      <c r="L2500" s="44" t="s">
        <v>520</v>
      </c>
      <c r="M2500" s="44" t="s">
        <v>514</v>
      </c>
      <c r="N2500" s="44" t="s">
        <v>515</v>
      </c>
      <c r="O2500" s="45" t="s">
        <v>382</v>
      </c>
      <c r="P2500" s="45" t="s">
        <v>3760</v>
      </c>
      <c r="Q2500" s="59" t="str">
        <f>MID(Tabla1[[#This Row],[Aplicación]],14,1)</f>
        <v>2</v>
      </c>
      <c r="R2500" s="35" t="s">
        <v>298</v>
      </c>
      <c r="S2500" s="59" t="str">
        <f>MID(Tabla1[[#This Row],[Aplicación]],6,2)</f>
        <v>11</v>
      </c>
      <c r="T2500" s="35" t="str">
        <f>VLOOKUP(Tabla1[[#This Row],[AREA]],Hoja1!A:B,2,FALSE)</f>
        <v>11. Salud pública y seguridad ciudadana</v>
      </c>
      <c r="U2500" s="56" t="str">
        <f>MID(Tabla1[[#This Row],[Aplicación]],9,4)</f>
        <v>1631</v>
      </c>
      <c r="V2500" s="35" t="str">
        <f>VLOOKUP(Tabla1[[#This Row],[PROGRAMA]],Hoja1!A:B,2,FALSE)</f>
        <v>1631. Limpieza viaria</v>
      </c>
      <c r="W2500" s="56" t="str">
        <f>MID(Tabla1[[#This Row],[Aplicación]],14,2)</f>
        <v>22</v>
      </c>
      <c r="X2500" s="56" t="str">
        <f>MID(Tabla1[[#This Row],[Aplicación]],14,6)</f>
        <v>22700</v>
      </c>
    </row>
    <row r="2501" spans="1:24" x14ac:dyDescent="0.25">
      <c r="A2501" s="62">
        <v>220230018173</v>
      </c>
      <c r="B2501" s="44" t="s">
        <v>507</v>
      </c>
      <c r="C2501" s="64">
        <v>45054</v>
      </c>
      <c r="D2501" s="62">
        <v>22023004375</v>
      </c>
      <c r="E2501" s="44" t="s">
        <v>1905</v>
      </c>
      <c r="F2501" s="65">
        <v>3025</v>
      </c>
      <c r="G2501" s="44" t="s">
        <v>4108</v>
      </c>
      <c r="H2501" s="44" t="s">
        <v>4109</v>
      </c>
      <c r="I2501" s="62" t="s">
        <v>511</v>
      </c>
      <c r="J2501" s="44" t="s">
        <v>519</v>
      </c>
      <c r="K2501" s="44" t="s">
        <v>519</v>
      </c>
      <c r="L2501" s="44" t="s">
        <v>520</v>
      </c>
      <c r="M2501" s="44" t="s">
        <v>976</v>
      </c>
      <c r="N2501" s="44" t="s">
        <v>839</v>
      </c>
      <c r="O2501" s="45" t="s">
        <v>383</v>
      </c>
      <c r="P2501" s="45" t="s">
        <v>3760</v>
      </c>
      <c r="Q2501" s="59" t="str">
        <f>MID(Tabla1[[#This Row],[Aplicación]],14,1)</f>
        <v>2</v>
      </c>
      <c r="R2501" s="35" t="s">
        <v>298</v>
      </c>
      <c r="S2501" s="59" t="str">
        <f>MID(Tabla1[[#This Row],[Aplicación]],6,2)</f>
        <v>02</v>
      </c>
      <c r="T2501" s="35" t="str">
        <f>VLOOKUP(Tabla1[[#This Row],[AREA]],Hoja1!A:B,2,FALSE)</f>
        <v>02. Planeamiento urbanístico y vivienda</v>
      </c>
      <c r="U2501" s="56" t="str">
        <f>MID(Tabla1[[#This Row],[Aplicación]],9,4)</f>
        <v>1501</v>
      </c>
      <c r="V2501" s="35" t="str">
        <f>VLOOKUP(Tabla1[[#This Row],[PROGRAMA]],Hoja1!A:B,2,FALSE)</f>
        <v>1501. Dirección del área de urbanismo</v>
      </c>
      <c r="W2501" s="56" t="str">
        <f>MID(Tabla1[[#This Row],[Aplicación]],14,2)</f>
        <v>22</v>
      </c>
      <c r="X2501" s="56" t="str">
        <f>MID(Tabla1[[#This Row],[Aplicación]],14,6)</f>
        <v>22699</v>
      </c>
    </row>
    <row r="2502" spans="1:24" x14ac:dyDescent="0.25">
      <c r="A2502" s="62">
        <v>220230012988</v>
      </c>
      <c r="B2502" s="44" t="s">
        <v>507</v>
      </c>
      <c r="C2502" s="64">
        <v>45019</v>
      </c>
      <c r="D2502" s="62">
        <v>22023003612</v>
      </c>
      <c r="E2502" s="44" t="s">
        <v>1066</v>
      </c>
      <c r="F2502" s="65">
        <v>7139</v>
      </c>
      <c r="G2502" s="44" t="s">
        <v>29</v>
      </c>
      <c r="H2502" s="44" t="s">
        <v>4110</v>
      </c>
      <c r="I2502" s="62" t="s">
        <v>511</v>
      </c>
      <c r="J2502" s="44" t="s">
        <v>519</v>
      </c>
      <c r="K2502" s="44" t="s">
        <v>519</v>
      </c>
      <c r="L2502" s="44" t="s">
        <v>520</v>
      </c>
      <c r="M2502" s="44" t="s">
        <v>514</v>
      </c>
      <c r="N2502" s="44" t="s">
        <v>515</v>
      </c>
      <c r="O2502" s="45" t="s">
        <v>382</v>
      </c>
      <c r="P2502" s="45" t="s">
        <v>3760</v>
      </c>
      <c r="Q2502" s="59" t="str">
        <f>MID(Tabla1[[#This Row],[Aplicación]],14,1)</f>
        <v>2</v>
      </c>
      <c r="R2502" s="35" t="s">
        <v>298</v>
      </c>
      <c r="S2502" s="59" t="str">
        <f>MID(Tabla1[[#This Row],[Aplicación]],6,2)</f>
        <v>08</v>
      </c>
      <c r="T2502" s="35" t="str">
        <f>VLOOKUP(Tabla1[[#This Row],[AREA]],Hoja1!A:B,2,FALSE)</f>
        <v>08. Movilidad y espacio urbano</v>
      </c>
      <c r="U2502" s="56" t="str">
        <f>MID(Tabla1[[#This Row],[Aplicación]],9,4)</f>
        <v>1301</v>
      </c>
      <c r="V2502" s="35" t="str">
        <f>VLOOKUP(Tabla1[[#This Row],[PROGRAMA]],Hoja1!A:B,2,FALSE)</f>
        <v>1301. Dirección del área de seguridad</v>
      </c>
      <c r="W2502" s="56" t="str">
        <f>MID(Tabla1[[#This Row],[Aplicación]],14,2)</f>
        <v>22</v>
      </c>
      <c r="X2502" s="56" t="str">
        <f>MID(Tabla1[[#This Row],[Aplicación]],14,6)</f>
        <v>22699</v>
      </c>
    </row>
    <row r="2503" spans="1:24" x14ac:dyDescent="0.25">
      <c r="A2503" s="62">
        <v>220230018169</v>
      </c>
      <c r="B2503" s="44" t="s">
        <v>507</v>
      </c>
      <c r="C2503" s="64">
        <v>45054</v>
      </c>
      <c r="D2503" s="62">
        <v>22023004304</v>
      </c>
      <c r="E2503" s="44" t="s">
        <v>2310</v>
      </c>
      <c r="F2503" s="65">
        <v>500</v>
      </c>
      <c r="G2503" s="44" t="s">
        <v>4111</v>
      </c>
      <c r="H2503" s="44" t="s">
        <v>4112</v>
      </c>
      <c r="I2503" s="62" t="s">
        <v>511</v>
      </c>
      <c r="J2503" s="44" t="s">
        <v>519</v>
      </c>
      <c r="K2503" s="44" t="s">
        <v>519</v>
      </c>
      <c r="L2503" s="44" t="s">
        <v>552</v>
      </c>
      <c r="M2503" s="44" t="s">
        <v>976</v>
      </c>
      <c r="N2503" s="44" t="s">
        <v>839</v>
      </c>
      <c r="O2503" s="45" t="s">
        <v>383</v>
      </c>
      <c r="P2503" s="45" t="s">
        <v>3760</v>
      </c>
      <c r="Q2503" s="59" t="str">
        <f>MID(Tabla1[[#This Row],[Aplicación]],14,1)</f>
        <v>2</v>
      </c>
      <c r="R2503" s="35" t="s">
        <v>298</v>
      </c>
      <c r="S2503" s="59" t="str">
        <f>MID(Tabla1[[#This Row],[Aplicación]],6,2)</f>
        <v>11</v>
      </c>
      <c r="T2503" s="35" t="str">
        <f>VLOOKUP(Tabla1[[#This Row],[AREA]],Hoja1!A:B,2,FALSE)</f>
        <v>11. Salud pública y seguridad ciudadana</v>
      </c>
      <c r="U2503" s="56" t="str">
        <f>MID(Tabla1[[#This Row],[Aplicación]],9,4)</f>
        <v>1321</v>
      </c>
      <c r="V2503" s="35" t="str">
        <f>VLOOKUP(Tabla1[[#This Row],[PROGRAMA]],Hoja1!A:B,2,FALSE)</f>
        <v>1321. Policía municipal</v>
      </c>
      <c r="W2503" s="56" t="str">
        <f>MID(Tabla1[[#This Row],[Aplicación]],14,2)</f>
        <v>22</v>
      </c>
      <c r="X2503" s="56" t="str">
        <f>MID(Tabla1[[#This Row],[Aplicación]],14,6)</f>
        <v>22199</v>
      </c>
    </row>
    <row r="2504" spans="1:24" x14ac:dyDescent="0.25">
      <c r="A2504" s="62">
        <v>220230022626</v>
      </c>
      <c r="B2504" s="44" t="s">
        <v>507</v>
      </c>
      <c r="C2504" s="64">
        <v>45068</v>
      </c>
      <c r="D2504" s="62">
        <v>22023004533</v>
      </c>
      <c r="E2504" s="44" t="s">
        <v>3068</v>
      </c>
      <c r="F2504" s="65">
        <v>22.65</v>
      </c>
      <c r="G2504" s="44" t="s">
        <v>1507</v>
      </c>
      <c r="H2504" s="44" t="s">
        <v>4113</v>
      </c>
      <c r="I2504" s="62" t="s">
        <v>511</v>
      </c>
      <c r="J2504" s="44" t="s">
        <v>519</v>
      </c>
      <c r="K2504" s="44" t="s">
        <v>519</v>
      </c>
      <c r="L2504" s="44" t="s">
        <v>552</v>
      </c>
      <c r="M2504" s="44" t="s">
        <v>976</v>
      </c>
      <c r="N2504" s="44" t="s">
        <v>839</v>
      </c>
      <c r="O2504" s="45" t="s">
        <v>383</v>
      </c>
      <c r="P2504" s="45" t="s">
        <v>3760</v>
      </c>
      <c r="Q2504" s="59" t="str">
        <f>MID(Tabla1[[#This Row],[Aplicación]],14,1)</f>
        <v>2</v>
      </c>
      <c r="R2504" s="35" t="s">
        <v>298</v>
      </c>
      <c r="S2504" s="59" t="str">
        <f>MID(Tabla1[[#This Row],[Aplicación]],6,2)</f>
        <v>05</v>
      </c>
      <c r="T2504" s="35" t="str">
        <f>VLOOKUP(Tabla1[[#This Row],[AREA]],Hoja1!A:B,2,FALSE)</f>
        <v>05. Innovación, desarrollo económico, empleo y comercio</v>
      </c>
      <c r="U2504" s="56" t="str">
        <f>MID(Tabla1[[#This Row],[Aplicación]],9,4)</f>
        <v>4312</v>
      </c>
      <c r="V2504" s="35" t="str">
        <f>VLOOKUP(Tabla1[[#This Row],[PROGRAMA]],Hoja1!A:B,2,FALSE)</f>
        <v>4312. Mercados, abastos y lonjas</v>
      </c>
      <c r="W2504" s="56" t="str">
        <f>MID(Tabla1[[#This Row],[Aplicación]],14,2)</f>
        <v>22</v>
      </c>
      <c r="X2504" s="56" t="str">
        <f>MID(Tabla1[[#This Row],[Aplicación]],14,6)</f>
        <v>22199</v>
      </c>
    </row>
    <row r="2505" spans="1:24" x14ac:dyDescent="0.25">
      <c r="A2505" s="62">
        <v>220230018798</v>
      </c>
      <c r="B2505" s="44" t="s">
        <v>507</v>
      </c>
      <c r="C2505" s="64">
        <v>45055</v>
      </c>
      <c r="D2505" s="62">
        <v>22023003005</v>
      </c>
      <c r="E2505" s="44" t="s">
        <v>1150</v>
      </c>
      <c r="F2505" s="65">
        <v>4976.6000000000004</v>
      </c>
      <c r="G2505" s="44" t="s">
        <v>39</v>
      </c>
      <c r="H2505" s="44" t="s">
        <v>4114</v>
      </c>
      <c r="I2505" s="62" t="s">
        <v>511</v>
      </c>
      <c r="J2505" s="44" t="s">
        <v>1152</v>
      </c>
      <c r="K2505" s="44" t="s">
        <v>771</v>
      </c>
      <c r="L2505" s="44" t="s">
        <v>520</v>
      </c>
      <c r="M2505" s="44" t="s">
        <v>514</v>
      </c>
      <c r="N2505" s="44" t="s">
        <v>604</v>
      </c>
      <c r="O2505" s="45" t="s">
        <v>371</v>
      </c>
      <c r="P2505" s="45" t="s">
        <v>3760</v>
      </c>
      <c r="Q2505" s="59" t="str">
        <f>MID(Tabla1[[#This Row],[Aplicación]],14,1)</f>
        <v>2</v>
      </c>
      <c r="R2505" s="35" t="s">
        <v>298</v>
      </c>
      <c r="S2505" s="59" t="str">
        <f>MID(Tabla1[[#This Row],[Aplicación]],6,2)</f>
        <v>03</v>
      </c>
      <c r="T2505" s="35" t="str">
        <f>VLOOKUP(Tabla1[[#This Row],[AREA]],Hoja1!A:B,2,FALSE)</f>
        <v>03. Participación ciudadana y deportes</v>
      </c>
      <c r="U2505" s="56" t="str">
        <f>MID(Tabla1[[#This Row],[Aplicación]],9,4)</f>
        <v>9241</v>
      </c>
      <c r="V2505" s="35" t="str">
        <f>VLOOKUP(Tabla1[[#This Row],[PROGRAMA]],Hoja1!A:B,2,FALSE)</f>
        <v>9241. Participación ciudadana</v>
      </c>
      <c r="W2505" s="56" t="str">
        <f>MID(Tabla1[[#This Row],[Aplicación]],14,2)</f>
        <v>21</v>
      </c>
      <c r="X2505" s="56" t="str">
        <f>MID(Tabla1[[#This Row],[Aplicación]],14,6)</f>
        <v>213</v>
      </c>
    </row>
    <row r="2506" spans="1:24" x14ac:dyDescent="0.25">
      <c r="A2506" s="62">
        <v>220230016602</v>
      </c>
      <c r="B2506" s="44" t="s">
        <v>507</v>
      </c>
      <c r="C2506" s="64">
        <v>45043</v>
      </c>
      <c r="D2506" s="62">
        <v>22023002881</v>
      </c>
      <c r="E2506" s="44" t="s">
        <v>1326</v>
      </c>
      <c r="F2506" s="65">
        <v>5828</v>
      </c>
      <c r="G2506" s="44" t="s">
        <v>1575</v>
      </c>
      <c r="H2506" s="44" t="s">
        <v>4115</v>
      </c>
      <c r="I2506" s="62" t="s">
        <v>511</v>
      </c>
      <c r="J2506" s="44" t="s">
        <v>519</v>
      </c>
      <c r="K2506" s="44" t="s">
        <v>519</v>
      </c>
      <c r="L2506" s="44" t="s">
        <v>520</v>
      </c>
      <c r="M2506" s="44" t="s">
        <v>514</v>
      </c>
      <c r="N2506" s="44" t="s">
        <v>515</v>
      </c>
      <c r="O2506" s="45" t="s">
        <v>371</v>
      </c>
      <c r="P2506" s="45" t="s">
        <v>3760</v>
      </c>
      <c r="Q2506" s="59" t="str">
        <f>MID(Tabla1[[#This Row],[Aplicación]],14,1)</f>
        <v>2</v>
      </c>
      <c r="R2506" s="35" t="s">
        <v>298</v>
      </c>
      <c r="S2506" s="59" t="str">
        <f>MID(Tabla1[[#This Row],[Aplicación]],6,2)</f>
        <v>07</v>
      </c>
      <c r="T2506" s="35" t="str">
        <f>VLOOKUP(Tabla1[[#This Row],[AREA]],Hoja1!A:B,2,FALSE)</f>
        <v>07. Medio ambiente y desarrollo sostenible</v>
      </c>
      <c r="U2506" s="56" t="str">
        <f>MID(Tabla1[[#This Row],[Aplicación]],9,4)</f>
        <v>1701</v>
      </c>
      <c r="V2506" s="35" t="str">
        <f>VLOOKUP(Tabla1[[#This Row],[PROGRAMA]],Hoja1!A:B,2,FALSE)</f>
        <v>1701. Dirección del área de medio ambiente</v>
      </c>
      <c r="W2506" s="56" t="str">
        <f>MID(Tabla1[[#This Row],[Aplicación]],14,2)</f>
        <v>22</v>
      </c>
      <c r="X2506" s="56" t="str">
        <f>MID(Tabla1[[#This Row],[Aplicación]],14,6)</f>
        <v>22799</v>
      </c>
    </row>
    <row r="2507" spans="1:24" x14ac:dyDescent="0.25">
      <c r="A2507" s="62">
        <v>220230018613</v>
      </c>
      <c r="B2507" s="44" t="s">
        <v>1249</v>
      </c>
      <c r="C2507" s="64">
        <v>45055</v>
      </c>
      <c r="D2507" s="62">
        <v>22023003941</v>
      </c>
      <c r="E2507" s="44" t="s">
        <v>1132</v>
      </c>
      <c r="F2507" s="65">
        <v>26.08</v>
      </c>
      <c r="G2507" s="44" t="s">
        <v>2103</v>
      </c>
      <c r="H2507" s="44" t="s">
        <v>4116</v>
      </c>
      <c r="I2507" s="62" t="s">
        <v>1251</v>
      </c>
      <c r="J2507" s="44" t="s">
        <v>589</v>
      </c>
      <c r="K2507" s="44" t="s">
        <v>590</v>
      </c>
      <c r="L2507" s="44" t="s">
        <v>652</v>
      </c>
      <c r="M2507" s="44" t="s">
        <v>976</v>
      </c>
      <c r="N2507" s="44" t="s">
        <v>839</v>
      </c>
      <c r="O2507" s="45" t="s">
        <v>383</v>
      </c>
      <c r="P2507" s="45" t="s">
        <v>3760</v>
      </c>
      <c r="Q2507" s="59" t="str">
        <f>MID(Tabla1[[#This Row],[Aplicación]],14,1)</f>
        <v>2</v>
      </c>
      <c r="R2507" s="35" t="s">
        <v>298</v>
      </c>
      <c r="S2507" s="59" t="str">
        <f>MID(Tabla1[[#This Row],[Aplicación]],6,2)</f>
        <v>07</v>
      </c>
      <c r="T2507" s="35" t="str">
        <f>VLOOKUP(Tabla1[[#This Row],[AREA]],Hoja1!A:B,2,FALSE)</f>
        <v>07. Medio ambiente y desarrollo sostenible</v>
      </c>
      <c r="U2507" s="56" t="str">
        <f>MID(Tabla1[[#This Row],[Aplicación]],9,4)</f>
        <v>1721</v>
      </c>
      <c r="V2507" s="35" t="str">
        <f>VLOOKUP(Tabla1[[#This Row],[PROGRAMA]],Hoja1!A:B,2,FALSE)</f>
        <v>1721. Protección del medio ambiente</v>
      </c>
      <c r="W2507" s="56" t="str">
        <f>MID(Tabla1[[#This Row],[Aplicación]],14,2)</f>
        <v>22</v>
      </c>
      <c r="X2507" s="56" t="str">
        <f>MID(Tabla1[[#This Row],[Aplicación]],14,6)</f>
        <v>22100</v>
      </c>
    </row>
    <row r="2508" spans="1:24" x14ac:dyDescent="0.25">
      <c r="A2508" s="62">
        <v>220230013736</v>
      </c>
      <c r="B2508" s="44" t="s">
        <v>507</v>
      </c>
      <c r="C2508" s="64">
        <v>45027</v>
      </c>
      <c r="D2508" s="62">
        <v>22023003116</v>
      </c>
      <c r="E2508" s="44" t="s">
        <v>1318</v>
      </c>
      <c r="F2508" s="65">
        <v>60.5</v>
      </c>
      <c r="G2508" s="44" t="s">
        <v>1527</v>
      </c>
      <c r="H2508" s="44" t="s">
        <v>4117</v>
      </c>
      <c r="I2508" s="62" t="s">
        <v>511</v>
      </c>
      <c r="J2508" s="44" t="s">
        <v>837</v>
      </c>
      <c r="K2508" s="44" t="s">
        <v>837</v>
      </c>
      <c r="L2508" s="44" t="s">
        <v>520</v>
      </c>
      <c r="M2508" s="44" t="s">
        <v>976</v>
      </c>
      <c r="N2508" s="44" t="s">
        <v>839</v>
      </c>
      <c r="O2508" s="45" t="s">
        <v>383</v>
      </c>
      <c r="P2508" s="45" t="s">
        <v>3760</v>
      </c>
      <c r="Q2508" s="59" t="str">
        <f>MID(Tabla1[[#This Row],[Aplicación]],14,1)</f>
        <v>2</v>
      </c>
      <c r="R2508" s="35" t="s">
        <v>298</v>
      </c>
      <c r="S2508" s="59" t="str">
        <f>MID(Tabla1[[#This Row],[Aplicación]],6,2)</f>
        <v>05</v>
      </c>
      <c r="T2508" s="35" t="str">
        <f>VLOOKUP(Tabla1[[#This Row],[AREA]],Hoja1!A:B,2,FALSE)</f>
        <v>05. Innovación, desarrollo económico, empleo y comercio</v>
      </c>
      <c r="U2508" s="56" t="str">
        <f>MID(Tabla1[[#This Row],[Aplicación]],9,4)</f>
        <v>4331</v>
      </c>
      <c r="V2508" s="35" t="str">
        <f>VLOOKUP(Tabla1[[#This Row],[PROGRAMA]],Hoja1!A:B,2,FALSE)</f>
        <v>4331. Desarrollo empresarial</v>
      </c>
      <c r="W2508" s="56" t="str">
        <f>MID(Tabla1[[#This Row],[Aplicación]],14,2)</f>
        <v>22</v>
      </c>
      <c r="X2508" s="56" t="str">
        <f>MID(Tabla1[[#This Row],[Aplicación]],14,6)</f>
        <v>22699</v>
      </c>
    </row>
    <row r="2509" spans="1:24" x14ac:dyDescent="0.25">
      <c r="A2509" s="62">
        <v>220230020792</v>
      </c>
      <c r="B2509" s="44" t="s">
        <v>507</v>
      </c>
      <c r="C2509" s="64">
        <v>45062</v>
      </c>
      <c r="D2509" s="62">
        <v>22023004515</v>
      </c>
      <c r="E2509" s="44" t="s">
        <v>2310</v>
      </c>
      <c r="F2509" s="65">
        <v>2874.72</v>
      </c>
      <c r="G2509" s="44" t="s">
        <v>4118</v>
      </c>
      <c r="H2509" s="44" t="s">
        <v>4119</v>
      </c>
      <c r="I2509" s="62" t="s">
        <v>511</v>
      </c>
      <c r="J2509" s="44" t="s">
        <v>4120</v>
      </c>
      <c r="K2509" s="44" t="s">
        <v>837</v>
      </c>
      <c r="L2509" s="44" t="s">
        <v>552</v>
      </c>
      <c r="M2509" s="44" t="s">
        <v>976</v>
      </c>
      <c r="N2509" s="44" t="s">
        <v>839</v>
      </c>
      <c r="O2509" s="45" t="s">
        <v>383</v>
      </c>
      <c r="P2509" s="45" t="s">
        <v>3760</v>
      </c>
      <c r="Q2509" s="59" t="str">
        <f>MID(Tabla1[[#This Row],[Aplicación]],14,1)</f>
        <v>2</v>
      </c>
      <c r="R2509" s="35" t="s">
        <v>298</v>
      </c>
      <c r="S2509" s="59" t="str">
        <f>MID(Tabla1[[#This Row],[Aplicación]],6,2)</f>
        <v>11</v>
      </c>
      <c r="T2509" s="35" t="str">
        <f>VLOOKUP(Tabla1[[#This Row],[AREA]],Hoja1!A:B,2,FALSE)</f>
        <v>11. Salud pública y seguridad ciudadana</v>
      </c>
      <c r="U2509" s="56" t="str">
        <f>MID(Tabla1[[#This Row],[Aplicación]],9,4)</f>
        <v>1321</v>
      </c>
      <c r="V2509" s="35" t="str">
        <f>VLOOKUP(Tabla1[[#This Row],[PROGRAMA]],Hoja1!A:B,2,FALSE)</f>
        <v>1321. Policía municipal</v>
      </c>
      <c r="W2509" s="56" t="str">
        <f>MID(Tabla1[[#This Row],[Aplicación]],14,2)</f>
        <v>22</v>
      </c>
      <c r="X2509" s="56" t="str">
        <f>MID(Tabla1[[#This Row],[Aplicación]],14,6)</f>
        <v>22199</v>
      </c>
    </row>
    <row r="2510" spans="1:24" x14ac:dyDescent="0.25">
      <c r="A2510" s="62">
        <v>220230015081</v>
      </c>
      <c r="B2510" s="44" t="s">
        <v>507</v>
      </c>
      <c r="C2510" s="64">
        <v>45041</v>
      </c>
      <c r="D2510" s="62">
        <v>22023003679</v>
      </c>
      <c r="E2510" s="44" t="s">
        <v>693</v>
      </c>
      <c r="F2510" s="65">
        <v>1161.5999999999999</v>
      </c>
      <c r="G2510" s="44" t="s">
        <v>4121</v>
      </c>
      <c r="H2510" s="44" t="s">
        <v>4122</v>
      </c>
      <c r="I2510" s="62" t="s">
        <v>511</v>
      </c>
      <c r="J2510" s="44" t="s">
        <v>519</v>
      </c>
      <c r="K2510" s="44" t="s">
        <v>519</v>
      </c>
      <c r="L2510" s="44" t="s">
        <v>520</v>
      </c>
      <c r="M2510" s="44" t="s">
        <v>976</v>
      </c>
      <c r="N2510" s="44" t="s">
        <v>839</v>
      </c>
      <c r="O2510" s="45" t="s">
        <v>383</v>
      </c>
      <c r="P2510" s="45" t="s">
        <v>3760</v>
      </c>
      <c r="Q2510" s="59" t="str">
        <f>MID(Tabla1[[#This Row],[Aplicación]],14,1)</f>
        <v>2</v>
      </c>
      <c r="R2510" s="35" t="s">
        <v>298</v>
      </c>
      <c r="S2510" s="59" t="str">
        <f>MID(Tabla1[[#This Row],[Aplicación]],6,2)</f>
        <v>11</v>
      </c>
      <c r="T2510" s="35" t="str">
        <f>VLOOKUP(Tabla1[[#This Row],[AREA]],Hoja1!A:B,2,FALSE)</f>
        <v>11. Salud pública y seguridad ciudadana</v>
      </c>
      <c r="U2510" s="56" t="str">
        <f>MID(Tabla1[[#This Row],[Aplicación]],9,4)</f>
        <v>1361</v>
      </c>
      <c r="V2510" s="35" t="str">
        <f>VLOOKUP(Tabla1[[#This Row],[PROGRAMA]],Hoja1!A:B,2,FALSE)</f>
        <v>1361. Prevención y extinción de incencios</v>
      </c>
      <c r="W2510" s="56" t="str">
        <f>MID(Tabla1[[#This Row],[Aplicación]],14,2)</f>
        <v>21</v>
      </c>
      <c r="X2510" s="56" t="str">
        <f>MID(Tabla1[[#This Row],[Aplicación]],14,6)</f>
        <v>213</v>
      </c>
    </row>
    <row r="2511" spans="1:24" x14ac:dyDescent="0.25">
      <c r="A2511" s="62">
        <v>220230020482</v>
      </c>
      <c r="B2511" s="44" t="s">
        <v>507</v>
      </c>
      <c r="C2511" s="64">
        <v>45057</v>
      </c>
      <c r="D2511" s="62">
        <v>22023004475</v>
      </c>
      <c r="E2511" s="44" t="s">
        <v>1305</v>
      </c>
      <c r="F2511" s="65">
        <v>6655</v>
      </c>
      <c r="G2511" s="44" t="s">
        <v>4123</v>
      </c>
      <c r="H2511" s="44" t="s">
        <v>4124</v>
      </c>
      <c r="I2511" s="62" t="s">
        <v>511</v>
      </c>
      <c r="J2511" s="44" t="s">
        <v>519</v>
      </c>
      <c r="K2511" s="44" t="s">
        <v>519</v>
      </c>
      <c r="L2511" s="44" t="s">
        <v>527</v>
      </c>
      <c r="M2511" s="44" t="s">
        <v>976</v>
      </c>
      <c r="N2511" s="44" t="s">
        <v>839</v>
      </c>
      <c r="O2511" s="45" t="s">
        <v>383</v>
      </c>
      <c r="P2511" s="45" t="s">
        <v>3760</v>
      </c>
      <c r="Q2511" s="59" t="str">
        <f>MID(Tabla1[[#This Row],[Aplicación]],14,1)</f>
        <v>2</v>
      </c>
      <c r="R2511" s="35" t="s">
        <v>298</v>
      </c>
      <c r="S2511" s="59" t="str">
        <f>MID(Tabla1[[#This Row],[Aplicación]],6,2)</f>
        <v>06</v>
      </c>
      <c r="T2511" s="35" t="str">
        <f>VLOOKUP(Tabla1[[#This Row],[AREA]],Hoja1!A:B,2,FALSE)</f>
        <v>06. Educación, infancia, juventud e igualdad</v>
      </c>
      <c r="U2511" s="56" t="str">
        <f>MID(Tabla1[[#This Row],[Aplicación]],9,4)</f>
        <v>3232</v>
      </c>
      <c r="V2511" s="35" t="str">
        <f>VLOOKUP(Tabla1[[#This Row],[PROGRAMA]],Hoja1!A:B,2,FALSE)</f>
        <v>3232. Conservación y mantenimiento centros educación infantil y primaria</v>
      </c>
      <c r="W2511" s="56" t="str">
        <f>MID(Tabla1[[#This Row],[Aplicación]],14,2)</f>
        <v>21</v>
      </c>
      <c r="X2511" s="56" t="str">
        <f>MID(Tabla1[[#This Row],[Aplicación]],14,6)</f>
        <v>212</v>
      </c>
    </row>
    <row r="2512" spans="1:24" x14ac:dyDescent="0.25">
      <c r="A2512" s="62">
        <v>220230024858</v>
      </c>
      <c r="B2512" s="44" t="s">
        <v>507</v>
      </c>
      <c r="C2512" s="64">
        <v>45070</v>
      </c>
      <c r="D2512" s="62">
        <v>22023004646</v>
      </c>
      <c r="E2512" s="44" t="s">
        <v>835</v>
      </c>
      <c r="F2512" s="65">
        <v>10127.700000000001</v>
      </c>
      <c r="G2512" s="44" t="s">
        <v>4125</v>
      </c>
      <c r="H2512" s="44" t="s">
        <v>4126</v>
      </c>
      <c r="I2512" s="62" t="s">
        <v>511</v>
      </c>
      <c r="J2512" s="44" t="s">
        <v>519</v>
      </c>
      <c r="K2512" s="44" t="s">
        <v>519</v>
      </c>
      <c r="L2512" s="44" t="s">
        <v>527</v>
      </c>
      <c r="M2512" s="44" t="s">
        <v>976</v>
      </c>
      <c r="N2512" s="44" t="s">
        <v>839</v>
      </c>
      <c r="O2512" s="45" t="s">
        <v>383</v>
      </c>
      <c r="P2512" s="45" t="s">
        <v>3760</v>
      </c>
      <c r="Q2512" s="59" t="str">
        <f>MID(Tabla1[[#This Row],[Aplicación]],14,1)</f>
        <v>2</v>
      </c>
      <c r="R2512" s="35" t="s">
        <v>298</v>
      </c>
      <c r="S2512" s="59" t="str">
        <f>MID(Tabla1[[#This Row],[Aplicación]],6,2)</f>
        <v>05</v>
      </c>
      <c r="T2512" s="35" t="str">
        <f>VLOOKUP(Tabla1[[#This Row],[AREA]],Hoja1!A:B,2,FALSE)</f>
        <v>05. Innovación, desarrollo económico, empleo y comercio</v>
      </c>
      <c r="U2512" s="56" t="str">
        <f>MID(Tabla1[[#This Row],[Aplicación]],9,4)</f>
        <v>4331</v>
      </c>
      <c r="V2512" s="35" t="str">
        <f>VLOOKUP(Tabla1[[#This Row],[PROGRAMA]],Hoja1!A:B,2,FALSE)</f>
        <v>4331. Desarrollo empresarial</v>
      </c>
      <c r="W2512" s="56" t="str">
        <f>MID(Tabla1[[#This Row],[Aplicación]],14,2)</f>
        <v>22</v>
      </c>
      <c r="X2512" s="56" t="str">
        <f>MID(Tabla1[[#This Row],[Aplicación]],14,6)</f>
        <v>22799</v>
      </c>
    </row>
    <row r="2513" spans="1:24" x14ac:dyDescent="0.25">
      <c r="A2513" s="62">
        <v>220230013733</v>
      </c>
      <c r="B2513" s="44" t="s">
        <v>507</v>
      </c>
      <c r="C2513" s="64">
        <v>45027</v>
      </c>
      <c r="D2513" s="62">
        <v>22023003774</v>
      </c>
      <c r="E2513" s="44" t="s">
        <v>2138</v>
      </c>
      <c r="F2513" s="65">
        <v>1500</v>
      </c>
      <c r="G2513" s="44" t="s">
        <v>1570</v>
      </c>
      <c r="H2513" s="44" t="s">
        <v>4127</v>
      </c>
      <c r="I2513" s="62" t="s">
        <v>511</v>
      </c>
      <c r="J2513" s="44" t="s">
        <v>519</v>
      </c>
      <c r="K2513" s="44" t="s">
        <v>519</v>
      </c>
      <c r="L2513" s="44" t="s">
        <v>520</v>
      </c>
      <c r="M2513" s="44" t="s">
        <v>976</v>
      </c>
      <c r="N2513" s="44" t="s">
        <v>839</v>
      </c>
      <c r="O2513" s="45" t="s">
        <v>383</v>
      </c>
      <c r="P2513" s="45" t="s">
        <v>3760</v>
      </c>
      <c r="Q2513" s="59" t="str">
        <f>MID(Tabla1[[#This Row],[Aplicación]],14,1)</f>
        <v>2</v>
      </c>
      <c r="R2513" s="35" t="s">
        <v>298</v>
      </c>
      <c r="S2513" s="59" t="str">
        <f>MID(Tabla1[[#This Row],[Aplicación]],6,2)</f>
        <v>10</v>
      </c>
      <c r="T2513" s="35" t="str">
        <f>VLOOKUP(Tabla1[[#This Row],[AREA]],Hoja1!A:B,2,FALSE)</f>
        <v>10. Servicios sociales y mediación comunitaria</v>
      </c>
      <c r="U2513" s="56" t="str">
        <f>MID(Tabla1[[#This Row],[Aplicación]],9,4)</f>
        <v>2312</v>
      </c>
      <c r="V2513" s="35" t="str">
        <f>VLOOKUP(Tabla1[[#This Row],[PROGRAMA]],Hoja1!A:B,2,FALSE)</f>
        <v>2312. Iniciativas sociales</v>
      </c>
      <c r="W2513" s="56" t="str">
        <f>MID(Tabla1[[#This Row],[Aplicación]],14,2)</f>
        <v>22</v>
      </c>
      <c r="X2513" s="56" t="str">
        <f>MID(Tabla1[[#This Row],[Aplicación]],14,6)</f>
        <v>22615</v>
      </c>
    </row>
    <row r="2514" spans="1:24" x14ac:dyDescent="0.25">
      <c r="A2514" s="62">
        <v>220230016833</v>
      </c>
      <c r="B2514" s="44" t="s">
        <v>507</v>
      </c>
      <c r="C2514" s="64">
        <v>45048</v>
      </c>
      <c r="D2514" s="62">
        <v>22023002651</v>
      </c>
      <c r="E2514" s="44" t="s">
        <v>539</v>
      </c>
      <c r="F2514" s="65">
        <v>7087.5</v>
      </c>
      <c r="G2514" s="44" t="s">
        <v>4128</v>
      </c>
      <c r="H2514" s="44" t="s">
        <v>4129</v>
      </c>
      <c r="I2514" s="62" t="s">
        <v>511</v>
      </c>
      <c r="J2514" s="44" t="s">
        <v>519</v>
      </c>
      <c r="K2514" s="44" t="s">
        <v>519</v>
      </c>
      <c r="L2514" s="44" t="s">
        <v>520</v>
      </c>
      <c r="M2514" s="44" t="s">
        <v>976</v>
      </c>
      <c r="N2514" s="44" t="s">
        <v>839</v>
      </c>
      <c r="O2514" s="45" t="s">
        <v>383</v>
      </c>
      <c r="P2514" s="45" t="s">
        <v>3760</v>
      </c>
      <c r="Q2514" s="59" t="str">
        <f>MID(Tabla1[[#This Row],[Aplicación]],14,1)</f>
        <v>2</v>
      </c>
      <c r="R2514" s="35" t="s">
        <v>298</v>
      </c>
      <c r="S2514" s="59" t="str">
        <f>MID(Tabla1[[#This Row],[Aplicación]],6,2)</f>
        <v>10</v>
      </c>
      <c r="T2514" s="35" t="str">
        <f>VLOOKUP(Tabla1[[#This Row],[AREA]],Hoja1!A:B,2,FALSE)</f>
        <v>10. Servicios sociales y mediación comunitaria</v>
      </c>
      <c r="U2514" s="56" t="str">
        <f>MID(Tabla1[[#This Row],[Aplicación]],9,4)</f>
        <v>2312</v>
      </c>
      <c r="V2514" s="35" t="str">
        <f>VLOOKUP(Tabla1[[#This Row],[PROGRAMA]],Hoja1!A:B,2,FALSE)</f>
        <v>2312. Iniciativas sociales</v>
      </c>
      <c r="W2514" s="56" t="str">
        <f>MID(Tabla1[[#This Row],[Aplicación]],14,2)</f>
        <v>22</v>
      </c>
      <c r="X2514" s="56" t="str">
        <f>MID(Tabla1[[#This Row],[Aplicación]],14,6)</f>
        <v>22799</v>
      </c>
    </row>
    <row r="2515" spans="1:24" x14ac:dyDescent="0.25">
      <c r="A2515" s="62">
        <v>220230016833</v>
      </c>
      <c r="B2515" s="44" t="s">
        <v>507</v>
      </c>
      <c r="C2515" s="64">
        <v>45048</v>
      </c>
      <c r="D2515" s="62">
        <v>22023002652</v>
      </c>
      <c r="E2515" s="44" t="s">
        <v>539</v>
      </c>
      <c r="F2515" s="65">
        <v>7087.5</v>
      </c>
      <c r="G2515" s="44" t="s">
        <v>4128</v>
      </c>
      <c r="H2515" s="44" t="s">
        <v>4129</v>
      </c>
      <c r="I2515" s="62" t="s">
        <v>511</v>
      </c>
      <c r="J2515" s="44" t="s">
        <v>519</v>
      </c>
      <c r="K2515" s="44" t="s">
        <v>519</v>
      </c>
      <c r="L2515" s="44" t="s">
        <v>520</v>
      </c>
      <c r="M2515" s="44" t="s">
        <v>976</v>
      </c>
      <c r="N2515" s="44" t="s">
        <v>839</v>
      </c>
      <c r="O2515" s="45" t="s">
        <v>383</v>
      </c>
      <c r="P2515" s="45" t="s">
        <v>3760</v>
      </c>
      <c r="Q2515" s="59" t="str">
        <f>MID(Tabla1[[#This Row],[Aplicación]],14,1)</f>
        <v>2</v>
      </c>
      <c r="R2515" s="35" t="s">
        <v>298</v>
      </c>
      <c r="S2515" s="59" t="str">
        <f>MID(Tabla1[[#This Row],[Aplicación]],6,2)</f>
        <v>10</v>
      </c>
      <c r="T2515" s="35" t="str">
        <f>VLOOKUP(Tabla1[[#This Row],[AREA]],Hoja1!A:B,2,FALSE)</f>
        <v>10. Servicios sociales y mediación comunitaria</v>
      </c>
      <c r="U2515" s="56" t="str">
        <f>MID(Tabla1[[#This Row],[Aplicación]],9,4)</f>
        <v>2312</v>
      </c>
      <c r="V2515" s="35" t="str">
        <f>VLOOKUP(Tabla1[[#This Row],[PROGRAMA]],Hoja1!A:B,2,FALSE)</f>
        <v>2312. Iniciativas sociales</v>
      </c>
      <c r="W2515" s="56" t="str">
        <f>MID(Tabla1[[#This Row],[Aplicación]],14,2)</f>
        <v>22</v>
      </c>
      <c r="X2515" s="56" t="str">
        <f>MID(Tabla1[[#This Row],[Aplicación]],14,6)</f>
        <v>22799</v>
      </c>
    </row>
    <row r="2516" spans="1:24" x14ac:dyDescent="0.25">
      <c r="A2516" s="62">
        <v>220230013648</v>
      </c>
      <c r="B2516" s="44" t="s">
        <v>507</v>
      </c>
      <c r="C2516" s="64">
        <v>45026</v>
      </c>
      <c r="D2516" s="62">
        <v>22023003078</v>
      </c>
      <c r="E2516" s="44" t="s">
        <v>835</v>
      </c>
      <c r="F2516" s="65">
        <v>5872.13</v>
      </c>
      <c r="G2516" s="44" t="s">
        <v>426</v>
      </c>
      <c r="H2516" s="44" t="s">
        <v>4130</v>
      </c>
      <c r="I2516" s="62" t="s">
        <v>2168</v>
      </c>
      <c r="J2516" s="44" t="s">
        <v>519</v>
      </c>
      <c r="K2516" s="44" t="s">
        <v>519</v>
      </c>
      <c r="L2516" s="44" t="s">
        <v>520</v>
      </c>
      <c r="M2516" s="44" t="s">
        <v>976</v>
      </c>
      <c r="N2516" s="44" t="s">
        <v>839</v>
      </c>
      <c r="O2516" s="45" t="s">
        <v>383</v>
      </c>
      <c r="P2516" s="45" t="s">
        <v>3760</v>
      </c>
      <c r="Q2516" s="59" t="str">
        <f>MID(Tabla1[[#This Row],[Aplicación]],14,1)</f>
        <v>2</v>
      </c>
      <c r="R2516" s="35" t="s">
        <v>298</v>
      </c>
      <c r="S2516" s="59" t="str">
        <f>MID(Tabla1[[#This Row],[Aplicación]],6,2)</f>
        <v>05</v>
      </c>
      <c r="T2516" s="35" t="str">
        <f>VLOOKUP(Tabla1[[#This Row],[AREA]],Hoja1!A:B,2,FALSE)</f>
        <v>05. Innovación, desarrollo económico, empleo y comercio</v>
      </c>
      <c r="U2516" s="56" t="str">
        <f>MID(Tabla1[[#This Row],[Aplicación]],9,4)</f>
        <v>4331</v>
      </c>
      <c r="V2516" s="35" t="str">
        <f>VLOOKUP(Tabla1[[#This Row],[PROGRAMA]],Hoja1!A:B,2,FALSE)</f>
        <v>4331. Desarrollo empresarial</v>
      </c>
      <c r="W2516" s="56" t="str">
        <f>MID(Tabla1[[#This Row],[Aplicación]],14,2)</f>
        <v>22</v>
      </c>
      <c r="X2516" s="56" t="str">
        <f>MID(Tabla1[[#This Row],[Aplicación]],14,6)</f>
        <v>22799</v>
      </c>
    </row>
    <row r="2517" spans="1:24" x14ac:dyDescent="0.25">
      <c r="A2517" s="62">
        <v>220230013649</v>
      </c>
      <c r="B2517" s="44" t="s">
        <v>507</v>
      </c>
      <c r="C2517" s="64">
        <v>45026</v>
      </c>
      <c r="D2517" s="62">
        <v>22023003078</v>
      </c>
      <c r="E2517" s="44" t="s">
        <v>835</v>
      </c>
      <c r="F2517" s="65">
        <v>5841</v>
      </c>
      <c r="G2517" s="44" t="s">
        <v>426</v>
      </c>
      <c r="H2517" s="44" t="s">
        <v>4131</v>
      </c>
      <c r="I2517" s="62" t="s">
        <v>2168</v>
      </c>
      <c r="J2517" s="44" t="s">
        <v>519</v>
      </c>
      <c r="K2517" s="44" t="s">
        <v>519</v>
      </c>
      <c r="L2517" s="44" t="s">
        <v>520</v>
      </c>
      <c r="M2517" s="44" t="s">
        <v>976</v>
      </c>
      <c r="N2517" s="44" t="s">
        <v>839</v>
      </c>
      <c r="O2517" s="45" t="s">
        <v>383</v>
      </c>
      <c r="P2517" s="45" t="s">
        <v>3760</v>
      </c>
      <c r="Q2517" s="59" t="str">
        <f>MID(Tabla1[[#This Row],[Aplicación]],14,1)</f>
        <v>2</v>
      </c>
      <c r="R2517" s="35" t="s">
        <v>298</v>
      </c>
      <c r="S2517" s="59" t="str">
        <f>MID(Tabla1[[#This Row],[Aplicación]],6,2)</f>
        <v>05</v>
      </c>
      <c r="T2517" s="35" t="str">
        <f>VLOOKUP(Tabla1[[#This Row],[AREA]],Hoja1!A:B,2,FALSE)</f>
        <v>05. Innovación, desarrollo económico, empleo y comercio</v>
      </c>
      <c r="U2517" s="56" t="str">
        <f>MID(Tabla1[[#This Row],[Aplicación]],9,4)</f>
        <v>4331</v>
      </c>
      <c r="V2517" s="35" t="str">
        <f>VLOOKUP(Tabla1[[#This Row],[PROGRAMA]],Hoja1!A:B,2,FALSE)</f>
        <v>4331. Desarrollo empresarial</v>
      </c>
      <c r="W2517" s="56" t="str">
        <f>MID(Tabla1[[#This Row],[Aplicación]],14,2)</f>
        <v>22</v>
      </c>
      <c r="X2517" s="56" t="str">
        <f>MID(Tabla1[[#This Row],[Aplicación]],14,6)</f>
        <v>22799</v>
      </c>
    </row>
    <row r="2518" spans="1:24" x14ac:dyDescent="0.25">
      <c r="A2518" s="62">
        <v>220230013640</v>
      </c>
      <c r="B2518" s="44" t="s">
        <v>507</v>
      </c>
      <c r="C2518" s="64">
        <v>45026</v>
      </c>
      <c r="D2518" s="62">
        <v>22023003600</v>
      </c>
      <c r="E2518" s="44" t="s">
        <v>1318</v>
      </c>
      <c r="F2518" s="65">
        <v>5765.65</v>
      </c>
      <c r="G2518" s="44" t="s">
        <v>426</v>
      </c>
      <c r="H2518" s="44" t="s">
        <v>4132</v>
      </c>
      <c r="I2518" s="62" t="s">
        <v>511</v>
      </c>
      <c r="J2518" s="44" t="s">
        <v>519</v>
      </c>
      <c r="K2518" s="44" t="s">
        <v>519</v>
      </c>
      <c r="L2518" s="44" t="s">
        <v>520</v>
      </c>
      <c r="M2518" s="44" t="s">
        <v>976</v>
      </c>
      <c r="N2518" s="44" t="s">
        <v>839</v>
      </c>
      <c r="O2518" s="45" t="s">
        <v>383</v>
      </c>
      <c r="P2518" s="45" t="s">
        <v>3760</v>
      </c>
      <c r="Q2518" s="59" t="str">
        <f>MID(Tabla1[[#This Row],[Aplicación]],14,1)</f>
        <v>2</v>
      </c>
      <c r="R2518" s="35" t="s">
        <v>298</v>
      </c>
      <c r="S2518" s="59" t="str">
        <f>MID(Tabla1[[#This Row],[Aplicación]],6,2)</f>
        <v>05</v>
      </c>
      <c r="T2518" s="35" t="str">
        <f>VLOOKUP(Tabla1[[#This Row],[AREA]],Hoja1!A:B,2,FALSE)</f>
        <v>05. Innovación, desarrollo económico, empleo y comercio</v>
      </c>
      <c r="U2518" s="56" t="str">
        <f>MID(Tabla1[[#This Row],[Aplicación]],9,4)</f>
        <v>4331</v>
      </c>
      <c r="V2518" s="35" t="str">
        <f>VLOOKUP(Tabla1[[#This Row],[PROGRAMA]],Hoja1!A:B,2,FALSE)</f>
        <v>4331. Desarrollo empresarial</v>
      </c>
      <c r="W2518" s="56" t="str">
        <f>MID(Tabla1[[#This Row],[Aplicación]],14,2)</f>
        <v>22</v>
      </c>
      <c r="X2518" s="56" t="str">
        <f>MID(Tabla1[[#This Row],[Aplicación]],14,6)</f>
        <v>22699</v>
      </c>
    </row>
    <row r="2519" spans="1:24" x14ac:dyDescent="0.25">
      <c r="A2519" s="62">
        <v>220230012978</v>
      </c>
      <c r="B2519" s="44" t="s">
        <v>507</v>
      </c>
      <c r="C2519" s="64">
        <v>45019</v>
      </c>
      <c r="D2519" s="62">
        <v>22023003709</v>
      </c>
      <c r="E2519" s="44" t="s">
        <v>2393</v>
      </c>
      <c r="F2519" s="65">
        <v>1100</v>
      </c>
      <c r="G2519" s="44" t="s">
        <v>1579</v>
      </c>
      <c r="H2519" s="44" t="s">
        <v>4133</v>
      </c>
      <c r="I2519" s="62" t="s">
        <v>511</v>
      </c>
      <c r="J2519" s="44" t="s">
        <v>1359</v>
      </c>
      <c r="K2519" s="44" t="s">
        <v>1359</v>
      </c>
      <c r="L2519" s="44" t="s">
        <v>520</v>
      </c>
      <c r="M2519" s="44" t="s">
        <v>976</v>
      </c>
      <c r="N2519" s="44" t="s">
        <v>839</v>
      </c>
      <c r="O2519" s="45" t="s">
        <v>383</v>
      </c>
      <c r="P2519" s="45" t="s">
        <v>3760</v>
      </c>
      <c r="Q2519" s="59" t="str">
        <f>MID(Tabla1[[#This Row],[Aplicación]],14,1)</f>
        <v>2</v>
      </c>
      <c r="R2519" s="35" t="s">
        <v>298</v>
      </c>
      <c r="S2519" s="59" t="str">
        <f>MID(Tabla1[[#This Row],[Aplicación]],6,2)</f>
        <v>06</v>
      </c>
      <c r="T2519" s="35" t="str">
        <f>VLOOKUP(Tabla1[[#This Row],[AREA]],Hoja1!A:B,2,FALSE)</f>
        <v>06. Educación, infancia, juventud e igualdad</v>
      </c>
      <c r="U2519" s="56" t="str">
        <f>MID(Tabla1[[#This Row],[Aplicación]],9,4)</f>
        <v>3321</v>
      </c>
      <c r="V2519" s="35" t="str">
        <f>VLOOKUP(Tabla1[[#This Row],[PROGRAMA]],Hoja1!A:B,2,FALSE)</f>
        <v>3321. Bibliotecas públicas</v>
      </c>
      <c r="W2519" s="56" t="str">
        <f>MID(Tabla1[[#This Row],[Aplicación]],14,2)</f>
        <v>22</v>
      </c>
      <c r="X2519" s="56" t="str">
        <f>MID(Tabla1[[#This Row],[Aplicación]],14,6)</f>
        <v>22699</v>
      </c>
    </row>
    <row r="2520" spans="1:24" x14ac:dyDescent="0.25">
      <c r="A2520" s="62">
        <v>220230013635</v>
      </c>
      <c r="B2520" s="44" t="s">
        <v>507</v>
      </c>
      <c r="C2520" s="64">
        <v>45026</v>
      </c>
      <c r="D2520" s="62">
        <v>22023003753</v>
      </c>
      <c r="E2520" s="44" t="s">
        <v>4000</v>
      </c>
      <c r="F2520" s="65">
        <v>605</v>
      </c>
      <c r="G2520" s="44" t="s">
        <v>29</v>
      </c>
      <c r="H2520" s="44" t="s">
        <v>4134</v>
      </c>
      <c r="I2520" s="62" t="s">
        <v>511</v>
      </c>
      <c r="J2520" s="44" t="s">
        <v>519</v>
      </c>
      <c r="K2520" s="44" t="s">
        <v>519</v>
      </c>
      <c r="L2520" s="44" t="s">
        <v>520</v>
      </c>
      <c r="M2520" s="44" t="s">
        <v>514</v>
      </c>
      <c r="N2520" s="44" t="s">
        <v>515</v>
      </c>
      <c r="O2520" s="45" t="s">
        <v>382</v>
      </c>
      <c r="P2520" s="45" t="s">
        <v>3760</v>
      </c>
      <c r="Q2520" s="59" t="str">
        <f>MID(Tabla1[[#This Row],[Aplicación]],14,1)</f>
        <v>2</v>
      </c>
      <c r="R2520" s="35" t="s">
        <v>298</v>
      </c>
      <c r="S2520" s="59" t="str">
        <f>MID(Tabla1[[#This Row],[Aplicación]],6,2)</f>
        <v>04</v>
      </c>
      <c r="T2520" s="35" t="str">
        <f>VLOOKUP(Tabla1[[#This Row],[AREA]],Hoja1!A:B,2,FALSE)</f>
        <v>04. Planificación y recursos</v>
      </c>
      <c r="U2520" s="56" t="str">
        <f>MID(Tabla1[[#This Row],[Aplicación]],9,4)</f>
        <v>9231</v>
      </c>
      <c r="V2520" s="35" t="str">
        <f>VLOOKUP(Tabla1[[#This Row],[PROGRAMA]],Hoja1!A:B,2,FALSE)</f>
        <v>9231. Información, registro y gestión del padrón</v>
      </c>
      <c r="W2520" s="56" t="str">
        <f>MID(Tabla1[[#This Row],[Aplicación]],14,2)</f>
        <v>22</v>
      </c>
      <c r="X2520" s="56" t="str">
        <f>MID(Tabla1[[#This Row],[Aplicación]],14,6)</f>
        <v>22705</v>
      </c>
    </row>
    <row r="2521" spans="1:24" x14ac:dyDescent="0.25">
      <c r="A2521" s="62">
        <v>220230015985</v>
      </c>
      <c r="B2521" s="44" t="s">
        <v>507</v>
      </c>
      <c r="C2521" s="64">
        <v>45042</v>
      </c>
      <c r="D2521" s="62">
        <v>22023004039</v>
      </c>
      <c r="E2521" s="44" t="s">
        <v>4135</v>
      </c>
      <c r="F2521" s="65">
        <v>3475.12</v>
      </c>
      <c r="G2521" s="44" t="s">
        <v>1581</v>
      </c>
      <c r="H2521" s="44" t="s">
        <v>4136</v>
      </c>
      <c r="I2521" s="62" t="s">
        <v>511</v>
      </c>
      <c r="J2521" s="44" t="s">
        <v>519</v>
      </c>
      <c r="K2521" s="44" t="s">
        <v>519</v>
      </c>
      <c r="L2521" s="44" t="s">
        <v>520</v>
      </c>
      <c r="M2521" s="44" t="s">
        <v>976</v>
      </c>
      <c r="N2521" s="44" t="s">
        <v>839</v>
      </c>
      <c r="O2521" s="45" t="s">
        <v>383</v>
      </c>
      <c r="P2521" s="45" t="s">
        <v>3760</v>
      </c>
      <c r="Q2521" s="59" t="str">
        <f>MID(Tabla1[[#This Row],[Aplicación]],14,1)</f>
        <v>2</v>
      </c>
      <c r="R2521" s="35" t="s">
        <v>298</v>
      </c>
      <c r="S2521" s="59" t="str">
        <f>MID(Tabla1[[#This Row],[Aplicación]],6,2)</f>
        <v>05</v>
      </c>
      <c r="T2521" s="35" t="str">
        <f>VLOOKUP(Tabla1[[#This Row],[AREA]],Hoja1!A:B,2,FALSE)</f>
        <v>05. Innovación, desarrollo económico, empleo y comercio</v>
      </c>
      <c r="U2521" s="56" t="str">
        <f>MID(Tabla1[[#This Row],[Aplicación]],9,4)</f>
        <v>4314</v>
      </c>
      <c r="V2521" s="35" t="str">
        <f>VLOOKUP(Tabla1[[#This Row],[PROGRAMA]],Hoja1!A:B,2,FALSE)</f>
        <v>4314. Fomento del comercio</v>
      </c>
      <c r="W2521" s="56" t="str">
        <f>MID(Tabla1[[#This Row],[Aplicación]],14,2)</f>
        <v>22</v>
      </c>
      <c r="X2521" s="56" t="str">
        <f>MID(Tabla1[[#This Row],[Aplicación]],14,6)</f>
        <v>22699</v>
      </c>
    </row>
    <row r="2522" spans="1:24" x14ac:dyDescent="0.25">
      <c r="A2522" s="62">
        <v>220230018159</v>
      </c>
      <c r="B2522" s="44" t="s">
        <v>507</v>
      </c>
      <c r="C2522" s="64">
        <v>45054</v>
      </c>
      <c r="D2522" s="62">
        <v>22023004338</v>
      </c>
      <c r="E2522" s="44" t="s">
        <v>1191</v>
      </c>
      <c r="F2522" s="65">
        <v>163.35</v>
      </c>
      <c r="G2522" s="44" t="s">
        <v>1581</v>
      </c>
      <c r="H2522" s="44" t="s">
        <v>4137</v>
      </c>
      <c r="I2522" s="62" t="s">
        <v>511</v>
      </c>
      <c r="J2522" s="44" t="s">
        <v>519</v>
      </c>
      <c r="K2522" s="44" t="s">
        <v>519</v>
      </c>
      <c r="L2522" s="44" t="s">
        <v>520</v>
      </c>
      <c r="M2522" s="44" t="s">
        <v>976</v>
      </c>
      <c r="N2522" s="44" t="s">
        <v>839</v>
      </c>
      <c r="O2522" s="45" t="s">
        <v>383</v>
      </c>
      <c r="P2522" s="45" t="s">
        <v>3760</v>
      </c>
      <c r="Q2522" s="59" t="str">
        <f>MID(Tabla1[[#This Row],[Aplicación]],14,1)</f>
        <v>2</v>
      </c>
      <c r="R2522" s="35" t="s">
        <v>298</v>
      </c>
      <c r="S2522" s="59" t="str">
        <f>MID(Tabla1[[#This Row],[Aplicación]],6,2)</f>
        <v>06</v>
      </c>
      <c r="T2522" s="35" t="str">
        <f>VLOOKUP(Tabla1[[#This Row],[AREA]],Hoja1!A:B,2,FALSE)</f>
        <v>06. Educación, infancia, juventud e igualdad</v>
      </c>
      <c r="U2522" s="56" t="str">
        <f>MID(Tabla1[[#This Row],[Aplicación]],9,4)</f>
        <v>2315</v>
      </c>
      <c r="V2522" s="35" t="str">
        <f>VLOOKUP(Tabla1[[#This Row],[PROGRAMA]],Hoja1!A:B,2,FALSE)</f>
        <v>2315. Políticas de Igualdad e infancia</v>
      </c>
      <c r="W2522" s="56" t="str">
        <f>MID(Tabla1[[#This Row],[Aplicación]],14,2)</f>
        <v>22</v>
      </c>
      <c r="X2522" s="56" t="str">
        <f>MID(Tabla1[[#This Row],[Aplicación]],14,6)</f>
        <v>22611</v>
      </c>
    </row>
    <row r="2523" spans="1:24" x14ac:dyDescent="0.25">
      <c r="A2523" s="62">
        <v>220230013745</v>
      </c>
      <c r="B2523" s="44" t="s">
        <v>507</v>
      </c>
      <c r="C2523" s="64">
        <v>45027</v>
      </c>
      <c r="D2523" s="62">
        <v>22023003798</v>
      </c>
      <c r="E2523" s="44" t="s">
        <v>1382</v>
      </c>
      <c r="F2523" s="65">
        <v>246.38</v>
      </c>
      <c r="G2523" s="44" t="s">
        <v>1599</v>
      </c>
      <c r="H2523" s="44" t="s">
        <v>4138</v>
      </c>
      <c r="I2523" s="62" t="s">
        <v>511</v>
      </c>
      <c r="J2523" s="44" t="s">
        <v>519</v>
      </c>
      <c r="K2523" s="44" t="s">
        <v>519</v>
      </c>
      <c r="L2523" s="44" t="s">
        <v>552</v>
      </c>
      <c r="M2523" s="44" t="s">
        <v>976</v>
      </c>
      <c r="N2523" s="44" t="s">
        <v>839</v>
      </c>
      <c r="O2523" s="45" t="s">
        <v>383</v>
      </c>
      <c r="P2523" s="45" t="s">
        <v>3760</v>
      </c>
      <c r="Q2523" s="59" t="str">
        <f>MID(Tabla1[[#This Row],[Aplicación]],14,1)</f>
        <v>2</v>
      </c>
      <c r="R2523" s="35" t="s">
        <v>298</v>
      </c>
      <c r="S2523" s="59" t="str">
        <f>MID(Tabla1[[#This Row],[Aplicación]],6,2)</f>
        <v>03</v>
      </c>
      <c r="T2523" s="35" t="str">
        <f>VLOOKUP(Tabla1[[#This Row],[AREA]],Hoja1!A:B,2,FALSE)</f>
        <v>03. Participación ciudadana y deportes</v>
      </c>
      <c r="U2523" s="56" t="str">
        <f>MID(Tabla1[[#This Row],[Aplicación]],9,4)</f>
        <v>9241</v>
      </c>
      <c r="V2523" s="35" t="str">
        <f>VLOOKUP(Tabla1[[#This Row],[PROGRAMA]],Hoja1!A:B,2,FALSE)</f>
        <v>9241. Participación ciudadana</v>
      </c>
      <c r="W2523" s="56" t="str">
        <f>MID(Tabla1[[#This Row],[Aplicación]],14,2)</f>
        <v>22</v>
      </c>
      <c r="X2523" s="56" t="str">
        <f>MID(Tabla1[[#This Row],[Aplicación]],14,6)</f>
        <v>22699</v>
      </c>
    </row>
    <row r="2524" spans="1:24" x14ac:dyDescent="0.25">
      <c r="A2524" s="62">
        <v>220230018802</v>
      </c>
      <c r="B2524" s="44" t="s">
        <v>507</v>
      </c>
      <c r="C2524" s="64">
        <v>45055</v>
      </c>
      <c r="D2524" s="62">
        <v>22023002562</v>
      </c>
      <c r="E2524" s="44" t="s">
        <v>777</v>
      </c>
      <c r="F2524" s="65">
        <v>9366.3700000000008</v>
      </c>
      <c r="G2524" s="44" t="s">
        <v>14</v>
      </c>
      <c r="H2524" s="44" t="s">
        <v>4139</v>
      </c>
      <c r="I2524" s="62" t="s">
        <v>511</v>
      </c>
      <c r="J2524" s="44" t="s">
        <v>519</v>
      </c>
      <c r="K2524" s="44" t="s">
        <v>519</v>
      </c>
      <c r="L2524" s="44" t="s">
        <v>520</v>
      </c>
      <c r="M2524" s="44" t="s">
        <v>976</v>
      </c>
      <c r="N2524" s="44" t="s">
        <v>839</v>
      </c>
      <c r="O2524" s="45" t="s">
        <v>383</v>
      </c>
      <c r="P2524" s="45" t="s">
        <v>3760</v>
      </c>
      <c r="Q2524" s="59" t="str">
        <f>MID(Tabla1[[#This Row],[Aplicación]],14,1)</f>
        <v>2</v>
      </c>
      <c r="R2524" s="35" t="s">
        <v>298</v>
      </c>
      <c r="S2524" s="59" t="str">
        <f>MID(Tabla1[[#This Row],[Aplicación]],6,2)</f>
        <v>03</v>
      </c>
      <c r="T2524" s="35" t="str">
        <f>VLOOKUP(Tabla1[[#This Row],[AREA]],Hoja1!A:B,2,FALSE)</f>
        <v>03. Participación ciudadana y deportes</v>
      </c>
      <c r="U2524" s="56" t="str">
        <f>MID(Tabla1[[#This Row],[Aplicación]],9,4)</f>
        <v>9241</v>
      </c>
      <c r="V2524" s="35" t="str">
        <f>VLOOKUP(Tabla1[[#This Row],[PROGRAMA]],Hoja1!A:B,2,FALSE)</f>
        <v>9241. Participación ciudadana</v>
      </c>
      <c r="W2524" s="56" t="str">
        <f>MID(Tabla1[[#This Row],[Aplicación]],14,2)</f>
        <v>22</v>
      </c>
      <c r="X2524" s="56" t="str">
        <f>MID(Tabla1[[#This Row],[Aplicación]],14,6)</f>
        <v>22799</v>
      </c>
    </row>
    <row r="2525" spans="1:24" x14ac:dyDescent="0.25">
      <c r="A2525" s="62">
        <v>220230020475</v>
      </c>
      <c r="B2525" s="44" t="s">
        <v>507</v>
      </c>
      <c r="C2525" s="64">
        <v>45057</v>
      </c>
      <c r="D2525" s="62">
        <v>22023004434</v>
      </c>
      <c r="E2525" s="44" t="s">
        <v>1191</v>
      </c>
      <c r="F2525" s="65">
        <v>4089.8</v>
      </c>
      <c r="G2525" s="44" t="s">
        <v>4140</v>
      </c>
      <c r="H2525" s="44" t="s">
        <v>4141</v>
      </c>
      <c r="I2525" s="62" t="s">
        <v>511</v>
      </c>
      <c r="J2525" s="44" t="s">
        <v>1759</v>
      </c>
      <c r="K2525" s="44" t="s">
        <v>519</v>
      </c>
      <c r="L2525" s="44" t="s">
        <v>520</v>
      </c>
      <c r="M2525" s="44" t="s">
        <v>976</v>
      </c>
      <c r="N2525" s="44" t="s">
        <v>839</v>
      </c>
      <c r="O2525" s="45" t="s">
        <v>383</v>
      </c>
      <c r="P2525" s="45" t="s">
        <v>3760</v>
      </c>
      <c r="Q2525" s="59" t="str">
        <f>MID(Tabla1[[#This Row],[Aplicación]],14,1)</f>
        <v>2</v>
      </c>
      <c r="R2525" s="35" t="s">
        <v>298</v>
      </c>
      <c r="S2525" s="59" t="str">
        <f>MID(Tabla1[[#This Row],[Aplicación]],6,2)</f>
        <v>06</v>
      </c>
      <c r="T2525" s="35" t="str">
        <f>VLOOKUP(Tabla1[[#This Row],[AREA]],Hoja1!A:B,2,FALSE)</f>
        <v>06. Educación, infancia, juventud e igualdad</v>
      </c>
      <c r="U2525" s="56" t="str">
        <f>MID(Tabla1[[#This Row],[Aplicación]],9,4)</f>
        <v>2315</v>
      </c>
      <c r="V2525" s="35" t="str">
        <f>VLOOKUP(Tabla1[[#This Row],[PROGRAMA]],Hoja1!A:B,2,FALSE)</f>
        <v>2315. Políticas de Igualdad e infancia</v>
      </c>
      <c r="W2525" s="56" t="str">
        <f>MID(Tabla1[[#This Row],[Aplicación]],14,2)</f>
        <v>22</v>
      </c>
      <c r="X2525" s="56" t="str">
        <f>MID(Tabla1[[#This Row],[Aplicación]],14,6)</f>
        <v>22611</v>
      </c>
    </row>
    <row r="2526" spans="1:24" x14ac:dyDescent="0.25">
      <c r="A2526" s="62">
        <v>220220076538</v>
      </c>
      <c r="B2526" s="44" t="s">
        <v>507</v>
      </c>
      <c r="C2526" s="64">
        <v>45037</v>
      </c>
      <c r="D2526" s="62">
        <v>22022004797</v>
      </c>
      <c r="E2526" s="44" t="s">
        <v>751</v>
      </c>
      <c r="F2526" s="65">
        <v>113200</v>
      </c>
      <c r="G2526" s="44" t="s">
        <v>1041</v>
      </c>
      <c r="H2526" s="44" t="s">
        <v>4142</v>
      </c>
      <c r="I2526" s="62" t="s">
        <v>511</v>
      </c>
      <c r="J2526" s="44" t="s">
        <v>512</v>
      </c>
      <c r="K2526" s="44" t="s">
        <v>512</v>
      </c>
      <c r="L2526" s="44" t="s">
        <v>520</v>
      </c>
      <c r="M2526" s="44" t="s">
        <v>514</v>
      </c>
      <c r="N2526" s="44" t="s">
        <v>515</v>
      </c>
      <c r="O2526" s="45" t="s">
        <v>371</v>
      </c>
      <c r="P2526" s="45" t="s">
        <v>3760</v>
      </c>
      <c r="Q2526" s="59">
        <v>6</v>
      </c>
      <c r="R2526" s="35" t="s">
        <v>299</v>
      </c>
      <c r="S2526" s="59" t="str">
        <f>MID(Tabla1[[#This Row],[Aplicación]],6,2)</f>
        <v>10</v>
      </c>
      <c r="T2526" s="35" t="str">
        <f>VLOOKUP(Tabla1[[#This Row],[AREA]],Hoja1!A:B,2,FALSE)</f>
        <v>10. Servicios sociales y mediación comunitaria</v>
      </c>
      <c r="U2526" s="56" t="str">
        <f>MID(Tabla1[[#This Row],[Aplicación]],9,4)</f>
        <v>0 23</v>
      </c>
      <c r="V2526" s="59">
        <v>2313</v>
      </c>
      <c r="W2526" s="59">
        <v>64</v>
      </c>
      <c r="X2526" s="59">
        <v>641</v>
      </c>
    </row>
    <row r="2527" spans="1:24" x14ac:dyDescent="0.25">
      <c r="A2527" s="62">
        <v>220230021939</v>
      </c>
      <c r="B2527" s="44" t="s">
        <v>507</v>
      </c>
      <c r="C2527" s="64">
        <v>45064</v>
      </c>
      <c r="D2527" s="62">
        <v>22023004530</v>
      </c>
      <c r="E2527" s="44" t="s">
        <v>1043</v>
      </c>
      <c r="F2527" s="65">
        <v>406.13</v>
      </c>
      <c r="G2527" s="44" t="s">
        <v>446</v>
      </c>
      <c r="H2527" s="44" t="s">
        <v>4143</v>
      </c>
      <c r="I2527" s="62" t="s">
        <v>511</v>
      </c>
      <c r="J2527" s="44" t="s">
        <v>519</v>
      </c>
      <c r="K2527" s="44" t="s">
        <v>519</v>
      </c>
      <c r="L2527" s="44" t="s">
        <v>552</v>
      </c>
      <c r="M2527" s="44" t="s">
        <v>976</v>
      </c>
      <c r="N2527" s="44" t="s">
        <v>839</v>
      </c>
      <c r="O2527" s="45" t="s">
        <v>383</v>
      </c>
      <c r="P2527" s="45" t="s">
        <v>3760</v>
      </c>
      <c r="Q2527" s="59" t="str">
        <f>MID(Tabla1[[#This Row],[Aplicación]],14,1)</f>
        <v>2</v>
      </c>
      <c r="R2527" s="35" t="s">
        <v>298</v>
      </c>
      <c r="S2527" s="59" t="str">
        <f>MID(Tabla1[[#This Row],[Aplicación]],6,2)</f>
        <v>10</v>
      </c>
      <c r="T2527" s="35" t="str">
        <f>VLOOKUP(Tabla1[[#This Row],[AREA]],Hoja1!A:B,2,FALSE)</f>
        <v>10. Servicios sociales y mediación comunitaria</v>
      </c>
      <c r="U2527" s="56" t="str">
        <f>MID(Tabla1[[#This Row],[Aplicación]],9,4)</f>
        <v>2312</v>
      </c>
      <c r="V2527" s="35" t="str">
        <f>VLOOKUP(Tabla1[[#This Row],[PROGRAMA]],Hoja1!A:B,2,FALSE)</f>
        <v>2312. Iniciativas sociales</v>
      </c>
      <c r="W2527" s="56" t="str">
        <f>MID(Tabla1[[#This Row],[Aplicación]],14,2)</f>
        <v>22</v>
      </c>
      <c r="X2527" s="56" t="str">
        <f>MID(Tabla1[[#This Row],[Aplicación]],14,6)</f>
        <v>22699</v>
      </c>
    </row>
    <row r="2528" spans="1:24" x14ac:dyDescent="0.25">
      <c r="A2528" s="62">
        <v>220230017052</v>
      </c>
      <c r="B2528" s="44" t="s">
        <v>507</v>
      </c>
      <c r="C2528" s="64">
        <v>45048</v>
      </c>
      <c r="D2528" s="62">
        <v>22023003859</v>
      </c>
      <c r="E2528" s="44" t="s">
        <v>893</v>
      </c>
      <c r="F2528" s="65">
        <v>1436.05</v>
      </c>
      <c r="G2528" s="44" t="s">
        <v>16</v>
      </c>
      <c r="H2528" s="44" t="s">
        <v>4144</v>
      </c>
      <c r="I2528" s="62" t="s">
        <v>511</v>
      </c>
      <c r="J2528" s="44" t="s">
        <v>837</v>
      </c>
      <c r="K2528" s="44" t="s">
        <v>837</v>
      </c>
      <c r="L2528" s="44" t="s">
        <v>552</v>
      </c>
      <c r="M2528" s="44" t="s">
        <v>514</v>
      </c>
      <c r="N2528" s="44" t="s">
        <v>515</v>
      </c>
      <c r="O2528" s="45" t="s">
        <v>371</v>
      </c>
      <c r="P2528" s="45" t="s">
        <v>3760</v>
      </c>
      <c r="Q2528" s="59" t="str">
        <f>MID(Tabla1[[#This Row],[Aplicación]],14,1)</f>
        <v>2</v>
      </c>
      <c r="R2528" s="35" t="s">
        <v>298</v>
      </c>
      <c r="S2528" s="59" t="str">
        <f>MID(Tabla1[[#This Row],[Aplicación]],6,2)</f>
        <v>10</v>
      </c>
      <c r="T2528" s="35" t="str">
        <f>VLOOKUP(Tabla1[[#This Row],[AREA]],Hoja1!A:B,2,FALSE)</f>
        <v>10. Servicios sociales y mediación comunitaria</v>
      </c>
      <c r="U2528" s="56" t="str">
        <f>MID(Tabla1[[#This Row],[Aplicación]],9,4)</f>
        <v>2412</v>
      </c>
      <c r="V2528" s="35" t="str">
        <f>VLOOKUP(Tabla1[[#This Row],[PROGRAMA]],Hoja1!A:B,2,FALSE)</f>
        <v>2412. Formación para el empleo</v>
      </c>
      <c r="W2528" s="56" t="str">
        <f>MID(Tabla1[[#This Row],[Aplicación]],14,2)</f>
        <v>22</v>
      </c>
      <c r="X2528" s="56" t="str">
        <f>MID(Tabla1[[#This Row],[Aplicación]],14,6)</f>
        <v>22102</v>
      </c>
    </row>
    <row r="2529" spans="1:24" x14ac:dyDescent="0.25">
      <c r="A2529" s="62">
        <v>220230021939</v>
      </c>
      <c r="B2529" s="44" t="s">
        <v>507</v>
      </c>
      <c r="C2529" s="64">
        <v>45064</v>
      </c>
      <c r="D2529" s="62">
        <v>22023004529</v>
      </c>
      <c r="E2529" s="44" t="s">
        <v>1043</v>
      </c>
      <c r="F2529" s="65">
        <v>290.10000000000002</v>
      </c>
      <c r="G2529" s="44" t="s">
        <v>446</v>
      </c>
      <c r="H2529" s="44" t="s">
        <v>4143</v>
      </c>
      <c r="I2529" s="62" t="s">
        <v>511</v>
      </c>
      <c r="J2529" s="44" t="s">
        <v>519</v>
      </c>
      <c r="K2529" s="44" t="s">
        <v>519</v>
      </c>
      <c r="L2529" s="44" t="s">
        <v>552</v>
      </c>
      <c r="M2529" s="44" t="s">
        <v>976</v>
      </c>
      <c r="N2529" s="44" t="s">
        <v>839</v>
      </c>
      <c r="O2529" s="45" t="s">
        <v>383</v>
      </c>
      <c r="P2529" s="45" t="s">
        <v>3760</v>
      </c>
      <c r="Q2529" s="59" t="str">
        <f>MID(Tabla1[[#This Row],[Aplicación]],14,1)</f>
        <v>2</v>
      </c>
      <c r="R2529" s="35" t="s">
        <v>298</v>
      </c>
      <c r="S2529" s="59" t="str">
        <f>MID(Tabla1[[#This Row],[Aplicación]],6,2)</f>
        <v>10</v>
      </c>
      <c r="T2529" s="35" t="str">
        <f>VLOOKUP(Tabla1[[#This Row],[AREA]],Hoja1!A:B,2,FALSE)</f>
        <v>10. Servicios sociales y mediación comunitaria</v>
      </c>
      <c r="U2529" s="56" t="str">
        <f>MID(Tabla1[[#This Row],[Aplicación]],9,4)</f>
        <v>2312</v>
      </c>
      <c r="V2529" s="35" t="str">
        <f>VLOOKUP(Tabla1[[#This Row],[PROGRAMA]],Hoja1!A:B,2,FALSE)</f>
        <v>2312. Iniciativas sociales</v>
      </c>
      <c r="W2529" s="56" t="str">
        <f>MID(Tabla1[[#This Row],[Aplicación]],14,2)</f>
        <v>22</v>
      </c>
      <c r="X2529" s="56" t="str">
        <f>MID(Tabla1[[#This Row],[Aplicación]],14,6)</f>
        <v>22699</v>
      </c>
    </row>
    <row r="2530" spans="1:24" x14ac:dyDescent="0.25">
      <c r="A2530" s="62">
        <v>220230012976</v>
      </c>
      <c r="B2530" s="44" t="s">
        <v>507</v>
      </c>
      <c r="C2530" s="64">
        <v>45019</v>
      </c>
      <c r="D2530" s="62">
        <v>22023003690</v>
      </c>
      <c r="E2530" s="44" t="s">
        <v>2393</v>
      </c>
      <c r="F2530" s="65">
        <v>186</v>
      </c>
      <c r="G2530" s="44" t="s">
        <v>446</v>
      </c>
      <c r="H2530" s="44" t="s">
        <v>4145</v>
      </c>
      <c r="I2530" s="62" t="s">
        <v>511</v>
      </c>
      <c r="J2530" s="44" t="s">
        <v>519</v>
      </c>
      <c r="K2530" s="44" t="s">
        <v>519</v>
      </c>
      <c r="L2530" s="44" t="s">
        <v>552</v>
      </c>
      <c r="M2530" s="44" t="s">
        <v>976</v>
      </c>
      <c r="N2530" s="44" t="s">
        <v>839</v>
      </c>
      <c r="O2530" s="45" t="s">
        <v>383</v>
      </c>
      <c r="P2530" s="45" t="s">
        <v>3760</v>
      </c>
      <c r="Q2530" s="59" t="str">
        <f>MID(Tabla1[[#This Row],[Aplicación]],14,1)</f>
        <v>2</v>
      </c>
      <c r="R2530" s="35" t="s">
        <v>298</v>
      </c>
      <c r="S2530" s="59" t="str">
        <f>MID(Tabla1[[#This Row],[Aplicación]],6,2)</f>
        <v>06</v>
      </c>
      <c r="T2530" s="35" t="str">
        <f>VLOOKUP(Tabla1[[#This Row],[AREA]],Hoja1!A:B,2,FALSE)</f>
        <v>06. Educación, infancia, juventud e igualdad</v>
      </c>
      <c r="U2530" s="56" t="str">
        <f>MID(Tabla1[[#This Row],[Aplicación]],9,4)</f>
        <v>3321</v>
      </c>
      <c r="V2530" s="35" t="str">
        <f>VLOOKUP(Tabla1[[#This Row],[PROGRAMA]],Hoja1!A:B,2,FALSE)</f>
        <v>3321. Bibliotecas públicas</v>
      </c>
      <c r="W2530" s="56" t="str">
        <f>MID(Tabla1[[#This Row],[Aplicación]],14,2)</f>
        <v>22</v>
      </c>
      <c r="X2530" s="56" t="str">
        <f>MID(Tabla1[[#This Row],[Aplicación]],14,6)</f>
        <v>22699</v>
      </c>
    </row>
    <row r="2531" spans="1:24" x14ac:dyDescent="0.25">
      <c r="A2531" s="62">
        <v>220230013645</v>
      </c>
      <c r="B2531" s="44" t="s">
        <v>507</v>
      </c>
      <c r="C2531" s="64">
        <v>45026</v>
      </c>
      <c r="D2531" s="62">
        <v>22023003752</v>
      </c>
      <c r="E2531" s="44" t="s">
        <v>1260</v>
      </c>
      <c r="F2531" s="65">
        <v>41.87</v>
      </c>
      <c r="G2531" s="44" t="s">
        <v>480</v>
      </c>
      <c r="H2531" s="44" t="s">
        <v>4146</v>
      </c>
      <c r="I2531" s="62" t="s">
        <v>511</v>
      </c>
      <c r="J2531" s="44" t="s">
        <v>519</v>
      </c>
      <c r="K2531" s="44" t="s">
        <v>519</v>
      </c>
      <c r="L2531" s="44" t="s">
        <v>520</v>
      </c>
      <c r="M2531" s="44" t="s">
        <v>976</v>
      </c>
      <c r="N2531" s="44" t="s">
        <v>839</v>
      </c>
      <c r="O2531" s="45" t="s">
        <v>383</v>
      </c>
      <c r="P2531" s="45" t="s">
        <v>3760</v>
      </c>
      <c r="Q2531" s="59" t="str">
        <f>MID(Tabla1[[#This Row],[Aplicación]],14,1)</f>
        <v>2</v>
      </c>
      <c r="R2531" s="35" t="s">
        <v>298</v>
      </c>
      <c r="S2531" s="59" t="str">
        <f>MID(Tabla1[[#This Row],[Aplicación]],6,2)</f>
        <v>03</v>
      </c>
      <c r="T2531" s="35" t="str">
        <f>VLOOKUP(Tabla1[[#This Row],[AREA]],Hoja1!A:B,2,FALSE)</f>
        <v>03. Participación ciudadana y deportes</v>
      </c>
      <c r="U2531" s="56" t="str">
        <f>MID(Tabla1[[#This Row],[Aplicación]],9,4)</f>
        <v>9241</v>
      </c>
      <c r="V2531" s="35" t="str">
        <f>VLOOKUP(Tabla1[[#This Row],[PROGRAMA]],Hoja1!A:B,2,FALSE)</f>
        <v>9241. Participación ciudadana</v>
      </c>
      <c r="W2531" s="56" t="str">
        <f>MID(Tabla1[[#This Row],[Aplicación]],14,2)</f>
        <v>22</v>
      </c>
      <c r="X2531" s="56" t="str">
        <f>MID(Tabla1[[#This Row],[Aplicación]],14,6)</f>
        <v>22602</v>
      </c>
    </row>
    <row r="2532" spans="1:24" x14ac:dyDescent="0.25">
      <c r="A2532" s="62">
        <v>220230015109</v>
      </c>
      <c r="B2532" s="44" t="s">
        <v>507</v>
      </c>
      <c r="C2532" s="64">
        <v>45041</v>
      </c>
      <c r="D2532" s="62">
        <v>22023003856</v>
      </c>
      <c r="E2532" s="44" t="s">
        <v>2850</v>
      </c>
      <c r="F2532" s="65">
        <v>364.6</v>
      </c>
      <c r="G2532" s="44" t="s">
        <v>1750</v>
      </c>
      <c r="H2532" s="44" t="s">
        <v>4147</v>
      </c>
      <c r="I2532" s="62" t="s">
        <v>511</v>
      </c>
      <c r="J2532" s="44" t="s">
        <v>519</v>
      </c>
      <c r="K2532" s="44" t="s">
        <v>519</v>
      </c>
      <c r="L2532" s="44" t="s">
        <v>552</v>
      </c>
      <c r="M2532" s="44" t="s">
        <v>976</v>
      </c>
      <c r="N2532" s="44" t="s">
        <v>839</v>
      </c>
      <c r="O2532" s="45" t="s">
        <v>383</v>
      </c>
      <c r="P2532" s="45" t="s">
        <v>3760</v>
      </c>
      <c r="Q2532" s="59" t="str">
        <f>MID(Tabla1[[#This Row],[Aplicación]],14,1)</f>
        <v>2</v>
      </c>
      <c r="R2532" s="35" t="s">
        <v>298</v>
      </c>
      <c r="S2532" s="59" t="str">
        <f>MID(Tabla1[[#This Row],[Aplicación]],6,2)</f>
        <v>01</v>
      </c>
      <c r="T2532" s="35" t="str">
        <f>VLOOKUP(Tabla1[[#This Row],[AREA]],Hoja1!A:B,2,FALSE)</f>
        <v>01. Alcaldía</v>
      </c>
      <c r="U2532" s="56" t="str">
        <f>MID(Tabla1[[#This Row],[Aplicación]],9,4)</f>
        <v>9203</v>
      </c>
      <c r="V2532" s="35" t="str">
        <f>VLOOKUP(Tabla1[[#This Row],[PROGRAMA]],Hoja1!A:B,2,FALSE)</f>
        <v>9203. Unidad de régimen interior</v>
      </c>
      <c r="W2532" s="56" t="str">
        <f>MID(Tabla1[[#This Row],[Aplicación]],14,2)</f>
        <v>22</v>
      </c>
      <c r="X2532" s="56" t="str">
        <f>MID(Tabla1[[#This Row],[Aplicación]],14,6)</f>
        <v>22699</v>
      </c>
    </row>
    <row r="2533" spans="1:24" x14ac:dyDescent="0.25">
      <c r="A2533" s="62">
        <v>220230015993</v>
      </c>
      <c r="B2533" s="44" t="s">
        <v>507</v>
      </c>
      <c r="C2533" s="64">
        <v>45042</v>
      </c>
      <c r="D2533" s="62">
        <v>22023003920</v>
      </c>
      <c r="E2533" s="44" t="s">
        <v>4148</v>
      </c>
      <c r="F2533" s="65">
        <v>7260</v>
      </c>
      <c r="G2533" s="44" t="s">
        <v>29</v>
      </c>
      <c r="H2533" s="44" t="s">
        <v>4149</v>
      </c>
      <c r="I2533" s="62" t="s">
        <v>511</v>
      </c>
      <c r="J2533" s="44" t="s">
        <v>519</v>
      </c>
      <c r="K2533" s="44" t="s">
        <v>519</v>
      </c>
      <c r="L2533" s="44" t="s">
        <v>520</v>
      </c>
      <c r="M2533" s="44" t="s">
        <v>976</v>
      </c>
      <c r="N2533" s="44" t="s">
        <v>839</v>
      </c>
      <c r="O2533" s="45" t="s">
        <v>383</v>
      </c>
      <c r="P2533" s="45" t="s">
        <v>3760</v>
      </c>
      <c r="Q2533" s="59" t="str">
        <f>MID(Tabla1[[#This Row],[Aplicación]],14,1)</f>
        <v>2</v>
      </c>
      <c r="R2533" s="35" t="s">
        <v>298</v>
      </c>
      <c r="S2533" s="59" t="str">
        <f>MID(Tabla1[[#This Row],[Aplicación]],6,2)</f>
        <v>02</v>
      </c>
      <c r="T2533" s="35" t="str">
        <f>VLOOKUP(Tabla1[[#This Row],[AREA]],Hoja1!A:B,2,FALSE)</f>
        <v>02. Planeamiento urbanístico y vivienda</v>
      </c>
      <c r="U2533" s="56" t="str">
        <f>MID(Tabla1[[#This Row],[Aplicación]],9,4)</f>
        <v>1501</v>
      </c>
      <c r="V2533" s="35" t="str">
        <f>VLOOKUP(Tabla1[[#This Row],[PROGRAMA]],Hoja1!A:B,2,FALSE)</f>
        <v>1501. Dirección del área de urbanismo</v>
      </c>
      <c r="W2533" s="56" t="str">
        <f>MID(Tabla1[[#This Row],[Aplicación]],14,2)</f>
        <v>22</v>
      </c>
      <c r="X2533" s="56" t="str">
        <f>MID(Tabla1[[#This Row],[Aplicación]],14,6)</f>
        <v>22602</v>
      </c>
    </row>
    <row r="2534" spans="1:24" x14ac:dyDescent="0.25">
      <c r="A2534" s="62">
        <v>220230013734</v>
      </c>
      <c r="B2534" s="44" t="s">
        <v>507</v>
      </c>
      <c r="C2534" s="64">
        <v>45027</v>
      </c>
      <c r="D2534" s="62">
        <v>22023003777</v>
      </c>
      <c r="E2534" s="44" t="s">
        <v>1234</v>
      </c>
      <c r="F2534" s="65">
        <v>363</v>
      </c>
      <c r="G2534" s="44" t="s">
        <v>1750</v>
      </c>
      <c r="H2534" s="44" t="s">
        <v>4150</v>
      </c>
      <c r="I2534" s="62" t="s">
        <v>511</v>
      </c>
      <c r="J2534" s="44" t="s">
        <v>519</v>
      </c>
      <c r="K2534" s="44" t="s">
        <v>519</v>
      </c>
      <c r="L2534" s="44" t="s">
        <v>552</v>
      </c>
      <c r="M2534" s="44" t="s">
        <v>976</v>
      </c>
      <c r="N2534" s="44" t="s">
        <v>839</v>
      </c>
      <c r="O2534" s="45" t="s">
        <v>383</v>
      </c>
      <c r="P2534" s="45" t="s">
        <v>3760</v>
      </c>
      <c r="Q2534" s="59" t="str">
        <f>MID(Tabla1[[#This Row],[Aplicación]],14,1)</f>
        <v>2</v>
      </c>
      <c r="R2534" s="35" t="s">
        <v>298</v>
      </c>
      <c r="S2534" s="59" t="str">
        <f>MID(Tabla1[[#This Row],[Aplicación]],6,2)</f>
        <v>10</v>
      </c>
      <c r="T2534" s="35" t="str">
        <f>VLOOKUP(Tabla1[[#This Row],[AREA]],Hoja1!A:B,2,FALSE)</f>
        <v>10. Servicios sociales y mediación comunitaria</v>
      </c>
      <c r="U2534" s="56" t="str">
        <f>MID(Tabla1[[#This Row],[Aplicación]],9,4)</f>
        <v>2316</v>
      </c>
      <c r="V2534" s="35" t="str">
        <f>VLOOKUP(Tabla1[[#This Row],[PROGRAMA]],Hoja1!A:B,2,FALSE)</f>
        <v>2316. Mediación comunitaria</v>
      </c>
      <c r="W2534" s="56" t="str">
        <f>MID(Tabla1[[#This Row],[Aplicación]],14,2)</f>
        <v>22</v>
      </c>
      <c r="X2534" s="56" t="str">
        <f>MID(Tabla1[[#This Row],[Aplicación]],14,6)</f>
        <v>22616</v>
      </c>
    </row>
    <row r="2535" spans="1:24" x14ac:dyDescent="0.25">
      <c r="A2535" s="62">
        <v>220230022643</v>
      </c>
      <c r="B2535" s="44" t="s">
        <v>507</v>
      </c>
      <c r="C2535" s="64">
        <v>45068</v>
      </c>
      <c r="D2535" s="62">
        <v>22023004619</v>
      </c>
      <c r="E2535" s="44" t="s">
        <v>1191</v>
      </c>
      <c r="F2535" s="65">
        <v>145.19999999999999</v>
      </c>
      <c r="G2535" s="44" t="s">
        <v>4151</v>
      </c>
      <c r="H2535" s="44" t="s">
        <v>4152</v>
      </c>
      <c r="I2535" s="62" t="s">
        <v>511</v>
      </c>
      <c r="J2535" s="44" t="s">
        <v>519</v>
      </c>
      <c r="K2535" s="44" t="s">
        <v>519</v>
      </c>
      <c r="L2535" s="44" t="s">
        <v>552</v>
      </c>
      <c r="M2535" s="44" t="s">
        <v>976</v>
      </c>
      <c r="N2535" s="44" t="s">
        <v>839</v>
      </c>
      <c r="O2535" s="45" t="s">
        <v>383</v>
      </c>
      <c r="P2535" s="45" t="s">
        <v>3760</v>
      </c>
      <c r="Q2535" s="59" t="str">
        <f>MID(Tabla1[[#This Row],[Aplicación]],14,1)</f>
        <v>2</v>
      </c>
      <c r="R2535" s="35" t="s">
        <v>298</v>
      </c>
      <c r="S2535" s="59" t="str">
        <f>MID(Tabla1[[#This Row],[Aplicación]],6,2)</f>
        <v>06</v>
      </c>
      <c r="T2535" s="35" t="str">
        <f>VLOOKUP(Tabla1[[#This Row],[AREA]],Hoja1!A:B,2,FALSE)</f>
        <v>06. Educación, infancia, juventud e igualdad</v>
      </c>
      <c r="U2535" s="56" t="str">
        <f>MID(Tabla1[[#This Row],[Aplicación]],9,4)</f>
        <v>2315</v>
      </c>
      <c r="V2535" s="35" t="str">
        <f>VLOOKUP(Tabla1[[#This Row],[PROGRAMA]],Hoja1!A:B,2,FALSE)</f>
        <v>2315. Políticas de Igualdad e infancia</v>
      </c>
      <c r="W2535" s="56" t="str">
        <f>MID(Tabla1[[#This Row],[Aplicación]],14,2)</f>
        <v>22</v>
      </c>
      <c r="X2535" s="56" t="str">
        <f>MID(Tabla1[[#This Row],[Aplicación]],14,6)</f>
        <v>22611</v>
      </c>
    </row>
    <row r="2536" spans="1:24" x14ac:dyDescent="0.25">
      <c r="A2536" s="62">
        <v>220230017052</v>
      </c>
      <c r="B2536" s="44" t="s">
        <v>507</v>
      </c>
      <c r="C2536" s="64">
        <v>45048</v>
      </c>
      <c r="D2536" s="62">
        <v>22023003858</v>
      </c>
      <c r="E2536" s="44" t="s">
        <v>893</v>
      </c>
      <c r="F2536" s="65">
        <v>1148.8499999999999</v>
      </c>
      <c r="G2536" s="44" t="s">
        <v>16</v>
      </c>
      <c r="H2536" s="44" t="s">
        <v>4144</v>
      </c>
      <c r="I2536" s="62" t="s">
        <v>511</v>
      </c>
      <c r="J2536" s="44" t="s">
        <v>837</v>
      </c>
      <c r="K2536" s="44" t="s">
        <v>837</v>
      </c>
      <c r="L2536" s="44" t="s">
        <v>552</v>
      </c>
      <c r="M2536" s="44" t="s">
        <v>514</v>
      </c>
      <c r="N2536" s="44" t="s">
        <v>515</v>
      </c>
      <c r="O2536" s="45" t="s">
        <v>371</v>
      </c>
      <c r="P2536" s="45" t="s">
        <v>3760</v>
      </c>
      <c r="Q2536" s="59" t="str">
        <f>MID(Tabla1[[#This Row],[Aplicación]],14,1)</f>
        <v>2</v>
      </c>
      <c r="R2536" s="35" t="s">
        <v>298</v>
      </c>
      <c r="S2536" s="59" t="str">
        <f>MID(Tabla1[[#This Row],[Aplicación]],6,2)</f>
        <v>10</v>
      </c>
      <c r="T2536" s="35" t="str">
        <f>VLOOKUP(Tabla1[[#This Row],[AREA]],Hoja1!A:B,2,FALSE)</f>
        <v>10. Servicios sociales y mediación comunitaria</v>
      </c>
      <c r="U2536" s="56" t="str">
        <f>MID(Tabla1[[#This Row],[Aplicación]],9,4)</f>
        <v>2412</v>
      </c>
      <c r="V2536" s="35" t="str">
        <f>VLOOKUP(Tabla1[[#This Row],[PROGRAMA]],Hoja1!A:B,2,FALSE)</f>
        <v>2412. Formación para el empleo</v>
      </c>
      <c r="W2536" s="56" t="str">
        <f>MID(Tabla1[[#This Row],[Aplicación]],14,2)</f>
        <v>22</v>
      </c>
      <c r="X2536" s="56" t="str">
        <f>MID(Tabla1[[#This Row],[Aplicación]],14,6)</f>
        <v>22102</v>
      </c>
    </row>
    <row r="2537" spans="1:24" x14ac:dyDescent="0.25">
      <c r="A2537" s="62">
        <v>220230016028</v>
      </c>
      <c r="B2537" s="44" t="s">
        <v>507</v>
      </c>
      <c r="C2537" s="64">
        <v>45042</v>
      </c>
      <c r="D2537" s="62">
        <v>22023004033</v>
      </c>
      <c r="E2537" s="44" t="s">
        <v>1299</v>
      </c>
      <c r="F2537" s="65">
        <v>234.31</v>
      </c>
      <c r="G2537" s="44" t="s">
        <v>29</v>
      </c>
      <c r="H2537" s="44" t="s">
        <v>4153</v>
      </c>
      <c r="I2537" s="62" t="s">
        <v>511</v>
      </c>
      <c r="J2537" s="44" t="s">
        <v>519</v>
      </c>
      <c r="K2537" s="44" t="s">
        <v>519</v>
      </c>
      <c r="L2537" s="44" t="s">
        <v>552</v>
      </c>
      <c r="M2537" s="44" t="s">
        <v>976</v>
      </c>
      <c r="N2537" s="44" t="s">
        <v>839</v>
      </c>
      <c r="O2537" s="45" t="s">
        <v>383</v>
      </c>
      <c r="P2537" s="45" t="s">
        <v>3760</v>
      </c>
      <c r="Q2537" s="59" t="str">
        <f>MID(Tabla1[[#This Row],[Aplicación]],14,1)</f>
        <v>2</v>
      </c>
      <c r="R2537" s="35" t="s">
        <v>298</v>
      </c>
      <c r="S2537" s="59" t="str">
        <f>MID(Tabla1[[#This Row],[Aplicación]],6,2)</f>
        <v>06</v>
      </c>
      <c r="T2537" s="35" t="str">
        <f>VLOOKUP(Tabla1[[#This Row],[AREA]],Hoja1!A:B,2,FALSE)</f>
        <v>06. Educación, infancia, juventud e igualdad</v>
      </c>
      <c r="U2537" s="56" t="str">
        <f>MID(Tabla1[[#This Row],[Aplicación]],9,4)</f>
        <v>3321</v>
      </c>
      <c r="V2537" s="35" t="str">
        <f>VLOOKUP(Tabla1[[#This Row],[PROGRAMA]],Hoja1!A:B,2,FALSE)</f>
        <v>3321. Bibliotecas públicas</v>
      </c>
      <c r="W2537" s="56" t="str">
        <f>MID(Tabla1[[#This Row],[Aplicación]],14,2)</f>
        <v>22</v>
      </c>
      <c r="X2537" s="56" t="str">
        <f>MID(Tabla1[[#This Row],[Aplicación]],14,6)</f>
        <v>22001</v>
      </c>
    </row>
    <row r="2538" spans="1:24" x14ac:dyDescent="0.25">
      <c r="A2538" s="62">
        <v>220230017052</v>
      </c>
      <c r="B2538" s="44" t="s">
        <v>507</v>
      </c>
      <c r="C2538" s="64">
        <v>45048</v>
      </c>
      <c r="D2538" s="62">
        <v>22023003857</v>
      </c>
      <c r="E2538" s="44" t="s">
        <v>893</v>
      </c>
      <c r="F2538" s="65">
        <v>1140.4000000000001</v>
      </c>
      <c r="G2538" s="44" t="s">
        <v>16</v>
      </c>
      <c r="H2538" s="44" t="s">
        <v>4144</v>
      </c>
      <c r="I2538" s="62" t="s">
        <v>511</v>
      </c>
      <c r="J2538" s="44" t="s">
        <v>837</v>
      </c>
      <c r="K2538" s="44" t="s">
        <v>837</v>
      </c>
      <c r="L2538" s="44" t="s">
        <v>552</v>
      </c>
      <c r="M2538" s="44" t="s">
        <v>514</v>
      </c>
      <c r="N2538" s="44" t="s">
        <v>515</v>
      </c>
      <c r="O2538" s="45" t="s">
        <v>371</v>
      </c>
      <c r="P2538" s="45" t="s">
        <v>3760</v>
      </c>
      <c r="Q2538" s="59" t="str">
        <f>MID(Tabla1[[#This Row],[Aplicación]],14,1)</f>
        <v>2</v>
      </c>
      <c r="R2538" s="35" t="s">
        <v>298</v>
      </c>
      <c r="S2538" s="59" t="str">
        <f>MID(Tabla1[[#This Row],[Aplicación]],6,2)</f>
        <v>10</v>
      </c>
      <c r="T2538" s="35" t="str">
        <f>VLOOKUP(Tabla1[[#This Row],[AREA]],Hoja1!A:B,2,FALSE)</f>
        <v>10. Servicios sociales y mediación comunitaria</v>
      </c>
      <c r="U2538" s="56" t="str">
        <f>MID(Tabla1[[#This Row],[Aplicación]],9,4)</f>
        <v>2412</v>
      </c>
      <c r="V2538" s="35" t="str">
        <f>VLOOKUP(Tabla1[[#This Row],[PROGRAMA]],Hoja1!A:B,2,FALSE)</f>
        <v>2412. Formación para el empleo</v>
      </c>
      <c r="W2538" s="56" t="str">
        <f>MID(Tabla1[[#This Row],[Aplicación]],14,2)</f>
        <v>22</v>
      </c>
      <c r="X2538" s="56" t="str">
        <f>MID(Tabla1[[#This Row],[Aplicación]],14,6)</f>
        <v>22102</v>
      </c>
    </row>
    <row r="2539" spans="1:24" x14ac:dyDescent="0.25">
      <c r="A2539" s="62">
        <v>220230026355</v>
      </c>
      <c r="B2539" s="44" t="s">
        <v>1514</v>
      </c>
      <c r="C2539" s="64">
        <v>45077</v>
      </c>
      <c r="D2539" s="62">
        <v>22023001344</v>
      </c>
      <c r="E2539" s="44" t="s">
        <v>1150</v>
      </c>
      <c r="F2539" s="65">
        <v>45.21</v>
      </c>
      <c r="G2539" s="44" t="s">
        <v>1979</v>
      </c>
      <c r="H2539" s="44" t="s">
        <v>4154</v>
      </c>
      <c r="I2539" s="62" t="s">
        <v>1517</v>
      </c>
      <c r="J2539" s="44" t="s">
        <v>519</v>
      </c>
      <c r="K2539" s="44" t="s">
        <v>519</v>
      </c>
      <c r="L2539" s="44" t="s">
        <v>552</v>
      </c>
      <c r="M2539" s="44" t="s">
        <v>514</v>
      </c>
      <c r="N2539" s="44" t="s">
        <v>604</v>
      </c>
      <c r="O2539" s="45" t="s">
        <v>382</v>
      </c>
      <c r="P2539" s="45" t="s">
        <v>3760</v>
      </c>
      <c r="Q2539" s="59" t="str">
        <f>MID(Tabla1[[#This Row],[Aplicación]],14,1)</f>
        <v>2</v>
      </c>
      <c r="R2539" s="35" t="s">
        <v>298</v>
      </c>
      <c r="S2539" s="59" t="str">
        <f>MID(Tabla1[[#This Row],[Aplicación]],6,2)</f>
        <v>03</v>
      </c>
      <c r="T2539" s="35" t="str">
        <f>VLOOKUP(Tabla1[[#This Row],[AREA]],Hoja1!A:B,2,FALSE)</f>
        <v>03. Participación ciudadana y deportes</v>
      </c>
      <c r="U2539" s="56" t="str">
        <f>MID(Tabla1[[#This Row],[Aplicación]],9,4)</f>
        <v>9241</v>
      </c>
      <c r="V2539" s="35" t="str">
        <f>VLOOKUP(Tabla1[[#This Row],[PROGRAMA]],Hoja1!A:B,2,FALSE)</f>
        <v>9241. Participación ciudadana</v>
      </c>
      <c r="W2539" s="56" t="str">
        <f>MID(Tabla1[[#This Row],[Aplicación]],14,2)</f>
        <v>21</v>
      </c>
      <c r="X2539" s="56" t="str">
        <f>MID(Tabla1[[#This Row],[Aplicación]],14,6)</f>
        <v>213</v>
      </c>
    </row>
    <row r="2540" spans="1:24" x14ac:dyDescent="0.25">
      <c r="A2540" s="62">
        <v>220230026426</v>
      </c>
      <c r="B2540" s="44" t="s">
        <v>1514</v>
      </c>
      <c r="C2540" s="64">
        <v>45077</v>
      </c>
      <c r="D2540" s="62">
        <v>22023001466</v>
      </c>
      <c r="E2540" s="44" t="s">
        <v>2624</v>
      </c>
      <c r="F2540" s="65">
        <v>77.55</v>
      </c>
      <c r="G2540" s="44" t="s">
        <v>1979</v>
      </c>
      <c r="H2540" s="44" t="s">
        <v>4155</v>
      </c>
      <c r="I2540" s="62" t="s">
        <v>1517</v>
      </c>
      <c r="J2540" s="44" t="s">
        <v>519</v>
      </c>
      <c r="K2540" s="44" t="s">
        <v>519</v>
      </c>
      <c r="L2540" s="44" t="s">
        <v>552</v>
      </c>
      <c r="M2540" s="44" t="s">
        <v>514</v>
      </c>
      <c r="N2540" s="44" t="s">
        <v>515</v>
      </c>
      <c r="O2540" s="45" t="s">
        <v>382</v>
      </c>
      <c r="P2540" s="45" t="s">
        <v>3760</v>
      </c>
      <c r="Q2540" s="59" t="str">
        <f>MID(Tabla1[[#This Row],[Aplicación]],14,1)</f>
        <v>2</v>
      </c>
      <c r="R2540" s="35" t="s">
        <v>298</v>
      </c>
      <c r="S2540" s="59" t="str">
        <f>MID(Tabla1[[#This Row],[Aplicación]],6,2)</f>
        <v>11</v>
      </c>
      <c r="T2540" s="35" t="str">
        <f>VLOOKUP(Tabla1[[#This Row],[AREA]],Hoja1!A:B,2,FALSE)</f>
        <v>11. Salud pública y seguridad ciudadana</v>
      </c>
      <c r="U2540" s="56" t="str">
        <f>MID(Tabla1[[#This Row],[Aplicación]],9,4)</f>
        <v>1621</v>
      </c>
      <c r="V2540" s="35" t="str">
        <f>VLOOKUP(Tabla1[[#This Row],[PROGRAMA]],Hoja1!A:B,2,FALSE)</f>
        <v>1621. Servicio de limpieza</v>
      </c>
      <c r="W2540" s="56" t="str">
        <f>MID(Tabla1[[#This Row],[Aplicación]],14,2)</f>
        <v>22</v>
      </c>
      <c r="X2540" s="56" t="str">
        <f>MID(Tabla1[[#This Row],[Aplicación]],14,6)</f>
        <v>22199</v>
      </c>
    </row>
    <row r="2541" spans="1:24" x14ac:dyDescent="0.25">
      <c r="A2541" s="62">
        <v>220230026428</v>
      </c>
      <c r="B2541" s="44" t="s">
        <v>1514</v>
      </c>
      <c r="C2541" s="64">
        <v>45077</v>
      </c>
      <c r="D2541" s="62">
        <v>22023001476</v>
      </c>
      <c r="E2541" s="44" t="s">
        <v>2662</v>
      </c>
      <c r="F2541" s="65">
        <v>7.39</v>
      </c>
      <c r="G2541" s="44" t="s">
        <v>1979</v>
      </c>
      <c r="H2541" s="44" t="s">
        <v>4156</v>
      </c>
      <c r="I2541" s="62" t="s">
        <v>1517</v>
      </c>
      <c r="J2541" s="44" t="s">
        <v>519</v>
      </c>
      <c r="K2541" s="44" t="s">
        <v>519</v>
      </c>
      <c r="L2541" s="44" t="s">
        <v>552</v>
      </c>
      <c r="M2541" s="44" t="s">
        <v>514</v>
      </c>
      <c r="N2541" s="44" t="s">
        <v>515</v>
      </c>
      <c r="O2541" s="45" t="s">
        <v>382</v>
      </c>
      <c r="P2541" s="45" t="s">
        <v>3760</v>
      </c>
      <c r="Q2541" s="59" t="str">
        <f>MID(Tabla1[[#This Row],[Aplicación]],14,1)</f>
        <v>2</v>
      </c>
      <c r="R2541" s="35" t="s">
        <v>298</v>
      </c>
      <c r="S2541" s="59" t="str">
        <f>MID(Tabla1[[#This Row],[Aplicación]],6,2)</f>
        <v>11</v>
      </c>
      <c r="T2541" s="35" t="str">
        <f>VLOOKUP(Tabla1[[#This Row],[AREA]],Hoja1!A:B,2,FALSE)</f>
        <v>11. Salud pública y seguridad ciudadana</v>
      </c>
      <c r="U2541" s="56" t="str">
        <f>MID(Tabla1[[#This Row],[Aplicación]],9,4)</f>
        <v>1631</v>
      </c>
      <c r="V2541" s="35" t="str">
        <f>VLOOKUP(Tabla1[[#This Row],[PROGRAMA]],Hoja1!A:B,2,FALSE)</f>
        <v>1631. Limpieza viaria</v>
      </c>
      <c r="W2541" s="56" t="str">
        <f>MID(Tabla1[[#This Row],[Aplicación]],14,2)</f>
        <v>22</v>
      </c>
      <c r="X2541" s="56" t="str">
        <f>MID(Tabla1[[#This Row],[Aplicación]],14,6)</f>
        <v>22199</v>
      </c>
    </row>
    <row r="2542" spans="1:24" x14ac:dyDescent="0.25">
      <c r="A2542" s="62">
        <v>220230026656</v>
      </c>
      <c r="B2542" s="44" t="s">
        <v>1514</v>
      </c>
      <c r="C2542" s="64">
        <v>45077</v>
      </c>
      <c r="D2542" s="62">
        <v>22023003827</v>
      </c>
      <c r="E2542" s="44" t="s">
        <v>1510</v>
      </c>
      <c r="F2542" s="65">
        <v>7.26</v>
      </c>
      <c r="G2542" s="44" t="s">
        <v>1979</v>
      </c>
      <c r="H2542" s="44" t="s">
        <v>4157</v>
      </c>
      <c r="I2542" s="62" t="s">
        <v>1517</v>
      </c>
      <c r="J2542" s="44" t="s">
        <v>519</v>
      </c>
      <c r="K2542" s="44" t="s">
        <v>519</v>
      </c>
      <c r="L2542" s="44" t="s">
        <v>552</v>
      </c>
      <c r="M2542" s="44" t="s">
        <v>514</v>
      </c>
      <c r="N2542" s="44" t="s">
        <v>515</v>
      </c>
      <c r="O2542" s="45" t="s">
        <v>382</v>
      </c>
      <c r="P2542" s="45" t="s">
        <v>3760</v>
      </c>
      <c r="Q2542" s="59" t="str">
        <f>MID(Tabla1[[#This Row],[Aplicación]],14,1)</f>
        <v>2</v>
      </c>
      <c r="R2542" s="35" t="s">
        <v>298</v>
      </c>
      <c r="S2542" s="59" t="str">
        <f>MID(Tabla1[[#This Row],[Aplicación]],6,2)</f>
        <v>10</v>
      </c>
      <c r="T2542" s="35" t="str">
        <f>VLOOKUP(Tabla1[[#This Row],[AREA]],Hoja1!A:B,2,FALSE)</f>
        <v>10. Servicios sociales y mediación comunitaria</v>
      </c>
      <c r="U2542" s="56" t="str">
        <f>MID(Tabla1[[#This Row],[Aplicación]],9,4)</f>
        <v>2311</v>
      </c>
      <c r="V2542" s="35" t="str">
        <f>VLOOKUP(Tabla1[[#This Row],[PROGRAMA]],Hoja1!A:B,2,FALSE)</f>
        <v>2311. Intervención social</v>
      </c>
      <c r="W2542" s="56" t="str">
        <f>MID(Tabla1[[#This Row],[Aplicación]],14,2)</f>
        <v>21</v>
      </c>
      <c r="X2542" s="56" t="str">
        <f>MID(Tabla1[[#This Row],[Aplicación]],14,6)</f>
        <v>212</v>
      </c>
    </row>
    <row r="2543" spans="1:24" x14ac:dyDescent="0.25">
      <c r="A2543" s="62">
        <v>220230014125</v>
      </c>
      <c r="B2543" s="44" t="s">
        <v>1514</v>
      </c>
      <c r="C2543" s="64">
        <v>45035</v>
      </c>
      <c r="D2543" s="62">
        <v>22023001956</v>
      </c>
      <c r="E2543" s="44" t="s">
        <v>1982</v>
      </c>
      <c r="F2543" s="65">
        <v>544.80999999999995</v>
      </c>
      <c r="G2543" s="44" t="s">
        <v>1983</v>
      </c>
      <c r="H2543" s="44" t="s">
        <v>4158</v>
      </c>
      <c r="I2543" s="62" t="s">
        <v>1517</v>
      </c>
      <c r="J2543" s="44" t="s">
        <v>519</v>
      </c>
      <c r="K2543" s="44" t="s">
        <v>519</v>
      </c>
      <c r="L2543" s="44" t="s">
        <v>520</v>
      </c>
      <c r="M2543" s="44" t="s">
        <v>514</v>
      </c>
      <c r="N2543" s="44" t="s">
        <v>515</v>
      </c>
      <c r="O2543" s="45" t="s">
        <v>382</v>
      </c>
      <c r="P2543" s="45" t="s">
        <v>3760</v>
      </c>
      <c r="Q2543" s="59" t="str">
        <f>MID(Tabla1[[#This Row],[Aplicación]],14,1)</f>
        <v>2</v>
      </c>
      <c r="R2543" s="35" t="s">
        <v>298</v>
      </c>
      <c r="S2543" s="59" t="str">
        <f>MID(Tabla1[[#This Row],[Aplicación]],6,2)</f>
        <v>07</v>
      </c>
      <c r="T2543" s="35" t="str">
        <f>VLOOKUP(Tabla1[[#This Row],[AREA]],Hoja1!A:B,2,FALSE)</f>
        <v>07. Medio ambiente y desarrollo sostenible</v>
      </c>
      <c r="U2543" s="56" t="str">
        <f>MID(Tabla1[[#This Row],[Aplicación]],9,4)</f>
        <v>1711</v>
      </c>
      <c r="V2543" s="35" t="str">
        <f>VLOOKUP(Tabla1[[#This Row],[PROGRAMA]],Hoja1!A:B,2,FALSE)</f>
        <v>1711. Parques y jardines</v>
      </c>
      <c r="W2543" s="56" t="str">
        <f>MID(Tabla1[[#This Row],[Aplicación]],14,2)</f>
        <v>21</v>
      </c>
      <c r="X2543" s="56" t="str">
        <f>MID(Tabla1[[#This Row],[Aplicación]],14,6)</f>
        <v>214</v>
      </c>
    </row>
    <row r="2544" spans="1:24" x14ac:dyDescent="0.25">
      <c r="A2544" s="62">
        <v>220230016089</v>
      </c>
      <c r="B2544" s="44" t="s">
        <v>1514</v>
      </c>
      <c r="C2544" s="64">
        <v>45043</v>
      </c>
      <c r="D2544" s="62">
        <v>22023001459</v>
      </c>
      <c r="E2544" s="44" t="s">
        <v>1290</v>
      </c>
      <c r="F2544" s="65">
        <v>1042.33</v>
      </c>
      <c r="G2544" s="44" t="s">
        <v>1983</v>
      </c>
      <c r="H2544" s="44" t="s">
        <v>4159</v>
      </c>
      <c r="I2544" s="62" t="s">
        <v>1517</v>
      </c>
      <c r="J2544" s="44" t="s">
        <v>519</v>
      </c>
      <c r="K2544" s="44" t="s">
        <v>519</v>
      </c>
      <c r="L2544" s="44" t="s">
        <v>520</v>
      </c>
      <c r="M2544" s="44" t="s">
        <v>514</v>
      </c>
      <c r="N2544" s="44" t="s">
        <v>515</v>
      </c>
      <c r="O2544" s="45" t="s">
        <v>382</v>
      </c>
      <c r="P2544" s="45" t="s">
        <v>3760</v>
      </c>
      <c r="Q2544" s="59" t="str">
        <f>MID(Tabla1[[#This Row],[Aplicación]],14,1)</f>
        <v>2</v>
      </c>
      <c r="R2544" s="35" t="s">
        <v>298</v>
      </c>
      <c r="S2544" s="59" t="str">
        <f>MID(Tabla1[[#This Row],[Aplicación]],6,2)</f>
        <v>11</v>
      </c>
      <c r="T2544" s="35" t="str">
        <f>VLOOKUP(Tabla1[[#This Row],[AREA]],Hoja1!A:B,2,FALSE)</f>
        <v>11. Salud pública y seguridad ciudadana</v>
      </c>
      <c r="U2544" s="56" t="str">
        <f>MID(Tabla1[[#This Row],[Aplicación]],9,4)</f>
        <v>1621</v>
      </c>
      <c r="V2544" s="35" t="str">
        <f>VLOOKUP(Tabla1[[#This Row],[PROGRAMA]],Hoja1!A:B,2,FALSE)</f>
        <v>1621. Servicio de limpieza</v>
      </c>
      <c r="W2544" s="56" t="str">
        <f>MID(Tabla1[[#This Row],[Aplicación]],14,2)</f>
        <v>21</v>
      </c>
      <c r="X2544" s="56" t="str">
        <f>MID(Tabla1[[#This Row],[Aplicación]],14,6)</f>
        <v>214</v>
      </c>
    </row>
    <row r="2545" spans="1:24" x14ac:dyDescent="0.25">
      <c r="A2545" s="62">
        <v>220230016216</v>
      </c>
      <c r="B2545" s="44" t="s">
        <v>1514</v>
      </c>
      <c r="C2545" s="64">
        <v>45043</v>
      </c>
      <c r="D2545" s="62">
        <v>22023000213</v>
      </c>
      <c r="E2545" s="44" t="s">
        <v>1694</v>
      </c>
      <c r="F2545" s="65">
        <v>1310.05</v>
      </c>
      <c r="G2545" s="44" t="s">
        <v>1983</v>
      </c>
      <c r="H2545" s="44" t="s">
        <v>4160</v>
      </c>
      <c r="I2545" s="62" t="s">
        <v>1517</v>
      </c>
      <c r="J2545" s="44" t="s">
        <v>519</v>
      </c>
      <c r="K2545" s="44" t="s">
        <v>519</v>
      </c>
      <c r="L2545" s="44" t="s">
        <v>520</v>
      </c>
      <c r="M2545" s="44" t="s">
        <v>514</v>
      </c>
      <c r="N2545" s="44" t="s">
        <v>515</v>
      </c>
      <c r="O2545" s="45" t="s">
        <v>382</v>
      </c>
      <c r="P2545" s="45" t="s">
        <v>3760</v>
      </c>
      <c r="Q2545" s="59" t="str">
        <f>MID(Tabla1[[#This Row],[Aplicación]],14,1)</f>
        <v>2</v>
      </c>
      <c r="R2545" s="35" t="s">
        <v>298</v>
      </c>
      <c r="S2545" s="59" t="str">
        <f>MID(Tabla1[[#This Row],[Aplicación]],6,2)</f>
        <v>11</v>
      </c>
      <c r="T2545" s="35" t="str">
        <f>VLOOKUP(Tabla1[[#This Row],[AREA]],Hoja1!A:B,2,FALSE)</f>
        <v>11. Salud pública y seguridad ciudadana</v>
      </c>
      <c r="U2545" s="56" t="str">
        <f>MID(Tabla1[[#This Row],[Aplicación]],9,4)</f>
        <v>1321</v>
      </c>
      <c r="V2545" s="35" t="str">
        <f>VLOOKUP(Tabla1[[#This Row],[PROGRAMA]],Hoja1!A:B,2,FALSE)</f>
        <v>1321. Policía municipal</v>
      </c>
      <c r="W2545" s="56" t="str">
        <f>MID(Tabla1[[#This Row],[Aplicación]],14,2)</f>
        <v>21</v>
      </c>
      <c r="X2545" s="56" t="str">
        <f>MID(Tabla1[[#This Row],[Aplicación]],14,6)</f>
        <v>214</v>
      </c>
    </row>
    <row r="2546" spans="1:24" x14ac:dyDescent="0.25">
      <c r="A2546" s="62">
        <v>220230016218</v>
      </c>
      <c r="B2546" s="44" t="s">
        <v>1514</v>
      </c>
      <c r="C2546" s="64">
        <v>45043</v>
      </c>
      <c r="D2546" s="62">
        <v>22023000213</v>
      </c>
      <c r="E2546" s="44" t="s">
        <v>1694</v>
      </c>
      <c r="F2546" s="65">
        <v>169.06</v>
      </c>
      <c r="G2546" s="44" t="s">
        <v>1983</v>
      </c>
      <c r="H2546" s="44" t="s">
        <v>4161</v>
      </c>
      <c r="I2546" s="62" t="s">
        <v>1517</v>
      </c>
      <c r="J2546" s="44" t="s">
        <v>519</v>
      </c>
      <c r="K2546" s="44" t="s">
        <v>519</v>
      </c>
      <c r="L2546" s="44" t="s">
        <v>520</v>
      </c>
      <c r="M2546" s="44" t="s">
        <v>514</v>
      </c>
      <c r="N2546" s="44" t="s">
        <v>515</v>
      </c>
      <c r="O2546" s="45" t="s">
        <v>382</v>
      </c>
      <c r="P2546" s="45" t="s">
        <v>3760</v>
      </c>
      <c r="Q2546" s="59" t="str">
        <f>MID(Tabla1[[#This Row],[Aplicación]],14,1)</f>
        <v>2</v>
      </c>
      <c r="R2546" s="35" t="s">
        <v>298</v>
      </c>
      <c r="S2546" s="59" t="str">
        <f>MID(Tabla1[[#This Row],[Aplicación]],6,2)</f>
        <v>11</v>
      </c>
      <c r="T2546" s="35" t="str">
        <f>VLOOKUP(Tabla1[[#This Row],[AREA]],Hoja1!A:B,2,FALSE)</f>
        <v>11. Salud pública y seguridad ciudadana</v>
      </c>
      <c r="U2546" s="56" t="str">
        <f>MID(Tabla1[[#This Row],[Aplicación]],9,4)</f>
        <v>1321</v>
      </c>
      <c r="V2546" s="35" t="str">
        <f>VLOOKUP(Tabla1[[#This Row],[PROGRAMA]],Hoja1!A:B,2,FALSE)</f>
        <v>1321. Policía municipal</v>
      </c>
      <c r="W2546" s="56" t="str">
        <f>MID(Tabla1[[#This Row],[Aplicación]],14,2)</f>
        <v>21</v>
      </c>
      <c r="X2546" s="56" t="str">
        <f>MID(Tabla1[[#This Row],[Aplicación]],14,6)</f>
        <v>214</v>
      </c>
    </row>
    <row r="2547" spans="1:24" x14ac:dyDescent="0.25">
      <c r="A2547" s="62">
        <v>220230018570</v>
      </c>
      <c r="B2547" s="44" t="s">
        <v>1514</v>
      </c>
      <c r="C2547" s="64">
        <v>45055</v>
      </c>
      <c r="D2547" s="62">
        <v>22023001459</v>
      </c>
      <c r="E2547" s="44" t="s">
        <v>1290</v>
      </c>
      <c r="F2547" s="65">
        <v>662.92</v>
      </c>
      <c r="G2547" s="44" t="s">
        <v>1983</v>
      </c>
      <c r="H2547" s="44" t="s">
        <v>4162</v>
      </c>
      <c r="I2547" s="62" t="s">
        <v>1517</v>
      </c>
      <c r="J2547" s="44" t="s">
        <v>519</v>
      </c>
      <c r="K2547" s="44" t="s">
        <v>519</v>
      </c>
      <c r="L2547" s="44" t="s">
        <v>520</v>
      </c>
      <c r="M2547" s="44" t="s">
        <v>514</v>
      </c>
      <c r="N2547" s="44" t="s">
        <v>515</v>
      </c>
      <c r="O2547" s="45" t="s">
        <v>382</v>
      </c>
      <c r="P2547" s="45" t="s">
        <v>3760</v>
      </c>
      <c r="Q2547" s="59" t="str">
        <f>MID(Tabla1[[#This Row],[Aplicación]],14,1)</f>
        <v>2</v>
      </c>
      <c r="R2547" s="35" t="s">
        <v>298</v>
      </c>
      <c r="S2547" s="59" t="str">
        <f>MID(Tabla1[[#This Row],[Aplicación]],6,2)</f>
        <v>11</v>
      </c>
      <c r="T2547" s="35" t="str">
        <f>VLOOKUP(Tabla1[[#This Row],[AREA]],Hoja1!A:B,2,FALSE)</f>
        <v>11. Salud pública y seguridad ciudadana</v>
      </c>
      <c r="U2547" s="56" t="str">
        <f>MID(Tabla1[[#This Row],[Aplicación]],9,4)</f>
        <v>1621</v>
      </c>
      <c r="V2547" s="35" t="str">
        <f>VLOOKUP(Tabla1[[#This Row],[PROGRAMA]],Hoja1!A:B,2,FALSE)</f>
        <v>1621. Servicio de limpieza</v>
      </c>
      <c r="W2547" s="56" t="str">
        <f>MID(Tabla1[[#This Row],[Aplicación]],14,2)</f>
        <v>21</v>
      </c>
      <c r="X2547" s="56" t="str">
        <f>MID(Tabla1[[#This Row],[Aplicación]],14,6)</f>
        <v>214</v>
      </c>
    </row>
    <row r="2548" spans="1:24" x14ac:dyDescent="0.25">
      <c r="A2548" s="62">
        <v>220230016049</v>
      </c>
      <c r="B2548" s="44" t="s">
        <v>1514</v>
      </c>
      <c r="C2548" s="64">
        <v>45043</v>
      </c>
      <c r="D2548" s="62">
        <v>22023001638</v>
      </c>
      <c r="E2548" s="44" t="s">
        <v>2704</v>
      </c>
      <c r="F2548" s="65">
        <v>936.54</v>
      </c>
      <c r="G2548" s="44" t="s">
        <v>2705</v>
      </c>
      <c r="H2548" s="44" t="s">
        <v>4163</v>
      </c>
      <c r="I2548" s="62" t="s">
        <v>1517</v>
      </c>
      <c r="J2548" s="44" t="s">
        <v>519</v>
      </c>
      <c r="K2548" s="44" t="s">
        <v>519</v>
      </c>
      <c r="L2548" s="44" t="s">
        <v>520</v>
      </c>
      <c r="M2548" s="44" t="s">
        <v>514</v>
      </c>
      <c r="N2548" s="44" t="s">
        <v>515</v>
      </c>
      <c r="O2548" s="45" t="s">
        <v>382</v>
      </c>
      <c r="P2548" s="45" t="s">
        <v>3760</v>
      </c>
      <c r="Q2548" s="59" t="str">
        <f>MID(Tabla1[[#This Row],[Aplicación]],14,1)</f>
        <v>2</v>
      </c>
      <c r="R2548" s="35" t="s">
        <v>298</v>
      </c>
      <c r="S2548" s="59" t="str">
        <f>MID(Tabla1[[#This Row],[Aplicación]],6,2)</f>
        <v>11</v>
      </c>
      <c r="T2548" s="35" t="str">
        <f>VLOOKUP(Tabla1[[#This Row],[AREA]],Hoja1!A:B,2,FALSE)</f>
        <v>11. Salud pública y seguridad ciudadana</v>
      </c>
      <c r="U2548" s="56" t="str">
        <f>MID(Tabla1[[#This Row],[Aplicación]],9,4)</f>
        <v>3111</v>
      </c>
      <c r="V2548" s="35" t="str">
        <f>VLOOKUP(Tabla1[[#This Row],[PROGRAMA]],Hoja1!A:B,2,FALSE)</f>
        <v>3111. Protección de la salubridad pública</v>
      </c>
      <c r="W2548" s="56" t="str">
        <f>MID(Tabla1[[#This Row],[Aplicación]],14,2)</f>
        <v>21</v>
      </c>
      <c r="X2548" s="56" t="str">
        <f>MID(Tabla1[[#This Row],[Aplicación]],14,6)</f>
        <v>214</v>
      </c>
    </row>
    <row r="2549" spans="1:24" x14ac:dyDescent="0.25">
      <c r="A2549" s="62">
        <v>220230016051</v>
      </c>
      <c r="B2549" s="44" t="s">
        <v>1514</v>
      </c>
      <c r="C2549" s="64">
        <v>45043</v>
      </c>
      <c r="D2549" s="62">
        <v>22023001638</v>
      </c>
      <c r="E2549" s="44" t="s">
        <v>2704</v>
      </c>
      <c r="F2549" s="65">
        <v>418.36</v>
      </c>
      <c r="G2549" s="44" t="s">
        <v>2705</v>
      </c>
      <c r="H2549" s="44" t="s">
        <v>4164</v>
      </c>
      <c r="I2549" s="62" t="s">
        <v>1517</v>
      </c>
      <c r="J2549" s="44" t="s">
        <v>519</v>
      </c>
      <c r="K2549" s="44" t="s">
        <v>519</v>
      </c>
      <c r="L2549" s="44" t="s">
        <v>520</v>
      </c>
      <c r="M2549" s="44" t="s">
        <v>514</v>
      </c>
      <c r="N2549" s="44" t="s">
        <v>515</v>
      </c>
      <c r="O2549" s="45" t="s">
        <v>382</v>
      </c>
      <c r="P2549" s="45" t="s">
        <v>3760</v>
      </c>
      <c r="Q2549" s="59" t="str">
        <f>MID(Tabla1[[#This Row],[Aplicación]],14,1)</f>
        <v>2</v>
      </c>
      <c r="R2549" s="35" t="s">
        <v>298</v>
      </c>
      <c r="S2549" s="59" t="str">
        <f>MID(Tabla1[[#This Row],[Aplicación]],6,2)</f>
        <v>11</v>
      </c>
      <c r="T2549" s="35" t="str">
        <f>VLOOKUP(Tabla1[[#This Row],[AREA]],Hoja1!A:B,2,FALSE)</f>
        <v>11. Salud pública y seguridad ciudadana</v>
      </c>
      <c r="U2549" s="56" t="str">
        <f>MID(Tabla1[[#This Row],[Aplicación]],9,4)</f>
        <v>3111</v>
      </c>
      <c r="V2549" s="35" t="str">
        <f>VLOOKUP(Tabla1[[#This Row],[PROGRAMA]],Hoja1!A:B,2,FALSE)</f>
        <v>3111. Protección de la salubridad pública</v>
      </c>
      <c r="W2549" s="56" t="str">
        <f>MID(Tabla1[[#This Row],[Aplicación]],14,2)</f>
        <v>21</v>
      </c>
      <c r="X2549" s="56" t="str">
        <f>MID(Tabla1[[#This Row],[Aplicación]],14,6)</f>
        <v>214</v>
      </c>
    </row>
    <row r="2550" spans="1:24" x14ac:dyDescent="0.25">
      <c r="A2550" s="62">
        <v>220230020133</v>
      </c>
      <c r="B2550" s="44" t="s">
        <v>1514</v>
      </c>
      <c r="C2550" s="64">
        <v>45057</v>
      </c>
      <c r="D2550" s="62">
        <v>22023001459</v>
      </c>
      <c r="E2550" s="44" t="s">
        <v>1290</v>
      </c>
      <c r="F2550" s="65">
        <v>73.459999999999994</v>
      </c>
      <c r="G2550" s="44" t="s">
        <v>1983</v>
      </c>
      <c r="H2550" s="44" t="s">
        <v>4165</v>
      </c>
      <c r="I2550" s="62" t="s">
        <v>1517</v>
      </c>
      <c r="J2550" s="44" t="s">
        <v>519</v>
      </c>
      <c r="K2550" s="44" t="s">
        <v>519</v>
      </c>
      <c r="L2550" s="44" t="s">
        <v>520</v>
      </c>
      <c r="M2550" s="44" t="s">
        <v>514</v>
      </c>
      <c r="N2550" s="44" t="s">
        <v>515</v>
      </c>
      <c r="O2550" s="45" t="s">
        <v>382</v>
      </c>
      <c r="P2550" s="45" t="s">
        <v>3760</v>
      </c>
      <c r="Q2550" s="59" t="str">
        <f>MID(Tabla1[[#This Row],[Aplicación]],14,1)</f>
        <v>2</v>
      </c>
      <c r="R2550" s="35" t="s">
        <v>298</v>
      </c>
      <c r="S2550" s="59" t="str">
        <f>MID(Tabla1[[#This Row],[Aplicación]],6,2)</f>
        <v>11</v>
      </c>
      <c r="T2550" s="35" t="str">
        <f>VLOOKUP(Tabla1[[#This Row],[AREA]],Hoja1!A:B,2,FALSE)</f>
        <v>11. Salud pública y seguridad ciudadana</v>
      </c>
      <c r="U2550" s="56" t="str">
        <f>MID(Tabla1[[#This Row],[Aplicación]],9,4)</f>
        <v>1621</v>
      </c>
      <c r="V2550" s="35" t="str">
        <f>VLOOKUP(Tabla1[[#This Row],[PROGRAMA]],Hoja1!A:B,2,FALSE)</f>
        <v>1621. Servicio de limpieza</v>
      </c>
      <c r="W2550" s="56" t="str">
        <f>MID(Tabla1[[#This Row],[Aplicación]],14,2)</f>
        <v>21</v>
      </c>
      <c r="X2550" s="56" t="str">
        <f>MID(Tabla1[[#This Row],[Aplicación]],14,6)</f>
        <v>214</v>
      </c>
    </row>
    <row r="2551" spans="1:24" x14ac:dyDescent="0.25">
      <c r="A2551" s="62">
        <v>220230021063</v>
      </c>
      <c r="B2551" s="44" t="s">
        <v>1514</v>
      </c>
      <c r="C2551" s="64">
        <v>45062</v>
      </c>
      <c r="D2551" s="62">
        <v>22023001956</v>
      </c>
      <c r="E2551" s="44" t="s">
        <v>1982</v>
      </c>
      <c r="F2551" s="65">
        <v>430.55</v>
      </c>
      <c r="G2551" s="44" t="s">
        <v>1983</v>
      </c>
      <c r="H2551" s="44" t="s">
        <v>4166</v>
      </c>
      <c r="I2551" s="62" t="s">
        <v>1517</v>
      </c>
      <c r="J2551" s="44" t="s">
        <v>519</v>
      </c>
      <c r="K2551" s="44" t="s">
        <v>519</v>
      </c>
      <c r="L2551" s="44" t="s">
        <v>520</v>
      </c>
      <c r="M2551" s="44" t="s">
        <v>514</v>
      </c>
      <c r="N2551" s="44" t="s">
        <v>515</v>
      </c>
      <c r="O2551" s="45" t="s">
        <v>382</v>
      </c>
      <c r="P2551" s="45" t="s">
        <v>3760</v>
      </c>
      <c r="Q2551" s="59" t="str">
        <f>MID(Tabla1[[#This Row],[Aplicación]],14,1)</f>
        <v>2</v>
      </c>
      <c r="R2551" s="35" t="s">
        <v>298</v>
      </c>
      <c r="S2551" s="59" t="str">
        <f>MID(Tabla1[[#This Row],[Aplicación]],6,2)</f>
        <v>07</v>
      </c>
      <c r="T2551" s="35" t="str">
        <f>VLOOKUP(Tabla1[[#This Row],[AREA]],Hoja1!A:B,2,FALSE)</f>
        <v>07. Medio ambiente y desarrollo sostenible</v>
      </c>
      <c r="U2551" s="56" t="str">
        <f>MID(Tabla1[[#This Row],[Aplicación]],9,4)</f>
        <v>1711</v>
      </c>
      <c r="V2551" s="35" t="str">
        <f>VLOOKUP(Tabla1[[#This Row],[PROGRAMA]],Hoja1!A:B,2,FALSE)</f>
        <v>1711. Parques y jardines</v>
      </c>
      <c r="W2551" s="56" t="str">
        <f>MID(Tabla1[[#This Row],[Aplicación]],14,2)</f>
        <v>21</v>
      </c>
      <c r="X2551" s="56" t="str">
        <f>MID(Tabla1[[#This Row],[Aplicación]],14,6)</f>
        <v>214</v>
      </c>
    </row>
    <row r="2552" spans="1:24" x14ac:dyDescent="0.25">
      <c r="A2552" s="62">
        <v>220230022536</v>
      </c>
      <c r="B2552" s="44" t="s">
        <v>1514</v>
      </c>
      <c r="C2552" s="64">
        <v>45065</v>
      </c>
      <c r="D2552" s="62">
        <v>22023000213</v>
      </c>
      <c r="E2552" s="44" t="s">
        <v>1694</v>
      </c>
      <c r="F2552" s="65">
        <v>146.91999999999999</v>
      </c>
      <c r="G2552" s="44" t="s">
        <v>1983</v>
      </c>
      <c r="H2552" s="44" t="s">
        <v>4167</v>
      </c>
      <c r="I2552" s="62" t="s">
        <v>1517</v>
      </c>
      <c r="J2552" s="44" t="s">
        <v>519</v>
      </c>
      <c r="K2552" s="44" t="s">
        <v>519</v>
      </c>
      <c r="L2552" s="44" t="s">
        <v>520</v>
      </c>
      <c r="M2552" s="44" t="s">
        <v>514</v>
      </c>
      <c r="N2552" s="44" t="s">
        <v>515</v>
      </c>
      <c r="O2552" s="45" t="s">
        <v>382</v>
      </c>
      <c r="P2552" s="45" t="s">
        <v>3760</v>
      </c>
      <c r="Q2552" s="59" t="str">
        <f>MID(Tabla1[[#This Row],[Aplicación]],14,1)</f>
        <v>2</v>
      </c>
      <c r="R2552" s="35" t="s">
        <v>298</v>
      </c>
      <c r="S2552" s="59" t="str">
        <f>MID(Tabla1[[#This Row],[Aplicación]],6,2)</f>
        <v>11</v>
      </c>
      <c r="T2552" s="35" t="str">
        <f>VLOOKUP(Tabla1[[#This Row],[AREA]],Hoja1!A:B,2,FALSE)</f>
        <v>11. Salud pública y seguridad ciudadana</v>
      </c>
      <c r="U2552" s="56" t="str">
        <f>MID(Tabla1[[#This Row],[Aplicación]],9,4)</f>
        <v>1321</v>
      </c>
      <c r="V2552" s="35" t="str">
        <f>VLOOKUP(Tabla1[[#This Row],[PROGRAMA]],Hoja1!A:B,2,FALSE)</f>
        <v>1321. Policía municipal</v>
      </c>
      <c r="W2552" s="56" t="str">
        <f>MID(Tabla1[[#This Row],[Aplicación]],14,2)</f>
        <v>21</v>
      </c>
      <c r="X2552" s="56" t="str">
        <f>MID(Tabla1[[#This Row],[Aplicación]],14,6)</f>
        <v>214</v>
      </c>
    </row>
    <row r="2553" spans="1:24" x14ac:dyDescent="0.25">
      <c r="A2553" s="62">
        <v>220230026620</v>
      </c>
      <c r="B2553" s="44" t="s">
        <v>1514</v>
      </c>
      <c r="C2553" s="64">
        <v>45077</v>
      </c>
      <c r="D2553" s="62">
        <v>22023001459</v>
      </c>
      <c r="E2553" s="44" t="s">
        <v>1290</v>
      </c>
      <c r="F2553" s="65">
        <v>2019.22</v>
      </c>
      <c r="G2553" s="44" t="s">
        <v>1983</v>
      </c>
      <c r="H2553" s="44" t="s">
        <v>4168</v>
      </c>
      <c r="I2553" s="62" t="s">
        <v>1517</v>
      </c>
      <c r="J2553" s="44" t="s">
        <v>519</v>
      </c>
      <c r="K2553" s="44" t="s">
        <v>519</v>
      </c>
      <c r="L2553" s="44" t="s">
        <v>520</v>
      </c>
      <c r="M2553" s="44" t="s">
        <v>514</v>
      </c>
      <c r="N2553" s="44" t="s">
        <v>515</v>
      </c>
      <c r="O2553" s="45" t="s">
        <v>382</v>
      </c>
      <c r="P2553" s="45" t="s">
        <v>3760</v>
      </c>
      <c r="Q2553" s="59" t="str">
        <f>MID(Tabla1[[#This Row],[Aplicación]],14,1)</f>
        <v>2</v>
      </c>
      <c r="R2553" s="35" t="s">
        <v>298</v>
      </c>
      <c r="S2553" s="59" t="str">
        <f>MID(Tabla1[[#This Row],[Aplicación]],6,2)</f>
        <v>11</v>
      </c>
      <c r="T2553" s="35" t="str">
        <f>VLOOKUP(Tabla1[[#This Row],[AREA]],Hoja1!A:B,2,FALSE)</f>
        <v>11. Salud pública y seguridad ciudadana</v>
      </c>
      <c r="U2553" s="56" t="str">
        <f>MID(Tabla1[[#This Row],[Aplicación]],9,4)</f>
        <v>1621</v>
      </c>
      <c r="V2553" s="35" t="str">
        <f>VLOOKUP(Tabla1[[#This Row],[PROGRAMA]],Hoja1!A:B,2,FALSE)</f>
        <v>1621. Servicio de limpieza</v>
      </c>
      <c r="W2553" s="56" t="str">
        <f>MID(Tabla1[[#This Row],[Aplicación]],14,2)</f>
        <v>21</v>
      </c>
      <c r="X2553" s="56" t="str">
        <f>MID(Tabla1[[#This Row],[Aplicación]],14,6)</f>
        <v>214</v>
      </c>
    </row>
    <row r="2554" spans="1:24" x14ac:dyDescent="0.25">
      <c r="A2554" s="62">
        <v>220230026622</v>
      </c>
      <c r="B2554" s="44" t="s">
        <v>1514</v>
      </c>
      <c r="C2554" s="64">
        <v>45077</v>
      </c>
      <c r="D2554" s="62">
        <v>22023001459</v>
      </c>
      <c r="E2554" s="44" t="s">
        <v>1290</v>
      </c>
      <c r="F2554" s="65">
        <v>539.54</v>
      </c>
      <c r="G2554" s="44" t="s">
        <v>1983</v>
      </c>
      <c r="H2554" s="44" t="s">
        <v>4169</v>
      </c>
      <c r="I2554" s="62" t="s">
        <v>1517</v>
      </c>
      <c r="J2554" s="44" t="s">
        <v>519</v>
      </c>
      <c r="K2554" s="44" t="s">
        <v>519</v>
      </c>
      <c r="L2554" s="44" t="s">
        <v>520</v>
      </c>
      <c r="M2554" s="44" t="s">
        <v>514</v>
      </c>
      <c r="N2554" s="44" t="s">
        <v>515</v>
      </c>
      <c r="O2554" s="45" t="s">
        <v>382</v>
      </c>
      <c r="P2554" s="45" t="s">
        <v>3760</v>
      </c>
      <c r="Q2554" s="59" t="str">
        <f>MID(Tabla1[[#This Row],[Aplicación]],14,1)</f>
        <v>2</v>
      </c>
      <c r="R2554" s="35" t="s">
        <v>298</v>
      </c>
      <c r="S2554" s="59" t="str">
        <f>MID(Tabla1[[#This Row],[Aplicación]],6,2)</f>
        <v>11</v>
      </c>
      <c r="T2554" s="35" t="str">
        <f>VLOOKUP(Tabla1[[#This Row],[AREA]],Hoja1!A:B,2,FALSE)</f>
        <v>11. Salud pública y seguridad ciudadana</v>
      </c>
      <c r="U2554" s="56" t="str">
        <f>MID(Tabla1[[#This Row],[Aplicación]],9,4)</f>
        <v>1621</v>
      </c>
      <c r="V2554" s="35" t="str">
        <f>VLOOKUP(Tabla1[[#This Row],[PROGRAMA]],Hoja1!A:B,2,FALSE)</f>
        <v>1621. Servicio de limpieza</v>
      </c>
      <c r="W2554" s="56" t="str">
        <f>MID(Tabla1[[#This Row],[Aplicación]],14,2)</f>
        <v>21</v>
      </c>
      <c r="X2554" s="56" t="str">
        <f>MID(Tabla1[[#This Row],[Aplicación]],14,6)</f>
        <v>214</v>
      </c>
    </row>
    <row r="2555" spans="1:24" x14ac:dyDescent="0.25">
      <c r="A2555" s="62">
        <v>220230026626</v>
      </c>
      <c r="B2555" s="44" t="s">
        <v>1514</v>
      </c>
      <c r="C2555" s="64">
        <v>45077</v>
      </c>
      <c r="D2555" s="62">
        <v>22023001459</v>
      </c>
      <c r="E2555" s="44" t="s">
        <v>1290</v>
      </c>
      <c r="F2555" s="65">
        <v>2635.69</v>
      </c>
      <c r="G2555" s="44" t="s">
        <v>1983</v>
      </c>
      <c r="H2555" s="44" t="s">
        <v>4170</v>
      </c>
      <c r="I2555" s="62" t="s">
        <v>1517</v>
      </c>
      <c r="J2555" s="44" t="s">
        <v>519</v>
      </c>
      <c r="K2555" s="44" t="s">
        <v>519</v>
      </c>
      <c r="L2555" s="44" t="s">
        <v>520</v>
      </c>
      <c r="M2555" s="44" t="s">
        <v>514</v>
      </c>
      <c r="N2555" s="44" t="s">
        <v>515</v>
      </c>
      <c r="O2555" s="45" t="s">
        <v>382</v>
      </c>
      <c r="P2555" s="45" t="s">
        <v>3760</v>
      </c>
      <c r="Q2555" s="59" t="str">
        <f>MID(Tabla1[[#This Row],[Aplicación]],14,1)</f>
        <v>2</v>
      </c>
      <c r="R2555" s="35" t="s">
        <v>298</v>
      </c>
      <c r="S2555" s="59" t="str">
        <f>MID(Tabla1[[#This Row],[Aplicación]],6,2)</f>
        <v>11</v>
      </c>
      <c r="T2555" s="35" t="str">
        <f>VLOOKUP(Tabla1[[#This Row],[AREA]],Hoja1!A:B,2,FALSE)</f>
        <v>11. Salud pública y seguridad ciudadana</v>
      </c>
      <c r="U2555" s="56" t="str">
        <f>MID(Tabla1[[#This Row],[Aplicación]],9,4)</f>
        <v>1621</v>
      </c>
      <c r="V2555" s="35" t="str">
        <f>VLOOKUP(Tabla1[[#This Row],[PROGRAMA]],Hoja1!A:B,2,FALSE)</f>
        <v>1621. Servicio de limpieza</v>
      </c>
      <c r="W2555" s="56" t="str">
        <f>MID(Tabla1[[#This Row],[Aplicación]],14,2)</f>
        <v>21</v>
      </c>
      <c r="X2555" s="56" t="str">
        <f>MID(Tabla1[[#This Row],[Aplicación]],14,6)</f>
        <v>214</v>
      </c>
    </row>
    <row r="2556" spans="1:24" x14ac:dyDescent="0.25">
      <c r="A2556" s="62">
        <v>220230014554</v>
      </c>
      <c r="B2556" s="44" t="s">
        <v>1514</v>
      </c>
      <c r="C2556" s="64">
        <v>45040</v>
      </c>
      <c r="D2556" s="62">
        <v>22023001459</v>
      </c>
      <c r="E2556" s="44" t="s">
        <v>1290</v>
      </c>
      <c r="F2556" s="65">
        <v>8.59</v>
      </c>
      <c r="G2556" s="44" t="s">
        <v>4171</v>
      </c>
      <c r="H2556" s="44" t="s">
        <v>4172</v>
      </c>
      <c r="I2556" s="62" t="s">
        <v>1517</v>
      </c>
      <c r="J2556" s="44" t="s">
        <v>519</v>
      </c>
      <c r="K2556" s="44" t="s">
        <v>519</v>
      </c>
      <c r="L2556" s="44" t="s">
        <v>520</v>
      </c>
      <c r="M2556" s="44" t="s">
        <v>514</v>
      </c>
      <c r="N2556" s="44" t="s">
        <v>515</v>
      </c>
      <c r="O2556" s="45" t="s">
        <v>382</v>
      </c>
      <c r="P2556" s="45" t="s">
        <v>3760</v>
      </c>
      <c r="Q2556" s="59" t="str">
        <f>MID(Tabla1[[#This Row],[Aplicación]],14,1)</f>
        <v>2</v>
      </c>
      <c r="R2556" s="35" t="s">
        <v>298</v>
      </c>
      <c r="S2556" s="59" t="str">
        <f>MID(Tabla1[[#This Row],[Aplicación]],6,2)</f>
        <v>11</v>
      </c>
      <c r="T2556" s="35" t="str">
        <f>VLOOKUP(Tabla1[[#This Row],[AREA]],Hoja1!A:B,2,FALSE)</f>
        <v>11. Salud pública y seguridad ciudadana</v>
      </c>
      <c r="U2556" s="56" t="str">
        <f>MID(Tabla1[[#This Row],[Aplicación]],9,4)</f>
        <v>1621</v>
      </c>
      <c r="V2556" s="35" t="str">
        <f>VLOOKUP(Tabla1[[#This Row],[PROGRAMA]],Hoja1!A:B,2,FALSE)</f>
        <v>1621. Servicio de limpieza</v>
      </c>
      <c r="W2556" s="56" t="str">
        <f>MID(Tabla1[[#This Row],[Aplicación]],14,2)</f>
        <v>21</v>
      </c>
      <c r="X2556" s="56" t="str">
        <f>MID(Tabla1[[#This Row],[Aplicación]],14,6)</f>
        <v>214</v>
      </c>
    </row>
    <row r="2557" spans="1:24" x14ac:dyDescent="0.25">
      <c r="A2557" s="62">
        <v>220230014556</v>
      </c>
      <c r="B2557" s="44" t="s">
        <v>1514</v>
      </c>
      <c r="C2557" s="64">
        <v>45040</v>
      </c>
      <c r="D2557" s="62">
        <v>22023001459</v>
      </c>
      <c r="E2557" s="44" t="s">
        <v>1290</v>
      </c>
      <c r="F2557" s="65">
        <v>1385.66</v>
      </c>
      <c r="G2557" s="44" t="s">
        <v>4171</v>
      </c>
      <c r="H2557" s="44" t="s">
        <v>4173</v>
      </c>
      <c r="I2557" s="62" t="s">
        <v>1517</v>
      </c>
      <c r="J2557" s="44" t="s">
        <v>519</v>
      </c>
      <c r="K2557" s="44" t="s">
        <v>519</v>
      </c>
      <c r="L2557" s="44" t="s">
        <v>520</v>
      </c>
      <c r="M2557" s="44" t="s">
        <v>514</v>
      </c>
      <c r="N2557" s="44" t="s">
        <v>515</v>
      </c>
      <c r="O2557" s="45" t="s">
        <v>382</v>
      </c>
      <c r="P2557" s="45" t="s">
        <v>3760</v>
      </c>
      <c r="Q2557" s="59" t="str">
        <f>MID(Tabla1[[#This Row],[Aplicación]],14,1)</f>
        <v>2</v>
      </c>
      <c r="R2557" s="35" t="s">
        <v>298</v>
      </c>
      <c r="S2557" s="59" t="str">
        <f>MID(Tabla1[[#This Row],[Aplicación]],6,2)</f>
        <v>11</v>
      </c>
      <c r="T2557" s="35" t="str">
        <f>VLOOKUP(Tabla1[[#This Row],[AREA]],Hoja1!A:B,2,FALSE)</f>
        <v>11. Salud pública y seguridad ciudadana</v>
      </c>
      <c r="U2557" s="56" t="str">
        <f>MID(Tabla1[[#This Row],[Aplicación]],9,4)</f>
        <v>1621</v>
      </c>
      <c r="V2557" s="35" t="str">
        <f>VLOOKUP(Tabla1[[#This Row],[PROGRAMA]],Hoja1!A:B,2,FALSE)</f>
        <v>1621. Servicio de limpieza</v>
      </c>
      <c r="W2557" s="56" t="str">
        <f>MID(Tabla1[[#This Row],[Aplicación]],14,2)</f>
        <v>21</v>
      </c>
      <c r="X2557" s="56" t="str">
        <f>MID(Tabla1[[#This Row],[Aplicación]],14,6)</f>
        <v>214</v>
      </c>
    </row>
    <row r="2558" spans="1:24" x14ac:dyDescent="0.25">
      <c r="A2558" s="62">
        <v>220230013488</v>
      </c>
      <c r="B2558" s="44" t="s">
        <v>1514</v>
      </c>
      <c r="C2558" s="64">
        <v>45021</v>
      </c>
      <c r="D2558" s="62">
        <v>22023001956</v>
      </c>
      <c r="E2558" s="44" t="s">
        <v>1982</v>
      </c>
      <c r="F2558" s="65">
        <v>108.33</v>
      </c>
      <c r="G2558" s="44" t="s">
        <v>1985</v>
      </c>
      <c r="H2558" s="44" t="s">
        <v>4174</v>
      </c>
      <c r="I2558" s="62" t="s">
        <v>1517</v>
      </c>
      <c r="J2558" s="44" t="s">
        <v>519</v>
      </c>
      <c r="K2558" s="44" t="s">
        <v>519</v>
      </c>
      <c r="L2558" s="44" t="s">
        <v>520</v>
      </c>
      <c r="M2558" s="44" t="s">
        <v>514</v>
      </c>
      <c r="N2558" s="44" t="s">
        <v>515</v>
      </c>
      <c r="O2558" s="45" t="s">
        <v>382</v>
      </c>
      <c r="P2558" s="45" t="s">
        <v>3760</v>
      </c>
      <c r="Q2558" s="59" t="str">
        <f>MID(Tabla1[[#This Row],[Aplicación]],14,1)</f>
        <v>2</v>
      </c>
      <c r="R2558" s="35" t="s">
        <v>298</v>
      </c>
      <c r="S2558" s="59" t="str">
        <f>MID(Tabla1[[#This Row],[Aplicación]],6,2)</f>
        <v>07</v>
      </c>
      <c r="T2558" s="35" t="str">
        <f>VLOOKUP(Tabla1[[#This Row],[AREA]],Hoja1!A:B,2,FALSE)</f>
        <v>07. Medio ambiente y desarrollo sostenible</v>
      </c>
      <c r="U2558" s="56" t="str">
        <f>MID(Tabla1[[#This Row],[Aplicación]],9,4)</f>
        <v>1711</v>
      </c>
      <c r="V2558" s="35" t="str">
        <f>VLOOKUP(Tabla1[[#This Row],[PROGRAMA]],Hoja1!A:B,2,FALSE)</f>
        <v>1711. Parques y jardines</v>
      </c>
      <c r="W2558" s="56" t="str">
        <f>MID(Tabla1[[#This Row],[Aplicación]],14,2)</f>
        <v>21</v>
      </c>
      <c r="X2558" s="56" t="str">
        <f>MID(Tabla1[[#This Row],[Aplicación]],14,6)</f>
        <v>214</v>
      </c>
    </row>
    <row r="2559" spans="1:24" x14ac:dyDescent="0.25">
      <c r="A2559" s="62">
        <v>220230013490</v>
      </c>
      <c r="B2559" s="44" t="s">
        <v>1514</v>
      </c>
      <c r="C2559" s="64">
        <v>45021</v>
      </c>
      <c r="D2559" s="62">
        <v>22023001956</v>
      </c>
      <c r="E2559" s="44" t="s">
        <v>1982</v>
      </c>
      <c r="F2559" s="65">
        <v>183.11</v>
      </c>
      <c r="G2559" s="44" t="s">
        <v>1985</v>
      </c>
      <c r="H2559" s="44" t="s">
        <v>4175</v>
      </c>
      <c r="I2559" s="62" t="s">
        <v>1517</v>
      </c>
      <c r="J2559" s="44" t="s">
        <v>519</v>
      </c>
      <c r="K2559" s="44" t="s">
        <v>519</v>
      </c>
      <c r="L2559" s="44" t="s">
        <v>520</v>
      </c>
      <c r="M2559" s="44" t="s">
        <v>514</v>
      </c>
      <c r="N2559" s="44" t="s">
        <v>515</v>
      </c>
      <c r="O2559" s="45" t="s">
        <v>382</v>
      </c>
      <c r="P2559" s="45" t="s">
        <v>3760</v>
      </c>
      <c r="Q2559" s="59" t="str">
        <f>MID(Tabla1[[#This Row],[Aplicación]],14,1)</f>
        <v>2</v>
      </c>
      <c r="R2559" s="35" t="s">
        <v>298</v>
      </c>
      <c r="S2559" s="59" t="str">
        <f>MID(Tabla1[[#This Row],[Aplicación]],6,2)</f>
        <v>07</v>
      </c>
      <c r="T2559" s="35" t="str">
        <f>VLOOKUP(Tabla1[[#This Row],[AREA]],Hoja1!A:B,2,FALSE)</f>
        <v>07. Medio ambiente y desarrollo sostenible</v>
      </c>
      <c r="U2559" s="56" t="str">
        <f>MID(Tabla1[[#This Row],[Aplicación]],9,4)</f>
        <v>1711</v>
      </c>
      <c r="V2559" s="35" t="str">
        <f>VLOOKUP(Tabla1[[#This Row],[PROGRAMA]],Hoja1!A:B,2,FALSE)</f>
        <v>1711. Parques y jardines</v>
      </c>
      <c r="W2559" s="56" t="str">
        <f>MID(Tabla1[[#This Row],[Aplicación]],14,2)</f>
        <v>21</v>
      </c>
      <c r="X2559" s="56" t="str">
        <f>MID(Tabla1[[#This Row],[Aplicación]],14,6)</f>
        <v>214</v>
      </c>
    </row>
    <row r="2560" spans="1:24" x14ac:dyDescent="0.25">
      <c r="A2560" s="62">
        <v>220230016079</v>
      </c>
      <c r="B2560" s="44" t="s">
        <v>1514</v>
      </c>
      <c r="C2560" s="64">
        <v>45043</v>
      </c>
      <c r="D2560" s="62">
        <v>22023001462</v>
      </c>
      <c r="E2560" s="44" t="s">
        <v>1290</v>
      </c>
      <c r="F2560" s="65">
        <v>4642.99</v>
      </c>
      <c r="G2560" s="44" t="s">
        <v>2636</v>
      </c>
      <c r="H2560" s="44" t="s">
        <v>4176</v>
      </c>
      <c r="I2560" s="62" t="s">
        <v>1517</v>
      </c>
      <c r="J2560" s="44" t="s">
        <v>519</v>
      </c>
      <c r="K2560" s="44" t="s">
        <v>519</v>
      </c>
      <c r="L2560" s="44" t="s">
        <v>552</v>
      </c>
      <c r="M2560" s="44" t="s">
        <v>514</v>
      </c>
      <c r="N2560" s="44" t="s">
        <v>515</v>
      </c>
      <c r="O2560" s="45" t="s">
        <v>382</v>
      </c>
      <c r="P2560" s="45" t="s">
        <v>3760</v>
      </c>
      <c r="Q2560" s="59" t="str">
        <f>MID(Tabla1[[#This Row],[Aplicación]],14,1)</f>
        <v>2</v>
      </c>
      <c r="R2560" s="35" t="s">
        <v>298</v>
      </c>
      <c r="S2560" s="59" t="str">
        <f>MID(Tabla1[[#This Row],[Aplicación]],6,2)</f>
        <v>11</v>
      </c>
      <c r="T2560" s="35" t="str">
        <f>VLOOKUP(Tabla1[[#This Row],[AREA]],Hoja1!A:B,2,FALSE)</f>
        <v>11. Salud pública y seguridad ciudadana</v>
      </c>
      <c r="U2560" s="56" t="str">
        <f>MID(Tabla1[[#This Row],[Aplicación]],9,4)</f>
        <v>1621</v>
      </c>
      <c r="V2560" s="35" t="str">
        <f>VLOOKUP(Tabla1[[#This Row],[PROGRAMA]],Hoja1!A:B,2,FALSE)</f>
        <v>1621. Servicio de limpieza</v>
      </c>
      <c r="W2560" s="56" t="str">
        <f>MID(Tabla1[[#This Row],[Aplicación]],14,2)</f>
        <v>21</v>
      </c>
      <c r="X2560" s="56" t="str">
        <f>MID(Tabla1[[#This Row],[Aplicación]],14,6)</f>
        <v>214</v>
      </c>
    </row>
    <row r="2561" spans="1:24" x14ac:dyDescent="0.25">
      <c r="A2561" s="62">
        <v>220230014123</v>
      </c>
      <c r="B2561" s="44" t="s">
        <v>1514</v>
      </c>
      <c r="C2561" s="64">
        <v>45035</v>
      </c>
      <c r="D2561" s="62">
        <v>22023001956</v>
      </c>
      <c r="E2561" s="44" t="s">
        <v>1982</v>
      </c>
      <c r="F2561" s="65">
        <v>216.71</v>
      </c>
      <c r="G2561" s="44" t="s">
        <v>1985</v>
      </c>
      <c r="H2561" s="44" t="s">
        <v>4177</v>
      </c>
      <c r="I2561" s="62" t="s">
        <v>1517</v>
      </c>
      <c r="J2561" s="44" t="s">
        <v>519</v>
      </c>
      <c r="K2561" s="44" t="s">
        <v>519</v>
      </c>
      <c r="L2561" s="44" t="s">
        <v>520</v>
      </c>
      <c r="M2561" s="44" t="s">
        <v>514</v>
      </c>
      <c r="N2561" s="44" t="s">
        <v>515</v>
      </c>
      <c r="O2561" s="45" t="s">
        <v>382</v>
      </c>
      <c r="P2561" s="45" t="s">
        <v>3760</v>
      </c>
      <c r="Q2561" s="59" t="str">
        <f>MID(Tabla1[[#This Row],[Aplicación]],14,1)</f>
        <v>2</v>
      </c>
      <c r="R2561" s="35" t="s">
        <v>298</v>
      </c>
      <c r="S2561" s="59" t="str">
        <f>MID(Tabla1[[#This Row],[Aplicación]],6,2)</f>
        <v>07</v>
      </c>
      <c r="T2561" s="35" t="str">
        <f>VLOOKUP(Tabla1[[#This Row],[AREA]],Hoja1!A:B,2,FALSE)</f>
        <v>07. Medio ambiente y desarrollo sostenible</v>
      </c>
      <c r="U2561" s="56" t="str">
        <f>MID(Tabla1[[#This Row],[Aplicación]],9,4)</f>
        <v>1711</v>
      </c>
      <c r="V2561" s="35" t="str">
        <f>VLOOKUP(Tabla1[[#This Row],[PROGRAMA]],Hoja1!A:B,2,FALSE)</f>
        <v>1711. Parques y jardines</v>
      </c>
      <c r="W2561" s="56" t="str">
        <f>MID(Tabla1[[#This Row],[Aplicación]],14,2)</f>
        <v>21</v>
      </c>
      <c r="X2561" s="56" t="str">
        <f>MID(Tabla1[[#This Row],[Aplicación]],14,6)</f>
        <v>214</v>
      </c>
    </row>
    <row r="2562" spans="1:24" x14ac:dyDescent="0.25">
      <c r="A2562" s="62">
        <v>220230014544</v>
      </c>
      <c r="B2562" s="44" t="s">
        <v>1514</v>
      </c>
      <c r="C2562" s="64">
        <v>45040</v>
      </c>
      <c r="D2562" s="62">
        <v>22023001459</v>
      </c>
      <c r="E2562" s="44" t="s">
        <v>1290</v>
      </c>
      <c r="F2562" s="65">
        <v>1140.26</v>
      </c>
      <c r="G2562" s="44" t="s">
        <v>1985</v>
      </c>
      <c r="H2562" s="44" t="s">
        <v>4178</v>
      </c>
      <c r="I2562" s="62" t="s">
        <v>1517</v>
      </c>
      <c r="J2562" s="44" t="s">
        <v>519</v>
      </c>
      <c r="K2562" s="44" t="s">
        <v>519</v>
      </c>
      <c r="L2562" s="44" t="s">
        <v>520</v>
      </c>
      <c r="M2562" s="44" t="s">
        <v>514</v>
      </c>
      <c r="N2562" s="44" t="s">
        <v>515</v>
      </c>
      <c r="O2562" s="45" t="s">
        <v>382</v>
      </c>
      <c r="P2562" s="45" t="s">
        <v>3760</v>
      </c>
      <c r="Q2562" s="59" t="str">
        <f>MID(Tabla1[[#This Row],[Aplicación]],14,1)</f>
        <v>2</v>
      </c>
      <c r="R2562" s="35" t="s">
        <v>298</v>
      </c>
      <c r="S2562" s="59" t="str">
        <f>MID(Tabla1[[#This Row],[Aplicación]],6,2)</f>
        <v>11</v>
      </c>
      <c r="T2562" s="35" t="str">
        <f>VLOOKUP(Tabla1[[#This Row],[AREA]],Hoja1!A:B,2,FALSE)</f>
        <v>11. Salud pública y seguridad ciudadana</v>
      </c>
      <c r="U2562" s="56" t="str">
        <f>MID(Tabla1[[#This Row],[Aplicación]],9,4)</f>
        <v>1621</v>
      </c>
      <c r="V2562" s="35" t="str">
        <f>VLOOKUP(Tabla1[[#This Row],[PROGRAMA]],Hoja1!A:B,2,FALSE)</f>
        <v>1621. Servicio de limpieza</v>
      </c>
      <c r="W2562" s="56" t="str">
        <f>MID(Tabla1[[#This Row],[Aplicación]],14,2)</f>
        <v>21</v>
      </c>
      <c r="X2562" s="56" t="str">
        <f>MID(Tabla1[[#This Row],[Aplicación]],14,6)</f>
        <v>214</v>
      </c>
    </row>
    <row r="2563" spans="1:24" x14ac:dyDescent="0.25">
      <c r="A2563" s="62">
        <v>220230014546</v>
      </c>
      <c r="B2563" s="44" t="s">
        <v>1514</v>
      </c>
      <c r="C2563" s="64">
        <v>45040</v>
      </c>
      <c r="D2563" s="62">
        <v>22023001459</v>
      </c>
      <c r="E2563" s="44" t="s">
        <v>1290</v>
      </c>
      <c r="F2563" s="65">
        <v>3289.02</v>
      </c>
      <c r="G2563" s="44" t="s">
        <v>1985</v>
      </c>
      <c r="H2563" s="44" t="s">
        <v>4179</v>
      </c>
      <c r="I2563" s="62" t="s">
        <v>1517</v>
      </c>
      <c r="J2563" s="44" t="s">
        <v>519</v>
      </c>
      <c r="K2563" s="44" t="s">
        <v>519</v>
      </c>
      <c r="L2563" s="44" t="s">
        <v>520</v>
      </c>
      <c r="M2563" s="44" t="s">
        <v>514</v>
      </c>
      <c r="N2563" s="44" t="s">
        <v>515</v>
      </c>
      <c r="O2563" s="45" t="s">
        <v>382</v>
      </c>
      <c r="P2563" s="45" t="s">
        <v>3760</v>
      </c>
      <c r="Q2563" s="59" t="str">
        <f>MID(Tabla1[[#This Row],[Aplicación]],14,1)</f>
        <v>2</v>
      </c>
      <c r="R2563" s="35" t="s">
        <v>298</v>
      </c>
      <c r="S2563" s="59" t="str">
        <f>MID(Tabla1[[#This Row],[Aplicación]],6,2)</f>
        <v>11</v>
      </c>
      <c r="T2563" s="35" t="str">
        <f>VLOOKUP(Tabla1[[#This Row],[AREA]],Hoja1!A:B,2,FALSE)</f>
        <v>11. Salud pública y seguridad ciudadana</v>
      </c>
      <c r="U2563" s="56" t="str">
        <f>MID(Tabla1[[#This Row],[Aplicación]],9,4)</f>
        <v>1621</v>
      </c>
      <c r="V2563" s="35" t="str">
        <f>VLOOKUP(Tabla1[[#This Row],[PROGRAMA]],Hoja1!A:B,2,FALSE)</f>
        <v>1621. Servicio de limpieza</v>
      </c>
      <c r="W2563" s="56" t="str">
        <f>MID(Tabla1[[#This Row],[Aplicación]],14,2)</f>
        <v>21</v>
      </c>
      <c r="X2563" s="56" t="str">
        <f>MID(Tabla1[[#This Row],[Aplicación]],14,6)</f>
        <v>214</v>
      </c>
    </row>
    <row r="2564" spans="1:24" x14ac:dyDescent="0.25">
      <c r="A2564" s="62">
        <v>220230014548</v>
      </c>
      <c r="B2564" s="44" t="s">
        <v>1514</v>
      </c>
      <c r="C2564" s="64">
        <v>45040</v>
      </c>
      <c r="D2564" s="62">
        <v>22023001459</v>
      </c>
      <c r="E2564" s="44" t="s">
        <v>1290</v>
      </c>
      <c r="F2564" s="65">
        <v>1352.66</v>
      </c>
      <c r="G2564" s="44" t="s">
        <v>1985</v>
      </c>
      <c r="H2564" s="44" t="s">
        <v>4180</v>
      </c>
      <c r="I2564" s="62" t="s">
        <v>1517</v>
      </c>
      <c r="J2564" s="44" t="s">
        <v>519</v>
      </c>
      <c r="K2564" s="44" t="s">
        <v>519</v>
      </c>
      <c r="L2564" s="44" t="s">
        <v>520</v>
      </c>
      <c r="M2564" s="44" t="s">
        <v>514</v>
      </c>
      <c r="N2564" s="44" t="s">
        <v>515</v>
      </c>
      <c r="O2564" s="45" t="s">
        <v>382</v>
      </c>
      <c r="P2564" s="45" t="s">
        <v>3760</v>
      </c>
      <c r="Q2564" s="59" t="str">
        <f>MID(Tabla1[[#This Row],[Aplicación]],14,1)</f>
        <v>2</v>
      </c>
      <c r="R2564" s="35" t="s">
        <v>298</v>
      </c>
      <c r="S2564" s="59" t="str">
        <f>MID(Tabla1[[#This Row],[Aplicación]],6,2)</f>
        <v>11</v>
      </c>
      <c r="T2564" s="35" t="str">
        <f>VLOOKUP(Tabla1[[#This Row],[AREA]],Hoja1!A:B,2,FALSE)</f>
        <v>11. Salud pública y seguridad ciudadana</v>
      </c>
      <c r="U2564" s="56" t="str">
        <f>MID(Tabla1[[#This Row],[Aplicación]],9,4)</f>
        <v>1621</v>
      </c>
      <c r="V2564" s="35" t="str">
        <f>VLOOKUP(Tabla1[[#This Row],[PROGRAMA]],Hoja1!A:B,2,FALSE)</f>
        <v>1621. Servicio de limpieza</v>
      </c>
      <c r="W2564" s="56" t="str">
        <f>MID(Tabla1[[#This Row],[Aplicación]],14,2)</f>
        <v>21</v>
      </c>
      <c r="X2564" s="56" t="str">
        <f>MID(Tabla1[[#This Row],[Aplicación]],14,6)</f>
        <v>214</v>
      </c>
    </row>
    <row r="2565" spans="1:24" x14ac:dyDescent="0.25">
      <c r="A2565" s="62">
        <v>220230014550</v>
      </c>
      <c r="B2565" s="44" t="s">
        <v>1514</v>
      </c>
      <c r="C2565" s="64">
        <v>45040</v>
      </c>
      <c r="D2565" s="62">
        <v>22023001459</v>
      </c>
      <c r="E2565" s="44" t="s">
        <v>1290</v>
      </c>
      <c r="F2565" s="65">
        <v>1306.97</v>
      </c>
      <c r="G2565" s="44" t="s">
        <v>1985</v>
      </c>
      <c r="H2565" s="44" t="s">
        <v>4181</v>
      </c>
      <c r="I2565" s="62" t="s">
        <v>1517</v>
      </c>
      <c r="J2565" s="44" t="s">
        <v>519</v>
      </c>
      <c r="K2565" s="44" t="s">
        <v>519</v>
      </c>
      <c r="L2565" s="44" t="s">
        <v>520</v>
      </c>
      <c r="M2565" s="44" t="s">
        <v>514</v>
      </c>
      <c r="N2565" s="44" t="s">
        <v>515</v>
      </c>
      <c r="O2565" s="45" t="s">
        <v>382</v>
      </c>
      <c r="P2565" s="45" t="s">
        <v>3760</v>
      </c>
      <c r="Q2565" s="59" t="str">
        <f>MID(Tabla1[[#This Row],[Aplicación]],14,1)</f>
        <v>2</v>
      </c>
      <c r="R2565" s="35" t="s">
        <v>298</v>
      </c>
      <c r="S2565" s="59" t="str">
        <f>MID(Tabla1[[#This Row],[Aplicación]],6,2)</f>
        <v>11</v>
      </c>
      <c r="T2565" s="35" t="str">
        <f>VLOOKUP(Tabla1[[#This Row],[AREA]],Hoja1!A:B,2,FALSE)</f>
        <v>11. Salud pública y seguridad ciudadana</v>
      </c>
      <c r="U2565" s="56" t="str">
        <f>MID(Tabla1[[#This Row],[Aplicación]],9,4)</f>
        <v>1621</v>
      </c>
      <c r="V2565" s="35" t="str">
        <f>VLOOKUP(Tabla1[[#This Row],[PROGRAMA]],Hoja1!A:B,2,FALSE)</f>
        <v>1621. Servicio de limpieza</v>
      </c>
      <c r="W2565" s="56" t="str">
        <f>MID(Tabla1[[#This Row],[Aplicación]],14,2)</f>
        <v>21</v>
      </c>
      <c r="X2565" s="56" t="str">
        <f>MID(Tabla1[[#This Row],[Aplicación]],14,6)</f>
        <v>214</v>
      </c>
    </row>
    <row r="2566" spans="1:24" x14ac:dyDescent="0.25">
      <c r="A2566" s="62">
        <v>220230014552</v>
      </c>
      <c r="B2566" s="44" t="s">
        <v>1514</v>
      </c>
      <c r="C2566" s="64">
        <v>45040</v>
      </c>
      <c r="D2566" s="62">
        <v>22023001459</v>
      </c>
      <c r="E2566" s="44" t="s">
        <v>1290</v>
      </c>
      <c r="F2566" s="65">
        <v>6222.64</v>
      </c>
      <c r="G2566" s="44" t="s">
        <v>1985</v>
      </c>
      <c r="H2566" s="44" t="s">
        <v>4182</v>
      </c>
      <c r="I2566" s="62" t="s">
        <v>1517</v>
      </c>
      <c r="J2566" s="44" t="s">
        <v>519</v>
      </c>
      <c r="K2566" s="44" t="s">
        <v>519</v>
      </c>
      <c r="L2566" s="44" t="s">
        <v>520</v>
      </c>
      <c r="M2566" s="44" t="s">
        <v>514</v>
      </c>
      <c r="N2566" s="44" t="s">
        <v>515</v>
      </c>
      <c r="O2566" s="45" t="s">
        <v>382</v>
      </c>
      <c r="P2566" s="45" t="s">
        <v>3760</v>
      </c>
      <c r="Q2566" s="59" t="str">
        <f>MID(Tabla1[[#This Row],[Aplicación]],14,1)</f>
        <v>2</v>
      </c>
      <c r="R2566" s="35" t="s">
        <v>298</v>
      </c>
      <c r="S2566" s="59" t="str">
        <f>MID(Tabla1[[#This Row],[Aplicación]],6,2)</f>
        <v>11</v>
      </c>
      <c r="T2566" s="35" t="str">
        <f>VLOOKUP(Tabla1[[#This Row],[AREA]],Hoja1!A:B,2,FALSE)</f>
        <v>11. Salud pública y seguridad ciudadana</v>
      </c>
      <c r="U2566" s="56" t="str">
        <f>MID(Tabla1[[#This Row],[Aplicación]],9,4)</f>
        <v>1621</v>
      </c>
      <c r="V2566" s="35" t="str">
        <f>VLOOKUP(Tabla1[[#This Row],[PROGRAMA]],Hoja1!A:B,2,FALSE)</f>
        <v>1621. Servicio de limpieza</v>
      </c>
      <c r="W2566" s="56" t="str">
        <f>MID(Tabla1[[#This Row],[Aplicación]],14,2)</f>
        <v>21</v>
      </c>
      <c r="X2566" s="56" t="str">
        <f>MID(Tabla1[[#This Row],[Aplicación]],14,6)</f>
        <v>214</v>
      </c>
    </row>
    <row r="2567" spans="1:24" x14ac:dyDescent="0.25">
      <c r="A2567" s="62">
        <v>220230016030</v>
      </c>
      <c r="B2567" s="44" t="s">
        <v>1514</v>
      </c>
      <c r="C2567" s="64">
        <v>45043</v>
      </c>
      <c r="D2567" s="62">
        <v>22023000263</v>
      </c>
      <c r="E2567" s="44" t="s">
        <v>3146</v>
      </c>
      <c r="F2567" s="65">
        <v>495.93</v>
      </c>
      <c r="G2567" s="44" t="s">
        <v>1985</v>
      </c>
      <c r="H2567" s="44" t="s">
        <v>4183</v>
      </c>
      <c r="I2567" s="62" t="s">
        <v>1517</v>
      </c>
      <c r="J2567" s="44" t="s">
        <v>519</v>
      </c>
      <c r="K2567" s="44" t="s">
        <v>519</v>
      </c>
      <c r="L2567" s="44" t="s">
        <v>520</v>
      </c>
      <c r="M2567" s="44" t="s">
        <v>514</v>
      </c>
      <c r="N2567" s="44" t="s">
        <v>515</v>
      </c>
      <c r="O2567" s="45" t="s">
        <v>382</v>
      </c>
      <c r="P2567" s="45" t="s">
        <v>3760</v>
      </c>
      <c r="Q2567" s="59" t="str">
        <f>MID(Tabla1[[#This Row],[Aplicación]],14,1)</f>
        <v>2</v>
      </c>
      <c r="R2567" s="35" t="s">
        <v>298</v>
      </c>
      <c r="S2567" s="59" t="str">
        <f>MID(Tabla1[[#This Row],[Aplicación]],6,2)</f>
        <v>02</v>
      </c>
      <c r="T2567" s="35" t="str">
        <f>VLOOKUP(Tabla1[[#This Row],[AREA]],Hoja1!A:B,2,FALSE)</f>
        <v>02. Planeamiento urbanístico y vivienda</v>
      </c>
      <c r="U2567" s="56" t="str">
        <f>MID(Tabla1[[#This Row],[Aplicación]],9,4)</f>
        <v>9332</v>
      </c>
      <c r="V2567" s="35" t="str">
        <f>VLOOKUP(Tabla1[[#This Row],[PROGRAMA]],Hoja1!A:B,2,FALSE)</f>
        <v>9332. Mantenimiento de edificios e instalaciones municipales</v>
      </c>
      <c r="W2567" s="56" t="str">
        <f>MID(Tabla1[[#This Row],[Aplicación]],14,2)</f>
        <v>21</v>
      </c>
      <c r="X2567" s="56" t="str">
        <f>MID(Tabla1[[#This Row],[Aplicación]],14,6)</f>
        <v>214</v>
      </c>
    </row>
    <row r="2568" spans="1:24" x14ac:dyDescent="0.25">
      <c r="A2568" s="62">
        <v>220230016032</v>
      </c>
      <c r="B2568" s="44" t="s">
        <v>1514</v>
      </c>
      <c r="C2568" s="64">
        <v>45043</v>
      </c>
      <c r="D2568" s="62">
        <v>22023000263</v>
      </c>
      <c r="E2568" s="44" t="s">
        <v>3146</v>
      </c>
      <c r="F2568" s="65">
        <v>133.54</v>
      </c>
      <c r="G2568" s="44" t="s">
        <v>1985</v>
      </c>
      <c r="H2568" s="44" t="s">
        <v>4184</v>
      </c>
      <c r="I2568" s="62" t="s">
        <v>1517</v>
      </c>
      <c r="J2568" s="44" t="s">
        <v>519</v>
      </c>
      <c r="K2568" s="44" t="s">
        <v>519</v>
      </c>
      <c r="L2568" s="44" t="s">
        <v>520</v>
      </c>
      <c r="M2568" s="44" t="s">
        <v>514</v>
      </c>
      <c r="N2568" s="44" t="s">
        <v>515</v>
      </c>
      <c r="O2568" s="45" t="s">
        <v>382</v>
      </c>
      <c r="P2568" s="45" t="s">
        <v>3760</v>
      </c>
      <c r="Q2568" s="59" t="str">
        <f>MID(Tabla1[[#This Row],[Aplicación]],14,1)</f>
        <v>2</v>
      </c>
      <c r="R2568" s="35" t="s">
        <v>298</v>
      </c>
      <c r="S2568" s="59" t="str">
        <f>MID(Tabla1[[#This Row],[Aplicación]],6,2)</f>
        <v>02</v>
      </c>
      <c r="T2568" s="35" t="str">
        <f>VLOOKUP(Tabla1[[#This Row],[AREA]],Hoja1!A:B,2,FALSE)</f>
        <v>02. Planeamiento urbanístico y vivienda</v>
      </c>
      <c r="U2568" s="56" t="str">
        <f>MID(Tabla1[[#This Row],[Aplicación]],9,4)</f>
        <v>9332</v>
      </c>
      <c r="V2568" s="35" t="str">
        <f>VLOOKUP(Tabla1[[#This Row],[PROGRAMA]],Hoja1!A:B,2,FALSE)</f>
        <v>9332. Mantenimiento de edificios e instalaciones municipales</v>
      </c>
      <c r="W2568" s="56" t="str">
        <f>MID(Tabla1[[#This Row],[Aplicación]],14,2)</f>
        <v>21</v>
      </c>
      <c r="X2568" s="56" t="str">
        <f>MID(Tabla1[[#This Row],[Aplicación]],14,6)</f>
        <v>214</v>
      </c>
    </row>
    <row r="2569" spans="1:24" x14ac:dyDescent="0.25">
      <c r="A2569" s="62">
        <v>220230016064</v>
      </c>
      <c r="B2569" s="44" t="s">
        <v>1514</v>
      </c>
      <c r="C2569" s="64">
        <v>45043</v>
      </c>
      <c r="D2569" s="62">
        <v>22023000263</v>
      </c>
      <c r="E2569" s="44" t="s">
        <v>3146</v>
      </c>
      <c r="F2569" s="65">
        <v>152.85</v>
      </c>
      <c r="G2569" s="44" t="s">
        <v>1985</v>
      </c>
      <c r="H2569" s="44" t="s">
        <v>4185</v>
      </c>
      <c r="I2569" s="62" t="s">
        <v>1517</v>
      </c>
      <c r="J2569" s="44" t="s">
        <v>519</v>
      </c>
      <c r="K2569" s="44" t="s">
        <v>519</v>
      </c>
      <c r="L2569" s="44" t="s">
        <v>520</v>
      </c>
      <c r="M2569" s="44" t="s">
        <v>514</v>
      </c>
      <c r="N2569" s="44" t="s">
        <v>515</v>
      </c>
      <c r="O2569" s="45" t="s">
        <v>382</v>
      </c>
      <c r="P2569" s="45" t="s">
        <v>3760</v>
      </c>
      <c r="Q2569" s="59" t="str">
        <f>MID(Tabla1[[#This Row],[Aplicación]],14,1)</f>
        <v>2</v>
      </c>
      <c r="R2569" s="35" t="s">
        <v>298</v>
      </c>
      <c r="S2569" s="59" t="str">
        <f>MID(Tabla1[[#This Row],[Aplicación]],6,2)</f>
        <v>02</v>
      </c>
      <c r="T2569" s="35" t="str">
        <f>VLOOKUP(Tabla1[[#This Row],[AREA]],Hoja1!A:B,2,FALSE)</f>
        <v>02. Planeamiento urbanístico y vivienda</v>
      </c>
      <c r="U2569" s="56" t="str">
        <f>MID(Tabla1[[#This Row],[Aplicación]],9,4)</f>
        <v>9332</v>
      </c>
      <c r="V2569" s="35" t="str">
        <f>VLOOKUP(Tabla1[[#This Row],[PROGRAMA]],Hoja1!A:B,2,FALSE)</f>
        <v>9332. Mantenimiento de edificios e instalaciones municipales</v>
      </c>
      <c r="W2569" s="56" t="str">
        <f>MID(Tabla1[[#This Row],[Aplicación]],14,2)</f>
        <v>21</v>
      </c>
      <c r="X2569" s="56" t="str">
        <f>MID(Tabla1[[#This Row],[Aplicación]],14,6)</f>
        <v>214</v>
      </c>
    </row>
    <row r="2570" spans="1:24" x14ac:dyDescent="0.25">
      <c r="A2570" s="62">
        <v>220230016081</v>
      </c>
      <c r="B2570" s="44" t="s">
        <v>1514</v>
      </c>
      <c r="C2570" s="64">
        <v>45043</v>
      </c>
      <c r="D2570" s="62">
        <v>22023001459</v>
      </c>
      <c r="E2570" s="44" t="s">
        <v>1290</v>
      </c>
      <c r="F2570" s="65">
        <v>6156.37</v>
      </c>
      <c r="G2570" s="44" t="s">
        <v>1985</v>
      </c>
      <c r="H2570" s="44" t="s">
        <v>4186</v>
      </c>
      <c r="I2570" s="62" t="s">
        <v>1517</v>
      </c>
      <c r="J2570" s="44" t="s">
        <v>519</v>
      </c>
      <c r="K2570" s="44" t="s">
        <v>519</v>
      </c>
      <c r="L2570" s="44" t="s">
        <v>520</v>
      </c>
      <c r="M2570" s="44" t="s">
        <v>514</v>
      </c>
      <c r="N2570" s="44" t="s">
        <v>515</v>
      </c>
      <c r="O2570" s="45" t="s">
        <v>382</v>
      </c>
      <c r="P2570" s="45" t="s">
        <v>3760</v>
      </c>
      <c r="Q2570" s="59" t="str">
        <f>MID(Tabla1[[#This Row],[Aplicación]],14,1)</f>
        <v>2</v>
      </c>
      <c r="R2570" s="35" t="s">
        <v>298</v>
      </c>
      <c r="S2570" s="59" t="str">
        <f>MID(Tabla1[[#This Row],[Aplicación]],6,2)</f>
        <v>11</v>
      </c>
      <c r="T2570" s="35" t="str">
        <f>VLOOKUP(Tabla1[[#This Row],[AREA]],Hoja1!A:B,2,FALSE)</f>
        <v>11. Salud pública y seguridad ciudadana</v>
      </c>
      <c r="U2570" s="56" t="str">
        <f>MID(Tabla1[[#This Row],[Aplicación]],9,4)</f>
        <v>1621</v>
      </c>
      <c r="V2570" s="35" t="str">
        <f>VLOOKUP(Tabla1[[#This Row],[PROGRAMA]],Hoja1!A:B,2,FALSE)</f>
        <v>1621. Servicio de limpieza</v>
      </c>
      <c r="W2570" s="56" t="str">
        <f>MID(Tabla1[[#This Row],[Aplicación]],14,2)</f>
        <v>21</v>
      </c>
      <c r="X2570" s="56" t="str">
        <f>MID(Tabla1[[#This Row],[Aplicación]],14,6)</f>
        <v>214</v>
      </c>
    </row>
    <row r="2571" spans="1:24" x14ac:dyDescent="0.25">
      <c r="A2571" s="62">
        <v>220230016264</v>
      </c>
      <c r="B2571" s="44" t="s">
        <v>1514</v>
      </c>
      <c r="C2571" s="64">
        <v>45043</v>
      </c>
      <c r="D2571" s="62">
        <v>22023001608</v>
      </c>
      <c r="E2571" s="44" t="s">
        <v>1728</v>
      </c>
      <c r="F2571" s="65">
        <v>127.82</v>
      </c>
      <c r="G2571" s="44" t="s">
        <v>1985</v>
      </c>
      <c r="H2571" s="44" t="s">
        <v>4187</v>
      </c>
      <c r="I2571" s="62" t="s">
        <v>1517</v>
      </c>
      <c r="J2571" s="44" t="s">
        <v>519</v>
      </c>
      <c r="K2571" s="44" t="s">
        <v>519</v>
      </c>
      <c r="L2571" s="44" t="s">
        <v>520</v>
      </c>
      <c r="M2571" s="44" t="s">
        <v>514</v>
      </c>
      <c r="N2571" s="44" t="s">
        <v>515</v>
      </c>
      <c r="O2571" s="45" t="s">
        <v>382</v>
      </c>
      <c r="P2571" s="45" t="s">
        <v>3760</v>
      </c>
      <c r="Q2571" s="59" t="str">
        <f>MID(Tabla1[[#This Row],[Aplicación]],14,1)</f>
        <v>2</v>
      </c>
      <c r="R2571" s="35" t="s">
        <v>298</v>
      </c>
      <c r="S2571" s="59" t="str">
        <f>MID(Tabla1[[#This Row],[Aplicación]],6,2)</f>
        <v>08</v>
      </c>
      <c r="T2571" s="35" t="str">
        <f>VLOOKUP(Tabla1[[#This Row],[AREA]],Hoja1!A:B,2,FALSE)</f>
        <v>08. Movilidad y espacio urbano</v>
      </c>
      <c r="U2571" s="56" t="str">
        <f>MID(Tabla1[[#This Row],[Aplicación]],9,4)</f>
        <v>1532</v>
      </c>
      <c r="V2571" s="35" t="str">
        <f>VLOOKUP(Tabla1[[#This Row],[PROGRAMA]],Hoja1!A:B,2,FALSE)</f>
        <v>1532. Pavimentación vias públicas y otros servicios urbanísticos</v>
      </c>
      <c r="W2571" s="56" t="str">
        <f>MID(Tabla1[[#This Row],[Aplicación]],14,2)</f>
        <v>21</v>
      </c>
      <c r="X2571" s="56" t="str">
        <f>MID(Tabla1[[#This Row],[Aplicación]],14,6)</f>
        <v>214</v>
      </c>
    </row>
    <row r="2572" spans="1:24" x14ac:dyDescent="0.25">
      <c r="A2572" s="62">
        <v>220230016267</v>
      </c>
      <c r="B2572" s="44" t="s">
        <v>1514</v>
      </c>
      <c r="C2572" s="64">
        <v>45043</v>
      </c>
      <c r="D2572" s="62">
        <v>22023001608</v>
      </c>
      <c r="E2572" s="44" t="s">
        <v>1728</v>
      </c>
      <c r="F2572" s="65">
        <v>94.68</v>
      </c>
      <c r="G2572" s="44" t="s">
        <v>1985</v>
      </c>
      <c r="H2572" s="44" t="s">
        <v>4188</v>
      </c>
      <c r="I2572" s="62" t="s">
        <v>1517</v>
      </c>
      <c r="J2572" s="44" t="s">
        <v>519</v>
      </c>
      <c r="K2572" s="44" t="s">
        <v>519</v>
      </c>
      <c r="L2572" s="44" t="s">
        <v>520</v>
      </c>
      <c r="M2572" s="44" t="s">
        <v>514</v>
      </c>
      <c r="N2572" s="44" t="s">
        <v>515</v>
      </c>
      <c r="O2572" s="45" t="s">
        <v>382</v>
      </c>
      <c r="P2572" s="45" t="s">
        <v>3760</v>
      </c>
      <c r="Q2572" s="59" t="str">
        <f>MID(Tabla1[[#This Row],[Aplicación]],14,1)</f>
        <v>2</v>
      </c>
      <c r="R2572" s="35" t="s">
        <v>298</v>
      </c>
      <c r="S2572" s="59" t="str">
        <f>MID(Tabla1[[#This Row],[Aplicación]],6,2)</f>
        <v>08</v>
      </c>
      <c r="T2572" s="35" t="str">
        <f>VLOOKUP(Tabla1[[#This Row],[AREA]],Hoja1!A:B,2,FALSE)</f>
        <v>08. Movilidad y espacio urbano</v>
      </c>
      <c r="U2572" s="56" t="str">
        <f>MID(Tabla1[[#This Row],[Aplicación]],9,4)</f>
        <v>1532</v>
      </c>
      <c r="V2572" s="35" t="str">
        <f>VLOOKUP(Tabla1[[#This Row],[PROGRAMA]],Hoja1!A:B,2,FALSE)</f>
        <v>1532. Pavimentación vias públicas y otros servicios urbanísticos</v>
      </c>
      <c r="W2572" s="56" t="str">
        <f>MID(Tabla1[[#This Row],[Aplicación]],14,2)</f>
        <v>21</v>
      </c>
      <c r="X2572" s="56" t="str">
        <f>MID(Tabla1[[#This Row],[Aplicación]],14,6)</f>
        <v>214</v>
      </c>
    </row>
    <row r="2573" spans="1:24" x14ac:dyDescent="0.25">
      <c r="A2573" s="62">
        <v>220230016360</v>
      </c>
      <c r="B2573" s="44" t="s">
        <v>1514</v>
      </c>
      <c r="C2573" s="64">
        <v>45043</v>
      </c>
      <c r="D2573" s="62">
        <v>22023001956</v>
      </c>
      <c r="E2573" s="44" t="s">
        <v>1982</v>
      </c>
      <c r="F2573" s="65">
        <v>523.63</v>
      </c>
      <c r="G2573" s="44" t="s">
        <v>1985</v>
      </c>
      <c r="H2573" s="44" t="s">
        <v>4189</v>
      </c>
      <c r="I2573" s="62" t="s">
        <v>1517</v>
      </c>
      <c r="J2573" s="44" t="s">
        <v>519</v>
      </c>
      <c r="K2573" s="44" t="s">
        <v>519</v>
      </c>
      <c r="L2573" s="44" t="s">
        <v>520</v>
      </c>
      <c r="M2573" s="44" t="s">
        <v>514</v>
      </c>
      <c r="N2573" s="44" t="s">
        <v>515</v>
      </c>
      <c r="O2573" s="45" t="s">
        <v>382</v>
      </c>
      <c r="P2573" s="45" t="s">
        <v>3760</v>
      </c>
      <c r="Q2573" s="59" t="str">
        <f>MID(Tabla1[[#This Row],[Aplicación]],14,1)</f>
        <v>2</v>
      </c>
      <c r="R2573" s="35" t="s">
        <v>298</v>
      </c>
      <c r="S2573" s="59" t="str">
        <f>MID(Tabla1[[#This Row],[Aplicación]],6,2)</f>
        <v>07</v>
      </c>
      <c r="T2573" s="35" t="str">
        <f>VLOOKUP(Tabla1[[#This Row],[AREA]],Hoja1!A:B,2,FALSE)</f>
        <v>07. Medio ambiente y desarrollo sostenible</v>
      </c>
      <c r="U2573" s="56" t="str">
        <f>MID(Tabla1[[#This Row],[Aplicación]],9,4)</f>
        <v>1711</v>
      </c>
      <c r="V2573" s="35" t="str">
        <f>VLOOKUP(Tabla1[[#This Row],[PROGRAMA]],Hoja1!A:B,2,FALSE)</f>
        <v>1711. Parques y jardines</v>
      </c>
      <c r="W2573" s="56" t="str">
        <f>MID(Tabla1[[#This Row],[Aplicación]],14,2)</f>
        <v>21</v>
      </c>
      <c r="X2573" s="56" t="str">
        <f>MID(Tabla1[[#This Row],[Aplicación]],14,6)</f>
        <v>214</v>
      </c>
    </row>
    <row r="2574" spans="1:24" x14ac:dyDescent="0.25">
      <c r="A2574" s="62">
        <v>220230018655</v>
      </c>
      <c r="B2574" s="44" t="s">
        <v>1514</v>
      </c>
      <c r="C2574" s="64">
        <v>45055</v>
      </c>
      <c r="D2574" s="62">
        <v>22023001956</v>
      </c>
      <c r="E2574" s="44" t="s">
        <v>1982</v>
      </c>
      <c r="F2574" s="65">
        <v>666.71</v>
      </c>
      <c r="G2574" s="44" t="s">
        <v>1985</v>
      </c>
      <c r="H2574" s="44" t="s">
        <v>4190</v>
      </c>
      <c r="I2574" s="62" t="s">
        <v>1517</v>
      </c>
      <c r="J2574" s="44" t="s">
        <v>519</v>
      </c>
      <c r="K2574" s="44" t="s">
        <v>519</v>
      </c>
      <c r="L2574" s="44" t="s">
        <v>520</v>
      </c>
      <c r="M2574" s="44" t="s">
        <v>514</v>
      </c>
      <c r="N2574" s="44" t="s">
        <v>515</v>
      </c>
      <c r="O2574" s="45" t="s">
        <v>382</v>
      </c>
      <c r="P2574" s="45" t="s">
        <v>3760</v>
      </c>
      <c r="Q2574" s="59" t="str">
        <f>MID(Tabla1[[#This Row],[Aplicación]],14,1)</f>
        <v>2</v>
      </c>
      <c r="R2574" s="35" t="s">
        <v>298</v>
      </c>
      <c r="S2574" s="59" t="str">
        <f>MID(Tabla1[[#This Row],[Aplicación]],6,2)</f>
        <v>07</v>
      </c>
      <c r="T2574" s="35" t="str">
        <f>VLOOKUP(Tabla1[[#This Row],[AREA]],Hoja1!A:B,2,FALSE)</f>
        <v>07. Medio ambiente y desarrollo sostenible</v>
      </c>
      <c r="U2574" s="56" t="str">
        <f>MID(Tabla1[[#This Row],[Aplicación]],9,4)</f>
        <v>1711</v>
      </c>
      <c r="V2574" s="35" t="str">
        <f>VLOOKUP(Tabla1[[#This Row],[PROGRAMA]],Hoja1!A:B,2,FALSE)</f>
        <v>1711. Parques y jardines</v>
      </c>
      <c r="W2574" s="56" t="str">
        <f>MID(Tabla1[[#This Row],[Aplicación]],14,2)</f>
        <v>21</v>
      </c>
      <c r="X2574" s="56" t="str">
        <f>MID(Tabla1[[#This Row],[Aplicación]],14,6)</f>
        <v>214</v>
      </c>
    </row>
    <row r="2575" spans="1:24" x14ac:dyDescent="0.25">
      <c r="A2575" s="62">
        <v>220230018947</v>
      </c>
      <c r="B2575" s="44" t="s">
        <v>1514</v>
      </c>
      <c r="C2575" s="64">
        <v>45056</v>
      </c>
      <c r="D2575" s="62">
        <v>22023001608</v>
      </c>
      <c r="E2575" s="44" t="s">
        <v>1728</v>
      </c>
      <c r="F2575" s="65">
        <v>237.17</v>
      </c>
      <c r="G2575" s="44" t="s">
        <v>1985</v>
      </c>
      <c r="H2575" s="44" t="s">
        <v>4191</v>
      </c>
      <c r="I2575" s="62" t="s">
        <v>1517</v>
      </c>
      <c r="J2575" s="44" t="s">
        <v>519</v>
      </c>
      <c r="K2575" s="44" t="s">
        <v>519</v>
      </c>
      <c r="L2575" s="44" t="s">
        <v>520</v>
      </c>
      <c r="M2575" s="44" t="s">
        <v>514</v>
      </c>
      <c r="N2575" s="44" t="s">
        <v>515</v>
      </c>
      <c r="O2575" s="45" t="s">
        <v>382</v>
      </c>
      <c r="P2575" s="45" t="s">
        <v>3760</v>
      </c>
      <c r="Q2575" s="59" t="str">
        <f>MID(Tabla1[[#This Row],[Aplicación]],14,1)</f>
        <v>2</v>
      </c>
      <c r="R2575" s="35" t="s">
        <v>298</v>
      </c>
      <c r="S2575" s="59" t="str">
        <f>MID(Tabla1[[#This Row],[Aplicación]],6,2)</f>
        <v>08</v>
      </c>
      <c r="T2575" s="35" t="str">
        <f>VLOOKUP(Tabla1[[#This Row],[AREA]],Hoja1!A:B,2,FALSE)</f>
        <v>08. Movilidad y espacio urbano</v>
      </c>
      <c r="U2575" s="56" t="str">
        <f>MID(Tabla1[[#This Row],[Aplicación]],9,4)</f>
        <v>1532</v>
      </c>
      <c r="V2575" s="35" t="str">
        <f>VLOOKUP(Tabla1[[#This Row],[PROGRAMA]],Hoja1!A:B,2,FALSE)</f>
        <v>1532. Pavimentación vias públicas y otros servicios urbanísticos</v>
      </c>
      <c r="W2575" s="56" t="str">
        <f>MID(Tabla1[[#This Row],[Aplicación]],14,2)</f>
        <v>21</v>
      </c>
      <c r="X2575" s="56" t="str">
        <f>MID(Tabla1[[#This Row],[Aplicación]],14,6)</f>
        <v>214</v>
      </c>
    </row>
    <row r="2576" spans="1:24" x14ac:dyDescent="0.25">
      <c r="A2576" s="62">
        <v>220230018890</v>
      </c>
      <c r="B2576" s="44" t="s">
        <v>1249</v>
      </c>
      <c r="C2576" s="64">
        <v>45056</v>
      </c>
      <c r="D2576" s="62">
        <v>22023003594</v>
      </c>
      <c r="E2576" s="44" t="s">
        <v>4192</v>
      </c>
      <c r="F2576" s="65">
        <v>1545.36</v>
      </c>
      <c r="G2576" s="44" t="s">
        <v>435</v>
      </c>
      <c r="H2576" s="44" t="s">
        <v>4193</v>
      </c>
      <c r="I2576" s="62" t="s">
        <v>1251</v>
      </c>
      <c r="J2576" s="44" t="s">
        <v>519</v>
      </c>
      <c r="K2576" s="44" t="s">
        <v>519</v>
      </c>
      <c r="L2576" s="44" t="s">
        <v>520</v>
      </c>
      <c r="M2576" s="44" t="s">
        <v>976</v>
      </c>
      <c r="N2576" s="44" t="s">
        <v>839</v>
      </c>
      <c r="O2576" s="45" t="s">
        <v>383</v>
      </c>
      <c r="P2576" s="45" t="s">
        <v>3760</v>
      </c>
      <c r="Q2576" s="59" t="str">
        <f>MID(Tabla1[[#This Row],[Aplicación]],14,1)</f>
        <v>2</v>
      </c>
      <c r="R2576" s="35" t="s">
        <v>298</v>
      </c>
      <c r="S2576" s="59" t="str">
        <f>MID(Tabla1[[#This Row],[Aplicación]],6,2)</f>
        <v>07</v>
      </c>
      <c r="T2576" s="35" t="str">
        <f>VLOOKUP(Tabla1[[#This Row],[AREA]],Hoja1!A:B,2,FALSE)</f>
        <v>07. Medio ambiente y desarrollo sostenible</v>
      </c>
      <c r="U2576" s="56" t="str">
        <f>MID(Tabla1[[#This Row],[Aplicación]],9,4)</f>
        <v>1711</v>
      </c>
      <c r="V2576" s="35" t="str">
        <f>VLOOKUP(Tabla1[[#This Row],[PROGRAMA]],Hoja1!A:B,2,FALSE)</f>
        <v>1711. Parques y jardines</v>
      </c>
      <c r="W2576" s="56" t="str">
        <f>MID(Tabla1[[#This Row],[Aplicación]],14,2)</f>
        <v>22</v>
      </c>
      <c r="X2576" s="56" t="str">
        <f>MID(Tabla1[[#This Row],[Aplicación]],14,6)</f>
        <v>22699</v>
      </c>
    </row>
    <row r="2577" spans="1:24" x14ac:dyDescent="0.25">
      <c r="A2577" s="62">
        <v>220230020094</v>
      </c>
      <c r="B2577" s="44" t="s">
        <v>1514</v>
      </c>
      <c r="C2577" s="64">
        <v>45057</v>
      </c>
      <c r="D2577" s="62">
        <v>22023000213</v>
      </c>
      <c r="E2577" s="44" t="s">
        <v>1694</v>
      </c>
      <c r="F2577" s="65">
        <v>3902.09</v>
      </c>
      <c r="G2577" s="44" t="s">
        <v>1985</v>
      </c>
      <c r="H2577" s="44" t="s">
        <v>4194</v>
      </c>
      <c r="I2577" s="62" t="s">
        <v>1517</v>
      </c>
      <c r="J2577" s="44" t="s">
        <v>519</v>
      </c>
      <c r="K2577" s="44" t="s">
        <v>519</v>
      </c>
      <c r="L2577" s="44" t="s">
        <v>520</v>
      </c>
      <c r="M2577" s="44" t="s">
        <v>514</v>
      </c>
      <c r="N2577" s="44" t="s">
        <v>515</v>
      </c>
      <c r="O2577" s="45" t="s">
        <v>382</v>
      </c>
      <c r="P2577" s="45" t="s">
        <v>3760</v>
      </c>
      <c r="Q2577" s="59" t="str">
        <f>MID(Tabla1[[#This Row],[Aplicación]],14,1)</f>
        <v>2</v>
      </c>
      <c r="R2577" s="35" t="s">
        <v>298</v>
      </c>
      <c r="S2577" s="59" t="str">
        <f>MID(Tabla1[[#This Row],[Aplicación]],6,2)</f>
        <v>11</v>
      </c>
      <c r="T2577" s="35" t="str">
        <f>VLOOKUP(Tabla1[[#This Row],[AREA]],Hoja1!A:B,2,FALSE)</f>
        <v>11. Salud pública y seguridad ciudadana</v>
      </c>
      <c r="U2577" s="56" t="str">
        <f>MID(Tabla1[[#This Row],[Aplicación]],9,4)</f>
        <v>1321</v>
      </c>
      <c r="V2577" s="35" t="str">
        <f>VLOOKUP(Tabla1[[#This Row],[PROGRAMA]],Hoja1!A:B,2,FALSE)</f>
        <v>1321. Policía municipal</v>
      </c>
      <c r="W2577" s="56" t="str">
        <f>MID(Tabla1[[#This Row],[Aplicación]],14,2)</f>
        <v>21</v>
      </c>
      <c r="X2577" s="56" t="str">
        <f>MID(Tabla1[[#This Row],[Aplicación]],14,6)</f>
        <v>214</v>
      </c>
    </row>
    <row r="2578" spans="1:24" x14ac:dyDescent="0.25">
      <c r="A2578" s="62">
        <v>220230020128</v>
      </c>
      <c r="B2578" s="44" t="s">
        <v>1514</v>
      </c>
      <c r="C2578" s="64">
        <v>45057</v>
      </c>
      <c r="D2578" s="62">
        <v>22023001459</v>
      </c>
      <c r="E2578" s="44" t="s">
        <v>1290</v>
      </c>
      <c r="F2578" s="65">
        <v>1208.1500000000001</v>
      </c>
      <c r="G2578" s="44" t="s">
        <v>1985</v>
      </c>
      <c r="H2578" s="44" t="s">
        <v>4195</v>
      </c>
      <c r="I2578" s="62" t="s">
        <v>1517</v>
      </c>
      <c r="J2578" s="44" t="s">
        <v>519</v>
      </c>
      <c r="K2578" s="44" t="s">
        <v>519</v>
      </c>
      <c r="L2578" s="44" t="s">
        <v>520</v>
      </c>
      <c r="M2578" s="44" t="s">
        <v>514</v>
      </c>
      <c r="N2578" s="44" t="s">
        <v>515</v>
      </c>
      <c r="O2578" s="45" t="s">
        <v>382</v>
      </c>
      <c r="P2578" s="45" t="s">
        <v>3760</v>
      </c>
      <c r="Q2578" s="59" t="str">
        <f>MID(Tabla1[[#This Row],[Aplicación]],14,1)</f>
        <v>2</v>
      </c>
      <c r="R2578" s="35" t="s">
        <v>298</v>
      </c>
      <c r="S2578" s="59" t="str">
        <f>MID(Tabla1[[#This Row],[Aplicación]],6,2)</f>
        <v>11</v>
      </c>
      <c r="T2578" s="35" t="str">
        <f>VLOOKUP(Tabla1[[#This Row],[AREA]],Hoja1!A:B,2,FALSE)</f>
        <v>11. Salud pública y seguridad ciudadana</v>
      </c>
      <c r="U2578" s="56" t="str">
        <f>MID(Tabla1[[#This Row],[Aplicación]],9,4)</f>
        <v>1621</v>
      </c>
      <c r="V2578" s="35" t="str">
        <f>VLOOKUP(Tabla1[[#This Row],[PROGRAMA]],Hoja1!A:B,2,FALSE)</f>
        <v>1621. Servicio de limpieza</v>
      </c>
      <c r="W2578" s="56" t="str">
        <f>MID(Tabla1[[#This Row],[Aplicación]],14,2)</f>
        <v>21</v>
      </c>
      <c r="X2578" s="56" t="str">
        <f>MID(Tabla1[[#This Row],[Aplicación]],14,6)</f>
        <v>214</v>
      </c>
    </row>
    <row r="2579" spans="1:24" x14ac:dyDescent="0.25">
      <c r="A2579" s="62">
        <v>220230020876</v>
      </c>
      <c r="B2579" s="44" t="s">
        <v>1514</v>
      </c>
      <c r="C2579" s="64">
        <v>45062</v>
      </c>
      <c r="D2579" s="62">
        <v>22023001956</v>
      </c>
      <c r="E2579" s="44" t="s">
        <v>1982</v>
      </c>
      <c r="F2579" s="65">
        <v>98.95</v>
      </c>
      <c r="G2579" s="44" t="s">
        <v>1985</v>
      </c>
      <c r="H2579" s="44" t="s">
        <v>4196</v>
      </c>
      <c r="I2579" s="62" t="s">
        <v>1517</v>
      </c>
      <c r="J2579" s="44" t="s">
        <v>519</v>
      </c>
      <c r="K2579" s="44" t="s">
        <v>519</v>
      </c>
      <c r="L2579" s="44" t="s">
        <v>520</v>
      </c>
      <c r="M2579" s="44" t="s">
        <v>514</v>
      </c>
      <c r="N2579" s="44" t="s">
        <v>515</v>
      </c>
      <c r="O2579" s="45" t="s">
        <v>382</v>
      </c>
      <c r="P2579" s="45" t="s">
        <v>3760</v>
      </c>
      <c r="Q2579" s="59" t="str">
        <f>MID(Tabla1[[#This Row],[Aplicación]],14,1)</f>
        <v>2</v>
      </c>
      <c r="R2579" s="35" t="s">
        <v>298</v>
      </c>
      <c r="S2579" s="59" t="str">
        <f>MID(Tabla1[[#This Row],[Aplicación]],6,2)</f>
        <v>07</v>
      </c>
      <c r="T2579" s="35" t="str">
        <f>VLOOKUP(Tabla1[[#This Row],[AREA]],Hoja1!A:B,2,FALSE)</f>
        <v>07. Medio ambiente y desarrollo sostenible</v>
      </c>
      <c r="U2579" s="56" t="str">
        <f>MID(Tabla1[[#This Row],[Aplicación]],9,4)</f>
        <v>1711</v>
      </c>
      <c r="V2579" s="35" t="str">
        <f>VLOOKUP(Tabla1[[#This Row],[PROGRAMA]],Hoja1!A:B,2,FALSE)</f>
        <v>1711. Parques y jardines</v>
      </c>
      <c r="W2579" s="56" t="str">
        <f>MID(Tabla1[[#This Row],[Aplicación]],14,2)</f>
        <v>21</v>
      </c>
      <c r="X2579" s="56" t="str">
        <f>MID(Tabla1[[#This Row],[Aplicación]],14,6)</f>
        <v>214</v>
      </c>
    </row>
    <row r="2580" spans="1:24" x14ac:dyDescent="0.25">
      <c r="A2580" s="62">
        <v>220230026313</v>
      </c>
      <c r="B2580" s="44" t="s">
        <v>1514</v>
      </c>
      <c r="C2580" s="64">
        <v>45077</v>
      </c>
      <c r="D2580" s="62">
        <v>22023001459</v>
      </c>
      <c r="E2580" s="44" t="s">
        <v>1290</v>
      </c>
      <c r="F2580" s="65">
        <v>1748.07</v>
      </c>
      <c r="G2580" s="44" t="s">
        <v>1985</v>
      </c>
      <c r="H2580" s="44" t="s">
        <v>4197</v>
      </c>
      <c r="I2580" s="62" t="s">
        <v>1517</v>
      </c>
      <c r="J2580" s="44" t="s">
        <v>519</v>
      </c>
      <c r="K2580" s="44" t="s">
        <v>519</v>
      </c>
      <c r="L2580" s="44" t="s">
        <v>520</v>
      </c>
      <c r="M2580" s="44" t="s">
        <v>514</v>
      </c>
      <c r="N2580" s="44" t="s">
        <v>515</v>
      </c>
      <c r="O2580" s="45" t="s">
        <v>382</v>
      </c>
      <c r="P2580" s="45" t="s">
        <v>3760</v>
      </c>
      <c r="Q2580" s="59" t="str">
        <f>MID(Tabla1[[#This Row],[Aplicación]],14,1)</f>
        <v>2</v>
      </c>
      <c r="R2580" s="35" t="s">
        <v>298</v>
      </c>
      <c r="S2580" s="59" t="str">
        <f>MID(Tabla1[[#This Row],[Aplicación]],6,2)</f>
        <v>11</v>
      </c>
      <c r="T2580" s="35" t="str">
        <f>VLOOKUP(Tabla1[[#This Row],[AREA]],Hoja1!A:B,2,FALSE)</f>
        <v>11. Salud pública y seguridad ciudadana</v>
      </c>
      <c r="U2580" s="56" t="str">
        <f>MID(Tabla1[[#This Row],[Aplicación]],9,4)</f>
        <v>1621</v>
      </c>
      <c r="V2580" s="35" t="str">
        <f>VLOOKUP(Tabla1[[#This Row],[PROGRAMA]],Hoja1!A:B,2,FALSE)</f>
        <v>1621. Servicio de limpieza</v>
      </c>
      <c r="W2580" s="56" t="str">
        <f>MID(Tabla1[[#This Row],[Aplicación]],14,2)</f>
        <v>21</v>
      </c>
      <c r="X2580" s="56" t="str">
        <f>MID(Tabla1[[#This Row],[Aplicación]],14,6)</f>
        <v>214</v>
      </c>
    </row>
    <row r="2581" spans="1:24" x14ac:dyDescent="0.25">
      <c r="A2581" s="62">
        <v>220230026317</v>
      </c>
      <c r="B2581" s="44" t="s">
        <v>1514</v>
      </c>
      <c r="C2581" s="64">
        <v>45077</v>
      </c>
      <c r="D2581" s="62">
        <v>22023001459</v>
      </c>
      <c r="E2581" s="44" t="s">
        <v>1290</v>
      </c>
      <c r="F2581" s="65">
        <v>805.44</v>
      </c>
      <c r="G2581" s="44" t="s">
        <v>1985</v>
      </c>
      <c r="H2581" s="44" t="s">
        <v>4198</v>
      </c>
      <c r="I2581" s="62" t="s">
        <v>1517</v>
      </c>
      <c r="J2581" s="44" t="s">
        <v>519</v>
      </c>
      <c r="K2581" s="44" t="s">
        <v>519</v>
      </c>
      <c r="L2581" s="44" t="s">
        <v>520</v>
      </c>
      <c r="M2581" s="44" t="s">
        <v>514</v>
      </c>
      <c r="N2581" s="44" t="s">
        <v>515</v>
      </c>
      <c r="O2581" s="45" t="s">
        <v>382</v>
      </c>
      <c r="P2581" s="45" t="s">
        <v>3760</v>
      </c>
      <c r="Q2581" s="59" t="str">
        <f>MID(Tabla1[[#This Row],[Aplicación]],14,1)</f>
        <v>2</v>
      </c>
      <c r="R2581" s="35" t="s">
        <v>298</v>
      </c>
      <c r="S2581" s="59" t="str">
        <f>MID(Tabla1[[#This Row],[Aplicación]],6,2)</f>
        <v>11</v>
      </c>
      <c r="T2581" s="35" t="str">
        <f>VLOOKUP(Tabla1[[#This Row],[AREA]],Hoja1!A:B,2,FALSE)</f>
        <v>11. Salud pública y seguridad ciudadana</v>
      </c>
      <c r="U2581" s="56" t="str">
        <f>MID(Tabla1[[#This Row],[Aplicación]],9,4)</f>
        <v>1621</v>
      </c>
      <c r="V2581" s="35" t="str">
        <f>VLOOKUP(Tabla1[[#This Row],[PROGRAMA]],Hoja1!A:B,2,FALSE)</f>
        <v>1621. Servicio de limpieza</v>
      </c>
      <c r="W2581" s="56" t="str">
        <f>MID(Tabla1[[#This Row],[Aplicación]],14,2)</f>
        <v>21</v>
      </c>
      <c r="X2581" s="56" t="str">
        <f>MID(Tabla1[[#This Row],[Aplicación]],14,6)</f>
        <v>214</v>
      </c>
    </row>
    <row r="2582" spans="1:24" x14ac:dyDescent="0.25">
      <c r="A2582" s="62">
        <v>220230026332</v>
      </c>
      <c r="B2582" s="44" t="s">
        <v>1514</v>
      </c>
      <c r="C2582" s="64">
        <v>45077</v>
      </c>
      <c r="D2582" s="62">
        <v>22023001459</v>
      </c>
      <c r="E2582" s="44" t="s">
        <v>1290</v>
      </c>
      <c r="F2582" s="65">
        <v>1250.6400000000001</v>
      </c>
      <c r="G2582" s="44" t="s">
        <v>1985</v>
      </c>
      <c r="H2582" s="44" t="s">
        <v>4199</v>
      </c>
      <c r="I2582" s="62" t="s">
        <v>1517</v>
      </c>
      <c r="J2582" s="44" t="s">
        <v>519</v>
      </c>
      <c r="K2582" s="44" t="s">
        <v>519</v>
      </c>
      <c r="L2582" s="44" t="s">
        <v>520</v>
      </c>
      <c r="M2582" s="44" t="s">
        <v>514</v>
      </c>
      <c r="N2582" s="44" t="s">
        <v>515</v>
      </c>
      <c r="O2582" s="45" t="s">
        <v>382</v>
      </c>
      <c r="P2582" s="45" t="s">
        <v>3760</v>
      </c>
      <c r="Q2582" s="59" t="str">
        <f>MID(Tabla1[[#This Row],[Aplicación]],14,1)</f>
        <v>2</v>
      </c>
      <c r="R2582" s="35" t="s">
        <v>298</v>
      </c>
      <c r="S2582" s="59" t="str">
        <f>MID(Tabla1[[#This Row],[Aplicación]],6,2)</f>
        <v>11</v>
      </c>
      <c r="T2582" s="35" t="str">
        <f>VLOOKUP(Tabla1[[#This Row],[AREA]],Hoja1!A:B,2,FALSE)</f>
        <v>11. Salud pública y seguridad ciudadana</v>
      </c>
      <c r="U2582" s="56" t="str">
        <f>MID(Tabla1[[#This Row],[Aplicación]],9,4)</f>
        <v>1621</v>
      </c>
      <c r="V2582" s="35" t="str">
        <f>VLOOKUP(Tabla1[[#This Row],[PROGRAMA]],Hoja1!A:B,2,FALSE)</f>
        <v>1621. Servicio de limpieza</v>
      </c>
      <c r="W2582" s="56" t="str">
        <f>MID(Tabla1[[#This Row],[Aplicación]],14,2)</f>
        <v>21</v>
      </c>
      <c r="X2582" s="56" t="str">
        <f>MID(Tabla1[[#This Row],[Aplicación]],14,6)</f>
        <v>214</v>
      </c>
    </row>
    <row r="2583" spans="1:24" x14ac:dyDescent="0.25">
      <c r="A2583" s="62">
        <v>220230012975</v>
      </c>
      <c r="B2583" s="44" t="s">
        <v>507</v>
      </c>
      <c r="C2583" s="64">
        <v>45019</v>
      </c>
      <c r="D2583" s="62">
        <v>22023003687</v>
      </c>
      <c r="E2583" s="44" t="s">
        <v>699</v>
      </c>
      <c r="F2583" s="65">
        <v>2270.42</v>
      </c>
      <c r="G2583" s="44" t="s">
        <v>53</v>
      </c>
      <c r="H2583" s="44" t="s">
        <v>4200</v>
      </c>
      <c r="I2583" s="62" t="s">
        <v>511</v>
      </c>
      <c r="J2583" s="44" t="s">
        <v>519</v>
      </c>
      <c r="K2583" s="44" t="s">
        <v>519</v>
      </c>
      <c r="L2583" s="44" t="s">
        <v>552</v>
      </c>
      <c r="M2583" s="44" t="s">
        <v>976</v>
      </c>
      <c r="N2583" s="44" t="s">
        <v>839</v>
      </c>
      <c r="O2583" s="45" t="s">
        <v>383</v>
      </c>
      <c r="P2583" s="45" t="s">
        <v>3760</v>
      </c>
      <c r="Q2583" s="59" t="str">
        <f>MID(Tabla1[[#This Row],[Aplicación]],14,1)</f>
        <v>2</v>
      </c>
      <c r="R2583" s="35" t="s">
        <v>298</v>
      </c>
      <c r="S2583" s="59" t="str">
        <f>MID(Tabla1[[#This Row],[Aplicación]],6,2)</f>
        <v>03</v>
      </c>
      <c r="T2583" s="35" t="str">
        <f>VLOOKUP(Tabla1[[#This Row],[AREA]],Hoja1!A:B,2,FALSE)</f>
        <v>03. Participación ciudadana y deportes</v>
      </c>
      <c r="U2583" s="56" t="str">
        <f>MID(Tabla1[[#This Row],[Aplicación]],9,4)</f>
        <v>9241</v>
      </c>
      <c r="V2583" s="35" t="str">
        <f>VLOOKUP(Tabla1[[#This Row],[PROGRAMA]],Hoja1!A:B,2,FALSE)</f>
        <v>9241. Participación ciudadana</v>
      </c>
      <c r="W2583" s="56" t="str">
        <f>MID(Tabla1[[#This Row],[Aplicación]],14,2)</f>
        <v>22</v>
      </c>
      <c r="X2583" s="56" t="str">
        <f>MID(Tabla1[[#This Row],[Aplicación]],14,6)</f>
        <v>22700</v>
      </c>
    </row>
    <row r="2584" spans="1:24" x14ac:dyDescent="0.25">
      <c r="A2584" s="62">
        <v>220230026334</v>
      </c>
      <c r="B2584" s="44" t="s">
        <v>1514</v>
      </c>
      <c r="C2584" s="64">
        <v>45077</v>
      </c>
      <c r="D2584" s="62">
        <v>22023001459</v>
      </c>
      <c r="E2584" s="44" t="s">
        <v>1290</v>
      </c>
      <c r="F2584" s="65">
        <v>385.68</v>
      </c>
      <c r="G2584" s="44" t="s">
        <v>1985</v>
      </c>
      <c r="H2584" s="44" t="s">
        <v>4201</v>
      </c>
      <c r="I2584" s="62" t="s">
        <v>1517</v>
      </c>
      <c r="J2584" s="44" t="s">
        <v>519</v>
      </c>
      <c r="K2584" s="44" t="s">
        <v>519</v>
      </c>
      <c r="L2584" s="44" t="s">
        <v>520</v>
      </c>
      <c r="M2584" s="44" t="s">
        <v>514</v>
      </c>
      <c r="N2584" s="44" t="s">
        <v>515</v>
      </c>
      <c r="O2584" s="45" t="s">
        <v>382</v>
      </c>
      <c r="P2584" s="45" t="s">
        <v>3760</v>
      </c>
      <c r="Q2584" s="59" t="str">
        <f>MID(Tabla1[[#This Row],[Aplicación]],14,1)</f>
        <v>2</v>
      </c>
      <c r="R2584" s="35" t="s">
        <v>298</v>
      </c>
      <c r="S2584" s="59" t="str">
        <f>MID(Tabla1[[#This Row],[Aplicación]],6,2)</f>
        <v>11</v>
      </c>
      <c r="T2584" s="35" t="str">
        <f>VLOOKUP(Tabla1[[#This Row],[AREA]],Hoja1!A:B,2,FALSE)</f>
        <v>11. Salud pública y seguridad ciudadana</v>
      </c>
      <c r="U2584" s="56" t="str">
        <f>MID(Tabla1[[#This Row],[Aplicación]],9,4)</f>
        <v>1621</v>
      </c>
      <c r="V2584" s="35" t="str">
        <f>VLOOKUP(Tabla1[[#This Row],[PROGRAMA]],Hoja1!A:B,2,FALSE)</f>
        <v>1621. Servicio de limpieza</v>
      </c>
      <c r="W2584" s="56" t="str">
        <f>MID(Tabla1[[#This Row],[Aplicación]],14,2)</f>
        <v>21</v>
      </c>
      <c r="X2584" s="56" t="str">
        <f>MID(Tabla1[[#This Row],[Aplicación]],14,6)</f>
        <v>214</v>
      </c>
    </row>
    <row r="2585" spans="1:24" x14ac:dyDescent="0.25">
      <c r="A2585" s="62">
        <v>220230026336</v>
      </c>
      <c r="B2585" s="44" t="s">
        <v>1514</v>
      </c>
      <c r="C2585" s="64">
        <v>45077</v>
      </c>
      <c r="D2585" s="62">
        <v>22023001459</v>
      </c>
      <c r="E2585" s="44" t="s">
        <v>1290</v>
      </c>
      <c r="F2585" s="65">
        <v>2635.19</v>
      </c>
      <c r="G2585" s="44" t="s">
        <v>1985</v>
      </c>
      <c r="H2585" s="44" t="s">
        <v>4202</v>
      </c>
      <c r="I2585" s="62" t="s">
        <v>1517</v>
      </c>
      <c r="J2585" s="44" t="s">
        <v>519</v>
      </c>
      <c r="K2585" s="44" t="s">
        <v>519</v>
      </c>
      <c r="L2585" s="44" t="s">
        <v>520</v>
      </c>
      <c r="M2585" s="44" t="s">
        <v>514</v>
      </c>
      <c r="N2585" s="44" t="s">
        <v>515</v>
      </c>
      <c r="O2585" s="45" t="s">
        <v>382</v>
      </c>
      <c r="P2585" s="45" t="s">
        <v>3760</v>
      </c>
      <c r="Q2585" s="59" t="str">
        <f>MID(Tabla1[[#This Row],[Aplicación]],14,1)</f>
        <v>2</v>
      </c>
      <c r="R2585" s="35" t="s">
        <v>298</v>
      </c>
      <c r="S2585" s="59" t="str">
        <f>MID(Tabla1[[#This Row],[Aplicación]],6,2)</f>
        <v>11</v>
      </c>
      <c r="T2585" s="35" t="str">
        <f>VLOOKUP(Tabla1[[#This Row],[AREA]],Hoja1!A:B,2,FALSE)</f>
        <v>11. Salud pública y seguridad ciudadana</v>
      </c>
      <c r="U2585" s="56" t="str">
        <f>MID(Tabla1[[#This Row],[Aplicación]],9,4)</f>
        <v>1621</v>
      </c>
      <c r="V2585" s="35" t="str">
        <f>VLOOKUP(Tabla1[[#This Row],[PROGRAMA]],Hoja1!A:B,2,FALSE)</f>
        <v>1621. Servicio de limpieza</v>
      </c>
      <c r="W2585" s="56" t="str">
        <f>MID(Tabla1[[#This Row],[Aplicación]],14,2)</f>
        <v>21</v>
      </c>
      <c r="X2585" s="56" t="str">
        <f>MID(Tabla1[[#This Row],[Aplicación]],14,6)</f>
        <v>214</v>
      </c>
    </row>
    <row r="2586" spans="1:24" x14ac:dyDescent="0.25">
      <c r="A2586" s="62">
        <v>220230026624</v>
      </c>
      <c r="B2586" s="44" t="s">
        <v>1514</v>
      </c>
      <c r="C2586" s="64">
        <v>45077</v>
      </c>
      <c r="D2586" s="62">
        <v>22023001459</v>
      </c>
      <c r="E2586" s="44" t="s">
        <v>1290</v>
      </c>
      <c r="F2586" s="65">
        <v>996.33</v>
      </c>
      <c r="G2586" s="44" t="s">
        <v>1985</v>
      </c>
      <c r="H2586" s="44" t="s">
        <v>4203</v>
      </c>
      <c r="I2586" s="62" t="s">
        <v>1517</v>
      </c>
      <c r="J2586" s="44" t="s">
        <v>519</v>
      </c>
      <c r="K2586" s="44" t="s">
        <v>519</v>
      </c>
      <c r="L2586" s="44" t="s">
        <v>520</v>
      </c>
      <c r="M2586" s="44" t="s">
        <v>514</v>
      </c>
      <c r="N2586" s="44" t="s">
        <v>515</v>
      </c>
      <c r="O2586" s="45" t="s">
        <v>382</v>
      </c>
      <c r="P2586" s="45" t="s">
        <v>3760</v>
      </c>
      <c r="Q2586" s="59" t="str">
        <f>MID(Tabla1[[#This Row],[Aplicación]],14,1)</f>
        <v>2</v>
      </c>
      <c r="R2586" s="35" t="s">
        <v>298</v>
      </c>
      <c r="S2586" s="59" t="str">
        <f>MID(Tabla1[[#This Row],[Aplicación]],6,2)</f>
        <v>11</v>
      </c>
      <c r="T2586" s="35" t="str">
        <f>VLOOKUP(Tabla1[[#This Row],[AREA]],Hoja1!A:B,2,FALSE)</f>
        <v>11. Salud pública y seguridad ciudadana</v>
      </c>
      <c r="U2586" s="56" t="str">
        <f>MID(Tabla1[[#This Row],[Aplicación]],9,4)</f>
        <v>1621</v>
      </c>
      <c r="V2586" s="35" t="str">
        <f>VLOOKUP(Tabla1[[#This Row],[PROGRAMA]],Hoja1!A:B,2,FALSE)</f>
        <v>1621. Servicio de limpieza</v>
      </c>
      <c r="W2586" s="56" t="str">
        <f>MID(Tabla1[[#This Row],[Aplicación]],14,2)</f>
        <v>21</v>
      </c>
      <c r="X2586" s="56" t="str">
        <f>MID(Tabla1[[#This Row],[Aplicación]],14,6)</f>
        <v>214</v>
      </c>
    </row>
    <row r="2587" spans="1:24" x14ac:dyDescent="0.25">
      <c r="A2587" s="62">
        <v>220230016156</v>
      </c>
      <c r="B2587" s="44" t="s">
        <v>1514</v>
      </c>
      <c r="C2587" s="64">
        <v>45043</v>
      </c>
      <c r="D2587" s="62">
        <v>22023001670</v>
      </c>
      <c r="E2587" s="44" t="s">
        <v>1719</v>
      </c>
      <c r="F2587" s="65">
        <v>662.3</v>
      </c>
      <c r="G2587" s="44" t="s">
        <v>4204</v>
      </c>
      <c r="H2587" s="44" t="s">
        <v>4205</v>
      </c>
      <c r="I2587" s="62" t="s">
        <v>1517</v>
      </c>
      <c r="J2587" s="44" t="s">
        <v>4206</v>
      </c>
      <c r="K2587" s="44" t="s">
        <v>519</v>
      </c>
      <c r="L2587" s="44" t="s">
        <v>552</v>
      </c>
      <c r="M2587" s="44" t="s">
        <v>514</v>
      </c>
      <c r="N2587" s="44" t="s">
        <v>515</v>
      </c>
      <c r="O2587" s="45" t="s">
        <v>382</v>
      </c>
      <c r="P2587" s="45" t="s">
        <v>3760</v>
      </c>
      <c r="Q2587" s="59" t="str">
        <f>MID(Tabla1[[#This Row],[Aplicación]],14,1)</f>
        <v>2</v>
      </c>
      <c r="R2587" s="35" t="s">
        <v>298</v>
      </c>
      <c r="S2587" s="59" t="str">
        <f>MID(Tabla1[[#This Row],[Aplicación]],6,2)</f>
        <v>01</v>
      </c>
      <c r="T2587" s="35" t="str">
        <f>VLOOKUP(Tabla1[[#This Row],[AREA]],Hoja1!A:B,2,FALSE)</f>
        <v>01. Alcaldía</v>
      </c>
      <c r="U2587" s="56" t="str">
        <f>MID(Tabla1[[#This Row],[Aplicación]],9,4)</f>
        <v>9206</v>
      </c>
      <c r="V2587" s="35" t="str">
        <f>VLOOKUP(Tabla1[[#This Row],[PROGRAMA]],Hoja1!A:B,2,FALSE)</f>
        <v>9206. Archivo municipal</v>
      </c>
      <c r="W2587" s="56" t="str">
        <f>MID(Tabla1[[#This Row],[Aplicación]],14,2)</f>
        <v>22</v>
      </c>
      <c r="X2587" s="56" t="str">
        <f>MID(Tabla1[[#This Row],[Aplicación]],14,6)</f>
        <v>22001</v>
      </c>
    </row>
    <row r="2588" spans="1:24" x14ac:dyDescent="0.25">
      <c r="A2588" s="62">
        <v>220230016158</v>
      </c>
      <c r="B2588" s="44" t="s">
        <v>1514</v>
      </c>
      <c r="C2588" s="64">
        <v>45043</v>
      </c>
      <c r="D2588" s="62">
        <v>22023001670</v>
      </c>
      <c r="E2588" s="44" t="s">
        <v>1719</v>
      </c>
      <c r="F2588" s="65">
        <v>1231.3900000000001</v>
      </c>
      <c r="G2588" s="44" t="s">
        <v>4207</v>
      </c>
      <c r="H2588" s="44" t="s">
        <v>4208</v>
      </c>
      <c r="I2588" s="62" t="s">
        <v>1517</v>
      </c>
      <c r="J2588" s="44" t="s">
        <v>519</v>
      </c>
      <c r="K2588" s="44" t="s">
        <v>519</v>
      </c>
      <c r="L2588" s="44" t="s">
        <v>552</v>
      </c>
      <c r="M2588" s="44" t="s">
        <v>514</v>
      </c>
      <c r="N2588" s="44" t="s">
        <v>515</v>
      </c>
      <c r="O2588" s="45" t="s">
        <v>382</v>
      </c>
      <c r="P2588" s="45" t="s">
        <v>3760</v>
      </c>
      <c r="Q2588" s="59" t="str">
        <f>MID(Tabla1[[#This Row],[Aplicación]],14,1)</f>
        <v>2</v>
      </c>
      <c r="R2588" s="35" t="s">
        <v>298</v>
      </c>
      <c r="S2588" s="59" t="str">
        <f>MID(Tabla1[[#This Row],[Aplicación]],6,2)</f>
        <v>01</v>
      </c>
      <c r="T2588" s="35" t="str">
        <f>VLOOKUP(Tabla1[[#This Row],[AREA]],Hoja1!A:B,2,FALSE)</f>
        <v>01. Alcaldía</v>
      </c>
      <c r="U2588" s="56" t="str">
        <f>MID(Tabla1[[#This Row],[Aplicación]],9,4)</f>
        <v>9206</v>
      </c>
      <c r="V2588" s="35" t="str">
        <f>VLOOKUP(Tabla1[[#This Row],[PROGRAMA]],Hoja1!A:B,2,FALSE)</f>
        <v>9206. Archivo municipal</v>
      </c>
      <c r="W2588" s="56" t="str">
        <f>MID(Tabla1[[#This Row],[Aplicación]],14,2)</f>
        <v>22</v>
      </c>
      <c r="X2588" s="56" t="str">
        <f>MID(Tabla1[[#This Row],[Aplicación]],14,6)</f>
        <v>22001</v>
      </c>
    </row>
    <row r="2589" spans="1:24" x14ac:dyDescent="0.25">
      <c r="A2589" s="62">
        <v>220230022636</v>
      </c>
      <c r="B2589" s="44" t="s">
        <v>507</v>
      </c>
      <c r="C2589" s="64">
        <v>45068</v>
      </c>
      <c r="D2589" s="62">
        <v>22023004590</v>
      </c>
      <c r="E2589" s="44" t="s">
        <v>1798</v>
      </c>
      <c r="F2589" s="65">
        <v>226.27</v>
      </c>
      <c r="G2589" s="44" t="s">
        <v>471</v>
      </c>
      <c r="H2589" s="44" t="s">
        <v>4209</v>
      </c>
      <c r="I2589" s="62" t="s">
        <v>511</v>
      </c>
      <c r="J2589" s="44" t="s">
        <v>1797</v>
      </c>
      <c r="K2589" s="44" t="s">
        <v>512</v>
      </c>
      <c r="L2589" s="44" t="s">
        <v>520</v>
      </c>
      <c r="M2589" s="44" t="s">
        <v>976</v>
      </c>
      <c r="N2589" s="44" t="s">
        <v>839</v>
      </c>
      <c r="O2589" s="45" t="s">
        <v>383</v>
      </c>
      <c r="P2589" s="45" t="s">
        <v>3760</v>
      </c>
      <c r="Q2589" s="59" t="str">
        <f>MID(Tabla1[[#This Row],[Aplicación]],14,1)</f>
        <v>2</v>
      </c>
      <c r="R2589" s="35" t="s">
        <v>298</v>
      </c>
      <c r="S2589" s="59" t="str">
        <f>MID(Tabla1[[#This Row],[Aplicación]],6,2)</f>
        <v>11</v>
      </c>
      <c r="T2589" s="35" t="str">
        <f>VLOOKUP(Tabla1[[#This Row],[AREA]],Hoja1!A:B,2,FALSE)</f>
        <v>11. Salud pública y seguridad ciudadana</v>
      </c>
      <c r="U2589" s="56" t="str">
        <f>MID(Tabla1[[#This Row],[Aplicación]],9,4)</f>
        <v>1631</v>
      </c>
      <c r="V2589" s="35" t="str">
        <f>VLOOKUP(Tabla1[[#This Row],[PROGRAMA]],Hoja1!A:B,2,FALSE)</f>
        <v>1631. Limpieza viaria</v>
      </c>
      <c r="W2589" s="56" t="str">
        <f>MID(Tabla1[[#This Row],[Aplicación]],14,2)</f>
        <v>21</v>
      </c>
      <c r="X2589" s="56" t="str">
        <f>MID(Tabla1[[#This Row],[Aplicación]],14,6)</f>
        <v>212</v>
      </c>
    </row>
    <row r="2590" spans="1:24" x14ac:dyDescent="0.25">
      <c r="A2590" s="62">
        <v>220230016358</v>
      </c>
      <c r="B2590" s="44" t="s">
        <v>1514</v>
      </c>
      <c r="C2590" s="64">
        <v>45043</v>
      </c>
      <c r="D2590" s="62">
        <v>22023001549</v>
      </c>
      <c r="E2590" s="44" t="s">
        <v>1515</v>
      </c>
      <c r="F2590" s="65">
        <v>23.99</v>
      </c>
      <c r="G2590" s="44" t="s">
        <v>2969</v>
      </c>
      <c r="H2590" s="44" t="s">
        <v>4210</v>
      </c>
      <c r="I2590" s="62" t="s">
        <v>1517</v>
      </c>
      <c r="J2590" s="44" t="s">
        <v>519</v>
      </c>
      <c r="K2590" s="44" t="s">
        <v>519</v>
      </c>
      <c r="L2590" s="44" t="s">
        <v>552</v>
      </c>
      <c r="M2590" s="44" t="s">
        <v>514</v>
      </c>
      <c r="N2590" s="44" t="s">
        <v>515</v>
      </c>
      <c r="O2590" s="45" t="s">
        <v>382</v>
      </c>
      <c r="P2590" s="45" t="s">
        <v>3760</v>
      </c>
      <c r="Q2590" s="59" t="str">
        <f>MID(Tabla1[[#This Row],[Aplicación]],14,1)</f>
        <v>2</v>
      </c>
      <c r="R2590" s="35" t="s">
        <v>298</v>
      </c>
      <c r="S2590" s="59" t="str">
        <f>MID(Tabla1[[#This Row],[Aplicación]],6,2)</f>
        <v>07</v>
      </c>
      <c r="T2590" s="35" t="str">
        <f>VLOOKUP(Tabla1[[#This Row],[AREA]],Hoja1!A:B,2,FALSE)</f>
        <v>07. Medio ambiente y desarrollo sostenible</v>
      </c>
      <c r="U2590" s="56" t="str">
        <f>MID(Tabla1[[#This Row],[Aplicación]],9,4)</f>
        <v>1711</v>
      </c>
      <c r="V2590" s="35" t="str">
        <f>VLOOKUP(Tabla1[[#This Row],[PROGRAMA]],Hoja1!A:B,2,FALSE)</f>
        <v>1711. Parques y jardines</v>
      </c>
      <c r="W2590" s="56" t="str">
        <f>MID(Tabla1[[#This Row],[Aplicación]],14,2)</f>
        <v>22</v>
      </c>
      <c r="X2590" s="56" t="str">
        <f>MID(Tabla1[[#This Row],[Aplicación]],14,6)</f>
        <v>22199</v>
      </c>
    </row>
    <row r="2591" spans="1:24" x14ac:dyDescent="0.25">
      <c r="A2591" s="62">
        <v>220230016452</v>
      </c>
      <c r="B2591" s="44" t="s">
        <v>1514</v>
      </c>
      <c r="C2591" s="64">
        <v>45043</v>
      </c>
      <c r="D2591" s="62">
        <v>22023001478</v>
      </c>
      <c r="E2591" s="44" t="s">
        <v>1502</v>
      </c>
      <c r="F2591" s="65">
        <v>77.39</v>
      </c>
      <c r="G2591" s="44" t="s">
        <v>2969</v>
      </c>
      <c r="H2591" s="44" t="s">
        <v>4211</v>
      </c>
      <c r="I2591" s="62" t="s">
        <v>1517</v>
      </c>
      <c r="J2591" s="44" t="s">
        <v>519</v>
      </c>
      <c r="K2591" s="44" t="s">
        <v>519</v>
      </c>
      <c r="L2591" s="44" t="s">
        <v>552</v>
      </c>
      <c r="M2591" s="44" t="s">
        <v>514</v>
      </c>
      <c r="N2591" s="44" t="s">
        <v>515</v>
      </c>
      <c r="O2591" s="45" t="s">
        <v>382</v>
      </c>
      <c r="P2591" s="45" t="s">
        <v>3760</v>
      </c>
      <c r="Q2591" s="59" t="str">
        <f>MID(Tabla1[[#This Row],[Aplicación]],14,1)</f>
        <v>2</v>
      </c>
      <c r="R2591" s="35" t="s">
        <v>298</v>
      </c>
      <c r="S2591" s="59" t="str">
        <f>MID(Tabla1[[#This Row],[Aplicación]],6,2)</f>
        <v>10</v>
      </c>
      <c r="T2591" s="35" t="str">
        <f>VLOOKUP(Tabla1[[#This Row],[AREA]],Hoja1!A:B,2,FALSE)</f>
        <v>10. Servicios sociales y mediación comunitaria</v>
      </c>
      <c r="U2591" s="56" t="str">
        <f>MID(Tabla1[[#This Row],[Aplicación]],9,4)</f>
        <v>2412</v>
      </c>
      <c r="V2591" s="35" t="str">
        <f>VLOOKUP(Tabla1[[#This Row],[PROGRAMA]],Hoja1!A:B,2,FALSE)</f>
        <v>2412. Formación para el empleo</v>
      </c>
      <c r="W2591" s="56" t="str">
        <f>MID(Tabla1[[#This Row],[Aplicación]],14,2)</f>
        <v>22</v>
      </c>
      <c r="X2591" s="56" t="str">
        <f>MID(Tabla1[[#This Row],[Aplicación]],14,6)</f>
        <v>22199</v>
      </c>
    </row>
    <row r="2592" spans="1:24" x14ac:dyDescent="0.25">
      <c r="A2592" s="62">
        <v>220230026185</v>
      </c>
      <c r="B2592" s="44" t="s">
        <v>1514</v>
      </c>
      <c r="C2592" s="64">
        <v>45077</v>
      </c>
      <c r="D2592" s="62">
        <v>22023003935</v>
      </c>
      <c r="E2592" s="44" t="s">
        <v>741</v>
      </c>
      <c r="F2592" s="65">
        <v>896.01</v>
      </c>
      <c r="G2592" s="44" t="s">
        <v>2969</v>
      </c>
      <c r="H2592" s="44" t="s">
        <v>4212</v>
      </c>
      <c r="I2592" s="62" t="s">
        <v>1517</v>
      </c>
      <c r="J2592" s="44" t="s">
        <v>519</v>
      </c>
      <c r="K2592" s="44" t="s">
        <v>519</v>
      </c>
      <c r="L2592" s="44" t="s">
        <v>552</v>
      </c>
      <c r="M2592" s="44" t="s">
        <v>514</v>
      </c>
      <c r="N2592" s="44" t="s">
        <v>515</v>
      </c>
      <c r="O2592" s="45" t="s">
        <v>382</v>
      </c>
      <c r="P2592" s="45" t="s">
        <v>3760</v>
      </c>
      <c r="Q2592" s="59" t="str">
        <f>MID(Tabla1[[#This Row],[Aplicación]],14,1)</f>
        <v>6</v>
      </c>
      <c r="R2592" s="35" t="s">
        <v>299</v>
      </c>
      <c r="S2592" s="59" t="str">
        <f>MID(Tabla1[[#This Row],[Aplicación]],6,2)</f>
        <v>07</v>
      </c>
      <c r="T2592" s="35" t="str">
        <f>VLOOKUP(Tabla1[[#This Row],[AREA]],Hoja1!A:B,2,FALSE)</f>
        <v>07. Medio ambiente y desarrollo sostenible</v>
      </c>
      <c r="U2592" s="56" t="str">
        <f>MID(Tabla1[[#This Row],[Aplicación]],9,4)</f>
        <v>1711</v>
      </c>
      <c r="V2592" s="35" t="str">
        <f>VLOOKUP(Tabla1[[#This Row],[PROGRAMA]],Hoja1!A:B,2,FALSE)</f>
        <v>1711. Parques y jardines</v>
      </c>
      <c r="W2592" s="56" t="str">
        <f>MID(Tabla1[[#This Row],[Aplicación]],14,2)</f>
        <v>61</v>
      </c>
      <c r="X2592" s="56" t="str">
        <f>MID(Tabla1[[#This Row],[Aplicación]],14,6)</f>
        <v>619</v>
      </c>
    </row>
    <row r="2593" spans="1:24" x14ac:dyDescent="0.25">
      <c r="A2593" s="62">
        <v>220230018640</v>
      </c>
      <c r="B2593" s="44" t="s">
        <v>1514</v>
      </c>
      <c r="C2593" s="64">
        <v>45055</v>
      </c>
      <c r="D2593" s="62">
        <v>22023001549</v>
      </c>
      <c r="E2593" s="44" t="s">
        <v>1515</v>
      </c>
      <c r="F2593" s="65">
        <v>19.579999999999998</v>
      </c>
      <c r="G2593" s="44" t="s">
        <v>2477</v>
      </c>
      <c r="H2593" s="44" t="s">
        <v>3374</v>
      </c>
      <c r="I2593" s="62" t="s">
        <v>1517</v>
      </c>
      <c r="J2593" s="44" t="s">
        <v>519</v>
      </c>
      <c r="K2593" s="44" t="s">
        <v>519</v>
      </c>
      <c r="L2593" s="44" t="s">
        <v>552</v>
      </c>
      <c r="M2593" s="44" t="s">
        <v>514</v>
      </c>
      <c r="N2593" s="44" t="s">
        <v>515</v>
      </c>
      <c r="O2593" s="45" t="s">
        <v>382</v>
      </c>
      <c r="P2593" s="45" t="s">
        <v>3760</v>
      </c>
      <c r="Q2593" s="59" t="str">
        <f>MID(Tabla1[[#This Row],[Aplicación]],14,1)</f>
        <v>2</v>
      </c>
      <c r="R2593" s="35" t="s">
        <v>298</v>
      </c>
      <c r="S2593" s="59" t="str">
        <f>MID(Tabla1[[#This Row],[Aplicación]],6,2)</f>
        <v>07</v>
      </c>
      <c r="T2593" s="35" t="str">
        <f>VLOOKUP(Tabla1[[#This Row],[AREA]],Hoja1!A:B,2,FALSE)</f>
        <v>07. Medio ambiente y desarrollo sostenible</v>
      </c>
      <c r="U2593" s="56" t="str">
        <f>MID(Tabla1[[#This Row],[Aplicación]],9,4)</f>
        <v>1711</v>
      </c>
      <c r="V2593" s="35" t="str">
        <f>VLOOKUP(Tabla1[[#This Row],[PROGRAMA]],Hoja1!A:B,2,FALSE)</f>
        <v>1711. Parques y jardines</v>
      </c>
      <c r="W2593" s="56" t="str">
        <f>MID(Tabla1[[#This Row],[Aplicación]],14,2)</f>
        <v>22</v>
      </c>
      <c r="X2593" s="56" t="str">
        <f>MID(Tabla1[[#This Row],[Aplicación]],14,6)</f>
        <v>22199</v>
      </c>
    </row>
    <row r="2594" spans="1:24" x14ac:dyDescent="0.25">
      <c r="A2594" s="62">
        <v>220230018647</v>
      </c>
      <c r="B2594" s="44" t="s">
        <v>1514</v>
      </c>
      <c r="C2594" s="64">
        <v>45055</v>
      </c>
      <c r="D2594" s="62">
        <v>22023001468</v>
      </c>
      <c r="E2594" s="44" t="s">
        <v>1512</v>
      </c>
      <c r="F2594" s="65">
        <v>45.73</v>
      </c>
      <c r="G2594" s="44" t="s">
        <v>2477</v>
      </c>
      <c r="H2594" s="44" t="s">
        <v>4213</v>
      </c>
      <c r="I2594" s="62" t="s">
        <v>1517</v>
      </c>
      <c r="J2594" s="44" t="s">
        <v>519</v>
      </c>
      <c r="K2594" s="44" t="s">
        <v>519</v>
      </c>
      <c r="L2594" s="44" t="s">
        <v>552</v>
      </c>
      <c r="M2594" s="44" t="s">
        <v>514</v>
      </c>
      <c r="N2594" s="44" t="s">
        <v>515</v>
      </c>
      <c r="O2594" s="45" t="s">
        <v>383</v>
      </c>
      <c r="P2594" s="45" t="s">
        <v>3760</v>
      </c>
      <c r="Q2594" s="59" t="str">
        <f>MID(Tabla1[[#This Row],[Aplicación]],14,1)</f>
        <v>2</v>
      </c>
      <c r="R2594" s="35" t="s">
        <v>298</v>
      </c>
      <c r="S2594" s="59" t="str">
        <f>MID(Tabla1[[#This Row],[Aplicación]],6,2)</f>
        <v>10</v>
      </c>
      <c r="T2594" s="35" t="str">
        <f>VLOOKUP(Tabla1[[#This Row],[AREA]],Hoja1!A:B,2,FALSE)</f>
        <v>10. Servicios sociales y mediación comunitaria</v>
      </c>
      <c r="U2594" s="56" t="str">
        <f>MID(Tabla1[[#This Row],[Aplicación]],9,4)</f>
        <v>2312</v>
      </c>
      <c r="V2594" s="35" t="str">
        <f>VLOOKUP(Tabla1[[#This Row],[PROGRAMA]],Hoja1!A:B,2,FALSE)</f>
        <v>2312. Iniciativas sociales</v>
      </c>
      <c r="W2594" s="56" t="str">
        <f>MID(Tabla1[[#This Row],[Aplicación]],14,2)</f>
        <v>21</v>
      </c>
      <c r="X2594" s="56" t="str">
        <f>MID(Tabla1[[#This Row],[Aplicación]],14,6)</f>
        <v>212</v>
      </c>
    </row>
    <row r="2595" spans="1:24" x14ac:dyDescent="0.25">
      <c r="A2595" s="62">
        <v>220230021930</v>
      </c>
      <c r="B2595" s="44" t="s">
        <v>507</v>
      </c>
      <c r="C2595" s="64">
        <v>45064</v>
      </c>
      <c r="D2595" s="62">
        <v>22023004498</v>
      </c>
      <c r="E2595" s="44" t="s">
        <v>1506</v>
      </c>
      <c r="F2595" s="65">
        <v>208.25</v>
      </c>
      <c r="G2595" s="44" t="s">
        <v>2477</v>
      </c>
      <c r="H2595" s="44" t="s">
        <v>4214</v>
      </c>
      <c r="I2595" s="62" t="s">
        <v>511</v>
      </c>
      <c r="J2595" s="44" t="s">
        <v>519</v>
      </c>
      <c r="K2595" s="44" t="s">
        <v>519</v>
      </c>
      <c r="L2595" s="44" t="s">
        <v>552</v>
      </c>
      <c r="M2595" s="44" t="s">
        <v>514</v>
      </c>
      <c r="N2595" s="44" t="s">
        <v>515</v>
      </c>
      <c r="O2595" s="45" t="s">
        <v>383</v>
      </c>
      <c r="P2595" s="45" t="s">
        <v>3760</v>
      </c>
      <c r="Q2595" s="59" t="str">
        <f>MID(Tabla1[[#This Row],[Aplicación]],14,1)</f>
        <v>2</v>
      </c>
      <c r="R2595" s="35" t="s">
        <v>298</v>
      </c>
      <c r="S2595" s="59" t="str">
        <f>MID(Tabla1[[#This Row],[Aplicación]],6,2)</f>
        <v>03</v>
      </c>
      <c r="T2595" s="35" t="str">
        <f>VLOOKUP(Tabla1[[#This Row],[AREA]],Hoja1!A:B,2,FALSE)</f>
        <v>03. Participación ciudadana y deportes</v>
      </c>
      <c r="U2595" s="56" t="str">
        <f>MID(Tabla1[[#This Row],[Aplicación]],9,4)</f>
        <v>9241</v>
      </c>
      <c r="V2595" s="35" t="str">
        <f>VLOOKUP(Tabla1[[#This Row],[PROGRAMA]],Hoja1!A:B,2,FALSE)</f>
        <v>9241. Participación ciudadana</v>
      </c>
      <c r="W2595" s="56" t="str">
        <f>MID(Tabla1[[#This Row],[Aplicación]],14,2)</f>
        <v>21</v>
      </c>
      <c r="X2595" s="56" t="str">
        <f>MID(Tabla1[[#This Row],[Aplicación]],14,6)</f>
        <v>212</v>
      </c>
    </row>
    <row r="2596" spans="1:24" x14ac:dyDescent="0.25">
      <c r="A2596" s="62">
        <v>220230021933</v>
      </c>
      <c r="B2596" s="44" t="s">
        <v>507</v>
      </c>
      <c r="C2596" s="64">
        <v>45064</v>
      </c>
      <c r="D2596" s="62">
        <v>22023004547</v>
      </c>
      <c r="E2596" s="44" t="s">
        <v>3068</v>
      </c>
      <c r="F2596" s="65">
        <v>326.02</v>
      </c>
      <c r="G2596" s="44" t="s">
        <v>2477</v>
      </c>
      <c r="H2596" s="44" t="s">
        <v>4215</v>
      </c>
      <c r="I2596" s="62" t="s">
        <v>511</v>
      </c>
      <c r="J2596" s="44" t="s">
        <v>519</v>
      </c>
      <c r="K2596" s="44" t="s">
        <v>519</v>
      </c>
      <c r="L2596" s="44" t="s">
        <v>552</v>
      </c>
      <c r="M2596" s="44" t="s">
        <v>976</v>
      </c>
      <c r="N2596" s="44" t="s">
        <v>839</v>
      </c>
      <c r="O2596" s="45" t="s">
        <v>383</v>
      </c>
      <c r="P2596" s="45" t="s">
        <v>3760</v>
      </c>
      <c r="Q2596" s="59" t="str">
        <f>MID(Tabla1[[#This Row],[Aplicación]],14,1)</f>
        <v>2</v>
      </c>
      <c r="R2596" s="35" t="s">
        <v>298</v>
      </c>
      <c r="S2596" s="59" t="str">
        <f>MID(Tabla1[[#This Row],[Aplicación]],6,2)</f>
        <v>05</v>
      </c>
      <c r="T2596" s="35" t="str">
        <f>VLOOKUP(Tabla1[[#This Row],[AREA]],Hoja1!A:B,2,FALSE)</f>
        <v>05. Innovación, desarrollo económico, empleo y comercio</v>
      </c>
      <c r="U2596" s="56" t="str">
        <f>MID(Tabla1[[#This Row],[Aplicación]],9,4)</f>
        <v>4312</v>
      </c>
      <c r="V2596" s="35" t="str">
        <f>VLOOKUP(Tabla1[[#This Row],[PROGRAMA]],Hoja1!A:B,2,FALSE)</f>
        <v>4312. Mercados, abastos y lonjas</v>
      </c>
      <c r="W2596" s="56" t="str">
        <f>MID(Tabla1[[#This Row],[Aplicación]],14,2)</f>
        <v>22</v>
      </c>
      <c r="X2596" s="56" t="str">
        <f>MID(Tabla1[[#This Row],[Aplicación]],14,6)</f>
        <v>22199</v>
      </c>
    </row>
    <row r="2597" spans="1:24" x14ac:dyDescent="0.25">
      <c r="A2597" s="62">
        <v>220230026555</v>
      </c>
      <c r="B2597" s="44" t="s">
        <v>1514</v>
      </c>
      <c r="C2597" s="64">
        <v>45077</v>
      </c>
      <c r="D2597" s="62">
        <v>22023001130</v>
      </c>
      <c r="E2597" s="44" t="s">
        <v>1072</v>
      </c>
      <c r="F2597" s="65">
        <v>20.51</v>
      </c>
      <c r="G2597" s="44" t="s">
        <v>2477</v>
      </c>
      <c r="H2597" s="44" t="s">
        <v>3374</v>
      </c>
      <c r="I2597" s="62" t="s">
        <v>1517</v>
      </c>
      <c r="J2597" s="44" t="s">
        <v>519</v>
      </c>
      <c r="K2597" s="44" t="s">
        <v>519</v>
      </c>
      <c r="L2597" s="44" t="s">
        <v>520</v>
      </c>
      <c r="M2597" s="44" t="s">
        <v>976</v>
      </c>
      <c r="N2597" s="44" t="s">
        <v>839</v>
      </c>
      <c r="O2597" s="45" t="s">
        <v>383</v>
      </c>
      <c r="P2597" s="45" t="s">
        <v>3760</v>
      </c>
      <c r="Q2597" s="59" t="str">
        <f>MID(Tabla1[[#This Row],[Aplicación]],14,1)</f>
        <v>2</v>
      </c>
      <c r="R2597" s="35" t="s">
        <v>298</v>
      </c>
      <c r="S2597" s="59" t="str">
        <f>MID(Tabla1[[#This Row],[Aplicación]],6,2)</f>
        <v>07</v>
      </c>
      <c r="T2597" s="35" t="str">
        <f>VLOOKUP(Tabla1[[#This Row],[AREA]],Hoja1!A:B,2,FALSE)</f>
        <v>07. Medio ambiente y desarrollo sostenible</v>
      </c>
      <c r="U2597" s="56" t="str">
        <f>MID(Tabla1[[#This Row],[Aplicación]],9,4)</f>
        <v>1721</v>
      </c>
      <c r="V2597" s="35" t="str">
        <f>VLOOKUP(Tabla1[[#This Row],[PROGRAMA]],Hoja1!A:B,2,FALSE)</f>
        <v>1721. Protección del medio ambiente</v>
      </c>
      <c r="W2597" s="56" t="str">
        <f>MID(Tabla1[[#This Row],[Aplicación]],14,2)</f>
        <v>22</v>
      </c>
      <c r="X2597" s="56" t="str">
        <f>MID(Tabla1[[#This Row],[Aplicación]],14,6)</f>
        <v>22199</v>
      </c>
    </row>
    <row r="2598" spans="1:24" x14ac:dyDescent="0.25">
      <c r="A2598" s="62">
        <v>220230026580</v>
      </c>
      <c r="B2598" s="44" t="s">
        <v>1514</v>
      </c>
      <c r="C2598" s="64">
        <v>45077</v>
      </c>
      <c r="D2598" s="62">
        <v>22023001468</v>
      </c>
      <c r="E2598" s="44" t="s">
        <v>1512</v>
      </c>
      <c r="F2598" s="65">
        <v>196.26</v>
      </c>
      <c r="G2598" s="44" t="s">
        <v>2477</v>
      </c>
      <c r="H2598" s="44" t="s">
        <v>4216</v>
      </c>
      <c r="I2598" s="62" t="s">
        <v>1517</v>
      </c>
      <c r="J2598" s="44" t="s">
        <v>519</v>
      </c>
      <c r="K2598" s="44" t="s">
        <v>519</v>
      </c>
      <c r="L2598" s="44" t="s">
        <v>552</v>
      </c>
      <c r="M2598" s="44" t="s">
        <v>976</v>
      </c>
      <c r="N2598" s="44" t="s">
        <v>839</v>
      </c>
      <c r="O2598" s="45" t="s">
        <v>383</v>
      </c>
      <c r="P2598" s="45" t="s">
        <v>3760</v>
      </c>
      <c r="Q2598" s="59" t="str">
        <f>MID(Tabla1[[#This Row],[Aplicación]],14,1)</f>
        <v>2</v>
      </c>
      <c r="R2598" s="35" t="s">
        <v>298</v>
      </c>
      <c r="S2598" s="59" t="str">
        <f>MID(Tabla1[[#This Row],[Aplicación]],6,2)</f>
        <v>10</v>
      </c>
      <c r="T2598" s="35" t="str">
        <f>VLOOKUP(Tabla1[[#This Row],[AREA]],Hoja1!A:B,2,FALSE)</f>
        <v>10. Servicios sociales y mediación comunitaria</v>
      </c>
      <c r="U2598" s="56" t="str">
        <f>MID(Tabla1[[#This Row],[Aplicación]],9,4)</f>
        <v>2312</v>
      </c>
      <c r="V2598" s="35" t="str">
        <f>VLOOKUP(Tabla1[[#This Row],[PROGRAMA]],Hoja1!A:B,2,FALSE)</f>
        <v>2312. Iniciativas sociales</v>
      </c>
      <c r="W2598" s="56" t="str">
        <f>MID(Tabla1[[#This Row],[Aplicación]],14,2)</f>
        <v>21</v>
      </c>
      <c r="X2598" s="56" t="str">
        <f>MID(Tabla1[[#This Row],[Aplicación]],14,6)</f>
        <v>212</v>
      </c>
    </row>
    <row r="2599" spans="1:24" x14ac:dyDescent="0.25">
      <c r="A2599" s="62">
        <v>220230013493</v>
      </c>
      <c r="B2599" s="44" t="s">
        <v>1514</v>
      </c>
      <c r="C2599" s="64">
        <v>45021</v>
      </c>
      <c r="D2599" s="62">
        <v>22023002053</v>
      </c>
      <c r="E2599" s="44" t="s">
        <v>2107</v>
      </c>
      <c r="F2599" s="65">
        <v>1341.87</v>
      </c>
      <c r="G2599" s="44" t="s">
        <v>2108</v>
      </c>
      <c r="H2599" s="44" t="s">
        <v>4217</v>
      </c>
      <c r="I2599" s="62" t="s">
        <v>1517</v>
      </c>
      <c r="J2599" s="44" t="s">
        <v>519</v>
      </c>
      <c r="K2599" s="44" t="s">
        <v>519</v>
      </c>
      <c r="L2599" s="44" t="s">
        <v>552</v>
      </c>
      <c r="M2599" s="44" t="s">
        <v>514</v>
      </c>
      <c r="N2599" s="44" t="s">
        <v>515</v>
      </c>
      <c r="O2599" s="45" t="s">
        <v>382</v>
      </c>
      <c r="P2599" s="45" t="s">
        <v>3760</v>
      </c>
      <c r="Q2599" s="59" t="str">
        <f>MID(Tabla1[[#This Row],[Aplicación]],14,1)</f>
        <v>2</v>
      </c>
      <c r="R2599" s="35" t="s">
        <v>298</v>
      </c>
      <c r="S2599" s="59" t="str">
        <f>MID(Tabla1[[#This Row],[Aplicación]],6,2)</f>
        <v>07</v>
      </c>
      <c r="T2599" s="35" t="str">
        <f>VLOOKUP(Tabla1[[#This Row],[AREA]],Hoja1!A:B,2,FALSE)</f>
        <v>07. Medio ambiente y desarrollo sostenible</v>
      </c>
      <c r="U2599" s="56" t="str">
        <f>MID(Tabla1[[#This Row],[Aplicación]],9,4)</f>
        <v>1711</v>
      </c>
      <c r="V2599" s="35" t="str">
        <f>VLOOKUP(Tabla1[[#This Row],[PROGRAMA]],Hoja1!A:B,2,FALSE)</f>
        <v>1711. Parques y jardines</v>
      </c>
      <c r="W2599" s="56" t="str">
        <f>MID(Tabla1[[#This Row],[Aplicación]],14,2)</f>
        <v>21</v>
      </c>
      <c r="X2599" s="56" t="str">
        <f>MID(Tabla1[[#This Row],[Aplicación]],14,6)</f>
        <v>213</v>
      </c>
    </row>
    <row r="2600" spans="1:24" x14ac:dyDescent="0.25">
      <c r="A2600" s="62">
        <v>220230014558</v>
      </c>
      <c r="B2600" s="44" t="s">
        <v>1514</v>
      </c>
      <c r="C2600" s="64">
        <v>45040</v>
      </c>
      <c r="D2600" s="62">
        <v>22023001473</v>
      </c>
      <c r="E2600" s="44" t="s">
        <v>1683</v>
      </c>
      <c r="F2600" s="65">
        <v>2814.41</v>
      </c>
      <c r="G2600" s="44" t="s">
        <v>2636</v>
      </c>
      <c r="H2600" s="44" t="s">
        <v>4218</v>
      </c>
      <c r="I2600" s="62" t="s">
        <v>1517</v>
      </c>
      <c r="J2600" s="44" t="s">
        <v>519</v>
      </c>
      <c r="K2600" s="44" t="s">
        <v>519</v>
      </c>
      <c r="L2600" s="44" t="s">
        <v>552</v>
      </c>
      <c r="M2600" s="44" t="s">
        <v>514</v>
      </c>
      <c r="N2600" s="44" t="s">
        <v>515</v>
      </c>
      <c r="O2600" s="45" t="s">
        <v>382</v>
      </c>
      <c r="P2600" s="45" t="s">
        <v>3760</v>
      </c>
      <c r="Q2600" s="59" t="str">
        <f>MID(Tabla1[[#This Row],[Aplicación]],14,1)</f>
        <v>2</v>
      </c>
      <c r="R2600" s="35" t="s">
        <v>298</v>
      </c>
      <c r="S2600" s="59" t="str">
        <f>MID(Tabla1[[#This Row],[Aplicación]],6,2)</f>
        <v>11</v>
      </c>
      <c r="T2600" s="35" t="str">
        <f>VLOOKUP(Tabla1[[#This Row],[AREA]],Hoja1!A:B,2,FALSE)</f>
        <v>11. Salud pública y seguridad ciudadana</v>
      </c>
      <c r="U2600" s="56" t="str">
        <f>MID(Tabla1[[#This Row],[Aplicación]],9,4)</f>
        <v>1631</v>
      </c>
      <c r="V2600" s="35" t="str">
        <f>VLOOKUP(Tabla1[[#This Row],[PROGRAMA]],Hoja1!A:B,2,FALSE)</f>
        <v>1631. Limpieza viaria</v>
      </c>
      <c r="W2600" s="56" t="str">
        <f>MID(Tabla1[[#This Row],[Aplicación]],14,2)</f>
        <v>21</v>
      </c>
      <c r="X2600" s="56" t="str">
        <f>MID(Tabla1[[#This Row],[Aplicación]],14,6)</f>
        <v>214</v>
      </c>
    </row>
    <row r="2601" spans="1:24" x14ac:dyDescent="0.25">
      <c r="A2601" s="62">
        <v>220230016040</v>
      </c>
      <c r="B2601" s="44" t="s">
        <v>1514</v>
      </c>
      <c r="C2601" s="64">
        <v>45043</v>
      </c>
      <c r="D2601" s="62">
        <v>22023000263</v>
      </c>
      <c r="E2601" s="44" t="s">
        <v>3146</v>
      </c>
      <c r="F2601" s="65">
        <v>114.25</v>
      </c>
      <c r="G2601" s="44" t="s">
        <v>2636</v>
      </c>
      <c r="H2601" s="44" t="s">
        <v>4219</v>
      </c>
      <c r="I2601" s="62" t="s">
        <v>1517</v>
      </c>
      <c r="J2601" s="44" t="s">
        <v>519</v>
      </c>
      <c r="K2601" s="44" t="s">
        <v>519</v>
      </c>
      <c r="L2601" s="44" t="s">
        <v>520</v>
      </c>
      <c r="M2601" s="44" t="s">
        <v>514</v>
      </c>
      <c r="N2601" s="44" t="s">
        <v>515</v>
      </c>
      <c r="O2601" s="45" t="s">
        <v>382</v>
      </c>
      <c r="P2601" s="45" t="s">
        <v>3760</v>
      </c>
      <c r="Q2601" s="59" t="str">
        <f>MID(Tabla1[[#This Row],[Aplicación]],14,1)</f>
        <v>2</v>
      </c>
      <c r="R2601" s="35" t="s">
        <v>298</v>
      </c>
      <c r="S2601" s="59" t="str">
        <f>MID(Tabla1[[#This Row],[Aplicación]],6,2)</f>
        <v>02</v>
      </c>
      <c r="T2601" s="35" t="str">
        <f>VLOOKUP(Tabla1[[#This Row],[AREA]],Hoja1!A:B,2,FALSE)</f>
        <v>02. Planeamiento urbanístico y vivienda</v>
      </c>
      <c r="U2601" s="56" t="str">
        <f>MID(Tabla1[[#This Row],[Aplicación]],9,4)</f>
        <v>9332</v>
      </c>
      <c r="V2601" s="35" t="str">
        <f>VLOOKUP(Tabla1[[#This Row],[PROGRAMA]],Hoja1!A:B,2,FALSE)</f>
        <v>9332. Mantenimiento de edificios e instalaciones municipales</v>
      </c>
      <c r="W2601" s="56" t="str">
        <f>MID(Tabla1[[#This Row],[Aplicación]],14,2)</f>
        <v>21</v>
      </c>
      <c r="X2601" s="56" t="str">
        <f>MID(Tabla1[[#This Row],[Aplicación]],14,6)</f>
        <v>214</v>
      </c>
    </row>
    <row r="2602" spans="1:24" x14ac:dyDescent="0.25">
      <c r="A2602" s="62">
        <v>220230016105</v>
      </c>
      <c r="B2602" s="44" t="s">
        <v>1514</v>
      </c>
      <c r="C2602" s="64">
        <v>45043</v>
      </c>
      <c r="D2602" s="62">
        <v>22023001462</v>
      </c>
      <c r="E2602" s="44" t="s">
        <v>1290</v>
      </c>
      <c r="F2602" s="65">
        <v>2933.5</v>
      </c>
      <c r="G2602" s="44" t="s">
        <v>2636</v>
      </c>
      <c r="H2602" s="44" t="s">
        <v>4220</v>
      </c>
      <c r="I2602" s="62" t="s">
        <v>1517</v>
      </c>
      <c r="J2602" s="44" t="s">
        <v>519</v>
      </c>
      <c r="K2602" s="44" t="s">
        <v>519</v>
      </c>
      <c r="L2602" s="44" t="s">
        <v>552</v>
      </c>
      <c r="M2602" s="44" t="s">
        <v>514</v>
      </c>
      <c r="N2602" s="44" t="s">
        <v>515</v>
      </c>
      <c r="O2602" s="45" t="s">
        <v>382</v>
      </c>
      <c r="P2602" s="45" t="s">
        <v>3760</v>
      </c>
      <c r="Q2602" s="59" t="str">
        <f>MID(Tabla1[[#This Row],[Aplicación]],14,1)</f>
        <v>2</v>
      </c>
      <c r="R2602" s="35" t="s">
        <v>298</v>
      </c>
      <c r="S2602" s="59" t="str">
        <f>MID(Tabla1[[#This Row],[Aplicación]],6,2)</f>
        <v>11</v>
      </c>
      <c r="T2602" s="35" t="str">
        <f>VLOOKUP(Tabla1[[#This Row],[AREA]],Hoja1!A:B,2,FALSE)</f>
        <v>11. Salud pública y seguridad ciudadana</v>
      </c>
      <c r="U2602" s="56" t="str">
        <f>MID(Tabla1[[#This Row],[Aplicación]],9,4)</f>
        <v>1621</v>
      </c>
      <c r="V2602" s="35" t="str">
        <f>VLOOKUP(Tabla1[[#This Row],[PROGRAMA]],Hoja1!A:B,2,FALSE)</f>
        <v>1621. Servicio de limpieza</v>
      </c>
      <c r="W2602" s="56" t="str">
        <f>MID(Tabla1[[#This Row],[Aplicación]],14,2)</f>
        <v>21</v>
      </c>
      <c r="X2602" s="56" t="str">
        <f>MID(Tabla1[[#This Row],[Aplicación]],14,6)</f>
        <v>214</v>
      </c>
    </row>
    <row r="2603" spans="1:24" x14ac:dyDescent="0.25">
      <c r="A2603" s="62">
        <v>220230018538</v>
      </c>
      <c r="B2603" s="44" t="s">
        <v>1514</v>
      </c>
      <c r="C2603" s="64">
        <v>45055</v>
      </c>
      <c r="D2603" s="62">
        <v>22023001462</v>
      </c>
      <c r="E2603" s="44" t="s">
        <v>1290</v>
      </c>
      <c r="F2603" s="65">
        <v>1337.95</v>
      </c>
      <c r="G2603" s="44" t="s">
        <v>2636</v>
      </c>
      <c r="H2603" s="44" t="s">
        <v>4221</v>
      </c>
      <c r="I2603" s="62" t="s">
        <v>1517</v>
      </c>
      <c r="J2603" s="44" t="s">
        <v>519</v>
      </c>
      <c r="K2603" s="44" t="s">
        <v>519</v>
      </c>
      <c r="L2603" s="44" t="s">
        <v>552</v>
      </c>
      <c r="M2603" s="44" t="s">
        <v>514</v>
      </c>
      <c r="N2603" s="44" t="s">
        <v>515</v>
      </c>
      <c r="O2603" s="45" t="s">
        <v>382</v>
      </c>
      <c r="P2603" s="45" t="s">
        <v>3760</v>
      </c>
      <c r="Q2603" s="59" t="str">
        <f>MID(Tabla1[[#This Row],[Aplicación]],14,1)</f>
        <v>2</v>
      </c>
      <c r="R2603" s="35" t="s">
        <v>298</v>
      </c>
      <c r="S2603" s="59" t="str">
        <f>MID(Tabla1[[#This Row],[Aplicación]],6,2)</f>
        <v>11</v>
      </c>
      <c r="T2603" s="35" t="str">
        <f>VLOOKUP(Tabla1[[#This Row],[AREA]],Hoja1!A:B,2,FALSE)</f>
        <v>11. Salud pública y seguridad ciudadana</v>
      </c>
      <c r="U2603" s="56" t="str">
        <f>MID(Tabla1[[#This Row],[Aplicación]],9,4)</f>
        <v>1621</v>
      </c>
      <c r="V2603" s="35" t="str">
        <f>VLOOKUP(Tabla1[[#This Row],[PROGRAMA]],Hoja1!A:B,2,FALSE)</f>
        <v>1621. Servicio de limpieza</v>
      </c>
      <c r="W2603" s="56" t="str">
        <f>MID(Tabla1[[#This Row],[Aplicación]],14,2)</f>
        <v>21</v>
      </c>
      <c r="X2603" s="56" t="str">
        <f>MID(Tabla1[[#This Row],[Aplicación]],14,6)</f>
        <v>214</v>
      </c>
    </row>
    <row r="2604" spans="1:24" x14ac:dyDescent="0.25">
      <c r="A2604" s="62">
        <v>220230020130</v>
      </c>
      <c r="B2604" s="44" t="s">
        <v>1514</v>
      </c>
      <c r="C2604" s="64">
        <v>45057</v>
      </c>
      <c r="D2604" s="62">
        <v>22023001462</v>
      </c>
      <c r="E2604" s="44" t="s">
        <v>1290</v>
      </c>
      <c r="F2604" s="65">
        <v>322.89999999999998</v>
      </c>
      <c r="G2604" s="44" t="s">
        <v>2636</v>
      </c>
      <c r="H2604" s="44" t="s">
        <v>4222</v>
      </c>
      <c r="I2604" s="62" t="s">
        <v>1517</v>
      </c>
      <c r="J2604" s="44" t="s">
        <v>519</v>
      </c>
      <c r="K2604" s="44" t="s">
        <v>519</v>
      </c>
      <c r="L2604" s="44" t="s">
        <v>552</v>
      </c>
      <c r="M2604" s="44" t="s">
        <v>514</v>
      </c>
      <c r="N2604" s="44" t="s">
        <v>515</v>
      </c>
      <c r="O2604" s="45" t="s">
        <v>382</v>
      </c>
      <c r="P2604" s="45" t="s">
        <v>3760</v>
      </c>
      <c r="Q2604" s="59" t="str">
        <f>MID(Tabla1[[#This Row],[Aplicación]],14,1)</f>
        <v>2</v>
      </c>
      <c r="R2604" s="35" t="s">
        <v>298</v>
      </c>
      <c r="S2604" s="59" t="str">
        <f>MID(Tabla1[[#This Row],[Aplicación]],6,2)</f>
        <v>11</v>
      </c>
      <c r="T2604" s="35" t="str">
        <f>VLOOKUP(Tabla1[[#This Row],[AREA]],Hoja1!A:B,2,FALSE)</f>
        <v>11. Salud pública y seguridad ciudadana</v>
      </c>
      <c r="U2604" s="56" t="str">
        <f>MID(Tabla1[[#This Row],[Aplicación]],9,4)</f>
        <v>1621</v>
      </c>
      <c r="V2604" s="35" t="str">
        <f>VLOOKUP(Tabla1[[#This Row],[PROGRAMA]],Hoja1!A:B,2,FALSE)</f>
        <v>1621. Servicio de limpieza</v>
      </c>
      <c r="W2604" s="56" t="str">
        <f>MID(Tabla1[[#This Row],[Aplicación]],14,2)</f>
        <v>21</v>
      </c>
      <c r="X2604" s="56" t="str">
        <f>MID(Tabla1[[#This Row],[Aplicación]],14,6)</f>
        <v>214</v>
      </c>
    </row>
    <row r="2605" spans="1:24" x14ac:dyDescent="0.25">
      <c r="A2605" s="62">
        <v>220230014537</v>
      </c>
      <c r="B2605" s="44" t="s">
        <v>1514</v>
      </c>
      <c r="C2605" s="64">
        <v>45040</v>
      </c>
      <c r="D2605" s="62">
        <v>22023001466</v>
      </c>
      <c r="E2605" s="44" t="s">
        <v>2624</v>
      </c>
      <c r="F2605" s="65">
        <v>621.09</v>
      </c>
      <c r="G2605" s="44" t="s">
        <v>70</v>
      </c>
      <c r="H2605" s="44" t="s">
        <v>4223</v>
      </c>
      <c r="I2605" s="62" t="s">
        <v>1517</v>
      </c>
      <c r="J2605" s="44" t="s">
        <v>519</v>
      </c>
      <c r="K2605" s="44" t="s">
        <v>519</v>
      </c>
      <c r="L2605" s="44" t="s">
        <v>552</v>
      </c>
      <c r="M2605" s="44" t="s">
        <v>514</v>
      </c>
      <c r="N2605" s="44" t="s">
        <v>515</v>
      </c>
      <c r="O2605" s="45" t="s">
        <v>382</v>
      </c>
      <c r="P2605" s="45" t="s">
        <v>3760</v>
      </c>
      <c r="Q2605" s="59" t="str">
        <f>MID(Tabla1[[#This Row],[Aplicación]],14,1)</f>
        <v>2</v>
      </c>
      <c r="R2605" s="35" t="s">
        <v>298</v>
      </c>
      <c r="S2605" s="59" t="str">
        <f>MID(Tabla1[[#This Row],[Aplicación]],6,2)</f>
        <v>11</v>
      </c>
      <c r="T2605" s="35" t="str">
        <f>VLOOKUP(Tabla1[[#This Row],[AREA]],Hoja1!A:B,2,FALSE)</f>
        <v>11. Salud pública y seguridad ciudadana</v>
      </c>
      <c r="U2605" s="56" t="str">
        <f>MID(Tabla1[[#This Row],[Aplicación]],9,4)</f>
        <v>1621</v>
      </c>
      <c r="V2605" s="35" t="str">
        <f>VLOOKUP(Tabla1[[#This Row],[PROGRAMA]],Hoja1!A:B,2,FALSE)</f>
        <v>1621. Servicio de limpieza</v>
      </c>
      <c r="W2605" s="56" t="str">
        <f>MID(Tabla1[[#This Row],[Aplicación]],14,2)</f>
        <v>22</v>
      </c>
      <c r="X2605" s="56" t="str">
        <f>MID(Tabla1[[#This Row],[Aplicación]],14,6)</f>
        <v>22199</v>
      </c>
    </row>
    <row r="2606" spans="1:24" x14ac:dyDescent="0.25">
      <c r="A2606" s="62">
        <v>220230016269</v>
      </c>
      <c r="B2606" s="44" t="s">
        <v>1514</v>
      </c>
      <c r="C2606" s="64">
        <v>45043</v>
      </c>
      <c r="D2606" s="62">
        <v>22023001578</v>
      </c>
      <c r="E2606" s="44" t="s">
        <v>2275</v>
      </c>
      <c r="F2606" s="65">
        <v>205.53</v>
      </c>
      <c r="G2606" s="44" t="s">
        <v>70</v>
      </c>
      <c r="H2606" s="44" t="s">
        <v>4224</v>
      </c>
      <c r="I2606" s="62" t="s">
        <v>1517</v>
      </c>
      <c r="J2606" s="44" t="s">
        <v>519</v>
      </c>
      <c r="K2606" s="44" t="s">
        <v>519</v>
      </c>
      <c r="L2606" s="44" t="s">
        <v>552</v>
      </c>
      <c r="M2606" s="44" t="s">
        <v>514</v>
      </c>
      <c r="N2606" s="44" t="s">
        <v>515</v>
      </c>
      <c r="O2606" s="45" t="s">
        <v>382</v>
      </c>
      <c r="P2606" s="45" t="s">
        <v>3760</v>
      </c>
      <c r="Q2606" s="59" t="str">
        <f>MID(Tabla1[[#This Row],[Aplicación]],14,1)</f>
        <v>2</v>
      </c>
      <c r="R2606" s="35" t="s">
        <v>298</v>
      </c>
      <c r="S2606" s="59" t="str">
        <f>MID(Tabla1[[#This Row],[Aplicación]],6,2)</f>
        <v>11</v>
      </c>
      <c r="T2606" s="35" t="str">
        <f>VLOOKUP(Tabla1[[#This Row],[AREA]],Hoja1!A:B,2,FALSE)</f>
        <v>11. Salud pública y seguridad ciudadana</v>
      </c>
      <c r="U2606" s="56" t="str">
        <f>MID(Tabla1[[#This Row],[Aplicación]],9,4)</f>
        <v>3111</v>
      </c>
      <c r="V2606" s="35" t="str">
        <f>VLOOKUP(Tabla1[[#This Row],[PROGRAMA]],Hoja1!A:B,2,FALSE)</f>
        <v>3111. Protección de la salubridad pública</v>
      </c>
      <c r="W2606" s="56" t="str">
        <f>MID(Tabla1[[#This Row],[Aplicación]],14,2)</f>
        <v>22</v>
      </c>
      <c r="X2606" s="56" t="str">
        <f>MID(Tabla1[[#This Row],[Aplicación]],14,6)</f>
        <v>22199</v>
      </c>
    </row>
    <row r="2607" spans="1:24" x14ac:dyDescent="0.25">
      <c r="A2607" s="62">
        <v>220230026546</v>
      </c>
      <c r="B2607" s="44" t="s">
        <v>1514</v>
      </c>
      <c r="C2607" s="64">
        <v>45077</v>
      </c>
      <c r="D2607" s="62">
        <v>22023001578</v>
      </c>
      <c r="E2607" s="44" t="s">
        <v>2275</v>
      </c>
      <c r="F2607" s="65">
        <v>170.79</v>
      </c>
      <c r="G2607" s="44" t="s">
        <v>70</v>
      </c>
      <c r="H2607" s="44" t="s">
        <v>4225</v>
      </c>
      <c r="I2607" s="62" t="s">
        <v>1517</v>
      </c>
      <c r="J2607" s="44" t="s">
        <v>519</v>
      </c>
      <c r="K2607" s="44" t="s">
        <v>519</v>
      </c>
      <c r="L2607" s="44" t="s">
        <v>552</v>
      </c>
      <c r="M2607" s="44" t="s">
        <v>514</v>
      </c>
      <c r="N2607" s="44" t="s">
        <v>515</v>
      </c>
      <c r="O2607" s="45" t="s">
        <v>382</v>
      </c>
      <c r="P2607" s="45" t="s">
        <v>3760</v>
      </c>
      <c r="Q2607" s="59" t="str">
        <f>MID(Tabla1[[#This Row],[Aplicación]],14,1)</f>
        <v>2</v>
      </c>
      <c r="R2607" s="35" t="s">
        <v>298</v>
      </c>
      <c r="S2607" s="59" t="str">
        <f>MID(Tabla1[[#This Row],[Aplicación]],6,2)</f>
        <v>11</v>
      </c>
      <c r="T2607" s="35" t="str">
        <f>VLOOKUP(Tabla1[[#This Row],[AREA]],Hoja1!A:B,2,FALSE)</f>
        <v>11. Salud pública y seguridad ciudadana</v>
      </c>
      <c r="U2607" s="56" t="str">
        <f>MID(Tabla1[[#This Row],[Aplicación]],9,4)</f>
        <v>3111</v>
      </c>
      <c r="V2607" s="35" t="str">
        <f>VLOOKUP(Tabla1[[#This Row],[PROGRAMA]],Hoja1!A:B,2,FALSE)</f>
        <v>3111. Protección de la salubridad pública</v>
      </c>
      <c r="W2607" s="56" t="str">
        <f>MID(Tabla1[[#This Row],[Aplicación]],14,2)</f>
        <v>22</v>
      </c>
      <c r="X2607" s="56" t="str">
        <f>MID(Tabla1[[#This Row],[Aplicación]],14,6)</f>
        <v>22199</v>
      </c>
    </row>
    <row r="2608" spans="1:24" x14ac:dyDescent="0.25">
      <c r="A2608" s="62">
        <v>220230020998</v>
      </c>
      <c r="B2608" s="44" t="s">
        <v>1514</v>
      </c>
      <c r="C2608" s="64">
        <v>45062</v>
      </c>
      <c r="D2608" s="62">
        <v>22023001469</v>
      </c>
      <c r="E2608" s="44" t="s">
        <v>1683</v>
      </c>
      <c r="F2608" s="65">
        <v>1092.7</v>
      </c>
      <c r="G2608" s="44" t="s">
        <v>4226</v>
      </c>
      <c r="H2608" s="44" t="s">
        <v>4227</v>
      </c>
      <c r="I2608" s="62" t="s">
        <v>1517</v>
      </c>
      <c r="J2608" s="44" t="s">
        <v>519</v>
      </c>
      <c r="K2608" s="44" t="s">
        <v>519</v>
      </c>
      <c r="L2608" s="44" t="s">
        <v>520</v>
      </c>
      <c r="M2608" s="44" t="s">
        <v>514</v>
      </c>
      <c r="N2608" s="44" t="s">
        <v>515</v>
      </c>
      <c r="O2608" s="45" t="s">
        <v>382</v>
      </c>
      <c r="P2608" s="45" t="s">
        <v>3760</v>
      </c>
      <c r="Q2608" s="59" t="str">
        <f>MID(Tabla1[[#This Row],[Aplicación]],14,1)</f>
        <v>2</v>
      </c>
      <c r="R2608" s="35" t="s">
        <v>298</v>
      </c>
      <c r="S2608" s="59" t="str">
        <f>MID(Tabla1[[#This Row],[Aplicación]],6,2)</f>
        <v>11</v>
      </c>
      <c r="T2608" s="35" t="str">
        <f>VLOOKUP(Tabla1[[#This Row],[AREA]],Hoja1!A:B,2,FALSE)</f>
        <v>11. Salud pública y seguridad ciudadana</v>
      </c>
      <c r="U2608" s="56" t="str">
        <f>MID(Tabla1[[#This Row],[Aplicación]],9,4)</f>
        <v>1631</v>
      </c>
      <c r="V2608" s="35" t="str">
        <f>VLOOKUP(Tabla1[[#This Row],[PROGRAMA]],Hoja1!A:B,2,FALSE)</f>
        <v>1631. Limpieza viaria</v>
      </c>
      <c r="W2608" s="56" t="str">
        <f>MID(Tabla1[[#This Row],[Aplicación]],14,2)</f>
        <v>21</v>
      </c>
      <c r="X2608" s="56" t="str">
        <f>MID(Tabla1[[#This Row],[Aplicación]],14,6)</f>
        <v>214</v>
      </c>
    </row>
    <row r="2609" spans="1:24" x14ac:dyDescent="0.25">
      <c r="A2609" s="62">
        <v>220230013461</v>
      </c>
      <c r="B2609" s="44" t="s">
        <v>1514</v>
      </c>
      <c r="C2609" s="64">
        <v>45021</v>
      </c>
      <c r="D2609" s="62">
        <v>22023001956</v>
      </c>
      <c r="E2609" s="44" t="s">
        <v>1982</v>
      </c>
      <c r="F2609" s="65">
        <v>70</v>
      </c>
      <c r="G2609" s="44" t="s">
        <v>1993</v>
      </c>
      <c r="H2609" s="44" t="s">
        <v>4228</v>
      </c>
      <c r="I2609" s="62" t="s">
        <v>1517</v>
      </c>
      <c r="J2609" s="44" t="s">
        <v>519</v>
      </c>
      <c r="K2609" s="44" t="s">
        <v>519</v>
      </c>
      <c r="L2609" s="44" t="s">
        <v>552</v>
      </c>
      <c r="M2609" s="44" t="s">
        <v>514</v>
      </c>
      <c r="N2609" s="44" t="s">
        <v>515</v>
      </c>
      <c r="O2609" s="45" t="s">
        <v>382</v>
      </c>
      <c r="P2609" s="45" t="s">
        <v>3760</v>
      </c>
      <c r="Q2609" s="59" t="str">
        <f>MID(Tabla1[[#This Row],[Aplicación]],14,1)</f>
        <v>2</v>
      </c>
      <c r="R2609" s="35" t="s">
        <v>298</v>
      </c>
      <c r="S2609" s="59" t="str">
        <f>MID(Tabla1[[#This Row],[Aplicación]],6,2)</f>
        <v>07</v>
      </c>
      <c r="T2609" s="35" t="str">
        <f>VLOOKUP(Tabla1[[#This Row],[AREA]],Hoja1!A:B,2,FALSE)</f>
        <v>07. Medio ambiente y desarrollo sostenible</v>
      </c>
      <c r="U2609" s="56" t="str">
        <f>MID(Tabla1[[#This Row],[Aplicación]],9,4)</f>
        <v>1711</v>
      </c>
      <c r="V2609" s="35" t="str">
        <f>VLOOKUP(Tabla1[[#This Row],[PROGRAMA]],Hoja1!A:B,2,FALSE)</f>
        <v>1711. Parques y jardines</v>
      </c>
      <c r="W2609" s="56" t="str">
        <f>MID(Tabla1[[#This Row],[Aplicación]],14,2)</f>
        <v>21</v>
      </c>
      <c r="X2609" s="56" t="str">
        <f>MID(Tabla1[[#This Row],[Aplicación]],14,6)</f>
        <v>214</v>
      </c>
    </row>
    <row r="2610" spans="1:24" x14ac:dyDescent="0.25">
      <c r="A2610" s="62">
        <v>220230013497</v>
      </c>
      <c r="B2610" s="44" t="s">
        <v>1514</v>
      </c>
      <c r="C2610" s="64">
        <v>45021</v>
      </c>
      <c r="D2610" s="62">
        <v>22023001956</v>
      </c>
      <c r="E2610" s="44" t="s">
        <v>1982</v>
      </c>
      <c r="F2610" s="65">
        <v>39.93</v>
      </c>
      <c r="G2610" s="44" t="s">
        <v>1993</v>
      </c>
      <c r="H2610" s="44" t="s">
        <v>4229</v>
      </c>
      <c r="I2610" s="62" t="s">
        <v>1517</v>
      </c>
      <c r="J2610" s="44" t="s">
        <v>519</v>
      </c>
      <c r="K2610" s="44" t="s">
        <v>519</v>
      </c>
      <c r="L2610" s="44" t="s">
        <v>520</v>
      </c>
      <c r="M2610" s="44" t="s">
        <v>514</v>
      </c>
      <c r="N2610" s="44" t="s">
        <v>515</v>
      </c>
      <c r="O2610" s="45" t="s">
        <v>382</v>
      </c>
      <c r="P2610" s="45" t="s">
        <v>3760</v>
      </c>
      <c r="Q2610" s="59" t="str">
        <f>MID(Tabla1[[#This Row],[Aplicación]],14,1)</f>
        <v>2</v>
      </c>
      <c r="R2610" s="35" t="s">
        <v>298</v>
      </c>
      <c r="S2610" s="59" t="str">
        <f>MID(Tabla1[[#This Row],[Aplicación]],6,2)</f>
        <v>07</v>
      </c>
      <c r="T2610" s="35" t="str">
        <f>VLOOKUP(Tabla1[[#This Row],[AREA]],Hoja1!A:B,2,FALSE)</f>
        <v>07. Medio ambiente y desarrollo sostenible</v>
      </c>
      <c r="U2610" s="56" t="str">
        <f>MID(Tabla1[[#This Row],[Aplicación]],9,4)</f>
        <v>1711</v>
      </c>
      <c r="V2610" s="35" t="str">
        <f>VLOOKUP(Tabla1[[#This Row],[PROGRAMA]],Hoja1!A:B,2,FALSE)</f>
        <v>1711. Parques y jardines</v>
      </c>
      <c r="W2610" s="56" t="str">
        <f>MID(Tabla1[[#This Row],[Aplicación]],14,2)</f>
        <v>21</v>
      </c>
      <c r="X2610" s="56" t="str">
        <f>MID(Tabla1[[#This Row],[Aplicación]],14,6)</f>
        <v>214</v>
      </c>
    </row>
    <row r="2611" spans="1:24" x14ac:dyDescent="0.25">
      <c r="A2611" s="62">
        <v>220230016053</v>
      </c>
      <c r="B2611" s="44" t="s">
        <v>1514</v>
      </c>
      <c r="C2611" s="64">
        <v>45043</v>
      </c>
      <c r="D2611" s="62">
        <v>22023000213</v>
      </c>
      <c r="E2611" s="44" t="s">
        <v>1694</v>
      </c>
      <c r="F2611" s="65">
        <v>213.2</v>
      </c>
      <c r="G2611" s="44" t="s">
        <v>1993</v>
      </c>
      <c r="H2611" s="44" t="s">
        <v>4230</v>
      </c>
      <c r="I2611" s="62" t="s">
        <v>1517</v>
      </c>
      <c r="J2611" s="44" t="s">
        <v>519</v>
      </c>
      <c r="K2611" s="44" t="s">
        <v>519</v>
      </c>
      <c r="L2611" s="44" t="s">
        <v>520</v>
      </c>
      <c r="M2611" s="44" t="s">
        <v>514</v>
      </c>
      <c r="N2611" s="44" t="s">
        <v>515</v>
      </c>
      <c r="O2611" s="45" t="s">
        <v>382</v>
      </c>
      <c r="P2611" s="45" t="s">
        <v>3760</v>
      </c>
      <c r="Q2611" s="59" t="str">
        <f>MID(Tabla1[[#This Row],[Aplicación]],14,1)</f>
        <v>2</v>
      </c>
      <c r="R2611" s="35" t="s">
        <v>298</v>
      </c>
      <c r="S2611" s="59" t="str">
        <f>MID(Tabla1[[#This Row],[Aplicación]],6,2)</f>
        <v>11</v>
      </c>
      <c r="T2611" s="35" t="str">
        <f>VLOOKUP(Tabla1[[#This Row],[AREA]],Hoja1!A:B,2,FALSE)</f>
        <v>11. Salud pública y seguridad ciudadana</v>
      </c>
      <c r="U2611" s="56" t="str">
        <f>MID(Tabla1[[#This Row],[Aplicación]],9,4)</f>
        <v>1321</v>
      </c>
      <c r="V2611" s="35" t="str">
        <f>VLOOKUP(Tabla1[[#This Row],[PROGRAMA]],Hoja1!A:B,2,FALSE)</f>
        <v>1321. Policía municipal</v>
      </c>
      <c r="W2611" s="56" t="str">
        <f>MID(Tabla1[[#This Row],[Aplicación]],14,2)</f>
        <v>21</v>
      </c>
      <c r="X2611" s="56" t="str">
        <f>MID(Tabla1[[#This Row],[Aplicación]],14,6)</f>
        <v>214</v>
      </c>
    </row>
    <row r="2612" spans="1:24" x14ac:dyDescent="0.25">
      <c r="A2612" s="62">
        <v>220230016227</v>
      </c>
      <c r="B2612" s="44" t="s">
        <v>1514</v>
      </c>
      <c r="C2612" s="64">
        <v>45043</v>
      </c>
      <c r="D2612" s="62">
        <v>22023000213</v>
      </c>
      <c r="E2612" s="44" t="s">
        <v>1694</v>
      </c>
      <c r="F2612" s="65">
        <v>186.09</v>
      </c>
      <c r="G2612" s="44" t="s">
        <v>1993</v>
      </c>
      <c r="H2612" s="44" t="s">
        <v>2407</v>
      </c>
      <c r="I2612" s="62" t="s">
        <v>1517</v>
      </c>
      <c r="J2612" s="44" t="s">
        <v>519</v>
      </c>
      <c r="K2612" s="44" t="s">
        <v>519</v>
      </c>
      <c r="L2612" s="44" t="s">
        <v>520</v>
      </c>
      <c r="M2612" s="44" t="s">
        <v>514</v>
      </c>
      <c r="N2612" s="44" t="s">
        <v>515</v>
      </c>
      <c r="O2612" s="45" t="s">
        <v>382</v>
      </c>
      <c r="P2612" s="45" t="s">
        <v>3760</v>
      </c>
      <c r="Q2612" s="59" t="str">
        <f>MID(Tabla1[[#This Row],[Aplicación]],14,1)</f>
        <v>2</v>
      </c>
      <c r="R2612" s="35" t="s">
        <v>298</v>
      </c>
      <c r="S2612" s="59" t="str">
        <f>MID(Tabla1[[#This Row],[Aplicación]],6,2)</f>
        <v>11</v>
      </c>
      <c r="T2612" s="35" t="str">
        <f>VLOOKUP(Tabla1[[#This Row],[AREA]],Hoja1!A:B,2,FALSE)</f>
        <v>11. Salud pública y seguridad ciudadana</v>
      </c>
      <c r="U2612" s="56" t="str">
        <f>MID(Tabla1[[#This Row],[Aplicación]],9,4)</f>
        <v>1321</v>
      </c>
      <c r="V2612" s="35" t="str">
        <f>VLOOKUP(Tabla1[[#This Row],[PROGRAMA]],Hoja1!A:B,2,FALSE)</f>
        <v>1321. Policía municipal</v>
      </c>
      <c r="W2612" s="56" t="str">
        <f>MID(Tabla1[[#This Row],[Aplicación]],14,2)</f>
        <v>21</v>
      </c>
      <c r="X2612" s="56" t="str">
        <f>MID(Tabla1[[#This Row],[Aplicación]],14,6)</f>
        <v>214</v>
      </c>
    </row>
    <row r="2613" spans="1:24" x14ac:dyDescent="0.25">
      <c r="A2613" s="62">
        <v>220230020942</v>
      </c>
      <c r="B2613" s="44" t="s">
        <v>1514</v>
      </c>
      <c r="C2613" s="64">
        <v>45062</v>
      </c>
      <c r="D2613" s="62">
        <v>22023001956</v>
      </c>
      <c r="E2613" s="44" t="s">
        <v>1982</v>
      </c>
      <c r="F2613" s="65">
        <v>215.11</v>
      </c>
      <c r="G2613" s="44" t="s">
        <v>1993</v>
      </c>
      <c r="H2613" s="44" t="s">
        <v>4231</v>
      </c>
      <c r="I2613" s="62" t="s">
        <v>1517</v>
      </c>
      <c r="J2613" s="44" t="s">
        <v>519</v>
      </c>
      <c r="K2613" s="44" t="s">
        <v>519</v>
      </c>
      <c r="L2613" s="44" t="s">
        <v>520</v>
      </c>
      <c r="M2613" s="44" t="s">
        <v>514</v>
      </c>
      <c r="N2613" s="44" t="s">
        <v>515</v>
      </c>
      <c r="O2613" s="45" t="s">
        <v>382</v>
      </c>
      <c r="P2613" s="45" t="s">
        <v>3760</v>
      </c>
      <c r="Q2613" s="59" t="str">
        <f>MID(Tabla1[[#This Row],[Aplicación]],14,1)</f>
        <v>2</v>
      </c>
      <c r="R2613" s="35" t="s">
        <v>298</v>
      </c>
      <c r="S2613" s="59" t="str">
        <f>MID(Tabla1[[#This Row],[Aplicación]],6,2)</f>
        <v>07</v>
      </c>
      <c r="T2613" s="35" t="str">
        <f>VLOOKUP(Tabla1[[#This Row],[AREA]],Hoja1!A:B,2,FALSE)</f>
        <v>07. Medio ambiente y desarrollo sostenible</v>
      </c>
      <c r="U2613" s="56" t="str">
        <f>MID(Tabla1[[#This Row],[Aplicación]],9,4)</f>
        <v>1711</v>
      </c>
      <c r="V2613" s="35" t="str">
        <f>VLOOKUP(Tabla1[[#This Row],[PROGRAMA]],Hoja1!A:B,2,FALSE)</f>
        <v>1711. Parques y jardines</v>
      </c>
      <c r="W2613" s="56" t="str">
        <f>MID(Tabla1[[#This Row],[Aplicación]],14,2)</f>
        <v>21</v>
      </c>
      <c r="X2613" s="56" t="str">
        <f>MID(Tabla1[[#This Row],[Aplicación]],14,6)</f>
        <v>214</v>
      </c>
    </row>
    <row r="2614" spans="1:24" x14ac:dyDescent="0.25">
      <c r="A2614" s="62">
        <v>220230020952</v>
      </c>
      <c r="B2614" s="44" t="s">
        <v>1514</v>
      </c>
      <c r="C2614" s="64">
        <v>45062</v>
      </c>
      <c r="D2614" s="62">
        <v>22023001956</v>
      </c>
      <c r="E2614" s="44" t="s">
        <v>1982</v>
      </c>
      <c r="F2614" s="65">
        <v>328.56</v>
      </c>
      <c r="G2614" s="44" t="s">
        <v>1993</v>
      </c>
      <c r="H2614" s="44" t="s">
        <v>4232</v>
      </c>
      <c r="I2614" s="62" t="s">
        <v>1517</v>
      </c>
      <c r="J2614" s="44" t="s">
        <v>519</v>
      </c>
      <c r="K2614" s="44" t="s">
        <v>519</v>
      </c>
      <c r="L2614" s="44" t="s">
        <v>520</v>
      </c>
      <c r="M2614" s="44" t="s">
        <v>514</v>
      </c>
      <c r="N2614" s="44" t="s">
        <v>515</v>
      </c>
      <c r="O2614" s="45" t="s">
        <v>382</v>
      </c>
      <c r="P2614" s="45" t="s">
        <v>3760</v>
      </c>
      <c r="Q2614" s="59" t="str">
        <f>MID(Tabla1[[#This Row],[Aplicación]],14,1)</f>
        <v>2</v>
      </c>
      <c r="R2614" s="35" t="s">
        <v>298</v>
      </c>
      <c r="S2614" s="59" t="str">
        <f>MID(Tabla1[[#This Row],[Aplicación]],6,2)</f>
        <v>07</v>
      </c>
      <c r="T2614" s="35" t="str">
        <f>VLOOKUP(Tabla1[[#This Row],[AREA]],Hoja1!A:B,2,FALSE)</f>
        <v>07. Medio ambiente y desarrollo sostenible</v>
      </c>
      <c r="U2614" s="56" t="str">
        <f>MID(Tabla1[[#This Row],[Aplicación]],9,4)</f>
        <v>1711</v>
      </c>
      <c r="V2614" s="35" t="str">
        <f>VLOOKUP(Tabla1[[#This Row],[PROGRAMA]],Hoja1!A:B,2,FALSE)</f>
        <v>1711. Parques y jardines</v>
      </c>
      <c r="W2614" s="56" t="str">
        <f>MID(Tabla1[[#This Row],[Aplicación]],14,2)</f>
        <v>21</v>
      </c>
      <c r="X2614" s="56" t="str">
        <f>MID(Tabla1[[#This Row],[Aplicación]],14,6)</f>
        <v>214</v>
      </c>
    </row>
    <row r="2615" spans="1:24" x14ac:dyDescent="0.25">
      <c r="A2615" s="62">
        <v>220230022380</v>
      </c>
      <c r="B2615" s="44" t="s">
        <v>1514</v>
      </c>
      <c r="C2615" s="64">
        <v>45065</v>
      </c>
      <c r="D2615" s="62">
        <v>22023000213</v>
      </c>
      <c r="E2615" s="44" t="s">
        <v>1694</v>
      </c>
      <c r="F2615" s="65">
        <v>525.48</v>
      </c>
      <c r="G2615" s="44" t="s">
        <v>1993</v>
      </c>
      <c r="H2615" s="44" t="s">
        <v>4233</v>
      </c>
      <c r="I2615" s="62" t="s">
        <v>1517</v>
      </c>
      <c r="J2615" s="44" t="s">
        <v>519</v>
      </c>
      <c r="K2615" s="44" t="s">
        <v>519</v>
      </c>
      <c r="L2615" s="44" t="s">
        <v>520</v>
      </c>
      <c r="M2615" s="44" t="s">
        <v>514</v>
      </c>
      <c r="N2615" s="44" t="s">
        <v>515</v>
      </c>
      <c r="O2615" s="45" t="s">
        <v>382</v>
      </c>
      <c r="P2615" s="45" t="s">
        <v>3760</v>
      </c>
      <c r="Q2615" s="59" t="str">
        <f>MID(Tabla1[[#This Row],[Aplicación]],14,1)</f>
        <v>2</v>
      </c>
      <c r="R2615" s="35" t="s">
        <v>298</v>
      </c>
      <c r="S2615" s="59" t="str">
        <f>MID(Tabla1[[#This Row],[Aplicación]],6,2)</f>
        <v>11</v>
      </c>
      <c r="T2615" s="35" t="str">
        <f>VLOOKUP(Tabla1[[#This Row],[AREA]],Hoja1!A:B,2,FALSE)</f>
        <v>11. Salud pública y seguridad ciudadana</v>
      </c>
      <c r="U2615" s="56" t="str">
        <f>MID(Tabla1[[#This Row],[Aplicación]],9,4)</f>
        <v>1321</v>
      </c>
      <c r="V2615" s="35" t="str">
        <f>VLOOKUP(Tabla1[[#This Row],[PROGRAMA]],Hoja1!A:B,2,FALSE)</f>
        <v>1321. Policía municipal</v>
      </c>
      <c r="W2615" s="56" t="str">
        <f>MID(Tabla1[[#This Row],[Aplicación]],14,2)</f>
        <v>21</v>
      </c>
      <c r="X2615" s="56" t="str">
        <f>MID(Tabla1[[#This Row],[Aplicación]],14,6)</f>
        <v>214</v>
      </c>
    </row>
    <row r="2616" spans="1:24" x14ac:dyDescent="0.25">
      <c r="A2616" s="62">
        <v>220230022483</v>
      </c>
      <c r="B2616" s="44" t="s">
        <v>1514</v>
      </c>
      <c r="C2616" s="64">
        <v>45065</v>
      </c>
      <c r="D2616" s="62">
        <v>22023000213</v>
      </c>
      <c r="E2616" s="44" t="s">
        <v>1694</v>
      </c>
      <c r="F2616" s="65">
        <v>456.48</v>
      </c>
      <c r="G2616" s="44" t="s">
        <v>1993</v>
      </c>
      <c r="H2616" s="44" t="s">
        <v>4234</v>
      </c>
      <c r="I2616" s="62" t="s">
        <v>1517</v>
      </c>
      <c r="J2616" s="44" t="s">
        <v>519</v>
      </c>
      <c r="K2616" s="44" t="s">
        <v>519</v>
      </c>
      <c r="L2616" s="44" t="s">
        <v>520</v>
      </c>
      <c r="M2616" s="44" t="s">
        <v>514</v>
      </c>
      <c r="N2616" s="44" t="s">
        <v>515</v>
      </c>
      <c r="O2616" s="45" t="s">
        <v>382</v>
      </c>
      <c r="P2616" s="45" t="s">
        <v>3760</v>
      </c>
      <c r="Q2616" s="59" t="str">
        <f>MID(Tabla1[[#This Row],[Aplicación]],14,1)</f>
        <v>2</v>
      </c>
      <c r="R2616" s="35" t="s">
        <v>298</v>
      </c>
      <c r="S2616" s="59" t="str">
        <f>MID(Tabla1[[#This Row],[Aplicación]],6,2)</f>
        <v>11</v>
      </c>
      <c r="T2616" s="35" t="str">
        <f>VLOOKUP(Tabla1[[#This Row],[AREA]],Hoja1!A:B,2,FALSE)</f>
        <v>11. Salud pública y seguridad ciudadana</v>
      </c>
      <c r="U2616" s="56" t="str">
        <f>MID(Tabla1[[#This Row],[Aplicación]],9,4)</f>
        <v>1321</v>
      </c>
      <c r="V2616" s="35" t="str">
        <f>VLOOKUP(Tabla1[[#This Row],[PROGRAMA]],Hoja1!A:B,2,FALSE)</f>
        <v>1321. Policía municipal</v>
      </c>
      <c r="W2616" s="56" t="str">
        <f>MID(Tabla1[[#This Row],[Aplicación]],14,2)</f>
        <v>21</v>
      </c>
      <c r="X2616" s="56" t="str">
        <f>MID(Tabla1[[#This Row],[Aplicación]],14,6)</f>
        <v>214</v>
      </c>
    </row>
    <row r="2617" spans="1:24" x14ac:dyDescent="0.25">
      <c r="A2617" s="62">
        <v>220230016233</v>
      </c>
      <c r="B2617" s="44" t="s">
        <v>1514</v>
      </c>
      <c r="C2617" s="64">
        <v>45043</v>
      </c>
      <c r="D2617" s="62">
        <v>22023001586</v>
      </c>
      <c r="E2617" s="44" t="s">
        <v>4235</v>
      </c>
      <c r="F2617" s="65">
        <v>226.92</v>
      </c>
      <c r="G2617" s="44" t="s">
        <v>98</v>
      </c>
      <c r="H2617" s="44" t="s">
        <v>4236</v>
      </c>
      <c r="I2617" s="62" t="s">
        <v>1517</v>
      </c>
      <c r="J2617" s="44" t="s">
        <v>519</v>
      </c>
      <c r="K2617" s="44" t="s">
        <v>519</v>
      </c>
      <c r="L2617" s="44" t="s">
        <v>552</v>
      </c>
      <c r="M2617" s="44" t="s">
        <v>514</v>
      </c>
      <c r="N2617" s="44" t="s">
        <v>515</v>
      </c>
      <c r="O2617" s="45" t="s">
        <v>382</v>
      </c>
      <c r="P2617" s="45" t="s">
        <v>3760</v>
      </c>
      <c r="Q2617" s="59" t="str">
        <f>MID(Tabla1[[#This Row],[Aplicación]],14,1)</f>
        <v>2</v>
      </c>
      <c r="R2617" s="35" t="s">
        <v>298</v>
      </c>
      <c r="S2617" s="59" t="str">
        <f>MID(Tabla1[[#This Row],[Aplicación]],6,2)</f>
        <v>08</v>
      </c>
      <c r="T2617" s="35" t="str">
        <f>VLOOKUP(Tabla1[[#This Row],[AREA]],Hoja1!A:B,2,FALSE)</f>
        <v>08. Movilidad y espacio urbano</v>
      </c>
      <c r="U2617" s="56" t="str">
        <f>MID(Tabla1[[#This Row],[Aplicación]],9,4)</f>
        <v>1651</v>
      </c>
      <c r="V2617" s="35" t="str">
        <f>VLOOKUP(Tabla1[[#This Row],[PROGRAMA]],Hoja1!A:B,2,FALSE)</f>
        <v>1651. Alumbrado público</v>
      </c>
      <c r="W2617" s="56" t="str">
        <f>MID(Tabla1[[#This Row],[Aplicación]],14,2)</f>
        <v>22</v>
      </c>
      <c r="X2617" s="56" t="str">
        <f>MID(Tabla1[[#This Row],[Aplicación]],14,6)</f>
        <v>22199</v>
      </c>
    </row>
    <row r="2618" spans="1:24" x14ac:dyDescent="0.25">
      <c r="A2618" s="62">
        <v>220230022532</v>
      </c>
      <c r="B2618" s="44" t="s">
        <v>1514</v>
      </c>
      <c r="C2618" s="64">
        <v>45065</v>
      </c>
      <c r="D2618" s="62">
        <v>22023000213</v>
      </c>
      <c r="E2618" s="44" t="s">
        <v>1694</v>
      </c>
      <c r="F2618" s="65">
        <v>546.79999999999995</v>
      </c>
      <c r="G2618" s="44" t="s">
        <v>1993</v>
      </c>
      <c r="H2618" s="44" t="s">
        <v>2407</v>
      </c>
      <c r="I2618" s="62" t="s">
        <v>1517</v>
      </c>
      <c r="J2618" s="44" t="s">
        <v>519</v>
      </c>
      <c r="K2618" s="44" t="s">
        <v>519</v>
      </c>
      <c r="L2618" s="44" t="s">
        <v>520</v>
      </c>
      <c r="M2618" s="44" t="s">
        <v>514</v>
      </c>
      <c r="N2618" s="44" t="s">
        <v>515</v>
      </c>
      <c r="O2618" s="45" t="s">
        <v>382</v>
      </c>
      <c r="P2618" s="45" t="s">
        <v>3760</v>
      </c>
      <c r="Q2618" s="59" t="str">
        <f>MID(Tabla1[[#This Row],[Aplicación]],14,1)</f>
        <v>2</v>
      </c>
      <c r="R2618" s="35" t="s">
        <v>298</v>
      </c>
      <c r="S2618" s="59" t="str">
        <f>MID(Tabla1[[#This Row],[Aplicación]],6,2)</f>
        <v>11</v>
      </c>
      <c r="T2618" s="35" t="str">
        <f>VLOOKUP(Tabla1[[#This Row],[AREA]],Hoja1!A:B,2,FALSE)</f>
        <v>11. Salud pública y seguridad ciudadana</v>
      </c>
      <c r="U2618" s="56" t="str">
        <f>MID(Tabla1[[#This Row],[Aplicación]],9,4)</f>
        <v>1321</v>
      </c>
      <c r="V2618" s="35" t="str">
        <f>VLOOKUP(Tabla1[[#This Row],[PROGRAMA]],Hoja1!A:B,2,FALSE)</f>
        <v>1321. Policía municipal</v>
      </c>
      <c r="W2618" s="56" t="str">
        <f>MID(Tabla1[[#This Row],[Aplicación]],14,2)</f>
        <v>21</v>
      </c>
      <c r="X2618" s="56" t="str">
        <f>MID(Tabla1[[#This Row],[Aplicación]],14,6)</f>
        <v>214</v>
      </c>
    </row>
    <row r="2619" spans="1:24" x14ac:dyDescent="0.25">
      <c r="A2619" s="62">
        <v>220230022534</v>
      </c>
      <c r="B2619" s="44" t="s">
        <v>1514</v>
      </c>
      <c r="C2619" s="64">
        <v>45065</v>
      </c>
      <c r="D2619" s="62">
        <v>22023000213</v>
      </c>
      <c r="E2619" s="44" t="s">
        <v>1694</v>
      </c>
      <c r="F2619" s="65">
        <v>1238.4000000000001</v>
      </c>
      <c r="G2619" s="44" t="s">
        <v>1993</v>
      </c>
      <c r="H2619" s="44" t="s">
        <v>4237</v>
      </c>
      <c r="I2619" s="62" t="s">
        <v>1517</v>
      </c>
      <c r="J2619" s="44" t="s">
        <v>519</v>
      </c>
      <c r="K2619" s="44" t="s">
        <v>519</v>
      </c>
      <c r="L2619" s="44" t="s">
        <v>520</v>
      </c>
      <c r="M2619" s="44" t="s">
        <v>514</v>
      </c>
      <c r="N2619" s="44" t="s">
        <v>515</v>
      </c>
      <c r="O2619" s="45" t="s">
        <v>382</v>
      </c>
      <c r="P2619" s="45" t="s">
        <v>3760</v>
      </c>
      <c r="Q2619" s="59" t="str">
        <f>MID(Tabla1[[#This Row],[Aplicación]],14,1)</f>
        <v>2</v>
      </c>
      <c r="R2619" s="35" t="s">
        <v>298</v>
      </c>
      <c r="S2619" s="59" t="str">
        <f>MID(Tabla1[[#This Row],[Aplicación]],6,2)</f>
        <v>11</v>
      </c>
      <c r="T2619" s="35" t="str">
        <f>VLOOKUP(Tabla1[[#This Row],[AREA]],Hoja1!A:B,2,FALSE)</f>
        <v>11. Salud pública y seguridad ciudadana</v>
      </c>
      <c r="U2619" s="56" t="str">
        <f>MID(Tabla1[[#This Row],[Aplicación]],9,4)</f>
        <v>1321</v>
      </c>
      <c r="V2619" s="35" t="str">
        <f>VLOOKUP(Tabla1[[#This Row],[PROGRAMA]],Hoja1!A:B,2,FALSE)</f>
        <v>1321. Policía municipal</v>
      </c>
      <c r="W2619" s="56" t="str">
        <f>MID(Tabla1[[#This Row],[Aplicación]],14,2)</f>
        <v>21</v>
      </c>
      <c r="X2619" s="56" t="str">
        <f>MID(Tabla1[[#This Row],[Aplicación]],14,6)</f>
        <v>214</v>
      </c>
    </row>
    <row r="2620" spans="1:24" x14ac:dyDescent="0.25">
      <c r="A2620" s="62">
        <v>220230023244</v>
      </c>
      <c r="B2620" s="44" t="s">
        <v>1514</v>
      </c>
      <c r="C2620" s="64">
        <v>45068</v>
      </c>
      <c r="D2620" s="62">
        <v>22023000213</v>
      </c>
      <c r="E2620" s="44" t="s">
        <v>1694</v>
      </c>
      <c r="F2620" s="65">
        <v>635.25</v>
      </c>
      <c r="G2620" s="44" t="s">
        <v>1993</v>
      </c>
      <c r="H2620" s="44" t="s">
        <v>4238</v>
      </c>
      <c r="I2620" s="62" t="s">
        <v>1517</v>
      </c>
      <c r="J2620" s="44" t="s">
        <v>519</v>
      </c>
      <c r="K2620" s="44" t="s">
        <v>519</v>
      </c>
      <c r="L2620" s="44" t="s">
        <v>520</v>
      </c>
      <c r="M2620" s="44" t="s">
        <v>514</v>
      </c>
      <c r="N2620" s="44" t="s">
        <v>515</v>
      </c>
      <c r="O2620" s="45" t="s">
        <v>382</v>
      </c>
      <c r="P2620" s="45" t="s">
        <v>3760</v>
      </c>
      <c r="Q2620" s="59" t="str">
        <f>MID(Tabla1[[#This Row],[Aplicación]],14,1)</f>
        <v>2</v>
      </c>
      <c r="R2620" s="35" t="s">
        <v>298</v>
      </c>
      <c r="S2620" s="59" t="str">
        <f>MID(Tabla1[[#This Row],[Aplicación]],6,2)</f>
        <v>11</v>
      </c>
      <c r="T2620" s="35" t="str">
        <f>VLOOKUP(Tabla1[[#This Row],[AREA]],Hoja1!A:B,2,FALSE)</f>
        <v>11. Salud pública y seguridad ciudadana</v>
      </c>
      <c r="U2620" s="56" t="str">
        <f>MID(Tabla1[[#This Row],[Aplicación]],9,4)</f>
        <v>1321</v>
      </c>
      <c r="V2620" s="35" t="str">
        <f>VLOOKUP(Tabla1[[#This Row],[PROGRAMA]],Hoja1!A:B,2,FALSE)</f>
        <v>1321. Policía municipal</v>
      </c>
      <c r="W2620" s="56" t="str">
        <f>MID(Tabla1[[#This Row],[Aplicación]],14,2)</f>
        <v>21</v>
      </c>
      <c r="X2620" s="56" t="str">
        <f>MID(Tabla1[[#This Row],[Aplicación]],14,6)</f>
        <v>214</v>
      </c>
    </row>
    <row r="2621" spans="1:24" x14ac:dyDescent="0.25">
      <c r="A2621" s="62">
        <v>220230023250</v>
      </c>
      <c r="B2621" s="44" t="s">
        <v>1514</v>
      </c>
      <c r="C2621" s="64">
        <v>45068</v>
      </c>
      <c r="D2621" s="62">
        <v>22023000213</v>
      </c>
      <c r="E2621" s="44" t="s">
        <v>1694</v>
      </c>
      <c r="F2621" s="65">
        <v>619.07000000000005</v>
      </c>
      <c r="G2621" s="44" t="s">
        <v>1993</v>
      </c>
      <c r="H2621" s="44" t="s">
        <v>4233</v>
      </c>
      <c r="I2621" s="62" t="s">
        <v>1517</v>
      </c>
      <c r="J2621" s="44" t="s">
        <v>519</v>
      </c>
      <c r="K2621" s="44" t="s">
        <v>519</v>
      </c>
      <c r="L2621" s="44" t="s">
        <v>520</v>
      </c>
      <c r="M2621" s="44" t="s">
        <v>514</v>
      </c>
      <c r="N2621" s="44" t="s">
        <v>515</v>
      </c>
      <c r="O2621" s="45" t="s">
        <v>382</v>
      </c>
      <c r="P2621" s="45" t="s">
        <v>3760</v>
      </c>
      <c r="Q2621" s="59" t="str">
        <f>MID(Tabla1[[#This Row],[Aplicación]],14,1)</f>
        <v>2</v>
      </c>
      <c r="R2621" s="35" t="s">
        <v>298</v>
      </c>
      <c r="S2621" s="59" t="str">
        <f>MID(Tabla1[[#This Row],[Aplicación]],6,2)</f>
        <v>11</v>
      </c>
      <c r="T2621" s="35" t="str">
        <f>VLOOKUP(Tabla1[[#This Row],[AREA]],Hoja1!A:B,2,FALSE)</f>
        <v>11. Salud pública y seguridad ciudadana</v>
      </c>
      <c r="U2621" s="56" t="str">
        <f>MID(Tabla1[[#This Row],[Aplicación]],9,4)</f>
        <v>1321</v>
      </c>
      <c r="V2621" s="35" t="str">
        <f>VLOOKUP(Tabla1[[#This Row],[PROGRAMA]],Hoja1!A:B,2,FALSE)</f>
        <v>1321. Policía municipal</v>
      </c>
      <c r="W2621" s="56" t="str">
        <f>MID(Tabla1[[#This Row],[Aplicación]],14,2)</f>
        <v>21</v>
      </c>
      <c r="X2621" s="56" t="str">
        <f>MID(Tabla1[[#This Row],[Aplicación]],14,6)</f>
        <v>214</v>
      </c>
    </row>
    <row r="2622" spans="1:24" x14ac:dyDescent="0.25">
      <c r="A2622" s="62">
        <v>220230026392</v>
      </c>
      <c r="B2622" s="44" t="s">
        <v>1514</v>
      </c>
      <c r="C2622" s="64">
        <v>45077</v>
      </c>
      <c r="D2622" s="62">
        <v>22023000213</v>
      </c>
      <c r="E2622" s="44" t="s">
        <v>1694</v>
      </c>
      <c r="F2622" s="65">
        <v>1498.65</v>
      </c>
      <c r="G2622" s="44" t="s">
        <v>1993</v>
      </c>
      <c r="H2622" s="44" t="s">
        <v>3703</v>
      </c>
      <c r="I2622" s="62" t="s">
        <v>1517</v>
      </c>
      <c r="J2622" s="44" t="s">
        <v>519</v>
      </c>
      <c r="K2622" s="44" t="s">
        <v>519</v>
      </c>
      <c r="L2622" s="44" t="s">
        <v>520</v>
      </c>
      <c r="M2622" s="44" t="s">
        <v>514</v>
      </c>
      <c r="N2622" s="44" t="s">
        <v>515</v>
      </c>
      <c r="O2622" s="45" t="s">
        <v>382</v>
      </c>
      <c r="P2622" s="45" t="s">
        <v>3760</v>
      </c>
      <c r="Q2622" s="59" t="str">
        <f>MID(Tabla1[[#This Row],[Aplicación]],14,1)</f>
        <v>2</v>
      </c>
      <c r="R2622" s="35" t="s">
        <v>298</v>
      </c>
      <c r="S2622" s="59" t="str">
        <f>MID(Tabla1[[#This Row],[Aplicación]],6,2)</f>
        <v>11</v>
      </c>
      <c r="T2622" s="35" t="str">
        <f>VLOOKUP(Tabla1[[#This Row],[AREA]],Hoja1!A:B,2,FALSE)</f>
        <v>11. Salud pública y seguridad ciudadana</v>
      </c>
      <c r="U2622" s="56" t="str">
        <f>MID(Tabla1[[#This Row],[Aplicación]],9,4)</f>
        <v>1321</v>
      </c>
      <c r="V2622" s="35" t="str">
        <f>VLOOKUP(Tabla1[[#This Row],[PROGRAMA]],Hoja1!A:B,2,FALSE)</f>
        <v>1321. Policía municipal</v>
      </c>
      <c r="W2622" s="56" t="str">
        <f>MID(Tabla1[[#This Row],[Aplicación]],14,2)</f>
        <v>21</v>
      </c>
      <c r="X2622" s="56" t="str">
        <f>MID(Tabla1[[#This Row],[Aplicación]],14,6)</f>
        <v>214</v>
      </c>
    </row>
    <row r="2623" spans="1:24" x14ac:dyDescent="0.25">
      <c r="A2623" s="62">
        <v>220230014127</v>
      </c>
      <c r="B2623" s="44" t="s">
        <v>1514</v>
      </c>
      <c r="C2623" s="64">
        <v>45035</v>
      </c>
      <c r="D2623" s="62">
        <v>22023002053</v>
      </c>
      <c r="E2623" s="44" t="s">
        <v>2107</v>
      </c>
      <c r="F2623" s="65">
        <v>654.79</v>
      </c>
      <c r="G2623" s="44" t="s">
        <v>4239</v>
      </c>
      <c r="H2623" s="44" t="s">
        <v>4240</v>
      </c>
      <c r="I2623" s="62" t="s">
        <v>1517</v>
      </c>
      <c r="J2623" s="44" t="s">
        <v>573</v>
      </c>
      <c r="K2623" s="44" t="s">
        <v>573</v>
      </c>
      <c r="L2623" s="44" t="s">
        <v>520</v>
      </c>
      <c r="M2623" s="44" t="s">
        <v>514</v>
      </c>
      <c r="N2623" s="44" t="s">
        <v>515</v>
      </c>
      <c r="O2623" s="45" t="s">
        <v>382</v>
      </c>
      <c r="P2623" s="45" t="s">
        <v>3760</v>
      </c>
      <c r="Q2623" s="59" t="str">
        <f>MID(Tabla1[[#This Row],[Aplicación]],14,1)</f>
        <v>2</v>
      </c>
      <c r="R2623" s="35" t="s">
        <v>298</v>
      </c>
      <c r="S2623" s="59" t="str">
        <f>MID(Tabla1[[#This Row],[Aplicación]],6,2)</f>
        <v>07</v>
      </c>
      <c r="T2623" s="35" t="str">
        <f>VLOOKUP(Tabla1[[#This Row],[AREA]],Hoja1!A:B,2,FALSE)</f>
        <v>07. Medio ambiente y desarrollo sostenible</v>
      </c>
      <c r="U2623" s="56" t="str">
        <f>MID(Tabla1[[#This Row],[Aplicación]],9,4)</f>
        <v>1711</v>
      </c>
      <c r="V2623" s="35" t="str">
        <f>VLOOKUP(Tabla1[[#This Row],[PROGRAMA]],Hoja1!A:B,2,FALSE)</f>
        <v>1711. Parques y jardines</v>
      </c>
      <c r="W2623" s="56" t="str">
        <f>MID(Tabla1[[#This Row],[Aplicación]],14,2)</f>
        <v>21</v>
      </c>
      <c r="X2623" s="56" t="str">
        <f>MID(Tabla1[[#This Row],[Aplicación]],14,6)</f>
        <v>213</v>
      </c>
    </row>
    <row r="2624" spans="1:24" x14ac:dyDescent="0.25">
      <c r="A2624" s="62">
        <v>220230020879</v>
      </c>
      <c r="B2624" s="44" t="s">
        <v>1514</v>
      </c>
      <c r="C2624" s="64">
        <v>45062</v>
      </c>
      <c r="D2624" s="62">
        <v>22023002053</v>
      </c>
      <c r="E2624" s="44" t="s">
        <v>2107</v>
      </c>
      <c r="F2624" s="65">
        <v>102.41</v>
      </c>
      <c r="G2624" s="44" t="s">
        <v>4239</v>
      </c>
      <c r="H2624" s="44" t="s">
        <v>4241</v>
      </c>
      <c r="I2624" s="62" t="s">
        <v>1517</v>
      </c>
      <c r="J2624" s="44" t="s">
        <v>573</v>
      </c>
      <c r="K2624" s="44" t="s">
        <v>573</v>
      </c>
      <c r="L2624" s="44" t="s">
        <v>520</v>
      </c>
      <c r="M2624" s="44" t="s">
        <v>514</v>
      </c>
      <c r="N2624" s="44" t="s">
        <v>515</v>
      </c>
      <c r="O2624" s="45" t="s">
        <v>382</v>
      </c>
      <c r="P2624" s="45" t="s">
        <v>3760</v>
      </c>
      <c r="Q2624" s="59" t="str">
        <f>MID(Tabla1[[#This Row],[Aplicación]],14,1)</f>
        <v>2</v>
      </c>
      <c r="R2624" s="35" t="s">
        <v>298</v>
      </c>
      <c r="S2624" s="59" t="str">
        <f>MID(Tabla1[[#This Row],[Aplicación]],6,2)</f>
        <v>07</v>
      </c>
      <c r="T2624" s="35" t="str">
        <f>VLOOKUP(Tabla1[[#This Row],[AREA]],Hoja1!A:B,2,FALSE)</f>
        <v>07. Medio ambiente y desarrollo sostenible</v>
      </c>
      <c r="U2624" s="56" t="str">
        <f>MID(Tabla1[[#This Row],[Aplicación]],9,4)</f>
        <v>1711</v>
      </c>
      <c r="V2624" s="35" t="str">
        <f>VLOOKUP(Tabla1[[#This Row],[PROGRAMA]],Hoja1!A:B,2,FALSE)</f>
        <v>1711. Parques y jardines</v>
      </c>
      <c r="W2624" s="56" t="str">
        <f>MID(Tabla1[[#This Row],[Aplicación]],14,2)</f>
        <v>21</v>
      </c>
      <c r="X2624" s="56" t="str">
        <f>MID(Tabla1[[#This Row],[Aplicación]],14,6)</f>
        <v>213</v>
      </c>
    </row>
    <row r="2625" spans="1:24" x14ac:dyDescent="0.25">
      <c r="A2625" s="62">
        <v>220230020881</v>
      </c>
      <c r="B2625" s="44" t="s">
        <v>1514</v>
      </c>
      <c r="C2625" s="64">
        <v>45062</v>
      </c>
      <c r="D2625" s="62">
        <v>22023002053</v>
      </c>
      <c r="E2625" s="44" t="s">
        <v>2107</v>
      </c>
      <c r="F2625" s="65">
        <v>1971.31</v>
      </c>
      <c r="G2625" s="44" t="s">
        <v>4239</v>
      </c>
      <c r="H2625" s="44" t="s">
        <v>4242</v>
      </c>
      <c r="I2625" s="62" t="s">
        <v>1517</v>
      </c>
      <c r="J2625" s="44" t="s">
        <v>573</v>
      </c>
      <c r="K2625" s="44" t="s">
        <v>573</v>
      </c>
      <c r="L2625" s="44" t="s">
        <v>520</v>
      </c>
      <c r="M2625" s="44" t="s">
        <v>514</v>
      </c>
      <c r="N2625" s="44" t="s">
        <v>515</v>
      </c>
      <c r="O2625" s="45" t="s">
        <v>382</v>
      </c>
      <c r="P2625" s="45" t="s">
        <v>3760</v>
      </c>
      <c r="Q2625" s="59" t="str">
        <f>MID(Tabla1[[#This Row],[Aplicación]],14,1)</f>
        <v>2</v>
      </c>
      <c r="R2625" s="35" t="s">
        <v>298</v>
      </c>
      <c r="S2625" s="59" t="str">
        <f>MID(Tabla1[[#This Row],[Aplicación]],6,2)</f>
        <v>07</v>
      </c>
      <c r="T2625" s="35" t="str">
        <f>VLOOKUP(Tabla1[[#This Row],[AREA]],Hoja1!A:B,2,FALSE)</f>
        <v>07. Medio ambiente y desarrollo sostenible</v>
      </c>
      <c r="U2625" s="56" t="str">
        <f>MID(Tabla1[[#This Row],[Aplicación]],9,4)</f>
        <v>1711</v>
      </c>
      <c r="V2625" s="35" t="str">
        <f>VLOOKUP(Tabla1[[#This Row],[PROGRAMA]],Hoja1!A:B,2,FALSE)</f>
        <v>1711. Parques y jardines</v>
      </c>
      <c r="W2625" s="56" t="str">
        <f>MID(Tabla1[[#This Row],[Aplicación]],14,2)</f>
        <v>21</v>
      </c>
      <c r="X2625" s="56" t="str">
        <f>MID(Tabla1[[#This Row],[Aplicación]],14,6)</f>
        <v>213</v>
      </c>
    </row>
    <row r="2626" spans="1:24" x14ac:dyDescent="0.25">
      <c r="A2626" s="62">
        <v>220230021056</v>
      </c>
      <c r="B2626" s="44" t="s">
        <v>1514</v>
      </c>
      <c r="C2626" s="64">
        <v>45062</v>
      </c>
      <c r="D2626" s="62">
        <v>22023002053</v>
      </c>
      <c r="E2626" s="44" t="s">
        <v>2107</v>
      </c>
      <c r="F2626" s="65">
        <v>86.76</v>
      </c>
      <c r="G2626" s="44" t="s">
        <v>4239</v>
      </c>
      <c r="H2626" s="44" t="s">
        <v>4243</v>
      </c>
      <c r="I2626" s="62" t="s">
        <v>1517</v>
      </c>
      <c r="J2626" s="44" t="s">
        <v>573</v>
      </c>
      <c r="K2626" s="44" t="s">
        <v>573</v>
      </c>
      <c r="L2626" s="44" t="s">
        <v>520</v>
      </c>
      <c r="M2626" s="44" t="s">
        <v>514</v>
      </c>
      <c r="N2626" s="44" t="s">
        <v>515</v>
      </c>
      <c r="O2626" s="45" t="s">
        <v>382</v>
      </c>
      <c r="P2626" s="45" t="s">
        <v>3760</v>
      </c>
      <c r="Q2626" s="59" t="str">
        <f>MID(Tabla1[[#This Row],[Aplicación]],14,1)</f>
        <v>2</v>
      </c>
      <c r="R2626" s="35" t="s">
        <v>298</v>
      </c>
      <c r="S2626" s="59" t="str">
        <f>MID(Tabla1[[#This Row],[Aplicación]],6,2)</f>
        <v>07</v>
      </c>
      <c r="T2626" s="35" t="str">
        <f>VLOOKUP(Tabla1[[#This Row],[AREA]],Hoja1!A:B,2,FALSE)</f>
        <v>07. Medio ambiente y desarrollo sostenible</v>
      </c>
      <c r="U2626" s="56" t="str">
        <f>MID(Tabla1[[#This Row],[Aplicación]],9,4)</f>
        <v>1711</v>
      </c>
      <c r="V2626" s="35" t="str">
        <f>VLOOKUP(Tabla1[[#This Row],[PROGRAMA]],Hoja1!A:B,2,FALSE)</f>
        <v>1711. Parques y jardines</v>
      </c>
      <c r="W2626" s="56" t="str">
        <f>MID(Tabla1[[#This Row],[Aplicación]],14,2)</f>
        <v>21</v>
      </c>
      <c r="X2626" s="56" t="str">
        <f>MID(Tabla1[[#This Row],[Aplicación]],14,6)</f>
        <v>213</v>
      </c>
    </row>
    <row r="2627" spans="1:24" x14ac:dyDescent="0.25">
      <c r="A2627" s="62">
        <v>220230017678</v>
      </c>
      <c r="B2627" s="44" t="s">
        <v>1514</v>
      </c>
      <c r="C2627" s="64">
        <v>45050</v>
      </c>
      <c r="D2627" s="62">
        <v>22023001459</v>
      </c>
      <c r="E2627" s="44" t="s">
        <v>1290</v>
      </c>
      <c r="F2627" s="65">
        <v>1592.8</v>
      </c>
      <c r="G2627" s="44" t="s">
        <v>2297</v>
      </c>
      <c r="H2627" s="44" t="s">
        <v>4244</v>
      </c>
      <c r="I2627" s="62" t="s">
        <v>1517</v>
      </c>
      <c r="J2627" s="44" t="s">
        <v>2299</v>
      </c>
      <c r="K2627" s="44" t="s">
        <v>519</v>
      </c>
      <c r="L2627" s="44" t="s">
        <v>520</v>
      </c>
      <c r="M2627" s="44" t="s">
        <v>514</v>
      </c>
      <c r="N2627" s="44" t="s">
        <v>515</v>
      </c>
      <c r="O2627" s="45" t="s">
        <v>382</v>
      </c>
      <c r="P2627" s="45" t="s">
        <v>3760</v>
      </c>
      <c r="Q2627" s="59" t="str">
        <f>MID(Tabla1[[#This Row],[Aplicación]],14,1)</f>
        <v>2</v>
      </c>
      <c r="R2627" s="35" t="s">
        <v>298</v>
      </c>
      <c r="S2627" s="59" t="str">
        <f>MID(Tabla1[[#This Row],[Aplicación]],6,2)</f>
        <v>11</v>
      </c>
      <c r="T2627" s="35" t="str">
        <f>VLOOKUP(Tabla1[[#This Row],[AREA]],Hoja1!A:B,2,FALSE)</f>
        <v>11. Salud pública y seguridad ciudadana</v>
      </c>
      <c r="U2627" s="56" t="str">
        <f>MID(Tabla1[[#This Row],[Aplicación]],9,4)</f>
        <v>1621</v>
      </c>
      <c r="V2627" s="35" t="str">
        <f>VLOOKUP(Tabla1[[#This Row],[PROGRAMA]],Hoja1!A:B,2,FALSE)</f>
        <v>1621. Servicio de limpieza</v>
      </c>
      <c r="W2627" s="56" t="str">
        <f>MID(Tabla1[[#This Row],[Aplicación]],14,2)</f>
        <v>21</v>
      </c>
      <c r="X2627" s="56" t="str">
        <f>MID(Tabla1[[#This Row],[Aplicación]],14,6)</f>
        <v>214</v>
      </c>
    </row>
    <row r="2628" spans="1:24" x14ac:dyDescent="0.25">
      <c r="A2628" s="62">
        <v>220230018438</v>
      </c>
      <c r="B2628" s="44" t="s">
        <v>1514</v>
      </c>
      <c r="C2628" s="64">
        <v>45055</v>
      </c>
      <c r="D2628" s="62">
        <v>22023001459</v>
      </c>
      <c r="E2628" s="44" t="s">
        <v>1290</v>
      </c>
      <c r="F2628" s="65">
        <v>194.74</v>
      </c>
      <c r="G2628" s="44" t="s">
        <v>2297</v>
      </c>
      <c r="H2628" s="44" t="s">
        <v>4245</v>
      </c>
      <c r="I2628" s="62" t="s">
        <v>1517</v>
      </c>
      <c r="J2628" s="44" t="s">
        <v>2299</v>
      </c>
      <c r="K2628" s="44" t="s">
        <v>519</v>
      </c>
      <c r="L2628" s="44" t="s">
        <v>520</v>
      </c>
      <c r="M2628" s="44" t="s">
        <v>514</v>
      </c>
      <c r="N2628" s="44" t="s">
        <v>515</v>
      </c>
      <c r="O2628" s="45" t="s">
        <v>382</v>
      </c>
      <c r="P2628" s="45" t="s">
        <v>3760</v>
      </c>
      <c r="Q2628" s="59" t="str">
        <f>MID(Tabla1[[#This Row],[Aplicación]],14,1)</f>
        <v>2</v>
      </c>
      <c r="R2628" s="35" t="s">
        <v>298</v>
      </c>
      <c r="S2628" s="59" t="str">
        <f>MID(Tabla1[[#This Row],[Aplicación]],6,2)</f>
        <v>11</v>
      </c>
      <c r="T2628" s="35" t="str">
        <f>VLOOKUP(Tabla1[[#This Row],[AREA]],Hoja1!A:B,2,FALSE)</f>
        <v>11. Salud pública y seguridad ciudadana</v>
      </c>
      <c r="U2628" s="56" t="str">
        <f>MID(Tabla1[[#This Row],[Aplicación]],9,4)</f>
        <v>1621</v>
      </c>
      <c r="V2628" s="35" t="str">
        <f>VLOOKUP(Tabla1[[#This Row],[PROGRAMA]],Hoja1!A:B,2,FALSE)</f>
        <v>1621. Servicio de limpieza</v>
      </c>
      <c r="W2628" s="56" t="str">
        <f>MID(Tabla1[[#This Row],[Aplicación]],14,2)</f>
        <v>21</v>
      </c>
      <c r="X2628" s="56" t="str">
        <f>MID(Tabla1[[#This Row],[Aplicación]],14,6)</f>
        <v>214</v>
      </c>
    </row>
    <row r="2629" spans="1:24" x14ac:dyDescent="0.25">
      <c r="A2629" s="62">
        <v>220230018440</v>
      </c>
      <c r="B2629" s="44" t="s">
        <v>1514</v>
      </c>
      <c r="C2629" s="64">
        <v>45055</v>
      </c>
      <c r="D2629" s="62">
        <v>22023001459</v>
      </c>
      <c r="E2629" s="44" t="s">
        <v>1290</v>
      </c>
      <c r="F2629" s="65">
        <v>446.16</v>
      </c>
      <c r="G2629" s="44" t="s">
        <v>2297</v>
      </c>
      <c r="H2629" s="44" t="s">
        <v>4246</v>
      </c>
      <c r="I2629" s="62" t="s">
        <v>1517</v>
      </c>
      <c r="J2629" s="44" t="s">
        <v>2299</v>
      </c>
      <c r="K2629" s="44" t="s">
        <v>519</v>
      </c>
      <c r="L2629" s="44" t="s">
        <v>520</v>
      </c>
      <c r="M2629" s="44" t="s">
        <v>514</v>
      </c>
      <c r="N2629" s="44" t="s">
        <v>515</v>
      </c>
      <c r="O2629" s="45" t="s">
        <v>382</v>
      </c>
      <c r="P2629" s="45" t="s">
        <v>3760</v>
      </c>
      <c r="Q2629" s="59" t="str">
        <f>MID(Tabla1[[#This Row],[Aplicación]],14,1)</f>
        <v>2</v>
      </c>
      <c r="R2629" s="35" t="s">
        <v>298</v>
      </c>
      <c r="S2629" s="59" t="str">
        <f>MID(Tabla1[[#This Row],[Aplicación]],6,2)</f>
        <v>11</v>
      </c>
      <c r="T2629" s="35" t="str">
        <f>VLOOKUP(Tabla1[[#This Row],[AREA]],Hoja1!A:B,2,FALSE)</f>
        <v>11. Salud pública y seguridad ciudadana</v>
      </c>
      <c r="U2629" s="56" t="str">
        <f>MID(Tabla1[[#This Row],[Aplicación]],9,4)</f>
        <v>1621</v>
      </c>
      <c r="V2629" s="35" t="str">
        <f>VLOOKUP(Tabla1[[#This Row],[PROGRAMA]],Hoja1!A:B,2,FALSE)</f>
        <v>1621. Servicio de limpieza</v>
      </c>
      <c r="W2629" s="56" t="str">
        <f>MID(Tabla1[[#This Row],[Aplicación]],14,2)</f>
        <v>21</v>
      </c>
      <c r="X2629" s="56" t="str">
        <f>MID(Tabla1[[#This Row],[Aplicación]],14,6)</f>
        <v>214</v>
      </c>
    </row>
    <row r="2630" spans="1:24" x14ac:dyDescent="0.25">
      <c r="A2630" s="62">
        <v>220230020136</v>
      </c>
      <c r="B2630" s="44" t="s">
        <v>1514</v>
      </c>
      <c r="C2630" s="64">
        <v>45057</v>
      </c>
      <c r="D2630" s="62">
        <v>22023001459</v>
      </c>
      <c r="E2630" s="44" t="s">
        <v>1290</v>
      </c>
      <c r="F2630" s="65">
        <v>1723.48</v>
      </c>
      <c r="G2630" s="44" t="s">
        <v>2297</v>
      </c>
      <c r="H2630" s="44" t="s">
        <v>4247</v>
      </c>
      <c r="I2630" s="62" t="s">
        <v>1517</v>
      </c>
      <c r="J2630" s="44" t="s">
        <v>2299</v>
      </c>
      <c r="K2630" s="44" t="s">
        <v>519</v>
      </c>
      <c r="L2630" s="44" t="s">
        <v>520</v>
      </c>
      <c r="M2630" s="44" t="s">
        <v>514</v>
      </c>
      <c r="N2630" s="44" t="s">
        <v>515</v>
      </c>
      <c r="O2630" s="45" t="s">
        <v>382</v>
      </c>
      <c r="P2630" s="45" t="s">
        <v>3760</v>
      </c>
      <c r="Q2630" s="59" t="str">
        <f>MID(Tabla1[[#This Row],[Aplicación]],14,1)</f>
        <v>2</v>
      </c>
      <c r="R2630" s="35" t="s">
        <v>298</v>
      </c>
      <c r="S2630" s="59" t="str">
        <f>MID(Tabla1[[#This Row],[Aplicación]],6,2)</f>
        <v>11</v>
      </c>
      <c r="T2630" s="35" t="str">
        <f>VLOOKUP(Tabla1[[#This Row],[AREA]],Hoja1!A:B,2,FALSE)</f>
        <v>11. Salud pública y seguridad ciudadana</v>
      </c>
      <c r="U2630" s="56" t="str">
        <f>MID(Tabla1[[#This Row],[Aplicación]],9,4)</f>
        <v>1621</v>
      </c>
      <c r="V2630" s="35" t="str">
        <f>VLOOKUP(Tabla1[[#This Row],[PROGRAMA]],Hoja1!A:B,2,FALSE)</f>
        <v>1621. Servicio de limpieza</v>
      </c>
      <c r="W2630" s="56" t="str">
        <f>MID(Tabla1[[#This Row],[Aplicación]],14,2)</f>
        <v>21</v>
      </c>
      <c r="X2630" s="56" t="str">
        <f>MID(Tabla1[[#This Row],[Aplicación]],14,6)</f>
        <v>214</v>
      </c>
    </row>
    <row r="2631" spans="1:24" x14ac:dyDescent="0.25">
      <c r="A2631" s="62">
        <v>220230020156</v>
      </c>
      <c r="B2631" s="44" t="s">
        <v>1514</v>
      </c>
      <c r="C2631" s="64">
        <v>45057</v>
      </c>
      <c r="D2631" s="62">
        <v>22023001459</v>
      </c>
      <c r="E2631" s="44" t="s">
        <v>1290</v>
      </c>
      <c r="F2631" s="65">
        <v>149.13999999999999</v>
      </c>
      <c r="G2631" s="44" t="s">
        <v>2297</v>
      </c>
      <c r="H2631" s="44" t="s">
        <v>4248</v>
      </c>
      <c r="I2631" s="62" t="s">
        <v>1517</v>
      </c>
      <c r="J2631" s="44" t="s">
        <v>2299</v>
      </c>
      <c r="K2631" s="44" t="s">
        <v>519</v>
      </c>
      <c r="L2631" s="44" t="s">
        <v>520</v>
      </c>
      <c r="M2631" s="44" t="s">
        <v>514</v>
      </c>
      <c r="N2631" s="44" t="s">
        <v>515</v>
      </c>
      <c r="O2631" s="45" t="s">
        <v>382</v>
      </c>
      <c r="P2631" s="45" t="s">
        <v>3760</v>
      </c>
      <c r="Q2631" s="59" t="str">
        <f>MID(Tabla1[[#This Row],[Aplicación]],14,1)</f>
        <v>2</v>
      </c>
      <c r="R2631" s="35" t="s">
        <v>298</v>
      </c>
      <c r="S2631" s="59" t="str">
        <f>MID(Tabla1[[#This Row],[Aplicación]],6,2)</f>
        <v>11</v>
      </c>
      <c r="T2631" s="35" t="str">
        <f>VLOOKUP(Tabla1[[#This Row],[AREA]],Hoja1!A:B,2,FALSE)</f>
        <v>11. Salud pública y seguridad ciudadana</v>
      </c>
      <c r="U2631" s="56" t="str">
        <f>MID(Tabla1[[#This Row],[Aplicación]],9,4)</f>
        <v>1621</v>
      </c>
      <c r="V2631" s="35" t="str">
        <f>VLOOKUP(Tabla1[[#This Row],[PROGRAMA]],Hoja1!A:B,2,FALSE)</f>
        <v>1621. Servicio de limpieza</v>
      </c>
      <c r="W2631" s="56" t="str">
        <f>MID(Tabla1[[#This Row],[Aplicación]],14,2)</f>
        <v>21</v>
      </c>
      <c r="X2631" s="56" t="str">
        <f>MID(Tabla1[[#This Row],[Aplicación]],14,6)</f>
        <v>214</v>
      </c>
    </row>
    <row r="2632" spans="1:24" x14ac:dyDescent="0.25">
      <c r="A2632" s="62">
        <v>220230026311</v>
      </c>
      <c r="B2632" s="44" t="s">
        <v>1514</v>
      </c>
      <c r="C2632" s="64">
        <v>45077</v>
      </c>
      <c r="D2632" s="62">
        <v>22023001459</v>
      </c>
      <c r="E2632" s="44" t="s">
        <v>1290</v>
      </c>
      <c r="F2632" s="65">
        <v>913.9</v>
      </c>
      <c r="G2632" s="44" t="s">
        <v>2297</v>
      </c>
      <c r="H2632" s="44" t="s">
        <v>4249</v>
      </c>
      <c r="I2632" s="62" t="s">
        <v>1517</v>
      </c>
      <c r="J2632" s="44" t="s">
        <v>2299</v>
      </c>
      <c r="K2632" s="44" t="s">
        <v>519</v>
      </c>
      <c r="L2632" s="44" t="s">
        <v>520</v>
      </c>
      <c r="M2632" s="44" t="s">
        <v>514</v>
      </c>
      <c r="N2632" s="44" t="s">
        <v>515</v>
      </c>
      <c r="O2632" s="45" t="s">
        <v>382</v>
      </c>
      <c r="P2632" s="45" t="s">
        <v>3760</v>
      </c>
      <c r="Q2632" s="59" t="str">
        <f>MID(Tabla1[[#This Row],[Aplicación]],14,1)</f>
        <v>2</v>
      </c>
      <c r="R2632" s="35" t="s">
        <v>298</v>
      </c>
      <c r="S2632" s="59" t="str">
        <f>MID(Tabla1[[#This Row],[Aplicación]],6,2)</f>
        <v>11</v>
      </c>
      <c r="T2632" s="35" t="str">
        <f>VLOOKUP(Tabla1[[#This Row],[AREA]],Hoja1!A:B,2,FALSE)</f>
        <v>11. Salud pública y seguridad ciudadana</v>
      </c>
      <c r="U2632" s="56" t="str">
        <f>MID(Tabla1[[#This Row],[Aplicación]],9,4)</f>
        <v>1621</v>
      </c>
      <c r="V2632" s="35" t="str">
        <f>VLOOKUP(Tabla1[[#This Row],[PROGRAMA]],Hoja1!A:B,2,FALSE)</f>
        <v>1621. Servicio de limpieza</v>
      </c>
      <c r="W2632" s="56" t="str">
        <f>MID(Tabla1[[#This Row],[Aplicación]],14,2)</f>
        <v>21</v>
      </c>
      <c r="X2632" s="56" t="str">
        <f>MID(Tabla1[[#This Row],[Aplicación]],14,6)</f>
        <v>214</v>
      </c>
    </row>
    <row r="2633" spans="1:24" x14ac:dyDescent="0.25">
      <c r="A2633" s="62">
        <v>220230016162</v>
      </c>
      <c r="B2633" s="44" t="s">
        <v>1514</v>
      </c>
      <c r="C2633" s="64">
        <v>45043</v>
      </c>
      <c r="D2633" s="62">
        <v>22023001479</v>
      </c>
      <c r="E2633" s="44" t="s">
        <v>1502</v>
      </c>
      <c r="F2633" s="65">
        <v>750.89</v>
      </c>
      <c r="G2633" s="44" t="s">
        <v>1372</v>
      </c>
      <c r="H2633" s="44" t="s">
        <v>4250</v>
      </c>
      <c r="I2633" s="62" t="s">
        <v>1517</v>
      </c>
      <c r="J2633" s="44" t="s">
        <v>519</v>
      </c>
      <c r="K2633" s="44" t="s">
        <v>519</v>
      </c>
      <c r="L2633" s="44" t="s">
        <v>552</v>
      </c>
      <c r="M2633" s="44" t="s">
        <v>514</v>
      </c>
      <c r="N2633" s="44" t="s">
        <v>515</v>
      </c>
      <c r="O2633" s="45" t="s">
        <v>382</v>
      </c>
      <c r="P2633" s="45" t="s">
        <v>3760</v>
      </c>
      <c r="Q2633" s="59" t="str">
        <f>MID(Tabla1[[#This Row],[Aplicación]],14,1)</f>
        <v>2</v>
      </c>
      <c r="R2633" s="35" t="s">
        <v>298</v>
      </c>
      <c r="S2633" s="59" t="str">
        <f>MID(Tabla1[[#This Row],[Aplicación]],6,2)</f>
        <v>10</v>
      </c>
      <c r="T2633" s="35" t="str">
        <f>VLOOKUP(Tabla1[[#This Row],[AREA]],Hoja1!A:B,2,FALSE)</f>
        <v>10. Servicios sociales y mediación comunitaria</v>
      </c>
      <c r="U2633" s="56" t="str">
        <f>MID(Tabla1[[#This Row],[Aplicación]],9,4)</f>
        <v>2412</v>
      </c>
      <c r="V2633" s="35" t="str">
        <f>VLOOKUP(Tabla1[[#This Row],[PROGRAMA]],Hoja1!A:B,2,FALSE)</f>
        <v>2412. Formación para el empleo</v>
      </c>
      <c r="W2633" s="56" t="str">
        <f>MID(Tabla1[[#This Row],[Aplicación]],14,2)</f>
        <v>22</v>
      </c>
      <c r="X2633" s="56" t="str">
        <f>MID(Tabla1[[#This Row],[Aplicación]],14,6)</f>
        <v>22199</v>
      </c>
    </row>
    <row r="2634" spans="1:24" x14ac:dyDescent="0.25">
      <c r="A2634" s="62">
        <v>220230016237</v>
      </c>
      <c r="B2634" s="44" t="s">
        <v>1514</v>
      </c>
      <c r="C2634" s="64">
        <v>45043</v>
      </c>
      <c r="D2634" s="62">
        <v>22023002739</v>
      </c>
      <c r="E2634" s="44" t="s">
        <v>1551</v>
      </c>
      <c r="F2634" s="65">
        <v>215.94</v>
      </c>
      <c r="G2634" s="44" t="s">
        <v>1372</v>
      </c>
      <c r="H2634" s="44" t="s">
        <v>4251</v>
      </c>
      <c r="I2634" s="62" t="s">
        <v>1517</v>
      </c>
      <c r="J2634" s="44" t="s">
        <v>519</v>
      </c>
      <c r="K2634" s="44" t="s">
        <v>519</v>
      </c>
      <c r="L2634" s="44" t="s">
        <v>520</v>
      </c>
      <c r="M2634" s="44" t="s">
        <v>514</v>
      </c>
      <c r="N2634" s="44" t="s">
        <v>515</v>
      </c>
      <c r="O2634" s="45" t="s">
        <v>382</v>
      </c>
      <c r="P2634" s="45" t="s">
        <v>3760</v>
      </c>
      <c r="Q2634" s="59" t="str">
        <f>MID(Tabla1[[#This Row],[Aplicación]],14,1)</f>
        <v>2</v>
      </c>
      <c r="R2634" s="35" t="s">
        <v>298</v>
      </c>
      <c r="S2634" s="59" t="str">
        <f>MID(Tabla1[[#This Row],[Aplicación]],6,2)</f>
        <v>02</v>
      </c>
      <c r="T2634" s="35" t="str">
        <f>VLOOKUP(Tabla1[[#This Row],[AREA]],Hoja1!A:B,2,FALSE)</f>
        <v>02. Planeamiento urbanístico y vivienda</v>
      </c>
      <c r="U2634" s="56" t="str">
        <f>MID(Tabla1[[#This Row],[Aplicación]],9,4)</f>
        <v>9332</v>
      </c>
      <c r="V2634" s="35" t="str">
        <f>VLOOKUP(Tabla1[[#This Row],[PROGRAMA]],Hoja1!A:B,2,FALSE)</f>
        <v>9332. Mantenimiento de edificios e instalaciones municipales</v>
      </c>
      <c r="W2634" s="56" t="str">
        <f>MID(Tabla1[[#This Row],[Aplicación]],14,2)</f>
        <v>21</v>
      </c>
      <c r="X2634" s="56" t="str">
        <f>MID(Tabla1[[#This Row],[Aplicación]],14,6)</f>
        <v>212</v>
      </c>
    </row>
    <row r="2635" spans="1:24" x14ac:dyDescent="0.25">
      <c r="A2635" s="62">
        <v>220230016283</v>
      </c>
      <c r="B2635" s="44" t="s">
        <v>1514</v>
      </c>
      <c r="C2635" s="64">
        <v>45043</v>
      </c>
      <c r="D2635" s="62">
        <v>22023001607</v>
      </c>
      <c r="E2635" s="44" t="s">
        <v>1603</v>
      </c>
      <c r="F2635" s="65">
        <v>2207.84</v>
      </c>
      <c r="G2635" s="44" t="s">
        <v>1372</v>
      </c>
      <c r="H2635" s="44" t="s">
        <v>4252</v>
      </c>
      <c r="I2635" s="62" t="s">
        <v>1517</v>
      </c>
      <c r="J2635" s="44" t="s">
        <v>519</v>
      </c>
      <c r="K2635" s="44" t="s">
        <v>519</v>
      </c>
      <c r="L2635" s="44" t="s">
        <v>552</v>
      </c>
      <c r="M2635" s="44" t="s">
        <v>514</v>
      </c>
      <c r="N2635" s="44" t="s">
        <v>515</v>
      </c>
      <c r="O2635" s="45" t="s">
        <v>382</v>
      </c>
      <c r="P2635" s="45" t="s">
        <v>3760</v>
      </c>
      <c r="Q2635" s="59" t="str">
        <f>MID(Tabla1[[#This Row],[Aplicación]],14,1)</f>
        <v>2</v>
      </c>
      <c r="R2635" s="35" t="s">
        <v>298</v>
      </c>
      <c r="S2635" s="59" t="str">
        <f>MID(Tabla1[[#This Row],[Aplicación]],6,2)</f>
        <v>08</v>
      </c>
      <c r="T2635" s="35" t="str">
        <f>VLOOKUP(Tabla1[[#This Row],[AREA]],Hoja1!A:B,2,FALSE)</f>
        <v>08. Movilidad y espacio urbano</v>
      </c>
      <c r="U2635" s="56" t="str">
        <f>MID(Tabla1[[#This Row],[Aplicación]],9,4)</f>
        <v>1532</v>
      </c>
      <c r="V2635" s="35" t="str">
        <f>VLOOKUP(Tabla1[[#This Row],[PROGRAMA]],Hoja1!A:B,2,FALSE)</f>
        <v>1532. Pavimentación vias públicas y otros servicios urbanísticos</v>
      </c>
      <c r="W2635" s="56" t="str">
        <f>MID(Tabla1[[#This Row],[Aplicación]],14,2)</f>
        <v>21</v>
      </c>
      <c r="X2635" s="56" t="str">
        <f>MID(Tabla1[[#This Row],[Aplicación]],14,6)</f>
        <v>210</v>
      </c>
    </row>
    <row r="2636" spans="1:24" x14ac:dyDescent="0.25">
      <c r="A2636" s="62">
        <v>220230016288</v>
      </c>
      <c r="B2636" s="44" t="s">
        <v>1514</v>
      </c>
      <c r="C2636" s="64">
        <v>45043</v>
      </c>
      <c r="D2636" s="62">
        <v>22023002536</v>
      </c>
      <c r="E2636" s="44" t="s">
        <v>2892</v>
      </c>
      <c r="F2636" s="65">
        <v>208.33</v>
      </c>
      <c r="G2636" s="44" t="s">
        <v>1857</v>
      </c>
      <c r="H2636" s="44" t="s">
        <v>4253</v>
      </c>
      <c r="I2636" s="62" t="s">
        <v>1517</v>
      </c>
      <c r="J2636" s="44" t="s">
        <v>519</v>
      </c>
      <c r="K2636" s="44" t="s">
        <v>519</v>
      </c>
      <c r="L2636" s="44" t="s">
        <v>520</v>
      </c>
      <c r="M2636" s="44" t="s">
        <v>514</v>
      </c>
      <c r="N2636" s="44" t="s">
        <v>515</v>
      </c>
      <c r="O2636" s="45" t="s">
        <v>382</v>
      </c>
      <c r="P2636" s="45" t="s">
        <v>3760</v>
      </c>
      <c r="Q2636" s="59" t="str">
        <f>MID(Tabla1[[#This Row],[Aplicación]],14,1)</f>
        <v>2</v>
      </c>
      <c r="R2636" s="35" t="s">
        <v>298</v>
      </c>
      <c r="S2636" s="59" t="str">
        <f>MID(Tabla1[[#This Row],[Aplicación]],6,2)</f>
        <v>01</v>
      </c>
      <c r="T2636" s="35" t="str">
        <f>VLOOKUP(Tabla1[[#This Row],[AREA]],Hoja1!A:B,2,FALSE)</f>
        <v>01. Alcaldía</v>
      </c>
      <c r="U2636" s="56" t="str">
        <f>MID(Tabla1[[#This Row],[Aplicación]],9,4)</f>
        <v>9203</v>
      </c>
      <c r="V2636" s="35" t="str">
        <f>VLOOKUP(Tabla1[[#This Row],[PROGRAMA]],Hoja1!A:B,2,FALSE)</f>
        <v>9203. Unidad de régimen interior</v>
      </c>
      <c r="W2636" s="56" t="str">
        <f>MID(Tabla1[[#This Row],[Aplicación]],14,2)</f>
        <v>21</v>
      </c>
      <c r="X2636" s="56" t="str">
        <f>MID(Tabla1[[#This Row],[Aplicación]],14,6)</f>
        <v>214</v>
      </c>
    </row>
    <row r="2637" spans="1:24" x14ac:dyDescent="0.25">
      <c r="A2637" s="62">
        <v>220230016457</v>
      </c>
      <c r="B2637" s="44" t="s">
        <v>1514</v>
      </c>
      <c r="C2637" s="64">
        <v>45043</v>
      </c>
      <c r="D2637" s="62">
        <v>22023001477</v>
      </c>
      <c r="E2637" s="44" t="s">
        <v>1657</v>
      </c>
      <c r="F2637" s="65">
        <v>143.24</v>
      </c>
      <c r="G2637" s="44" t="s">
        <v>1372</v>
      </c>
      <c r="H2637" s="44" t="s">
        <v>4254</v>
      </c>
      <c r="I2637" s="62" t="s">
        <v>1517</v>
      </c>
      <c r="J2637" s="44" t="s">
        <v>519</v>
      </c>
      <c r="K2637" s="44" t="s">
        <v>519</v>
      </c>
      <c r="L2637" s="44" t="s">
        <v>552</v>
      </c>
      <c r="M2637" s="44" t="s">
        <v>514</v>
      </c>
      <c r="N2637" s="44" t="s">
        <v>515</v>
      </c>
      <c r="O2637" s="45" t="s">
        <v>382</v>
      </c>
      <c r="P2637" s="45" t="s">
        <v>3760</v>
      </c>
      <c r="Q2637" s="59" t="str">
        <f>MID(Tabla1[[#This Row],[Aplicación]],14,1)</f>
        <v>2</v>
      </c>
      <c r="R2637" s="35" t="s">
        <v>298</v>
      </c>
      <c r="S2637" s="59" t="str">
        <f>MID(Tabla1[[#This Row],[Aplicación]],6,2)</f>
        <v>10</v>
      </c>
      <c r="T2637" s="35" t="str">
        <f>VLOOKUP(Tabla1[[#This Row],[AREA]],Hoja1!A:B,2,FALSE)</f>
        <v>10. Servicios sociales y mediación comunitaria</v>
      </c>
      <c r="U2637" s="56" t="str">
        <f>MID(Tabla1[[#This Row],[Aplicación]],9,4)</f>
        <v>2412</v>
      </c>
      <c r="V2637" s="35" t="str">
        <f>VLOOKUP(Tabla1[[#This Row],[PROGRAMA]],Hoja1!A:B,2,FALSE)</f>
        <v>2412. Formación para el empleo</v>
      </c>
      <c r="W2637" s="56" t="str">
        <f>MID(Tabla1[[#This Row],[Aplicación]],14,2)</f>
        <v>21</v>
      </c>
      <c r="X2637" s="56" t="str">
        <f>MID(Tabla1[[#This Row],[Aplicación]],14,6)</f>
        <v>212</v>
      </c>
    </row>
    <row r="2638" spans="1:24" x14ac:dyDescent="0.25">
      <c r="A2638" s="62">
        <v>220230017052</v>
      </c>
      <c r="B2638" s="44" t="s">
        <v>507</v>
      </c>
      <c r="C2638" s="64">
        <v>45048</v>
      </c>
      <c r="D2638" s="62">
        <v>22023001139</v>
      </c>
      <c r="E2638" s="44" t="s">
        <v>893</v>
      </c>
      <c r="F2638" s="65">
        <v>527.85</v>
      </c>
      <c r="G2638" s="44" t="s">
        <v>16</v>
      </c>
      <c r="H2638" s="44" t="s">
        <v>4144</v>
      </c>
      <c r="I2638" s="62" t="s">
        <v>511</v>
      </c>
      <c r="J2638" s="44" t="s">
        <v>837</v>
      </c>
      <c r="K2638" s="44" t="s">
        <v>837</v>
      </c>
      <c r="L2638" s="44" t="s">
        <v>552</v>
      </c>
      <c r="M2638" s="44" t="s">
        <v>514</v>
      </c>
      <c r="N2638" s="44" t="s">
        <v>515</v>
      </c>
      <c r="O2638" s="45" t="s">
        <v>371</v>
      </c>
      <c r="P2638" s="45" t="s">
        <v>3760</v>
      </c>
      <c r="Q2638" s="59" t="str">
        <f>MID(Tabla1[[#This Row],[Aplicación]],14,1)</f>
        <v>2</v>
      </c>
      <c r="R2638" s="35" t="s">
        <v>298</v>
      </c>
      <c r="S2638" s="59" t="str">
        <f>MID(Tabla1[[#This Row],[Aplicación]],6,2)</f>
        <v>10</v>
      </c>
      <c r="T2638" s="35" t="str">
        <f>VLOOKUP(Tabla1[[#This Row],[AREA]],Hoja1!A:B,2,FALSE)</f>
        <v>10. Servicios sociales y mediación comunitaria</v>
      </c>
      <c r="U2638" s="56" t="str">
        <f>MID(Tabla1[[#This Row],[Aplicación]],9,4)</f>
        <v>2412</v>
      </c>
      <c r="V2638" s="35" t="str">
        <f>VLOOKUP(Tabla1[[#This Row],[PROGRAMA]],Hoja1!A:B,2,FALSE)</f>
        <v>2412. Formación para el empleo</v>
      </c>
      <c r="W2638" s="56" t="str">
        <f>MID(Tabla1[[#This Row],[Aplicación]],14,2)</f>
        <v>22</v>
      </c>
      <c r="X2638" s="56" t="str">
        <f>MID(Tabla1[[#This Row],[Aplicación]],14,6)</f>
        <v>22102</v>
      </c>
    </row>
    <row r="2639" spans="1:24" x14ac:dyDescent="0.25">
      <c r="A2639" s="62">
        <v>220230017051</v>
      </c>
      <c r="B2639" s="44" t="s">
        <v>1337</v>
      </c>
      <c r="C2639" s="64">
        <v>45048</v>
      </c>
      <c r="D2639" s="62">
        <v>22023001139</v>
      </c>
      <c r="E2639" s="44" t="s">
        <v>893</v>
      </c>
      <c r="F2639" s="65">
        <v>-4253.1499999999996</v>
      </c>
      <c r="G2639" s="44" t="s">
        <v>16</v>
      </c>
      <c r="H2639" s="44" t="s">
        <v>894</v>
      </c>
      <c r="I2639" s="62" t="s">
        <v>511</v>
      </c>
      <c r="J2639" s="44" t="s">
        <v>837</v>
      </c>
      <c r="K2639" s="44" t="s">
        <v>837</v>
      </c>
      <c r="L2639" s="44" t="s">
        <v>552</v>
      </c>
      <c r="M2639" s="44" t="s">
        <v>514</v>
      </c>
      <c r="N2639" s="44" t="s">
        <v>515</v>
      </c>
      <c r="O2639" s="45" t="s">
        <v>371</v>
      </c>
      <c r="P2639" s="45" t="s">
        <v>3760</v>
      </c>
      <c r="Q2639" s="59" t="str">
        <f>MID(Tabla1[[#This Row],[Aplicación]],14,1)</f>
        <v>2</v>
      </c>
      <c r="R2639" s="35" t="s">
        <v>298</v>
      </c>
      <c r="S2639" s="59" t="str">
        <f>MID(Tabla1[[#This Row],[Aplicación]],6,2)</f>
        <v>10</v>
      </c>
      <c r="T2639" s="35" t="str">
        <f>VLOOKUP(Tabla1[[#This Row],[AREA]],Hoja1!A:B,2,FALSE)</f>
        <v>10. Servicios sociales y mediación comunitaria</v>
      </c>
      <c r="U2639" s="56" t="str">
        <f>MID(Tabla1[[#This Row],[Aplicación]],9,4)</f>
        <v>2412</v>
      </c>
      <c r="V2639" s="35" t="str">
        <f>VLOOKUP(Tabla1[[#This Row],[PROGRAMA]],Hoja1!A:B,2,FALSE)</f>
        <v>2412. Formación para el empleo</v>
      </c>
      <c r="W2639" s="56" t="str">
        <f>MID(Tabla1[[#This Row],[Aplicación]],14,2)</f>
        <v>22</v>
      </c>
      <c r="X2639" s="56" t="str">
        <f>MID(Tabla1[[#This Row],[Aplicación]],14,6)</f>
        <v>22102</v>
      </c>
    </row>
    <row r="2640" spans="1:24" x14ac:dyDescent="0.25">
      <c r="A2640" s="62">
        <v>220230024875</v>
      </c>
      <c r="B2640" s="44" t="s">
        <v>507</v>
      </c>
      <c r="C2640" s="64">
        <v>45070</v>
      </c>
      <c r="D2640" s="62">
        <v>22023002790</v>
      </c>
      <c r="E2640" s="44" t="s">
        <v>726</v>
      </c>
      <c r="F2640" s="65">
        <v>34165.43</v>
      </c>
      <c r="G2640" s="44" t="s">
        <v>1041</v>
      </c>
      <c r="H2640" s="44" t="s">
        <v>4255</v>
      </c>
      <c r="I2640" s="62" t="s">
        <v>511</v>
      </c>
      <c r="J2640" s="44" t="s">
        <v>512</v>
      </c>
      <c r="K2640" s="44" t="s">
        <v>512</v>
      </c>
      <c r="L2640" s="44" t="s">
        <v>552</v>
      </c>
      <c r="M2640" s="44" t="s">
        <v>514</v>
      </c>
      <c r="N2640" s="44" t="s">
        <v>515</v>
      </c>
      <c r="O2640" s="45" t="s">
        <v>371</v>
      </c>
      <c r="P2640" s="45" t="s">
        <v>3760</v>
      </c>
      <c r="Q2640" s="59" t="str">
        <f>MID(Tabla1[[#This Row],[Aplicación]],14,1)</f>
        <v>6</v>
      </c>
      <c r="R2640" s="35" t="s">
        <v>299</v>
      </c>
      <c r="S2640" s="59" t="str">
        <f>MID(Tabla1[[#This Row],[Aplicación]],6,2)</f>
        <v>04</v>
      </c>
      <c r="T2640" s="35" t="str">
        <f>VLOOKUP(Tabla1[[#This Row],[AREA]],Hoja1!A:B,2,FALSE)</f>
        <v>04. Planificación y recursos</v>
      </c>
      <c r="U2640" s="56" t="str">
        <f>MID(Tabla1[[#This Row],[Aplicación]],9,4)</f>
        <v>9204</v>
      </c>
      <c r="V2640" s="35" t="str">
        <f>VLOOKUP(Tabla1[[#This Row],[PROGRAMA]],Hoja1!A:B,2,FALSE)</f>
        <v>9204. Tecnologías de la información y comunicación</v>
      </c>
      <c r="W2640" s="56" t="str">
        <f>MID(Tabla1[[#This Row],[Aplicación]],14,2)</f>
        <v>64</v>
      </c>
      <c r="X2640" s="56" t="str">
        <f>MID(Tabla1[[#This Row],[Aplicación]],14,6)</f>
        <v>641</v>
      </c>
    </row>
    <row r="2641" spans="1:24" x14ac:dyDescent="0.25">
      <c r="A2641" s="62">
        <v>220230016029</v>
      </c>
      <c r="B2641" s="44" t="s">
        <v>507</v>
      </c>
      <c r="C2641" s="64">
        <v>45042</v>
      </c>
      <c r="D2641" s="62">
        <v>22023000712</v>
      </c>
      <c r="E2641" s="44" t="s">
        <v>4000</v>
      </c>
      <c r="F2641" s="65">
        <v>46246.2</v>
      </c>
      <c r="G2641" s="44" t="s">
        <v>3152</v>
      </c>
      <c r="H2641" s="44" t="s">
        <v>4256</v>
      </c>
      <c r="I2641" s="62" t="s">
        <v>2168</v>
      </c>
      <c r="J2641" s="44" t="s">
        <v>1049</v>
      </c>
      <c r="K2641" s="44" t="s">
        <v>519</v>
      </c>
      <c r="L2641" s="44" t="s">
        <v>552</v>
      </c>
      <c r="M2641" s="44" t="s">
        <v>514</v>
      </c>
      <c r="N2641" s="44" t="s">
        <v>515</v>
      </c>
      <c r="O2641" s="45" t="s">
        <v>371</v>
      </c>
      <c r="P2641" s="45" t="s">
        <v>3760</v>
      </c>
      <c r="Q2641" s="59" t="str">
        <f>MID(Tabla1[[#This Row],[Aplicación]],14,1)</f>
        <v>2</v>
      </c>
      <c r="R2641" s="35" t="s">
        <v>298</v>
      </c>
      <c r="S2641" s="59" t="str">
        <f>MID(Tabla1[[#This Row],[Aplicación]],6,2)</f>
        <v>04</v>
      </c>
      <c r="T2641" s="35" t="str">
        <f>VLOOKUP(Tabla1[[#This Row],[AREA]],Hoja1!A:B,2,FALSE)</f>
        <v>04. Planificación y recursos</v>
      </c>
      <c r="U2641" s="56" t="str">
        <f>MID(Tabla1[[#This Row],[Aplicación]],9,4)</f>
        <v>9231</v>
      </c>
      <c r="V2641" s="35" t="str">
        <f>VLOOKUP(Tabla1[[#This Row],[PROGRAMA]],Hoja1!A:B,2,FALSE)</f>
        <v>9231. Información, registro y gestión del padrón</v>
      </c>
      <c r="W2641" s="56" t="str">
        <f>MID(Tabla1[[#This Row],[Aplicación]],14,2)</f>
        <v>22</v>
      </c>
      <c r="X2641" s="56" t="str">
        <f>MID(Tabla1[[#This Row],[Aplicación]],14,6)</f>
        <v>22705</v>
      </c>
    </row>
    <row r="2642" spans="1:24" x14ac:dyDescent="0.25">
      <c r="A2642" s="62">
        <v>220230016459</v>
      </c>
      <c r="B2642" s="44" t="s">
        <v>1514</v>
      </c>
      <c r="C2642" s="64">
        <v>45043</v>
      </c>
      <c r="D2642" s="62">
        <v>22023001479</v>
      </c>
      <c r="E2642" s="44" t="s">
        <v>1502</v>
      </c>
      <c r="F2642" s="65">
        <v>681.52</v>
      </c>
      <c r="G2642" s="44" t="s">
        <v>1372</v>
      </c>
      <c r="H2642" s="44" t="s">
        <v>4257</v>
      </c>
      <c r="I2642" s="62" t="s">
        <v>1517</v>
      </c>
      <c r="J2642" s="44" t="s">
        <v>519</v>
      </c>
      <c r="K2642" s="44" t="s">
        <v>519</v>
      </c>
      <c r="L2642" s="44" t="s">
        <v>552</v>
      </c>
      <c r="M2642" s="44" t="s">
        <v>514</v>
      </c>
      <c r="N2642" s="44" t="s">
        <v>515</v>
      </c>
      <c r="O2642" s="45" t="s">
        <v>382</v>
      </c>
      <c r="P2642" s="45" t="s">
        <v>3760</v>
      </c>
      <c r="Q2642" s="59" t="str">
        <f>MID(Tabla1[[#This Row],[Aplicación]],14,1)</f>
        <v>2</v>
      </c>
      <c r="R2642" s="35" t="s">
        <v>298</v>
      </c>
      <c r="S2642" s="59" t="str">
        <f>MID(Tabla1[[#This Row],[Aplicación]],6,2)</f>
        <v>10</v>
      </c>
      <c r="T2642" s="35" t="str">
        <f>VLOOKUP(Tabla1[[#This Row],[AREA]],Hoja1!A:B,2,FALSE)</f>
        <v>10. Servicios sociales y mediación comunitaria</v>
      </c>
      <c r="U2642" s="56" t="str">
        <f>MID(Tabla1[[#This Row],[Aplicación]],9,4)</f>
        <v>2412</v>
      </c>
      <c r="V2642" s="35" t="str">
        <f>VLOOKUP(Tabla1[[#This Row],[PROGRAMA]],Hoja1!A:B,2,FALSE)</f>
        <v>2412. Formación para el empleo</v>
      </c>
      <c r="W2642" s="56" t="str">
        <f>MID(Tabla1[[#This Row],[Aplicación]],14,2)</f>
        <v>22</v>
      </c>
      <c r="X2642" s="56" t="str">
        <f>MID(Tabla1[[#This Row],[Aplicación]],14,6)</f>
        <v>22199</v>
      </c>
    </row>
    <row r="2643" spans="1:24" x14ac:dyDescent="0.25">
      <c r="A2643" s="62">
        <v>220230018622</v>
      </c>
      <c r="B2643" s="44" t="s">
        <v>1514</v>
      </c>
      <c r="C2643" s="64">
        <v>45055</v>
      </c>
      <c r="D2643" s="62">
        <v>22023001549</v>
      </c>
      <c r="E2643" s="44" t="s">
        <v>1515</v>
      </c>
      <c r="F2643" s="65">
        <v>1534.15</v>
      </c>
      <c r="G2643" s="44" t="s">
        <v>1372</v>
      </c>
      <c r="H2643" s="44" t="s">
        <v>4258</v>
      </c>
      <c r="I2643" s="62" t="s">
        <v>1517</v>
      </c>
      <c r="J2643" s="44" t="s">
        <v>519</v>
      </c>
      <c r="K2643" s="44" t="s">
        <v>519</v>
      </c>
      <c r="L2643" s="44" t="s">
        <v>552</v>
      </c>
      <c r="M2643" s="44" t="s">
        <v>514</v>
      </c>
      <c r="N2643" s="44" t="s">
        <v>515</v>
      </c>
      <c r="O2643" s="45" t="s">
        <v>382</v>
      </c>
      <c r="P2643" s="45" t="s">
        <v>3760</v>
      </c>
      <c r="Q2643" s="59" t="str">
        <f>MID(Tabla1[[#This Row],[Aplicación]],14,1)</f>
        <v>2</v>
      </c>
      <c r="R2643" s="35" t="s">
        <v>298</v>
      </c>
      <c r="S2643" s="59" t="str">
        <f>MID(Tabla1[[#This Row],[Aplicación]],6,2)</f>
        <v>07</v>
      </c>
      <c r="T2643" s="35" t="str">
        <f>VLOOKUP(Tabla1[[#This Row],[AREA]],Hoja1!A:B,2,FALSE)</f>
        <v>07. Medio ambiente y desarrollo sostenible</v>
      </c>
      <c r="U2643" s="56" t="str">
        <f>MID(Tabla1[[#This Row],[Aplicación]],9,4)</f>
        <v>1711</v>
      </c>
      <c r="V2643" s="35" t="str">
        <f>VLOOKUP(Tabla1[[#This Row],[PROGRAMA]],Hoja1!A:B,2,FALSE)</f>
        <v>1711. Parques y jardines</v>
      </c>
      <c r="W2643" s="56" t="str">
        <f>MID(Tabla1[[#This Row],[Aplicación]],14,2)</f>
        <v>22</v>
      </c>
      <c r="X2643" s="56" t="str">
        <f>MID(Tabla1[[#This Row],[Aplicación]],14,6)</f>
        <v>22199</v>
      </c>
    </row>
    <row r="2644" spans="1:24" x14ac:dyDescent="0.25">
      <c r="A2644" s="62">
        <v>220230018954</v>
      </c>
      <c r="B2644" s="44" t="s">
        <v>1514</v>
      </c>
      <c r="C2644" s="64">
        <v>45056</v>
      </c>
      <c r="D2644" s="62">
        <v>22023001607</v>
      </c>
      <c r="E2644" s="44" t="s">
        <v>1603</v>
      </c>
      <c r="F2644" s="65">
        <v>1727.89</v>
      </c>
      <c r="G2644" s="44" t="s">
        <v>1372</v>
      </c>
      <c r="H2644" s="44" t="s">
        <v>4259</v>
      </c>
      <c r="I2644" s="62" t="s">
        <v>1517</v>
      </c>
      <c r="J2644" s="44" t="s">
        <v>519</v>
      </c>
      <c r="K2644" s="44" t="s">
        <v>519</v>
      </c>
      <c r="L2644" s="44" t="s">
        <v>552</v>
      </c>
      <c r="M2644" s="44" t="s">
        <v>514</v>
      </c>
      <c r="N2644" s="44" t="s">
        <v>515</v>
      </c>
      <c r="O2644" s="45" t="s">
        <v>382</v>
      </c>
      <c r="P2644" s="45" t="s">
        <v>3760</v>
      </c>
      <c r="Q2644" s="59" t="str">
        <f>MID(Tabla1[[#This Row],[Aplicación]],14,1)</f>
        <v>2</v>
      </c>
      <c r="R2644" s="35" t="s">
        <v>298</v>
      </c>
      <c r="S2644" s="59" t="str">
        <f>MID(Tabla1[[#This Row],[Aplicación]],6,2)</f>
        <v>08</v>
      </c>
      <c r="T2644" s="35" t="str">
        <f>VLOOKUP(Tabla1[[#This Row],[AREA]],Hoja1!A:B,2,FALSE)</f>
        <v>08. Movilidad y espacio urbano</v>
      </c>
      <c r="U2644" s="56" t="str">
        <f>MID(Tabla1[[#This Row],[Aplicación]],9,4)</f>
        <v>1532</v>
      </c>
      <c r="V2644" s="35" t="str">
        <f>VLOOKUP(Tabla1[[#This Row],[PROGRAMA]],Hoja1!A:B,2,FALSE)</f>
        <v>1532. Pavimentación vias públicas y otros servicios urbanísticos</v>
      </c>
      <c r="W2644" s="56" t="str">
        <f>MID(Tabla1[[#This Row],[Aplicación]],14,2)</f>
        <v>21</v>
      </c>
      <c r="X2644" s="56" t="str">
        <f>MID(Tabla1[[#This Row],[Aplicación]],14,6)</f>
        <v>210</v>
      </c>
    </row>
    <row r="2645" spans="1:24" x14ac:dyDescent="0.25">
      <c r="A2645" s="62">
        <v>220230020251</v>
      </c>
      <c r="B2645" s="44" t="s">
        <v>1514</v>
      </c>
      <c r="C2645" s="64">
        <v>45057</v>
      </c>
      <c r="D2645" s="62">
        <v>22023002181</v>
      </c>
      <c r="E2645" s="44" t="s">
        <v>1305</v>
      </c>
      <c r="F2645" s="65">
        <v>56.31</v>
      </c>
      <c r="G2645" s="44" t="s">
        <v>1372</v>
      </c>
      <c r="H2645" s="44" t="s">
        <v>4260</v>
      </c>
      <c r="I2645" s="62" t="s">
        <v>1517</v>
      </c>
      <c r="J2645" s="44" t="s">
        <v>519</v>
      </c>
      <c r="K2645" s="44" t="s">
        <v>519</v>
      </c>
      <c r="L2645" s="44" t="s">
        <v>552</v>
      </c>
      <c r="M2645" s="44" t="s">
        <v>514</v>
      </c>
      <c r="N2645" s="44" t="s">
        <v>515</v>
      </c>
      <c r="O2645" s="45" t="s">
        <v>382</v>
      </c>
      <c r="P2645" s="45" t="s">
        <v>3760</v>
      </c>
      <c r="Q2645" s="59" t="str">
        <f>MID(Tabla1[[#This Row],[Aplicación]],14,1)</f>
        <v>2</v>
      </c>
      <c r="R2645" s="35" t="s">
        <v>298</v>
      </c>
      <c r="S2645" s="59" t="str">
        <f>MID(Tabla1[[#This Row],[Aplicación]],6,2)</f>
        <v>06</v>
      </c>
      <c r="T2645" s="35" t="str">
        <f>VLOOKUP(Tabla1[[#This Row],[AREA]],Hoja1!A:B,2,FALSE)</f>
        <v>06. Educación, infancia, juventud e igualdad</v>
      </c>
      <c r="U2645" s="56" t="str">
        <f>MID(Tabla1[[#This Row],[Aplicación]],9,4)</f>
        <v>3232</v>
      </c>
      <c r="V2645" s="35" t="str">
        <f>VLOOKUP(Tabla1[[#This Row],[PROGRAMA]],Hoja1!A:B,2,FALSE)</f>
        <v>3232. Conservación y mantenimiento centros educación infantil y primaria</v>
      </c>
      <c r="W2645" s="56" t="str">
        <f>MID(Tabla1[[#This Row],[Aplicación]],14,2)</f>
        <v>21</v>
      </c>
      <c r="X2645" s="56" t="str">
        <f>MID(Tabla1[[#This Row],[Aplicación]],14,6)</f>
        <v>212</v>
      </c>
    </row>
    <row r="2646" spans="1:24" x14ac:dyDescent="0.25">
      <c r="A2646" s="62">
        <v>220230020962</v>
      </c>
      <c r="B2646" s="44" t="s">
        <v>1514</v>
      </c>
      <c r="C2646" s="64">
        <v>45062</v>
      </c>
      <c r="D2646" s="62">
        <v>22023001476</v>
      </c>
      <c r="E2646" s="44" t="s">
        <v>2662</v>
      </c>
      <c r="F2646" s="65">
        <v>52.82</v>
      </c>
      <c r="G2646" s="44" t="s">
        <v>1372</v>
      </c>
      <c r="H2646" s="44" t="s">
        <v>4261</v>
      </c>
      <c r="I2646" s="62" t="s">
        <v>1517</v>
      </c>
      <c r="J2646" s="44" t="s">
        <v>519</v>
      </c>
      <c r="K2646" s="44" t="s">
        <v>519</v>
      </c>
      <c r="L2646" s="44" t="s">
        <v>552</v>
      </c>
      <c r="M2646" s="44" t="s">
        <v>514</v>
      </c>
      <c r="N2646" s="44" t="s">
        <v>515</v>
      </c>
      <c r="O2646" s="45" t="s">
        <v>382</v>
      </c>
      <c r="P2646" s="45" t="s">
        <v>3760</v>
      </c>
      <c r="Q2646" s="59" t="str">
        <f>MID(Tabla1[[#This Row],[Aplicación]],14,1)</f>
        <v>2</v>
      </c>
      <c r="R2646" s="35" t="s">
        <v>298</v>
      </c>
      <c r="S2646" s="59" t="str">
        <f>MID(Tabla1[[#This Row],[Aplicación]],6,2)</f>
        <v>11</v>
      </c>
      <c r="T2646" s="35" t="str">
        <f>VLOOKUP(Tabla1[[#This Row],[AREA]],Hoja1!A:B,2,FALSE)</f>
        <v>11. Salud pública y seguridad ciudadana</v>
      </c>
      <c r="U2646" s="56" t="str">
        <f>MID(Tabla1[[#This Row],[Aplicación]],9,4)</f>
        <v>1631</v>
      </c>
      <c r="V2646" s="35" t="str">
        <f>VLOOKUP(Tabla1[[#This Row],[PROGRAMA]],Hoja1!A:B,2,FALSE)</f>
        <v>1631. Limpieza viaria</v>
      </c>
      <c r="W2646" s="56" t="str">
        <f>MID(Tabla1[[#This Row],[Aplicación]],14,2)</f>
        <v>22</v>
      </c>
      <c r="X2646" s="56" t="str">
        <f>MID(Tabla1[[#This Row],[Aplicación]],14,6)</f>
        <v>22199</v>
      </c>
    </row>
    <row r="2647" spans="1:24" x14ac:dyDescent="0.25">
      <c r="A2647" s="62">
        <v>220230026293</v>
      </c>
      <c r="B2647" s="44" t="s">
        <v>1514</v>
      </c>
      <c r="C2647" s="64">
        <v>45077</v>
      </c>
      <c r="D2647" s="62">
        <v>22023001479</v>
      </c>
      <c r="E2647" s="44" t="s">
        <v>1502</v>
      </c>
      <c r="F2647" s="65">
        <v>41.93</v>
      </c>
      <c r="G2647" s="44" t="s">
        <v>1372</v>
      </c>
      <c r="H2647" s="44" t="s">
        <v>4262</v>
      </c>
      <c r="I2647" s="62" t="s">
        <v>1517</v>
      </c>
      <c r="J2647" s="44" t="s">
        <v>519</v>
      </c>
      <c r="K2647" s="44" t="s">
        <v>519</v>
      </c>
      <c r="L2647" s="44" t="s">
        <v>552</v>
      </c>
      <c r="M2647" s="44" t="s">
        <v>514</v>
      </c>
      <c r="N2647" s="44" t="s">
        <v>515</v>
      </c>
      <c r="O2647" s="45" t="s">
        <v>382</v>
      </c>
      <c r="P2647" s="45" t="s">
        <v>3760</v>
      </c>
      <c r="Q2647" s="59" t="str">
        <f>MID(Tabla1[[#This Row],[Aplicación]],14,1)</f>
        <v>2</v>
      </c>
      <c r="R2647" s="35" t="s">
        <v>298</v>
      </c>
      <c r="S2647" s="59" t="str">
        <f>MID(Tabla1[[#This Row],[Aplicación]],6,2)</f>
        <v>10</v>
      </c>
      <c r="T2647" s="35" t="str">
        <f>VLOOKUP(Tabla1[[#This Row],[AREA]],Hoja1!A:B,2,FALSE)</f>
        <v>10. Servicios sociales y mediación comunitaria</v>
      </c>
      <c r="U2647" s="56" t="str">
        <f>MID(Tabla1[[#This Row],[Aplicación]],9,4)</f>
        <v>2412</v>
      </c>
      <c r="V2647" s="35" t="str">
        <f>VLOOKUP(Tabla1[[#This Row],[PROGRAMA]],Hoja1!A:B,2,FALSE)</f>
        <v>2412. Formación para el empleo</v>
      </c>
      <c r="W2647" s="56" t="str">
        <f>MID(Tabla1[[#This Row],[Aplicación]],14,2)</f>
        <v>22</v>
      </c>
      <c r="X2647" s="56" t="str">
        <f>MID(Tabla1[[#This Row],[Aplicación]],14,6)</f>
        <v>22199</v>
      </c>
    </row>
    <row r="2648" spans="1:24" x14ac:dyDescent="0.25">
      <c r="A2648" s="62">
        <v>220230026295</v>
      </c>
      <c r="B2648" s="44" t="s">
        <v>1514</v>
      </c>
      <c r="C2648" s="64">
        <v>45077</v>
      </c>
      <c r="D2648" s="62">
        <v>22023001480</v>
      </c>
      <c r="E2648" s="44" t="s">
        <v>1502</v>
      </c>
      <c r="F2648" s="65">
        <v>23.87</v>
      </c>
      <c r="G2648" s="44" t="s">
        <v>1372</v>
      </c>
      <c r="H2648" s="44" t="s">
        <v>4263</v>
      </c>
      <c r="I2648" s="62" t="s">
        <v>1517</v>
      </c>
      <c r="J2648" s="44" t="s">
        <v>519</v>
      </c>
      <c r="K2648" s="44" t="s">
        <v>519</v>
      </c>
      <c r="L2648" s="44" t="s">
        <v>552</v>
      </c>
      <c r="M2648" s="44" t="s">
        <v>514</v>
      </c>
      <c r="N2648" s="44" t="s">
        <v>515</v>
      </c>
      <c r="O2648" s="45" t="s">
        <v>382</v>
      </c>
      <c r="P2648" s="45" t="s">
        <v>3760</v>
      </c>
      <c r="Q2648" s="59" t="str">
        <f>MID(Tabla1[[#This Row],[Aplicación]],14,1)</f>
        <v>2</v>
      </c>
      <c r="R2648" s="35" t="s">
        <v>298</v>
      </c>
      <c r="S2648" s="59" t="str">
        <f>MID(Tabla1[[#This Row],[Aplicación]],6,2)</f>
        <v>10</v>
      </c>
      <c r="T2648" s="35" t="str">
        <f>VLOOKUP(Tabla1[[#This Row],[AREA]],Hoja1!A:B,2,FALSE)</f>
        <v>10. Servicios sociales y mediación comunitaria</v>
      </c>
      <c r="U2648" s="56" t="str">
        <f>MID(Tabla1[[#This Row],[Aplicación]],9,4)</f>
        <v>2412</v>
      </c>
      <c r="V2648" s="35" t="str">
        <f>VLOOKUP(Tabla1[[#This Row],[PROGRAMA]],Hoja1!A:B,2,FALSE)</f>
        <v>2412. Formación para el empleo</v>
      </c>
      <c r="W2648" s="56" t="str">
        <f>MID(Tabla1[[#This Row],[Aplicación]],14,2)</f>
        <v>22</v>
      </c>
      <c r="X2648" s="56" t="str">
        <f>MID(Tabla1[[#This Row],[Aplicación]],14,6)</f>
        <v>22199</v>
      </c>
    </row>
    <row r="2649" spans="1:24" x14ac:dyDescent="0.25">
      <c r="A2649" s="62">
        <v>220230026357</v>
      </c>
      <c r="B2649" s="44" t="s">
        <v>1514</v>
      </c>
      <c r="C2649" s="64">
        <v>45077</v>
      </c>
      <c r="D2649" s="62">
        <v>22023001344</v>
      </c>
      <c r="E2649" s="44" t="s">
        <v>1150</v>
      </c>
      <c r="F2649" s="65">
        <v>171.15</v>
      </c>
      <c r="G2649" s="44" t="s">
        <v>1372</v>
      </c>
      <c r="H2649" s="44" t="s">
        <v>4264</v>
      </c>
      <c r="I2649" s="62" t="s">
        <v>1517</v>
      </c>
      <c r="J2649" s="44" t="s">
        <v>519</v>
      </c>
      <c r="K2649" s="44" t="s">
        <v>519</v>
      </c>
      <c r="L2649" s="44" t="s">
        <v>552</v>
      </c>
      <c r="M2649" s="44" t="s">
        <v>514</v>
      </c>
      <c r="N2649" s="44" t="s">
        <v>604</v>
      </c>
      <c r="O2649" s="45" t="s">
        <v>382</v>
      </c>
      <c r="P2649" s="45" t="s">
        <v>3760</v>
      </c>
      <c r="Q2649" s="59" t="str">
        <f>MID(Tabla1[[#This Row],[Aplicación]],14,1)</f>
        <v>2</v>
      </c>
      <c r="R2649" s="35" t="s">
        <v>298</v>
      </c>
      <c r="S2649" s="59" t="str">
        <f>MID(Tabla1[[#This Row],[Aplicación]],6,2)</f>
        <v>03</v>
      </c>
      <c r="T2649" s="35" t="str">
        <f>VLOOKUP(Tabla1[[#This Row],[AREA]],Hoja1!A:B,2,FALSE)</f>
        <v>03. Participación ciudadana y deportes</v>
      </c>
      <c r="U2649" s="56" t="str">
        <f>MID(Tabla1[[#This Row],[Aplicación]],9,4)</f>
        <v>9241</v>
      </c>
      <c r="V2649" s="35" t="str">
        <f>VLOOKUP(Tabla1[[#This Row],[PROGRAMA]],Hoja1!A:B,2,FALSE)</f>
        <v>9241. Participación ciudadana</v>
      </c>
      <c r="W2649" s="56" t="str">
        <f>MID(Tabla1[[#This Row],[Aplicación]],14,2)</f>
        <v>21</v>
      </c>
      <c r="X2649" s="56" t="str">
        <f>MID(Tabla1[[#This Row],[Aplicación]],14,6)</f>
        <v>213</v>
      </c>
    </row>
    <row r="2650" spans="1:24" x14ac:dyDescent="0.25">
      <c r="A2650" s="62">
        <v>220230013610</v>
      </c>
      <c r="B2650" s="44" t="s">
        <v>1514</v>
      </c>
      <c r="C2650" s="64">
        <v>45026</v>
      </c>
      <c r="D2650" s="62">
        <v>22023001965</v>
      </c>
      <c r="E2650" s="44" t="s">
        <v>3432</v>
      </c>
      <c r="F2650" s="65">
        <v>145684</v>
      </c>
      <c r="G2650" s="44" t="s">
        <v>4265</v>
      </c>
      <c r="H2650" s="44" t="s">
        <v>4266</v>
      </c>
      <c r="I2650" s="62" t="s">
        <v>1517</v>
      </c>
      <c r="J2650" s="44" t="s">
        <v>4267</v>
      </c>
      <c r="K2650" s="44" t="s">
        <v>837</v>
      </c>
      <c r="L2650" s="44" t="s">
        <v>552</v>
      </c>
      <c r="M2650" s="44" t="s">
        <v>514</v>
      </c>
      <c r="N2650" s="44" t="s">
        <v>515</v>
      </c>
      <c r="O2650" s="45" t="s">
        <v>371</v>
      </c>
      <c r="P2650" s="45" t="s">
        <v>3760</v>
      </c>
      <c r="Q2650" s="59" t="str">
        <f>MID(Tabla1[[#This Row],[Aplicación]],14,1)</f>
        <v>6</v>
      </c>
      <c r="R2650" s="35" t="s">
        <v>299</v>
      </c>
      <c r="S2650" s="59" t="str">
        <f>MID(Tabla1[[#This Row],[Aplicación]],6,2)</f>
        <v>11</v>
      </c>
      <c r="T2650" s="35" t="str">
        <f>VLOOKUP(Tabla1[[#This Row],[AREA]],Hoja1!A:B,2,FALSE)</f>
        <v>11. Salud pública y seguridad ciudadana</v>
      </c>
      <c r="U2650" s="56" t="str">
        <f>MID(Tabla1[[#This Row],[Aplicación]],9,4)</f>
        <v>1631</v>
      </c>
      <c r="V2650" s="35" t="str">
        <f>VLOOKUP(Tabla1[[#This Row],[PROGRAMA]],Hoja1!A:B,2,FALSE)</f>
        <v>1631. Limpieza viaria</v>
      </c>
      <c r="W2650" s="56" t="str">
        <f>MID(Tabla1[[#This Row],[Aplicación]],14,2)</f>
        <v>63</v>
      </c>
      <c r="X2650" s="56" t="str">
        <f>MID(Tabla1[[#This Row],[Aplicación]],14,6)</f>
        <v>634</v>
      </c>
    </row>
    <row r="2651" spans="1:24" x14ac:dyDescent="0.25">
      <c r="A2651" s="62">
        <v>220230026368</v>
      </c>
      <c r="B2651" s="44" t="s">
        <v>1514</v>
      </c>
      <c r="C2651" s="64">
        <v>45077</v>
      </c>
      <c r="D2651" s="62">
        <v>22023003832</v>
      </c>
      <c r="E2651" s="44" t="s">
        <v>1502</v>
      </c>
      <c r="F2651" s="65">
        <v>562.32000000000005</v>
      </c>
      <c r="G2651" s="44" t="s">
        <v>1372</v>
      </c>
      <c r="H2651" s="44" t="s">
        <v>4268</v>
      </c>
      <c r="I2651" s="62" t="s">
        <v>1517</v>
      </c>
      <c r="J2651" s="44" t="s">
        <v>519</v>
      </c>
      <c r="K2651" s="44" t="s">
        <v>519</v>
      </c>
      <c r="L2651" s="44" t="s">
        <v>552</v>
      </c>
      <c r="M2651" s="44" t="s">
        <v>514</v>
      </c>
      <c r="N2651" s="44" t="s">
        <v>515</v>
      </c>
      <c r="O2651" s="45" t="s">
        <v>382</v>
      </c>
      <c r="P2651" s="45" t="s">
        <v>3760</v>
      </c>
      <c r="Q2651" s="59" t="str">
        <f>MID(Tabla1[[#This Row],[Aplicación]],14,1)</f>
        <v>2</v>
      </c>
      <c r="R2651" s="35" t="s">
        <v>298</v>
      </c>
      <c r="S2651" s="59" t="str">
        <f>MID(Tabla1[[#This Row],[Aplicación]],6,2)</f>
        <v>10</v>
      </c>
      <c r="T2651" s="35" t="str">
        <f>VLOOKUP(Tabla1[[#This Row],[AREA]],Hoja1!A:B,2,FALSE)</f>
        <v>10. Servicios sociales y mediación comunitaria</v>
      </c>
      <c r="U2651" s="56" t="str">
        <f>MID(Tabla1[[#This Row],[Aplicación]],9,4)</f>
        <v>2412</v>
      </c>
      <c r="V2651" s="35" t="str">
        <f>VLOOKUP(Tabla1[[#This Row],[PROGRAMA]],Hoja1!A:B,2,FALSE)</f>
        <v>2412. Formación para el empleo</v>
      </c>
      <c r="W2651" s="56" t="str">
        <f>MID(Tabla1[[#This Row],[Aplicación]],14,2)</f>
        <v>22</v>
      </c>
      <c r="X2651" s="56" t="str">
        <f>MID(Tabla1[[#This Row],[Aplicación]],14,6)</f>
        <v>22199</v>
      </c>
    </row>
    <row r="2652" spans="1:24" x14ac:dyDescent="0.25">
      <c r="A2652" s="62">
        <v>220230026370</v>
      </c>
      <c r="B2652" s="44" t="s">
        <v>1514</v>
      </c>
      <c r="C2652" s="64">
        <v>45077</v>
      </c>
      <c r="D2652" s="62">
        <v>22023003832</v>
      </c>
      <c r="E2652" s="44" t="s">
        <v>1502</v>
      </c>
      <c r="F2652" s="65">
        <v>772</v>
      </c>
      <c r="G2652" s="44" t="s">
        <v>1372</v>
      </c>
      <c r="H2652" s="44" t="s">
        <v>4269</v>
      </c>
      <c r="I2652" s="62" t="s">
        <v>1517</v>
      </c>
      <c r="J2652" s="44" t="s">
        <v>519</v>
      </c>
      <c r="K2652" s="44" t="s">
        <v>519</v>
      </c>
      <c r="L2652" s="44" t="s">
        <v>552</v>
      </c>
      <c r="M2652" s="44" t="s">
        <v>514</v>
      </c>
      <c r="N2652" s="44" t="s">
        <v>515</v>
      </c>
      <c r="O2652" s="45" t="s">
        <v>382</v>
      </c>
      <c r="P2652" s="45" t="s">
        <v>3760</v>
      </c>
      <c r="Q2652" s="59" t="str">
        <f>MID(Tabla1[[#This Row],[Aplicación]],14,1)</f>
        <v>2</v>
      </c>
      <c r="R2652" s="35" t="s">
        <v>298</v>
      </c>
      <c r="S2652" s="59" t="str">
        <f>MID(Tabla1[[#This Row],[Aplicación]],6,2)</f>
        <v>10</v>
      </c>
      <c r="T2652" s="35" t="str">
        <f>VLOOKUP(Tabla1[[#This Row],[AREA]],Hoja1!A:B,2,FALSE)</f>
        <v>10. Servicios sociales y mediación comunitaria</v>
      </c>
      <c r="U2652" s="56" t="str">
        <f>MID(Tabla1[[#This Row],[Aplicación]],9,4)</f>
        <v>2412</v>
      </c>
      <c r="V2652" s="35" t="str">
        <f>VLOOKUP(Tabla1[[#This Row],[PROGRAMA]],Hoja1!A:B,2,FALSE)</f>
        <v>2412. Formación para el empleo</v>
      </c>
      <c r="W2652" s="56" t="str">
        <f>MID(Tabla1[[#This Row],[Aplicación]],14,2)</f>
        <v>22</v>
      </c>
      <c r="X2652" s="56" t="str">
        <f>MID(Tabla1[[#This Row],[Aplicación]],14,6)</f>
        <v>22199</v>
      </c>
    </row>
    <row r="2653" spans="1:24" x14ac:dyDescent="0.25">
      <c r="A2653" s="62">
        <v>220230026394</v>
      </c>
      <c r="B2653" s="44" t="s">
        <v>1514</v>
      </c>
      <c r="C2653" s="64">
        <v>45077</v>
      </c>
      <c r="D2653" s="62">
        <v>22023003832</v>
      </c>
      <c r="E2653" s="44" t="s">
        <v>1502</v>
      </c>
      <c r="F2653" s="65">
        <v>230.6</v>
      </c>
      <c r="G2653" s="44" t="s">
        <v>1372</v>
      </c>
      <c r="H2653" s="44" t="s">
        <v>4270</v>
      </c>
      <c r="I2653" s="62" t="s">
        <v>1517</v>
      </c>
      <c r="J2653" s="44" t="s">
        <v>519</v>
      </c>
      <c r="K2653" s="44" t="s">
        <v>519</v>
      </c>
      <c r="L2653" s="44" t="s">
        <v>552</v>
      </c>
      <c r="M2653" s="44" t="s">
        <v>514</v>
      </c>
      <c r="N2653" s="44" t="s">
        <v>515</v>
      </c>
      <c r="O2653" s="45" t="s">
        <v>382</v>
      </c>
      <c r="P2653" s="45" t="s">
        <v>3760</v>
      </c>
      <c r="Q2653" s="59" t="str">
        <f>MID(Tabla1[[#This Row],[Aplicación]],14,1)</f>
        <v>2</v>
      </c>
      <c r="R2653" s="35" t="s">
        <v>298</v>
      </c>
      <c r="S2653" s="59" t="str">
        <f>MID(Tabla1[[#This Row],[Aplicación]],6,2)</f>
        <v>10</v>
      </c>
      <c r="T2653" s="35" t="str">
        <f>VLOOKUP(Tabla1[[#This Row],[AREA]],Hoja1!A:B,2,FALSE)</f>
        <v>10. Servicios sociales y mediación comunitaria</v>
      </c>
      <c r="U2653" s="56" t="str">
        <f>MID(Tabla1[[#This Row],[Aplicación]],9,4)</f>
        <v>2412</v>
      </c>
      <c r="V2653" s="35" t="str">
        <f>VLOOKUP(Tabla1[[#This Row],[PROGRAMA]],Hoja1!A:B,2,FALSE)</f>
        <v>2412. Formación para el empleo</v>
      </c>
      <c r="W2653" s="56" t="str">
        <f>MID(Tabla1[[#This Row],[Aplicación]],14,2)</f>
        <v>22</v>
      </c>
      <c r="X2653" s="56" t="str">
        <f>MID(Tabla1[[#This Row],[Aplicación]],14,6)</f>
        <v>22199</v>
      </c>
    </row>
    <row r="2654" spans="1:24" x14ac:dyDescent="0.25">
      <c r="A2654" s="62">
        <v>220230018161</v>
      </c>
      <c r="B2654" s="44" t="s">
        <v>507</v>
      </c>
      <c r="C2654" s="64">
        <v>45054</v>
      </c>
      <c r="D2654" s="62">
        <v>22023004353</v>
      </c>
      <c r="E2654" s="44" t="s">
        <v>1911</v>
      </c>
      <c r="F2654" s="65">
        <v>4931.68</v>
      </c>
      <c r="G2654" s="44" t="s">
        <v>4271</v>
      </c>
      <c r="H2654" s="44" t="s">
        <v>4272</v>
      </c>
      <c r="I2654" s="62" t="s">
        <v>511</v>
      </c>
      <c r="J2654" s="44" t="s">
        <v>1737</v>
      </c>
      <c r="K2654" s="44" t="s">
        <v>512</v>
      </c>
      <c r="L2654" s="44" t="s">
        <v>520</v>
      </c>
      <c r="M2654" s="44" t="s">
        <v>976</v>
      </c>
      <c r="N2654" s="44" t="s">
        <v>839</v>
      </c>
      <c r="O2654" s="45" t="s">
        <v>383</v>
      </c>
      <c r="P2654" s="45" t="s">
        <v>3760</v>
      </c>
      <c r="Q2654" s="59" t="str">
        <f>MID(Tabla1[[#This Row],[Aplicación]],14,1)</f>
        <v>2</v>
      </c>
      <c r="R2654" s="35" t="s">
        <v>298</v>
      </c>
      <c r="S2654" s="59" t="str">
        <f>MID(Tabla1[[#This Row],[Aplicación]],6,2)</f>
        <v>11</v>
      </c>
      <c r="T2654" s="35" t="str">
        <f>VLOOKUP(Tabla1[[#This Row],[AREA]],Hoja1!A:B,2,FALSE)</f>
        <v>11. Salud pública y seguridad ciudadana</v>
      </c>
      <c r="U2654" s="56" t="str">
        <f>MID(Tabla1[[#This Row],[Aplicación]],9,4)</f>
        <v>1621</v>
      </c>
      <c r="V2654" s="35" t="str">
        <f>VLOOKUP(Tabla1[[#This Row],[PROGRAMA]],Hoja1!A:B,2,FALSE)</f>
        <v>1621. Servicio de limpieza</v>
      </c>
      <c r="W2654" s="56" t="str">
        <f>MID(Tabla1[[#This Row],[Aplicación]],14,2)</f>
        <v>22</v>
      </c>
      <c r="X2654" s="56" t="str">
        <f>MID(Tabla1[[#This Row],[Aplicación]],14,6)</f>
        <v>22706</v>
      </c>
    </row>
    <row r="2655" spans="1:24" x14ac:dyDescent="0.25">
      <c r="A2655" s="62">
        <v>220230026716</v>
      </c>
      <c r="B2655" s="44" t="s">
        <v>1514</v>
      </c>
      <c r="C2655" s="64">
        <v>45077</v>
      </c>
      <c r="D2655" s="62">
        <v>22023003925</v>
      </c>
      <c r="E2655" s="44" t="s">
        <v>616</v>
      </c>
      <c r="F2655" s="65">
        <v>791.24</v>
      </c>
      <c r="G2655" s="44" t="s">
        <v>1372</v>
      </c>
      <c r="H2655" s="44" t="s">
        <v>4273</v>
      </c>
      <c r="I2655" s="62" t="s">
        <v>1517</v>
      </c>
      <c r="J2655" s="44" t="s">
        <v>519</v>
      </c>
      <c r="K2655" s="44" t="s">
        <v>519</v>
      </c>
      <c r="L2655" s="44" t="s">
        <v>552</v>
      </c>
      <c r="M2655" s="44" t="s">
        <v>514</v>
      </c>
      <c r="N2655" s="44" t="s">
        <v>515</v>
      </c>
      <c r="O2655" s="45" t="s">
        <v>382</v>
      </c>
      <c r="P2655" s="45" t="s">
        <v>3760</v>
      </c>
      <c r="Q2655" s="59" t="str">
        <f>MID(Tabla1[[#This Row],[Aplicación]],14,1)</f>
        <v>2</v>
      </c>
      <c r="R2655" s="35" t="s">
        <v>298</v>
      </c>
      <c r="S2655" s="59" t="str">
        <f>MID(Tabla1[[#This Row],[Aplicación]],6,2)</f>
        <v>10</v>
      </c>
      <c r="T2655" s="35" t="str">
        <f>VLOOKUP(Tabla1[[#This Row],[AREA]],Hoja1!A:B,2,FALSE)</f>
        <v>10. Servicios sociales y mediación comunitaria</v>
      </c>
      <c r="U2655" s="56" t="str">
        <f>MID(Tabla1[[#This Row],[Aplicación]],9,4)</f>
        <v>2412</v>
      </c>
      <c r="V2655" s="35" t="str">
        <f>VLOOKUP(Tabla1[[#This Row],[PROGRAMA]],Hoja1!A:B,2,FALSE)</f>
        <v>2412. Formación para el empleo</v>
      </c>
      <c r="W2655" s="56" t="str">
        <f>MID(Tabla1[[#This Row],[Aplicación]],14,2)</f>
        <v>21</v>
      </c>
      <c r="X2655" s="56" t="str">
        <f>MID(Tabla1[[#This Row],[Aplicación]],14,6)</f>
        <v>213</v>
      </c>
    </row>
    <row r="2656" spans="1:24" x14ac:dyDescent="0.25">
      <c r="A2656" s="62">
        <v>220230016066</v>
      </c>
      <c r="B2656" s="44" t="s">
        <v>1514</v>
      </c>
      <c r="C2656" s="64">
        <v>45043</v>
      </c>
      <c r="D2656" s="62">
        <v>22023002739</v>
      </c>
      <c r="E2656" s="44" t="s">
        <v>1551</v>
      </c>
      <c r="F2656" s="65">
        <v>173.97</v>
      </c>
      <c r="G2656" s="44" t="s">
        <v>1351</v>
      </c>
      <c r="H2656" s="44" t="s">
        <v>4274</v>
      </c>
      <c r="I2656" s="62" t="s">
        <v>1517</v>
      </c>
      <c r="J2656" s="44" t="s">
        <v>519</v>
      </c>
      <c r="K2656" s="44" t="s">
        <v>519</v>
      </c>
      <c r="L2656" s="44" t="s">
        <v>552</v>
      </c>
      <c r="M2656" s="44" t="s">
        <v>514</v>
      </c>
      <c r="N2656" s="44" t="s">
        <v>515</v>
      </c>
      <c r="O2656" s="45" t="s">
        <v>382</v>
      </c>
      <c r="P2656" s="45" t="s">
        <v>3760</v>
      </c>
      <c r="Q2656" s="59" t="str">
        <f>MID(Tabla1[[#This Row],[Aplicación]],14,1)</f>
        <v>2</v>
      </c>
      <c r="R2656" s="35" t="s">
        <v>298</v>
      </c>
      <c r="S2656" s="59" t="str">
        <f>MID(Tabla1[[#This Row],[Aplicación]],6,2)</f>
        <v>02</v>
      </c>
      <c r="T2656" s="35" t="str">
        <f>VLOOKUP(Tabla1[[#This Row],[AREA]],Hoja1!A:B,2,FALSE)</f>
        <v>02. Planeamiento urbanístico y vivienda</v>
      </c>
      <c r="U2656" s="56" t="str">
        <f>MID(Tabla1[[#This Row],[Aplicación]],9,4)</f>
        <v>9332</v>
      </c>
      <c r="V2656" s="35" t="str">
        <f>VLOOKUP(Tabla1[[#This Row],[PROGRAMA]],Hoja1!A:B,2,FALSE)</f>
        <v>9332. Mantenimiento de edificios e instalaciones municipales</v>
      </c>
      <c r="W2656" s="56" t="str">
        <f>MID(Tabla1[[#This Row],[Aplicación]],14,2)</f>
        <v>21</v>
      </c>
      <c r="X2656" s="56" t="str">
        <f>MID(Tabla1[[#This Row],[Aplicación]],14,6)</f>
        <v>212</v>
      </c>
    </row>
    <row r="2657" spans="1:24" x14ac:dyDescent="0.25">
      <c r="A2657" s="62">
        <v>220230016164</v>
      </c>
      <c r="B2657" s="44" t="s">
        <v>1514</v>
      </c>
      <c r="C2657" s="64">
        <v>45043</v>
      </c>
      <c r="D2657" s="62">
        <v>22023002460</v>
      </c>
      <c r="E2657" s="44" t="s">
        <v>1978</v>
      </c>
      <c r="F2657" s="65">
        <v>61.47</v>
      </c>
      <c r="G2657" s="44" t="s">
        <v>1351</v>
      </c>
      <c r="H2657" s="44" t="s">
        <v>4275</v>
      </c>
      <c r="I2657" s="62" t="s">
        <v>1517</v>
      </c>
      <c r="J2657" s="44" t="s">
        <v>519</v>
      </c>
      <c r="K2657" s="44" t="s">
        <v>519</v>
      </c>
      <c r="L2657" s="44" t="s">
        <v>552</v>
      </c>
      <c r="M2657" s="44" t="s">
        <v>514</v>
      </c>
      <c r="N2657" s="44" t="s">
        <v>515</v>
      </c>
      <c r="O2657" s="45" t="s">
        <v>382</v>
      </c>
      <c r="P2657" s="45" t="s">
        <v>3760</v>
      </c>
      <c r="Q2657" s="59" t="str">
        <f>MID(Tabla1[[#This Row],[Aplicación]],14,1)</f>
        <v>2</v>
      </c>
      <c r="R2657" s="35" t="s">
        <v>298</v>
      </c>
      <c r="S2657" s="59" t="str">
        <f>MID(Tabla1[[#This Row],[Aplicación]],6,2)</f>
        <v>05</v>
      </c>
      <c r="T2657" s="35" t="str">
        <f>VLOOKUP(Tabla1[[#This Row],[AREA]],Hoja1!A:B,2,FALSE)</f>
        <v>05. Innovación, desarrollo económico, empleo y comercio</v>
      </c>
      <c r="U2657" s="56" t="str">
        <f>MID(Tabla1[[#This Row],[Aplicación]],9,4)</f>
        <v>4331</v>
      </c>
      <c r="V2657" s="35" t="str">
        <f>VLOOKUP(Tabla1[[#This Row],[PROGRAMA]],Hoja1!A:B,2,FALSE)</f>
        <v>4331. Desarrollo empresarial</v>
      </c>
      <c r="W2657" s="56" t="str">
        <f>MID(Tabla1[[#This Row],[Aplicación]],14,2)</f>
        <v>21</v>
      </c>
      <c r="X2657" s="56" t="str">
        <f>MID(Tabla1[[#This Row],[Aplicación]],14,6)</f>
        <v>212</v>
      </c>
    </row>
    <row r="2658" spans="1:24" x14ac:dyDescent="0.25">
      <c r="A2658" s="63">
        <v>220230028526</v>
      </c>
      <c r="B2658" s="44" t="s">
        <v>1249</v>
      </c>
      <c r="C2658" s="64">
        <v>45084</v>
      </c>
      <c r="D2658" s="62">
        <v>22023004771</v>
      </c>
      <c r="E2658" s="44" t="s">
        <v>1132</v>
      </c>
      <c r="F2658" s="65">
        <v>54.28</v>
      </c>
      <c r="G2658" s="44" t="s">
        <v>2103</v>
      </c>
      <c r="H2658" s="44" t="s">
        <v>4276</v>
      </c>
      <c r="I2658" s="62" t="s">
        <v>1251</v>
      </c>
      <c r="J2658" s="44" t="s">
        <v>589</v>
      </c>
      <c r="K2658" s="44" t="s">
        <v>590</v>
      </c>
      <c r="L2658" s="44" t="s">
        <v>652</v>
      </c>
      <c r="M2658" s="44" t="s">
        <v>976</v>
      </c>
      <c r="N2658" s="44" t="s">
        <v>839</v>
      </c>
      <c r="O2658" s="45" t="s">
        <v>383</v>
      </c>
      <c r="P2658" s="45" t="s">
        <v>3760</v>
      </c>
      <c r="Q2658" s="59" t="str">
        <f>MID(Tabla1[[#This Row],[Aplicación]],14,1)</f>
        <v>2</v>
      </c>
      <c r="R2658" s="35" t="s">
        <v>298</v>
      </c>
      <c r="S2658" s="59" t="str">
        <f>MID(Tabla1[[#This Row],[Aplicación]],6,2)</f>
        <v>07</v>
      </c>
      <c r="T2658" s="35" t="str">
        <f>VLOOKUP(Tabla1[[#This Row],[AREA]],Hoja1!A:B,2,FALSE)</f>
        <v>07. Medio ambiente y desarrollo sostenible</v>
      </c>
      <c r="U2658" s="56" t="str">
        <f>MID(Tabla1[[#This Row],[Aplicación]],9,4)</f>
        <v>1721</v>
      </c>
      <c r="V2658" s="35" t="str">
        <f>VLOOKUP(Tabla1[[#This Row],[PROGRAMA]],Hoja1!A:B,2,FALSE)</f>
        <v>1721. Protección del medio ambiente</v>
      </c>
      <c r="W2658" s="56" t="str">
        <f>MID(Tabla1[[#This Row],[Aplicación]],14,2)</f>
        <v>22</v>
      </c>
      <c r="X2658" s="56" t="str">
        <f>MID(Tabla1[[#This Row],[Aplicación]],14,6)</f>
        <v>22100</v>
      </c>
    </row>
    <row r="2659" spans="1:24" x14ac:dyDescent="0.25">
      <c r="A2659" s="62">
        <v>220230016425</v>
      </c>
      <c r="B2659" s="44" t="s">
        <v>1514</v>
      </c>
      <c r="C2659" s="64">
        <v>45043</v>
      </c>
      <c r="D2659" s="62">
        <v>22023002536</v>
      </c>
      <c r="E2659" s="44" t="s">
        <v>2892</v>
      </c>
      <c r="F2659" s="65">
        <v>420.52</v>
      </c>
      <c r="G2659" s="44" t="s">
        <v>1857</v>
      </c>
      <c r="H2659" s="44" t="s">
        <v>4277</v>
      </c>
      <c r="I2659" s="62" t="s">
        <v>1517</v>
      </c>
      <c r="J2659" s="44" t="s">
        <v>519</v>
      </c>
      <c r="K2659" s="44" t="s">
        <v>519</v>
      </c>
      <c r="L2659" s="44" t="s">
        <v>520</v>
      </c>
      <c r="M2659" s="44" t="s">
        <v>514</v>
      </c>
      <c r="N2659" s="44" t="s">
        <v>515</v>
      </c>
      <c r="O2659" s="45" t="s">
        <v>382</v>
      </c>
      <c r="P2659" s="45" t="s">
        <v>3760</v>
      </c>
      <c r="Q2659" s="59" t="str">
        <f>MID(Tabla1[[#This Row],[Aplicación]],14,1)</f>
        <v>2</v>
      </c>
      <c r="R2659" s="35" t="s">
        <v>298</v>
      </c>
      <c r="S2659" s="59" t="str">
        <f>MID(Tabla1[[#This Row],[Aplicación]],6,2)</f>
        <v>01</v>
      </c>
      <c r="T2659" s="35" t="str">
        <f>VLOOKUP(Tabla1[[#This Row],[AREA]],Hoja1!A:B,2,FALSE)</f>
        <v>01. Alcaldía</v>
      </c>
      <c r="U2659" s="56" t="str">
        <f>MID(Tabla1[[#This Row],[Aplicación]],9,4)</f>
        <v>9203</v>
      </c>
      <c r="V2659" s="35" t="str">
        <f>VLOOKUP(Tabla1[[#This Row],[PROGRAMA]],Hoja1!A:B,2,FALSE)</f>
        <v>9203. Unidad de régimen interior</v>
      </c>
      <c r="W2659" s="56" t="str">
        <f>MID(Tabla1[[#This Row],[Aplicación]],14,2)</f>
        <v>21</v>
      </c>
      <c r="X2659" s="56" t="str">
        <f>MID(Tabla1[[#This Row],[Aplicación]],14,6)</f>
        <v>214</v>
      </c>
    </row>
    <row r="2660" spans="1:24" x14ac:dyDescent="0.25">
      <c r="A2660" s="62">
        <v>220230016427</v>
      </c>
      <c r="B2660" s="44" t="s">
        <v>1514</v>
      </c>
      <c r="C2660" s="64">
        <v>45043</v>
      </c>
      <c r="D2660" s="62">
        <v>22023002536</v>
      </c>
      <c r="E2660" s="44" t="s">
        <v>2892</v>
      </c>
      <c r="F2660" s="65">
        <v>515.51</v>
      </c>
      <c r="G2660" s="44" t="s">
        <v>1857</v>
      </c>
      <c r="H2660" s="44" t="s">
        <v>4278</v>
      </c>
      <c r="I2660" s="62" t="s">
        <v>1517</v>
      </c>
      <c r="J2660" s="44" t="s">
        <v>519</v>
      </c>
      <c r="K2660" s="44" t="s">
        <v>519</v>
      </c>
      <c r="L2660" s="44" t="s">
        <v>520</v>
      </c>
      <c r="M2660" s="44" t="s">
        <v>514</v>
      </c>
      <c r="N2660" s="44" t="s">
        <v>515</v>
      </c>
      <c r="O2660" s="45" t="s">
        <v>382</v>
      </c>
      <c r="P2660" s="45" t="s">
        <v>3760</v>
      </c>
      <c r="Q2660" s="59" t="str">
        <f>MID(Tabla1[[#This Row],[Aplicación]],14,1)</f>
        <v>2</v>
      </c>
      <c r="R2660" s="35" t="s">
        <v>298</v>
      </c>
      <c r="S2660" s="59" t="str">
        <f>MID(Tabla1[[#This Row],[Aplicación]],6,2)</f>
        <v>01</v>
      </c>
      <c r="T2660" s="35" t="str">
        <f>VLOOKUP(Tabla1[[#This Row],[AREA]],Hoja1!A:B,2,FALSE)</f>
        <v>01. Alcaldía</v>
      </c>
      <c r="U2660" s="56" t="str">
        <f>MID(Tabla1[[#This Row],[Aplicación]],9,4)</f>
        <v>9203</v>
      </c>
      <c r="V2660" s="35" t="str">
        <f>VLOOKUP(Tabla1[[#This Row],[PROGRAMA]],Hoja1!A:B,2,FALSE)</f>
        <v>9203. Unidad de régimen interior</v>
      </c>
      <c r="W2660" s="56" t="str">
        <f>MID(Tabla1[[#This Row],[Aplicación]],14,2)</f>
        <v>21</v>
      </c>
      <c r="X2660" s="56" t="str">
        <f>MID(Tabla1[[#This Row],[Aplicación]],14,6)</f>
        <v>214</v>
      </c>
    </row>
    <row r="2661" spans="1:24" x14ac:dyDescent="0.25">
      <c r="A2661" s="62">
        <v>220230016273</v>
      </c>
      <c r="B2661" s="44" t="s">
        <v>1514</v>
      </c>
      <c r="C2661" s="64">
        <v>45043</v>
      </c>
      <c r="D2661" s="62">
        <v>22023001514</v>
      </c>
      <c r="E2661" s="44" t="s">
        <v>1285</v>
      </c>
      <c r="F2661" s="65">
        <v>95.32</v>
      </c>
      <c r="G2661" s="44" t="s">
        <v>1351</v>
      </c>
      <c r="H2661" s="44" t="s">
        <v>4279</v>
      </c>
      <c r="I2661" s="62" t="s">
        <v>1517</v>
      </c>
      <c r="J2661" s="44" t="s">
        <v>519</v>
      </c>
      <c r="K2661" s="44" t="s">
        <v>519</v>
      </c>
      <c r="L2661" s="44" t="s">
        <v>552</v>
      </c>
      <c r="M2661" s="44" t="s">
        <v>514</v>
      </c>
      <c r="N2661" s="44" t="s">
        <v>515</v>
      </c>
      <c r="O2661" s="45" t="s">
        <v>382</v>
      </c>
      <c r="P2661" s="45" t="s">
        <v>3760</v>
      </c>
      <c r="Q2661" s="59" t="str">
        <f>MID(Tabla1[[#This Row],[Aplicación]],14,1)</f>
        <v>2</v>
      </c>
      <c r="R2661" s="35" t="s">
        <v>298</v>
      </c>
      <c r="S2661" s="59" t="str">
        <f>MID(Tabla1[[#This Row],[Aplicación]],6,2)</f>
        <v>11</v>
      </c>
      <c r="T2661" s="35" t="str">
        <f>VLOOKUP(Tabla1[[#This Row],[AREA]],Hoja1!A:B,2,FALSE)</f>
        <v>11. Salud pública y seguridad ciudadana</v>
      </c>
      <c r="U2661" s="56" t="str">
        <f>MID(Tabla1[[#This Row],[Aplicación]],9,4)</f>
        <v>1361</v>
      </c>
      <c r="V2661" s="35" t="str">
        <f>VLOOKUP(Tabla1[[#This Row],[PROGRAMA]],Hoja1!A:B,2,FALSE)</f>
        <v>1361. Prevención y extinción de incencios</v>
      </c>
      <c r="W2661" s="56" t="str">
        <f>MID(Tabla1[[#This Row],[Aplicación]],14,2)</f>
        <v>22</v>
      </c>
      <c r="X2661" s="56" t="str">
        <f>MID(Tabla1[[#This Row],[Aplicación]],14,6)</f>
        <v>22199</v>
      </c>
    </row>
    <row r="2662" spans="1:24" x14ac:dyDescent="0.25">
      <c r="A2662" s="62">
        <v>220230016346</v>
      </c>
      <c r="B2662" s="44" t="s">
        <v>1514</v>
      </c>
      <c r="C2662" s="64">
        <v>45043</v>
      </c>
      <c r="D2662" s="62">
        <v>22023001412</v>
      </c>
      <c r="E2662" s="44" t="s">
        <v>1510</v>
      </c>
      <c r="F2662" s="65">
        <v>39.26</v>
      </c>
      <c r="G2662" s="44" t="s">
        <v>1351</v>
      </c>
      <c r="H2662" s="44" t="s">
        <v>4280</v>
      </c>
      <c r="I2662" s="62" t="s">
        <v>1517</v>
      </c>
      <c r="J2662" s="44" t="s">
        <v>519</v>
      </c>
      <c r="K2662" s="44" t="s">
        <v>519</v>
      </c>
      <c r="L2662" s="44" t="s">
        <v>552</v>
      </c>
      <c r="M2662" s="44" t="s">
        <v>514</v>
      </c>
      <c r="N2662" s="44" t="s">
        <v>515</v>
      </c>
      <c r="O2662" s="45" t="s">
        <v>382</v>
      </c>
      <c r="P2662" s="45" t="s">
        <v>3760</v>
      </c>
      <c r="Q2662" s="59" t="str">
        <f>MID(Tabla1[[#This Row],[Aplicación]],14,1)</f>
        <v>2</v>
      </c>
      <c r="R2662" s="35" t="s">
        <v>298</v>
      </c>
      <c r="S2662" s="59" t="str">
        <f>MID(Tabla1[[#This Row],[Aplicación]],6,2)</f>
        <v>10</v>
      </c>
      <c r="T2662" s="35" t="str">
        <f>VLOOKUP(Tabla1[[#This Row],[AREA]],Hoja1!A:B,2,FALSE)</f>
        <v>10. Servicios sociales y mediación comunitaria</v>
      </c>
      <c r="U2662" s="56" t="str">
        <f>MID(Tabla1[[#This Row],[Aplicación]],9,4)</f>
        <v>2311</v>
      </c>
      <c r="V2662" s="35" t="str">
        <f>VLOOKUP(Tabla1[[#This Row],[PROGRAMA]],Hoja1!A:B,2,FALSE)</f>
        <v>2311. Intervención social</v>
      </c>
      <c r="W2662" s="56" t="str">
        <f>MID(Tabla1[[#This Row],[Aplicación]],14,2)</f>
        <v>21</v>
      </c>
      <c r="X2662" s="56" t="str">
        <f>MID(Tabla1[[#This Row],[Aplicación]],14,6)</f>
        <v>212</v>
      </c>
    </row>
    <row r="2663" spans="1:24" x14ac:dyDescent="0.25">
      <c r="A2663" s="62">
        <v>220230016403</v>
      </c>
      <c r="B2663" s="44" t="s">
        <v>1514</v>
      </c>
      <c r="C2663" s="64">
        <v>45043</v>
      </c>
      <c r="D2663" s="62">
        <v>22023001468</v>
      </c>
      <c r="E2663" s="44" t="s">
        <v>1512</v>
      </c>
      <c r="F2663" s="65">
        <v>527.67999999999995</v>
      </c>
      <c r="G2663" s="44" t="s">
        <v>1351</v>
      </c>
      <c r="H2663" s="44" t="s">
        <v>4281</v>
      </c>
      <c r="I2663" s="62" t="s">
        <v>1517</v>
      </c>
      <c r="J2663" s="44" t="s">
        <v>519</v>
      </c>
      <c r="K2663" s="44" t="s">
        <v>519</v>
      </c>
      <c r="L2663" s="44" t="s">
        <v>552</v>
      </c>
      <c r="M2663" s="44" t="s">
        <v>514</v>
      </c>
      <c r="N2663" s="44" t="s">
        <v>515</v>
      </c>
      <c r="O2663" s="45" t="s">
        <v>382</v>
      </c>
      <c r="P2663" s="45" t="s">
        <v>3760</v>
      </c>
      <c r="Q2663" s="59" t="str">
        <f>MID(Tabla1[[#This Row],[Aplicación]],14,1)</f>
        <v>2</v>
      </c>
      <c r="R2663" s="35" t="s">
        <v>298</v>
      </c>
      <c r="S2663" s="59" t="str">
        <f>MID(Tabla1[[#This Row],[Aplicación]],6,2)</f>
        <v>10</v>
      </c>
      <c r="T2663" s="35" t="str">
        <f>VLOOKUP(Tabla1[[#This Row],[AREA]],Hoja1!A:B,2,FALSE)</f>
        <v>10. Servicios sociales y mediación comunitaria</v>
      </c>
      <c r="U2663" s="56" t="str">
        <f>MID(Tabla1[[#This Row],[Aplicación]],9,4)</f>
        <v>2312</v>
      </c>
      <c r="V2663" s="35" t="str">
        <f>VLOOKUP(Tabla1[[#This Row],[PROGRAMA]],Hoja1!A:B,2,FALSE)</f>
        <v>2312. Iniciativas sociales</v>
      </c>
      <c r="W2663" s="56" t="str">
        <f>MID(Tabla1[[#This Row],[Aplicación]],14,2)</f>
        <v>21</v>
      </c>
      <c r="X2663" s="56" t="str">
        <f>MID(Tabla1[[#This Row],[Aplicación]],14,6)</f>
        <v>212</v>
      </c>
    </row>
    <row r="2664" spans="1:24" x14ac:dyDescent="0.25">
      <c r="A2664" s="62">
        <v>220230016502</v>
      </c>
      <c r="B2664" s="44" t="s">
        <v>1514</v>
      </c>
      <c r="C2664" s="64">
        <v>45043</v>
      </c>
      <c r="D2664" s="62">
        <v>22023001131</v>
      </c>
      <c r="E2664" s="44" t="s">
        <v>1395</v>
      </c>
      <c r="F2664" s="65">
        <v>509.39</v>
      </c>
      <c r="G2664" s="44" t="s">
        <v>1351</v>
      </c>
      <c r="H2664" s="44" t="s">
        <v>4282</v>
      </c>
      <c r="I2664" s="62" t="s">
        <v>1517</v>
      </c>
      <c r="J2664" s="44" t="s">
        <v>519</v>
      </c>
      <c r="K2664" s="44" t="s">
        <v>519</v>
      </c>
      <c r="L2664" s="44" t="s">
        <v>552</v>
      </c>
      <c r="M2664" s="44" t="s">
        <v>514</v>
      </c>
      <c r="N2664" s="44" t="s">
        <v>515</v>
      </c>
      <c r="O2664" s="45" t="s">
        <v>382</v>
      </c>
      <c r="P2664" s="45" t="s">
        <v>3760</v>
      </c>
      <c r="Q2664" s="59" t="str">
        <f>MID(Tabla1[[#This Row],[Aplicación]],14,1)</f>
        <v>2</v>
      </c>
      <c r="R2664" s="35" t="s">
        <v>298</v>
      </c>
      <c r="S2664" s="59" t="str">
        <f>MID(Tabla1[[#This Row],[Aplicación]],6,2)</f>
        <v>07</v>
      </c>
      <c r="T2664" s="35" t="str">
        <f>VLOOKUP(Tabla1[[#This Row],[AREA]],Hoja1!A:B,2,FALSE)</f>
        <v>07. Medio ambiente y desarrollo sostenible</v>
      </c>
      <c r="U2664" s="56" t="str">
        <f>MID(Tabla1[[#This Row],[Aplicación]],9,4)</f>
        <v>1721</v>
      </c>
      <c r="V2664" s="35" t="str">
        <f>VLOOKUP(Tabla1[[#This Row],[PROGRAMA]],Hoja1!A:B,2,FALSE)</f>
        <v>1721. Protección del medio ambiente</v>
      </c>
      <c r="W2664" s="56" t="str">
        <f>MID(Tabla1[[#This Row],[Aplicación]],14,2)</f>
        <v>22</v>
      </c>
      <c r="X2664" s="56" t="str">
        <f>MID(Tabla1[[#This Row],[Aplicación]],14,6)</f>
        <v>22112</v>
      </c>
    </row>
    <row r="2665" spans="1:24" x14ac:dyDescent="0.25">
      <c r="A2665" s="62">
        <v>220230018512</v>
      </c>
      <c r="B2665" s="44" t="s">
        <v>1514</v>
      </c>
      <c r="C2665" s="64">
        <v>45055</v>
      </c>
      <c r="D2665" s="62">
        <v>22023001468</v>
      </c>
      <c r="E2665" s="44" t="s">
        <v>1512</v>
      </c>
      <c r="F2665" s="65">
        <v>1046.3699999999999</v>
      </c>
      <c r="G2665" s="44" t="s">
        <v>1351</v>
      </c>
      <c r="H2665" s="44" t="s">
        <v>4283</v>
      </c>
      <c r="I2665" s="62" t="s">
        <v>1517</v>
      </c>
      <c r="J2665" s="44" t="s">
        <v>519</v>
      </c>
      <c r="K2665" s="44" t="s">
        <v>519</v>
      </c>
      <c r="L2665" s="44" t="s">
        <v>552</v>
      </c>
      <c r="M2665" s="44" t="s">
        <v>514</v>
      </c>
      <c r="N2665" s="44" t="s">
        <v>515</v>
      </c>
      <c r="O2665" s="45" t="s">
        <v>382</v>
      </c>
      <c r="P2665" s="45" t="s">
        <v>3760</v>
      </c>
      <c r="Q2665" s="59" t="str">
        <f>MID(Tabla1[[#This Row],[Aplicación]],14,1)</f>
        <v>2</v>
      </c>
      <c r="R2665" s="35" t="s">
        <v>298</v>
      </c>
      <c r="S2665" s="59" t="str">
        <f>MID(Tabla1[[#This Row],[Aplicación]],6,2)</f>
        <v>10</v>
      </c>
      <c r="T2665" s="35" t="str">
        <f>VLOOKUP(Tabla1[[#This Row],[AREA]],Hoja1!A:B,2,FALSE)</f>
        <v>10. Servicios sociales y mediación comunitaria</v>
      </c>
      <c r="U2665" s="56" t="str">
        <f>MID(Tabla1[[#This Row],[Aplicación]],9,4)</f>
        <v>2312</v>
      </c>
      <c r="V2665" s="35" t="str">
        <f>VLOOKUP(Tabla1[[#This Row],[PROGRAMA]],Hoja1!A:B,2,FALSE)</f>
        <v>2312. Iniciativas sociales</v>
      </c>
      <c r="W2665" s="56" t="str">
        <f>MID(Tabla1[[#This Row],[Aplicación]],14,2)</f>
        <v>21</v>
      </c>
      <c r="X2665" s="56" t="str">
        <f>MID(Tabla1[[#This Row],[Aplicación]],14,6)</f>
        <v>212</v>
      </c>
    </row>
    <row r="2666" spans="1:24" x14ac:dyDescent="0.25">
      <c r="A2666" s="62">
        <v>220230016018</v>
      </c>
      <c r="B2666" s="44" t="s">
        <v>507</v>
      </c>
      <c r="C2666" s="64">
        <v>45042</v>
      </c>
      <c r="D2666" s="62">
        <v>22023004135</v>
      </c>
      <c r="E2666" s="44" t="s">
        <v>2107</v>
      </c>
      <c r="F2666" s="65">
        <v>2500</v>
      </c>
      <c r="G2666" s="44" t="s">
        <v>4284</v>
      </c>
      <c r="H2666" s="44" t="s">
        <v>4285</v>
      </c>
      <c r="I2666" s="62" t="s">
        <v>511</v>
      </c>
      <c r="J2666" s="44" t="s">
        <v>4286</v>
      </c>
      <c r="K2666" s="44" t="s">
        <v>1359</v>
      </c>
      <c r="L2666" s="44" t="s">
        <v>520</v>
      </c>
      <c r="M2666" s="44" t="s">
        <v>976</v>
      </c>
      <c r="N2666" s="44" t="s">
        <v>839</v>
      </c>
      <c r="O2666" s="45" t="s">
        <v>383</v>
      </c>
      <c r="P2666" s="45" t="s">
        <v>3760</v>
      </c>
      <c r="Q2666" s="59" t="str">
        <f>MID(Tabla1[[#This Row],[Aplicación]],14,1)</f>
        <v>2</v>
      </c>
      <c r="R2666" s="35" t="s">
        <v>298</v>
      </c>
      <c r="S2666" s="59" t="str">
        <f>MID(Tabla1[[#This Row],[Aplicación]],6,2)</f>
        <v>07</v>
      </c>
      <c r="T2666" s="35" t="str">
        <f>VLOOKUP(Tabla1[[#This Row],[AREA]],Hoja1!A:B,2,FALSE)</f>
        <v>07. Medio ambiente y desarrollo sostenible</v>
      </c>
      <c r="U2666" s="56" t="str">
        <f>MID(Tabla1[[#This Row],[Aplicación]],9,4)</f>
        <v>1711</v>
      </c>
      <c r="V2666" s="35" t="str">
        <f>VLOOKUP(Tabla1[[#This Row],[PROGRAMA]],Hoja1!A:B,2,FALSE)</f>
        <v>1711. Parques y jardines</v>
      </c>
      <c r="W2666" s="56" t="str">
        <f>MID(Tabla1[[#This Row],[Aplicación]],14,2)</f>
        <v>21</v>
      </c>
      <c r="X2666" s="56" t="str">
        <f>MID(Tabla1[[#This Row],[Aplicación]],14,6)</f>
        <v>213</v>
      </c>
    </row>
    <row r="2667" spans="1:24" x14ac:dyDescent="0.25">
      <c r="A2667" s="62">
        <v>220230022383</v>
      </c>
      <c r="B2667" s="44" t="s">
        <v>1514</v>
      </c>
      <c r="C2667" s="64">
        <v>45065</v>
      </c>
      <c r="D2667" s="62">
        <v>22023000268</v>
      </c>
      <c r="E2667" s="44" t="s">
        <v>659</v>
      </c>
      <c r="F2667" s="65">
        <v>3661.76</v>
      </c>
      <c r="G2667" s="44" t="s">
        <v>1351</v>
      </c>
      <c r="H2667" s="44" t="s">
        <v>4287</v>
      </c>
      <c r="I2667" s="62" t="s">
        <v>1517</v>
      </c>
      <c r="J2667" s="44" t="s">
        <v>519</v>
      </c>
      <c r="K2667" s="44" t="s">
        <v>519</v>
      </c>
      <c r="L2667" s="44" t="s">
        <v>552</v>
      </c>
      <c r="M2667" s="44" t="s">
        <v>514</v>
      </c>
      <c r="N2667" s="44" t="s">
        <v>515</v>
      </c>
      <c r="O2667" s="45" t="s">
        <v>382</v>
      </c>
      <c r="P2667" s="45" t="s">
        <v>3760</v>
      </c>
      <c r="Q2667" s="59" t="str">
        <f>MID(Tabla1[[#This Row],[Aplicación]],14,1)</f>
        <v>2</v>
      </c>
      <c r="R2667" s="35" t="s">
        <v>298</v>
      </c>
      <c r="S2667" s="59" t="str">
        <f>MID(Tabla1[[#This Row],[Aplicación]],6,2)</f>
        <v>11</v>
      </c>
      <c r="T2667" s="35" t="str">
        <f>VLOOKUP(Tabla1[[#This Row],[AREA]],Hoja1!A:B,2,FALSE)</f>
        <v>11. Salud pública y seguridad ciudadana</v>
      </c>
      <c r="U2667" s="56" t="str">
        <f>MID(Tabla1[[#This Row],[Aplicación]],9,4)</f>
        <v>1321</v>
      </c>
      <c r="V2667" s="35" t="str">
        <f>VLOOKUP(Tabla1[[#This Row],[PROGRAMA]],Hoja1!A:B,2,FALSE)</f>
        <v>1321. Policía municipal</v>
      </c>
      <c r="W2667" s="56" t="str">
        <f>MID(Tabla1[[#This Row],[Aplicación]],14,2)</f>
        <v>21</v>
      </c>
      <c r="X2667" s="56" t="str">
        <f>MID(Tabla1[[#This Row],[Aplicación]],14,6)</f>
        <v>213</v>
      </c>
    </row>
    <row r="2668" spans="1:24" x14ac:dyDescent="0.25">
      <c r="A2668" s="62">
        <v>220230023235</v>
      </c>
      <c r="B2668" s="44" t="s">
        <v>1514</v>
      </c>
      <c r="C2668" s="64">
        <v>45068</v>
      </c>
      <c r="D2668" s="62">
        <v>22023000268</v>
      </c>
      <c r="E2668" s="44" t="s">
        <v>659</v>
      </c>
      <c r="F2668" s="65">
        <v>97.71</v>
      </c>
      <c r="G2668" s="44" t="s">
        <v>1351</v>
      </c>
      <c r="H2668" s="44" t="s">
        <v>4288</v>
      </c>
      <c r="I2668" s="62" t="s">
        <v>1517</v>
      </c>
      <c r="J2668" s="44" t="s">
        <v>519</v>
      </c>
      <c r="K2668" s="44" t="s">
        <v>519</v>
      </c>
      <c r="L2668" s="44" t="s">
        <v>552</v>
      </c>
      <c r="M2668" s="44" t="s">
        <v>514</v>
      </c>
      <c r="N2668" s="44" t="s">
        <v>515</v>
      </c>
      <c r="O2668" s="45" t="s">
        <v>382</v>
      </c>
      <c r="P2668" s="45" t="s">
        <v>3760</v>
      </c>
      <c r="Q2668" s="59" t="str">
        <f>MID(Tabla1[[#This Row],[Aplicación]],14,1)</f>
        <v>2</v>
      </c>
      <c r="R2668" s="35" t="s">
        <v>298</v>
      </c>
      <c r="S2668" s="59" t="str">
        <f>MID(Tabla1[[#This Row],[Aplicación]],6,2)</f>
        <v>11</v>
      </c>
      <c r="T2668" s="35" t="str">
        <f>VLOOKUP(Tabla1[[#This Row],[AREA]],Hoja1!A:B,2,FALSE)</f>
        <v>11. Salud pública y seguridad ciudadana</v>
      </c>
      <c r="U2668" s="56" t="str">
        <f>MID(Tabla1[[#This Row],[Aplicación]],9,4)</f>
        <v>1321</v>
      </c>
      <c r="V2668" s="35" t="str">
        <f>VLOOKUP(Tabla1[[#This Row],[PROGRAMA]],Hoja1!A:B,2,FALSE)</f>
        <v>1321. Policía municipal</v>
      </c>
      <c r="W2668" s="56" t="str">
        <f>MID(Tabla1[[#This Row],[Aplicación]],14,2)</f>
        <v>21</v>
      </c>
      <c r="X2668" s="56" t="str">
        <f>MID(Tabla1[[#This Row],[Aplicación]],14,6)</f>
        <v>213</v>
      </c>
    </row>
    <row r="2669" spans="1:24" x14ac:dyDescent="0.25">
      <c r="A2669" s="62">
        <v>220230018800</v>
      </c>
      <c r="B2669" s="44" t="s">
        <v>507</v>
      </c>
      <c r="C2669" s="64">
        <v>45055</v>
      </c>
      <c r="D2669" s="62">
        <v>22023003007</v>
      </c>
      <c r="E2669" s="44" t="s">
        <v>699</v>
      </c>
      <c r="F2669" s="65">
        <v>10080.709999999999</v>
      </c>
      <c r="G2669" s="44" t="s">
        <v>53</v>
      </c>
      <c r="H2669" s="44" t="s">
        <v>4289</v>
      </c>
      <c r="I2669" s="62" t="s">
        <v>511</v>
      </c>
      <c r="J2669" s="44" t="s">
        <v>519</v>
      </c>
      <c r="K2669" s="44" t="s">
        <v>519</v>
      </c>
      <c r="L2669" s="44" t="s">
        <v>520</v>
      </c>
      <c r="M2669" s="44" t="s">
        <v>514</v>
      </c>
      <c r="N2669" s="44" t="s">
        <v>604</v>
      </c>
      <c r="O2669" s="45" t="s">
        <v>371</v>
      </c>
      <c r="P2669" s="45" t="s">
        <v>3760</v>
      </c>
      <c r="Q2669" s="59" t="str">
        <f>MID(Tabla1[[#This Row],[Aplicación]],14,1)</f>
        <v>2</v>
      </c>
      <c r="R2669" s="35" t="s">
        <v>298</v>
      </c>
      <c r="S2669" s="59" t="str">
        <f>MID(Tabla1[[#This Row],[Aplicación]],6,2)</f>
        <v>03</v>
      </c>
      <c r="T2669" s="35" t="str">
        <f>VLOOKUP(Tabla1[[#This Row],[AREA]],Hoja1!A:B,2,FALSE)</f>
        <v>03. Participación ciudadana y deportes</v>
      </c>
      <c r="U2669" s="56" t="str">
        <f>MID(Tabla1[[#This Row],[Aplicación]],9,4)</f>
        <v>9241</v>
      </c>
      <c r="V2669" s="35" t="str">
        <f>VLOOKUP(Tabla1[[#This Row],[PROGRAMA]],Hoja1!A:B,2,FALSE)</f>
        <v>9241. Participación ciudadana</v>
      </c>
      <c r="W2669" s="56" t="str">
        <f>MID(Tabla1[[#This Row],[Aplicación]],14,2)</f>
        <v>22</v>
      </c>
      <c r="X2669" s="56" t="str">
        <f>MID(Tabla1[[#This Row],[Aplicación]],14,6)</f>
        <v>22700</v>
      </c>
    </row>
    <row r="2670" spans="1:24" x14ac:dyDescent="0.25">
      <c r="A2670" s="62">
        <v>220230020805</v>
      </c>
      <c r="B2670" s="44" t="s">
        <v>507</v>
      </c>
      <c r="C2670" s="64">
        <v>45062</v>
      </c>
      <c r="D2670" s="62">
        <v>22023004497</v>
      </c>
      <c r="E2670" s="44" t="s">
        <v>1120</v>
      </c>
      <c r="F2670" s="65">
        <v>5352.98</v>
      </c>
      <c r="G2670" s="44" t="s">
        <v>587</v>
      </c>
      <c r="H2670" s="44" t="s">
        <v>4290</v>
      </c>
      <c r="I2670" s="62" t="s">
        <v>511</v>
      </c>
      <c r="J2670" s="44" t="s">
        <v>589</v>
      </c>
      <c r="K2670" s="44" t="s">
        <v>590</v>
      </c>
      <c r="L2670" s="44" t="s">
        <v>552</v>
      </c>
      <c r="M2670" s="44" t="s">
        <v>514</v>
      </c>
      <c r="N2670" s="44" t="s">
        <v>515</v>
      </c>
      <c r="O2670" s="45" t="s">
        <v>371</v>
      </c>
      <c r="P2670" s="45" t="s">
        <v>3760</v>
      </c>
      <c r="Q2670" s="59" t="str">
        <f>MID(Tabla1[[#This Row],[Aplicación]],14,1)</f>
        <v>2</v>
      </c>
      <c r="R2670" s="35" t="s">
        <v>298</v>
      </c>
      <c r="S2670" s="59" t="str">
        <f>MID(Tabla1[[#This Row],[Aplicación]],6,2)</f>
        <v>10</v>
      </c>
      <c r="T2670" s="35" t="str">
        <f>VLOOKUP(Tabla1[[#This Row],[AREA]],Hoja1!A:B,2,FALSE)</f>
        <v>10. Servicios sociales y mediación comunitaria</v>
      </c>
      <c r="U2670" s="56" t="str">
        <f>MID(Tabla1[[#This Row],[Aplicación]],9,4)</f>
        <v>2412</v>
      </c>
      <c r="V2670" s="35" t="str">
        <f>VLOOKUP(Tabla1[[#This Row],[PROGRAMA]],Hoja1!A:B,2,FALSE)</f>
        <v>2412. Formación para el empleo</v>
      </c>
      <c r="W2670" s="56" t="str">
        <f>MID(Tabla1[[#This Row],[Aplicación]],14,2)</f>
        <v>22</v>
      </c>
      <c r="X2670" s="56" t="str">
        <f>MID(Tabla1[[#This Row],[Aplicación]],14,6)</f>
        <v>22100</v>
      </c>
    </row>
    <row r="2671" spans="1:24" x14ac:dyDescent="0.25">
      <c r="A2671" s="62">
        <v>220230016835</v>
      </c>
      <c r="B2671" s="44" t="s">
        <v>507</v>
      </c>
      <c r="C2671" s="64">
        <v>45048</v>
      </c>
      <c r="D2671" s="62">
        <v>22023003991</v>
      </c>
      <c r="E2671" s="44" t="s">
        <v>516</v>
      </c>
      <c r="F2671" s="65">
        <v>5112.12</v>
      </c>
      <c r="G2671" s="44" t="s">
        <v>1800</v>
      </c>
      <c r="H2671" s="44" t="s">
        <v>4291</v>
      </c>
      <c r="I2671" s="62" t="s">
        <v>511</v>
      </c>
      <c r="J2671" s="44" t="s">
        <v>519</v>
      </c>
      <c r="K2671" s="44" t="s">
        <v>519</v>
      </c>
      <c r="L2671" s="44" t="s">
        <v>520</v>
      </c>
      <c r="M2671" s="44" t="s">
        <v>976</v>
      </c>
      <c r="N2671" s="44" t="s">
        <v>839</v>
      </c>
      <c r="O2671" s="45" t="s">
        <v>383</v>
      </c>
      <c r="P2671" s="45" t="s">
        <v>3760</v>
      </c>
      <c r="Q2671" s="59" t="str">
        <f>MID(Tabla1[[#This Row],[Aplicación]],14,1)</f>
        <v>2</v>
      </c>
      <c r="R2671" s="35" t="s">
        <v>298</v>
      </c>
      <c r="S2671" s="59" t="str">
        <f>MID(Tabla1[[#This Row],[Aplicación]],6,2)</f>
        <v>10</v>
      </c>
      <c r="T2671" s="35" t="str">
        <f>VLOOKUP(Tabla1[[#This Row],[AREA]],Hoja1!A:B,2,FALSE)</f>
        <v>10. Servicios sociales y mediación comunitaria</v>
      </c>
      <c r="U2671" s="56" t="str">
        <f>MID(Tabla1[[#This Row],[Aplicación]],9,4)</f>
        <v>2311</v>
      </c>
      <c r="V2671" s="35" t="str">
        <f>VLOOKUP(Tabla1[[#This Row],[PROGRAMA]],Hoja1!A:B,2,FALSE)</f>
        <v>2311. Intervención social</v>
      </c>
      <c r="W2671" s="56" t="str">
        <f>MID(Tabla1[[#This Row],[Aplicación]],14,2)</f>
        <v>22</v>
      </c>
      <c r="X2671" s="56" t="str">
        <f>MID(Tabla1[[#This Row],[Aplicación]],14,6)</f>
        <v>22799</v>
      </c>
    </row>
    <row r="2672" spans="1:24" x14ac:dyDescent="0.25">
      <c r="A2672" s="62">
        <v>220230021929</v>
      </c>
      <c r="B2672" s="44" t="s">
        <v>507</v>
      </c>
      <c r="C2672" s="64">
        <v>45064</v>
      </c>
      <c r="D2672" s="62">
        <v>22023004397</v>
      </c>
      <c r="E2672" s="44" t="s">
        <v>1029</v>
      </c>
      <c r="F2672" s="65">
        <v>2669.14</v>
      </c>
      <c r="G2672" s="44" t="s">
        <v>4292</v>
      </c>
      <c r="H2672" s="44" t="s">
        <v>4293</v>
      </c>
      <c r="I2672" s="62" t="s">
        <v>511</v>
      </c>
      <c r="J2672" s="44" t="s">
        <v>519</v>
      </c>
      <c r="K2672" s="44" t="s">
        <v>519</v>
      </c>
      <c r="L2672" s="44" t="s">
        <v>552</v>
      </c>
      <c r="M2672" s="44" t="s">
        <v>976</v>
      </c>
      <c r="N2672" s="44" t="s">
        <v>839</v>
      </c>
      <c r="O2672" s="45" t="s">
        <v>383</v>
      </c>
      <c r="P2672" s="45" t="s">
        <v>3760</v>
      </c>
      <c r="Q2672" s="59" t="str">
        <f>MID(Tabla1[[#This Row],[Aplicación]],14,1)</f>
        <v>2</v>
      </c>
      <c r="R2672" s="35" t="s">
        <v>298</v>
      </c>
      <c r="S2672" s="59" t="str">
        <f>MID(Tabla1[[#This Row],[Aplicación]],6,2)</f>
        <v>04</v>
      </c>
      <c r="T2672" s="35" t="str">
        <f>VLOOKUP(Tabla1[[#This Row],[AREA]],Hoja1!A:B,2,FALSE)</f>
        <v>04. Planificación y recursos</v>
      </c>
      <c r="U2672" s="56" t="str">
        <f>MID(Tabla1[[#This Row],[Aplicación]],9,4)</f>
        <v>9204</v>
      </c>
      <c r="V2672" s="35" t="str">
        <f>VLOOKUP(Tabla1[[#This Row],[PROGRAMA]],Hoja1!A:B,2,FALSE)</f>
        <v>9204. Tecnologías de la información y comunicación</v>
      </c>
      <c r="W2672" s="56" t="str">
        <f>MID(Tabla1[[#This Row],[Aplicación]],14,2)</f>
        <v>22</v>
      </c>
      <c r="X2672" s="56" t="str">
        <f>MID(Tabla1[[#This Row],[Aplicación]],14,6)</f>
        <v>22002</v>
      </c>
    </row>
    <row r="2673" spans="1:24" x14ac:dyDescent="0.25">
      <c r="A2673" s="62">
        <v>220230016015</v>
      </c>
      <c r="B2673" s="44" t="s">
        <v>507</v>
      </c>
      <c r="C2673" s="64">
        <v>45042</v>
      </c>
      <c r="D2673" s="62">
        <v>22023004107</v>
      </c>
      <c r="E2673" s="44" t="s">
        <v>1299</v>
      </c>
      <c r="F2673" s="65">
        <v>450.01</v>
      </c>
      <c r="G2673" s="44" t="s">
        <v>4294</v>
      </c>
      <c r="H2673" s="44" t="s">
        <v>4295</v>
      </c>
      <c r="I2673" s="62" t="s">
        <v>511</v>
      </c>
      <c r="J2673" s="44" t="s">
        <v>512</v>
      </c>
      <c r="K2673" s="44" t="s">
        <v>512</v>
      </c>
      <c r="L2673" s="44" t="s">
        <v>552</v>
      </c>
      <c r="M2673" s="44" t="s">
        <v>976</v>
      </c>
      <c r="N2673" s="44" t="s">
        <v>839</v>
      </c>
      <c r="O2673" s="45" t="s">
        <v>383</v>
      </c>
      <c r="P2673" s="45" t="s">
        <v>3760</v>
      </c>
      <c r="Q2673" s="59" t="str">
        <f>MID(Tabla1[[#This Row],[Aplicación]],14,1)</f>
        <v>2</v>
      </c>
      <c r="R2673" s="35" t="s">
        <v>298</v>
      </c>
      <c r="S2673" s="59" t="str">
        <f>MID(Tabla1[[#This Row],[Aplicación]],6,2)</f>
        <v>06</v>
      </c>
      <c r="T2673" s="35" t="str">
        <f>VLOOKUP(Tabla1[[#This Row],[AREA]],Hoja1!A:B,2,FALSE)</f>
        <v>06. Educación, infancia, juventud e igualdad</v>
      </c>
      <c r="U2673" s="56" t="str">
        <f>MID(Tabla1[[#This Row],[Aplicación]],9,4)</f>
        <v>3321</v>
      </c>
      <c r="V2673" s="35" t="str">
        <f>VLOOKUP(Tabla1[[#This Row],[PROGRAMA]],Hoja1!A:B,2,FALSE)</f>
        <v>3321. Bibliotecas públicas</v>
      </c>
      <c r="W2673" s="56" t="str">
        <f>MID(Tabla1[[#This Row],[Aplicación]],14,2)</f>
        <v>22</v>
      </c>
      <c r="X2673" s="56" t="str">
        <f>MID(Tabla1[[#This Row],[Aplicación]],14,6)</f>
        <v>22001</v>
      </c>
    </row>
    <row r="2674" spans="1:24" x14ac:dyDescent="0.25">
      <c r="A2674" s="62">
        <v>220230016299</v>
      </c>
      <c r="B2674" s="44" t="s">
        <v>1249</v>
      </c>
      <c r="C2674" s="64">
        <v>45043</v>
      </c>
      <c r="D2674" s="62">
        <v>22023003671</v>
      </c>
      <c r="E2674" s="44" t="s">
        <v>516</v>
      </c>
      <c r="F2674" s="65">
        <v>61013.15</v>
      </c>
      <c r="G2674" s="44" t="s">
        <v>314</v>
      </c>
      <c r="H2674" s="44" t="s">
        <v>4296</v>
      </c>
      <c r="I2674" s="62" t="s">
        <v>1251</v>
      </c>
      <c r="J2674" s="44" t="s">
        <v>519</v>
      </c>
      <c r="K2674" s="44" t="s">
        <v>519</v>
      </c>
      <c r="L2674" s="44" t="s">
        <v>520</v>
      </c>
      <c r="M2674" s="44" t="s">
        <v>514</v>
      </c>
      <c r="N2674" s="44" t="s">
        <v>515</v>
      </c>
      <c r="O2674" s="45" t="s">
        <v>371</v>
      </c>
      <c r="P2674" s="45" t="s">
        <v>3760</v>
      </c>
      <c r="Q2674" s="59" t="str">
        <f>MID(Tabla1[[#This Row],[Aplicación]],14,1)</f>
        <v>2</v>
      </c>
      <c r="R2674" s="35" t="s">
        <v>298</v>
      </c>
      <c r="S2674" s="59" t="str">
        <f>MID(Tabla1[[#This Row],[Aplicación]],6,2)</f>
        <v>10</v>
      </c>
      <c r="T2674" s="35" t="str">
        <f>VLOOKUP(Tabla1[[#This Row],[AREA]],Hoja1!A:B,2,FALSE)</f>
        <v>10. Servicios sociales y mediación comunitaria</v>
      </c>
      <c r="U2674" s="56" t="str">
        <f>MID(Tabla1[[#This Row],[Aplicación]],9,4)</f>
        <v>2311</v>
      </c>
      <c r="V2674" s="35" t="str">
        <f>VLOOKUP(Tabla1[[#This Row],[PROGRAMA]],Hoja1!A:B,2,FALSE)</f>
        <v>2311. Intervención social</v>
      </c>
      <c r="W2674" s="56" t="str">
        <f>MID(Tabla1[[#This Row],[Aplicación]],14,2)</f>
        <v>22</v>
      </c>
      <c r="X2674" s="56" t="str">
        <f>MID(Tabla1[[#This Row],[Aplicación]],14,6)</f>
        <v>22799</v>
      </c>
    </row>
    <row r="2675" spans="1:24" x14ac:dyDescent="0.25">
      <c r="A2675" s="62">
        <v>220230013372</v>
      </c>
      <c r="B2675" s="44" t="s">
        <v>1337</v>
      </c>
      <c r="C2675" s="64">
        <v>45020</v>
      </c>
      <c r="D2675" s="62">
        <v>22023001355</v>
      </c>
      <c r="E2675" s="44" t="s">
        <v>1285</v>
      </c>
      <c r="F2675" s="65">
        <v>-127.93</v>
      </c>
      <c r="G2675" s="44" t="s">
        <v>1825</v>
      </c>
      <c r="H2675" s="44" t="s">
        <v>1826</v>
      </c>
      <c r="I2675" s="62" t="s">
        <v>511</v>
      </c>
      <c r="J2675" s="44" t="s">
        <v>519</v>
      </c>
      <c r="K2675" s="44" t="s">
        <v>519</v>
      </c>
      <c r="L2675" s="44" t="s">
        <v>552</v>
      </c>
      <c r="M2675" s="44" t="s">
        <v>976</v>
      </c>
      <c r="N2675" s="44" t="s">
        <v>839</v>
      </c>
      <c r="O2675" s="45" t="s">
        <v>383</v>
      </c>
      <c r="P2675" s="45" t="s">
        <v>3760</v>
      </c>
      <c r="Q2675" s="59" t="str">
        <f>MID(Tabla1[[#This Row],[Aplicación]],14,1)</f>
        <v>2</v>
      </c>
      <c r="R2675" s="35" t="s">
        <v>298</v>
      </c>
      <c r="S2675" s="59" t="str">
        <f>MID(Tabla1[[#This Row],[Aplicación]],6,2)</f>
        <v>11</v>
      </c>
      <c r="T2675" s="35" t="str">
        <f>VLOOKUP(Tabla1[[#This Row],[AREA]],Hoja1!A:B,2,FALSE)</f>
        <v>11. Salud pública y seguridad ciudadana</v>
      </c>
      <c r="U2675" s="56" t="str">
        <f>MID(Tabla1[[#This Row],[Aplicación]],9,4)</f>
        <v>1361</v>
      </c>
      <c r="V2675" s="35" t="str">
        <f>VLOOKUP(Tabla1[[#This Row],[PROGRAMA]],Hoja1!A:B,2,FALSE)</f>
        <v>1361. Prevención y extinción de incencios</v>
      </c>
      <c r="W2675" s="56" t="str">
        <f>MID(Tabla1[[#This Row],[Aplicación]],14,2)</f>
        <v>22</v>
      </c>
      <c r="X2675" s="56" t="str">
        <f>MID(Tabla1[[#This Row],[Aplicación]],14,6)</f>
        <v>22199</v>
      </c>
    </row>
    <row r="2676" spans="1:24" x14ac:dyDescent="0.25">
      <c r="A2676" s="62">
        <v>220230018178</v>
      </c>
      <c r="B2676" s="44" t="s">
        <v>507</v>
      </c>
      <c r="C2676" s="64">
        <v>45054</v>
      </c>
      <c r="D2676" s="62">
        <v>22023004352</v>
      </c>
      <c r="E2676" s="44" t="s">
        <v>613</v>
      </c>
      <c r="F2676" s="65">
        <v>1007.93</v>
      </c>
      <c r="G2676" s="44" t="s">
        <v>4297</v>
      </c>
      <c r="H2676" s="44" t="s">
        <v>4298</v>
      </c>
      <c r="I2676" s="62" t="s">
        <v>511</v>
      </c>
      <c r="J2676" s="44" t="s">
        <v>1405</v>
      </c>
      <c r="K2676" s="44" t="s">
        <v>519</v>
      </c>
      <c r="L2676" s="44" t="s">
        <v>520</v>
      </c>
      <c r="M2676" s="44" t="s">
        <v>976</v>
      </c>
      <c r="N2676" s="44" t="s">
        <v>839</v>
      </c>
      <c r="O2676" s="45" t="s">
        <v>383</v>
      </c>
      <c r="P2676" s="45" t="s">
        <v>3760</v>
      </c>
      <c r="Q2676" s="59" t="str">
        <f>MID(Tabla1[[#This Row],[Aplicación]],14,1)</f>
        <v>2</v>
      </c>
      <c r="R2676" s="35" t="s">
        <v>298</v>
      </c>
      <c r="S2676" s="59" t="str">
        <f>MID(Tabla1[[#This Row],[Aplicación]],6,2)</f>
        <v>10</v>
      </c>
      <c r="T2676" s="35" t="str">
        <f>VLOOKUP(Tabla1[[#This Row],[AREA]],Hoja1!A:B,2,FALSE)</f>
        <v>10. Servicios sociales y mediación comunitaria</v>
      </c>
      <c r="U2676" s="56" t="str">
        <f>MID(Tabla1[[#This Row],[Aplicación]],9,4)</f>
        <v>2312</v>
      </c>
      <c r="V2676" s="35" t="str">
        <f>VLOOKUP(Tabla1[[#This Row],[PROGRAMA]],Hoja1!A:B,2,FALSE)</f>
        <v>2312. Iniciativas sociales</v>
      </c>
      <c r="W2676" s="56" t="str">
        <f>MID(Tabla1[[#This Row],[Aplicación]],14,2)</f>
        <v>21</v>
      </c>
      <c r="X2676" s="56" t="str">
        <f>MID(Tabla1[[#This Row],[Aplicación]],14,6)</f>
        <v>213</v>
      </c>
    </row>
    <row r="2677" spans="1:24" x14ac:dyDescent="0.25">
      <c r="A2677" s="62">
        <v>220230026433</v>
      </c>
      <c r="B2677" s="44" t="s">
        <v>1249</v>
      </c>
      <c r="C2677" s="64">
        <v>45077</v>
      </c>
      <c r="D2677" s="62">
        <v>22023004537</v>
      </c>
      <c r="E2677" s="44" t="s">
        <v>1436</v>
      </c>
      <c r="F2677" s="65">
        <v>90.5</v>
      </c>
      <c r="G2677" s="44" t="s">
        <v>121</v>
      </c>
      <c r="H2677" s="44" t="s">
        <v>4299</v>
      </c>
      <c r="I2677" s="62" t="s">
        <v>1251</v>
      </c>
      <c r="J2677" s="44" t="s">
        <v>519</v>
      </c>
      <c r="K2677" s="44" t="s">
        <v>519</v>
      </c>
      <c r="L2677" s="44" t="s">
        <v>520</v>
      </c>
      <c r="M2677" s="44" t="s">
        <v>976</v>
      </c>
      <c r="N2677" s="44" t="s">
        <v>839</v>
      </c>
      <c r="O2677" s="45" t="s">
        <v>383</v>
      </c>
      <c r="P2677" s="45" t="s">
        <v>3760</v>
      </c>
      <c r="Q2677" s="59" t="str">
        <f>MID(Tabla1[[#This Row],[Aplicación]],14,1)</f>
        <v>2</v>
      </c>
      <c r="R2677" s="35" t="s">
        <v>298</v>
      </c>
      <c r="S2677" s="59" t="str">
        <f>MID(Tabla1[[#This Row],[Aplicación]],6,2)</f>
        <v>04</v>
      </c>
      <c r="T2677" s="35" t="str">
        <f>VLOOKUP(Tabla1[[#This Row],[AREA]],Hoja1!A:B,2,FALSE)</f>
        <v>04. Planificación y recursos</v>
      </c>
      <c r="U2677" s="56" t="str">
        <f>MID(Tabla1[[#This Row],[Aplicación]],9,4)</f>
        <v>9202</v>
      </c>
      <c r="V2677" s="35" t="str">
        <f>VLOOKUP(Tabla1[[#This Row],[PROGRAMA]],Hoja1!A:B,2,FALSE)</f>
        <v>9202. Gestión de recursos humanos</v>
      </c>
      <c r="W2677" s="56" t="str">
        <f>MID(Tabla1[[#This Row],[Aplicación]],14,2)</f>
        <v>22</v>
      </c>
      <c r="X2677" s="56" t="str">
        <f>MID(Tabla1[[#This Row],[Aplicación]],14,6)</f>
        <v>22607</v>
      </c>
    </row>
    <row r="2678" spans="1:24" x14ac:dyDescent="0.25">
      <c r="A2678" s="62">
        <v>220230013386</v>
      </c>
      <c r="B2678" s="44" t="s">
        <v>507</v>
      </c>
      <c r="C2678" s="64">
        <v>45020</v>
      </c>
      <c r="D2678" s="62">
        <v>22023003751</v>
      </c>
      <c r="E2678" s="44" t="s">
        <v>1548</v>
      </c>
      <c r="F2678" s="65">
        <v>871.2</v>
      </c>
      <c r="G2678" s="44" t="s">
        <v>4300</v>
      </c>
      <c r="H2678" s="44" t="s">
        <v>4301</v>
      </c>
      <c r="I2678" s="62" t="s">
        <v>511</v>
      </c>
      <c r="J2678" s="44" t="s">
        <v>512</v>
      </c>
      <c r="K2678" s="44" t="s">
        <v>512</v>
      </c>
      <c r="L2678" s="44" t="s">
        <v>520</v>
      </c>
      <c r="M2678" s="44" t="s">
        <v>976</v>
      </c>
      <c r="N2678" s="44" t="s">
        <v>839</v>
      </c>
      <c r="O2678" s="45" t="s">
        <v>383</v>
      </c>
      <c r="P2678" s="45" t="s">
        <v>3760</v>
      </c>
      <c r="Q2678" s="59" t="str">
        <f>MID(Tabla1[[#This Row],[Aplicación]],14,1)</f>
        <v>2</v>
      </c>
      <c r="R2678" s="35" t="s">
        <v>298</v>
      </c>
      <c r="S2678" s="59" t="str">
        <f>MID(Tabla1[[#This Row],[Aplicación]],6,2)</f>
        <v>07</v>
      </c>
      <c r="T2678" s="35" t="str">
        <f>VLOOKUP(Tabla1[[#This Row],[AREA]],Hoja1!A:B,2,FALSE)</f>
        <v>07. Medio ambiente y desarrollo sostenible</v>
      </c>
      <c r="U2678" s="56" t="str">
        <f>MID(Tabla1[[#This Row],[Aplicación]],9,4)</f>
        <v>1721</v>
      </c>
      <c r="V2678" s="35" t="str">
        <f>VLOOKUP(Tabla1[[#This Row],[PROGRAMA]],Hoja1!A:B,2,FALSE)</f>
        <v>1721. Protección del medio ambiente</v>
      </c>
      <c r="W2678" s="56" t="str">
        <f>MID(Tabla1[[#This Row],[Aplicación]],14,2)</f>
        <v>22</v>
      </c>
      <c r="X2678" s="56" t="str">
        <f>MID(Tabla1[[#This Row],[Aplicación]],14,6)</f>
        <v>22706</v>
      </c>
    </row>
    <row r="2679" spans="1:24" x14ac:dyDescent="0.25">
      <c r="A2679" s="62">
        <v>220230026435</v>
      </c>
      <c r="B2679" s="44" t="s">
        <v>1249</v>
      </c>
      <c r="C2679" s="64">
        <v>45077</v>
      </c>
      <c r="D2679" s="62">
        <v>22023004538</v>
      </c>
      <c r="E2679" s="44" t="s">
        <v>1436</v>
      </c>
      <c r="F2679" s="65">
        <v>156</v>
      </c>
      <c r="G2679" s="44" t="s">
        <v>121</v>
      </c>
      <c r="H2679" s="44" t="s">
        <v>4302</v>
      </c>
      <c r="I2679" s="62" t="s">
        <v>1251</v>
      </c>
      <c r="J2679" s="44" t="s">
        <v>519</v>
      </c>
      <c r="K2679" s="44" t="s">
        <v>519</v>
      </c>
      <c r="L2679" s="44" t="s">
        <v>520</v>
      </c>
      <c r="M2679" s="44" t="s">
        <v>976</v>
      </c>
      <c r="N2679" s="44" t="s">
        <v>839</v>
      </c>
      <c r="O2679" s="45" t="s">
        <v>383</v>
      </c>
      <c r="P2679" s="45" t="s">
        <v>3760</v>
      </c>
      <c r="Q2679" s="59" t="str">
        <f>MID(Tabla1[[#This Row],[Aplicación]],14,1)</f>
        <v>2</v>
      </c>
      <c r="R2679" s="35" t="s">
        <v>298</v>
      </c>
      <c r="S2679" s="59" t="str">
        <f>MID(Tabla1[[#This Row],[Aplicación]],6,2)</f>
        <v>04</v>
      </c>
      <c r="T2679" s="35" t="str">
        <f>VLOOKUP(Tabla1[[#This Row],[AREA]],Hoja1!A:B,2,FALSE)</f>
        <v>04. Planificación y recursos</v>
      </c>
      <c r="U2679" s="56" t="str">
        <f>MID(Tabla1[[#This Row],[Aplicación]],9,4)</f>
        <v>9202</v>
      </c>
      <c r="V2679" s="35" t="str">
        <f>VLOOKUP(Tabla1[[#This Row],[PROGRAMA]],Hoja1!A:B,2,FALSE)</f>
        <v>9202. Gestión de recursos humanos</v>
      </c>
      <c r="W2679" s="56" t="str">
        <f>MID(Tabla1[[#This Row],[Aplicación]],14,2)</f>
        <v>22</v>
      </c>
      <c r="X2679" s="56" t="str">
        <f>MID(Tabla1[[#This Row],[Aplicación]],14,6)</f>
        <v>22607</v>
      </c>
    </row>
    <row r="2680" spans="1:24" x14ac:dyDescent="0.25">
      <c r="A2680" s="62">
        <v>220230015997</v>
      </c>
      <c r="B2680" s="44" t="s">
        <v>507</v>
      </c>
      <c r="C2680" s="64">
        <v>45042</v>
      </c>
      <c r="D2680" s="62">
        <v>22023004059</v>
      </c>
      <c r="E2680" s="44" t="s">
        <v>613</v>
      </c>
      <c r="F2680" s="65">
        <v>2199.8000000000002</v>
      </c>
      <c r="G2680" s="44" t="s">
        <v>15</v>
      </c>
      <c r="H2680" s="44" t="s">
        <v>4303</v>
      </c>
      <c r="I2680" s="62" t="s">
        <v>511</v>
      </c>
      <c r="J2680" s="44" t="s">
        <v>519</v>
      </c>
      <c r="K2680" s="44" t="s">
        <v>519</v>
      </c>
      <c r="L2680" s="44" t="s">
        <v>520</v>
      </c>
      <c r="M2680" s="44" t="s">
        <v>514</v>
      </c>
      <c r="N2680" s="44" t="s">
        <v>515</v>
      </c>
      <c r="O2680" s="45" t="s">
        <v>371</v>
      </c>
      <c r="P2680" s="45" t="s">
        <v>3760</v>
      </c>
      <c r="Q2680" s="59" t="str">
        <f>MID(Tabla1[[#This Row],[Aplicación]],14,1)</f>
        <v>2</v>
      </c>
      <c r="R2680" s="35" t="s">
        <v>298</v>
      </c>
      <c r="S2680" s="59" t="str">
        <f>MID(Tabla1[[#This Row],[Aplicación]],6,2)</f>
        <v>10</v>
      </c>
      <c r="T2680" s="35" t="str">
        <f>VLOOKUP(Tabla1[[#This Row],[AREA]],Hoja1!A:B,2,FALSE)</f>
        <v>10. Servicios sociales y mediación comunitaria</v>
      </c>
      <c r="U2680" s="56" t="str">
        <f>MID(Tabla1[[#This Row],[Aplicación]],9,4)</f>
        <v>2312</v>
      </c>
      <c r="V2680" s="35" t="str">
        <f>VLOOKUP(Tabla1[[#This Row],[PROGRAMA]],Hoja1!A:B,2,FALSE)</f>
        <v>2312. Iniciativas sociales</v>
      </c>
      <c r="W2680" s="56" t="str">
        <f>MID(Tabla1[[#This Row],[Aplicación]],14,2)</f>
        <v>21</v>
      </c>
      <c r="X2680" s="56" t="str">
        <f>MID(Tabla1[[#This Row],[Aplicación]],14,6)</f>
        <v>213</v>
      </c>
    </row>
    <row r="2681" spans="1:24" x14ac:dyDescent="0.25">
      <c r="A2681" s="62">
        <v>220230015997</v>
      </c>
      <c r="B2681" s="44" t="s">
        <v>507</v>
      </c>
      <c r="C2681" s="64">
        <v>45042</v>
      </c>
      <c r="D2681" s="62">
        <v>22023004060</v>
      </c>
      <c r="E2681" s="44" t="s">
        <v>613</v>
      </c>
      <c r="F2681" s="65">
        <v>2199.8000000000002</v>
      </c>
      <c r="G2681" s="44" t="s">
        <v>15</v>
      </c>
      <c r="H2681" s="44" t="s">
        <v>4303</v>
      </c>
      <c r="I2681" s="62" t="s">
        <v>511</v>
      </c>
      <c r="J2681" s="44" t="s">
        <v>519</v>
      </c>
      <c r="K2681" s="44" t="s">
        <v>519</v>
      </c>
      <c r="L2681" s="44" t="s">
        <v>520</v>
      </c>
      <c r="M2681" s="44" t="s">
        <v>514</v>
      </c>
      <c r="N2681" s="44" t="s">
        <v>515</v>
      </c>
      <c r="O2681" s="45" t="s">
        <v>371</v>
      </c>
      <c r="P2681" s="45" t="s">
        <v>3760</v>
      </c>
      <c r="Q2681" s="59" t="str">
        <f>MID(Tabla1[[#This Row],[Aplicación]],14,1)</f>
        <v>2</v>
      </c>
      <c r="R2681" s="35" t="s">
        <v>298</v>
      </c>
      <c r="S2681" s="59" t="str">
        <f>MID(Tabla1[[#This Row],[Aplicación]],6,2)</f>
        <v>10</v>
      </c>
      <c r="T2681" s="35" t="str">
        <f>VLOOKUP(Tabla1[[#This Row],[AREA]],Hoja1!A:B,2,FALSE)</f>
        <v>10. Servicios sociales y mediación comunitaria</v>
      </c>
      <c r="U2681" s="56" t="str">
        <f>MID(Tabla1[[#This Row],[Aplicación]],9,4)</f>
        <v>2312</v>
      </c>
      <c r="V2681" s="35" t="str">
        <f>VLOOKUP(Tabla1[[#This Row],[PROGRAMA]],Hoja1!A:B,2,FALSE)</f>
        <v>2312. Iniciativas sociales</v>
      </c>
      <c r="W2681" s="56" t="str">
        <f>MID(Tabla1[[#This Row],[Aplicación]],14,2)</f>
        <v>21</v>
      </c>
      <c r="X2681" s="56" t="str">
        <f>MID(Tabla1[[#This Row],[Aplicación]],14,6)</f>
        <v>213</v>
      </c>
    </row>
    <row r="2682" spans="1:24" x14ac:dyDescent="0.25">
      <c r="A2682" s="62">
        <v>220230016844</v>
      </c>
      <c r="B2682" s="44" t="s">
        <v>507</v>
      </c>
      <c r="C2682" s="64">
        <v>45048</v>
      </c>
      <c r="D2682" s="62">
        <v>22023003820</v>
      </c>
      <c r="E2682" s="44" t="s">
        <v>2402</v>
      </c>
      <c r="F2682" s="65">
        <v>2153.8000000000002</v>
      </c>
      <c r="G2682" s="44" t="s">
        <v>4304</v>
      </c>
      <c r="H2682" s="44" t="s">
        <v>4305</v>
      </c>
      <c r="I2682" s="62" t="s">
        <v>511</v>
      </c>
      <c r="J2682" s="44" t="s">
        <v>908</v>
      </c>
      <c r="K2682" s="44" t="s">
        <v>908</v>
      </c>
      <c r="L2682" s="44" t="s">
        <v>520</v>
      </c>
      <c r="M2682" s="44" t="s">
        <v>976</v>
      </c>
      <c r="N2682" s="44" t="s">
        <v>839</v>
      </c>
      <c r="O2682" s="45" t="s">
        <v>383</v>
      </c>
      <c r="P2682" s="45" t="s">
        <v>3760</v>
      </c>
      <c r="Q2682" s="59" t="str">
        <f>MID(Tabla1[[#This Row],[Aplicación]],14,1)</f>
        <v>2</v>
      </c>
      <c r="R2682" s="35" t="s">
        <v>298</v>
      </c>
      <c r="S2682" s="59" t="str">
        <f>MID(Tabla1[[#This Row],[Aplicación]],6,2)</f>
        <v>04</v>
      </c>
      <c r="T2682" s="35" t="str">
        <f>VLOOKUP(Tabla1[[#This Row],[AREA]],Hoja1!A:B,2,FALSE)</f>
        <v>04. Planificación y recursos</v>
      </c>
      <c r="U2682" s="56" t="str">
        <f>MID(Tabla1[[#This Row],[Aplicación]],9,4)</f>
        <v>3121</v>
      </c>
      <c r="V2682" s="35" t="str">
        <f>VLOOKUP(Tabla1[[#This Row],[PROGRAMA]],Hoja1!A:B,2,FALSE)</f>
        <v>3121. Prevención y salud laboral</v>
      </c>
      <c r="W2682" s="56" t="str">
        <f>MID(Tabla1[[#This Row],[Aplicación]],14,2)</f>
        <v>22</v>
      </c>
      <c r="X2682" s="56" t="str">
        <f>MID(Tabla1[[#This Row],[Aplicación]],14,6)</f>
        <v>22706</v>
      </c>
    </row>
    <row r="2683" spans="1:24" x14ac:dyDescent="0.25">
      <c r="A2683" s="62">
        <v>220230016021</v>
      </c>
      <c r="B2683" s="44" t="s">
        <v>507</v>
      </c>
      <c r="C2683" s="64">
        <v>45042</v>
      </c>
      <c r="D2683" s="62">
        <v>22023004156</v>
      </c>
      <c r="E2683" s="44" t="s">
        <v>1128</v>
      </c>
      <c r="F2683" s="65">
        <v>266.44</v>
      </c>
      <c r="G2683" s="44" t="s">
        <v>4306</v>
      </c>
      <c r="H2683" s="44" t="s">
        <v>4307</v>
      </c>
      <c r="I2683" s="62" t="s">
        <v>511</v>
      </c>
      <c r="J2683" s="44" t="s">
        <v>589</v>
      </c>
      <c r="K2683" s="44" t="s">
        <v>3453</v>
      </c>
      <c r="L2683" s="44" t="s">
        <v>520</v>
      </c>
      <c r="M2683" s="44" t="s">
        <v>976</v>
      </c>
      <c r="N2683" s="44" t="s">
        <v>839</v>
      </c>
      <c r="O2683" s="45" t="s">
        <v>383</v>
      </c>
      <c r="P2683" s="45" t="s">
        <v>3760</v>
      </c>
      <c r="Q2683" s="59" t="str">
        <f>MID(Tabla1[[#This Row],[Aplicación]],14,1)</f>
        <v>2</v>
      </c>
      <c r="R2683" s="35" t="s">
        <v>298</v>
      </c>
      <c r="S2683" s="59" t="str">
        <f>MID(Tabla1[[#This Row],[Aplicación]],6,2)</f>
        <v>08</v>
      </c>
      <c r="T2683" s="35" t="str">
        <f>VLOOKUP(Tabla1[[#This Row],[AREA]],Hoja1!A:B,2,FALSE)</f>
        <v>08. Movilidad y espacio urbano</v>
      </c>
      <c r="U2683" s="56" t="str">
        <f>MID(Tabla1[[#This Row],[Aplicación]],9,4)</f>
        <v>1341</v>
      </c>
      <c r="V2683" s="35" t="str">
        <f>VLOOKUP(Tabla1[[#This Row],[PROGRAMA]],Hoja1!A:B,2,FALSE)</f>
        <v>1341. Movilidad</v>
      </c>
      <c r="W2683" s="56" t="str">
        <f>MID(Tabla1[[#This Row],[Aplicación]],14,2)</f>
        <v>22</v>
      </c>
      <c r="X2683" s="56" t="str">
        <f>MID(Tabla1[[#This Row],[Aplicación]],14,6)</f>
        <v>22100</v>
      </c>
    </row>
    <row r="2684" spans="1:24" x14ac:dyDescent="0.25">
      <c r="A2684" s="62">
        <v>220230016848</v>
      </c>
      <c r="B2684" s="44" t="s">
        <v>507</v>
      </c>
      <c r="C2684" s="64">
        <v>45048</v>
      </c>
      <c r="D2684" s="62">
        <v>22023004161</v>
      </c>
      <c r="E2684" s="44" t="s">
        <v>3877</v>
      </c>
      <c r="F2684" s="65">
        <v>1090</v>
      </c>
      <c r="G2684" s="44" t="s">
        <v>4308</v>
      </c>
      <c r="H2684" s="44" t="s">
        <v>4309</v>
      </c>
      <c r="I2684" s="62" t="s">
        <v>511</v>
      </c>
      <c r="J2684" s="44" t="s">
        <v>4310</v>
      </c>
      <c r="K2684" s="44" t="s">
        <v>4311</v>
      </c>
      <c r="L2684" s="44" t="s">
        <v>520</v>
      </c>
      <c r="M2684" s="44" t="s">
        <v>976</v>
      </c>
      <c r="N2684" s="44" t="s">
        <v>839</v>
      </c>
      <c r="O2684" s="45" t="s">
        <v>383</v>
      </c>
      <c r="P2684" s="45" t="s">
        <v>3760</v>
      </c>
      <c r="Q2684" s="59" t="str">
        <f>MID(Tabla1[[#This Row],[Aplicación]],14,1)</f>
        <v>2</v>
      </c>
      <c r="R2684" s="35" t="s">
        <v>298</v>
      </c>
      <c r="S2684" s="59" t="str">
        <f>MID(Tabla1[[#This Row],[Aplicación]],6,2)</f>
        <v>10</v>
      </c>
      <c r="T2684" s="35" t="str">
        <f>VLOOKUP(Tabla1[[#This Row],[AREA]],Hoja1!A:B,2,FALSE)</f>
        <v>10. Servicios sociales y mediación comunitaria</v>
      </c>
      <c r="U2684" s="56" t="str">
        <f>MID(Tabla1[[#This Row],[Aplicación]],9,4)</f>
        <v>2312</v>
      </c>
      <c r="V2684" s="35" t="str">
        <f>VLOOKUP(Tabla1[[#This Row],[PROGRAMA]],Hoja1!A:B,2,FALSE)</f>
        <v>2312. Iniciativas sociales</v>
      </c>
      <c r="W2684" s="56" t="str">
        <f>MID(Tabla1[[#This Row],[Aplicación]],14,2)</f>
        <v>22</v>
      </c>
      <c r="X2684" s="56" t="str">
        <f>MID(Tabla1[[#This Row],[Aplicación]],14,6)</f>
        <v>22612</v>
      </c>
    </row>
    <row r="2685" spans="1:24" x14ac:dyDescent="0.25">
      <c r="A2685" s="62">
        <v>220230016867</v>
      </c>
      <c r="B2685" s="44" t="s">
        <v>507</v>
      </c>
      <c r="C2685" s="64">
        <v>45048</v>
      </c>
      <c r="D2685" s="62">
        <v>22023004208</v>
      </c>
      <c r="E2685" s="44" t="s">
        <v>1430</v>
      </c>
      <c r="F2685" s="65">
        <v>2117.5</v>
      </c>
      <c r="G2685" s="44" t="s">
        <v>2082</v>
      </c>
      <c r="H2685" s="44" t="s">
        <v>4312</v>
      </c>
      <c r="I2685" s="62" t="s">
        <v>511</v>
      </c>
      <c r="J2685" s="44" t="s">
        <v>519</v>
      </c>
      <c r="K2685" s="44" t="s">
        <v>519</v>
      </c>
      <c r="L2685" s="44" t="s">
        <v>520</v>
      </c>
      <c r="M2685" s="44" t="s">
        <v>976</v>
      </c>
      <c r="N2685" s="44" t="s">
        <v>839</v>
      </c>
      <c r="O2685" s="45" t="s">
        <v>383</v>
      </c>
      <c r="P2685" s="45" t="s">
        <v>3760</v>
      </c>
      <c r="Q2685" s="59" t="str">
        <f>MID(Tabla1[[#This Row],[Aplicación]],14,1)</f>
        <v>2</v>
      </c>
      <c r="R2685" s="35" t="s">
        <v>298</v>
      </c>
      <c r="S2685" s="59" t="str">
        <f>MID(Tabla1[[#This Row],[Aplicación]],6,2)</f>
        <v>06</v>
      </c>
      <c r="T2685" s="35" t="str">
        <f>VLOOKUP(Tabla1[[#This Row],[AREA]],Hoja1!A:B,2,FALSE)</f>
        <v>06. Educación, infancia, juventud e igualdad</v>
      </c>
      <c r="U2685" s="56" t="str">
        <f>MID(Tabla1[[#This Row],[Aplicación]],9,4)</f>
        <v>2315</v>
      </c>
      <c r="V2685" s="35" t="str">
        <f>VLOOKUP(Tabla1[[#This Row],[PROGRAMA]],Hoja1!A:B,2,FALSE)</f>
        <v>2315. Políticas de Igualdad e infancia</v>
      </c>
      <c r="W2685" s="56" t="str">
        <f>MID(Tabla1[[#This Row],[Aplicación]],14,2)</f>
        <v>22</v>
      </c>
      <c r="X2685" s="56" t="str">
        <f>MID(Tabla1[[#This Row],[Aplicación]],14,6)</f>
        <v>22614</v>
      </c>
    </row>
    <row r="2686" spans="1:24" x14ac:dyDescent="0.25">
      <c r="A2686" s="62">
        <v>220230018157</v>
      </c>
      <c r="B2686" s="44" t="s">
        <v>507</v>
      </c>
      <c r="C2686" s="64">
        <v>45054</v>
      </c>
      <c r="D2686" s="62">
        <v>22023004305</v>
      </c>
      <c r="E2686" s="44" t="s">
        <v>1191</v>
      </c>
      <c r="F2686" s="65">
        <v>6655</v>
      </c>
      <c r="G2686" s="44" t="s">
        <v>29</v>
      </c>
      <c r="H2686" s="44" t="s">
        <v>4313</v>
      </c>
      <c r="I2686" s="62" t="s">
        <v>511</v>
      </c>
      <c r="J2686" s="44" t="s">
        <v>519</v>
      </c>
      <c r="K2686" s="44" t="s">
        <v>519</v>
      </c>
      <c r="L2686" s="44" t="s">
        <v>520</v>
      </c>
      <c r="M2686" s="44" t="s">
        <v>976</v>
      </c>
      <c r="N2686" s="44" t="s">
        <v>839</v>
      </c>
      <c r="O2686" s="45" t="s">
        <v>383</v>
      </c>
      <c r="P2686" s="45" t="s">
        <v>3760</v>
      </c>
      <c r="Q2686" s="59" t="str">
        <f>MID(Tabla1[[#This Row],[Aplicación]],14,1)</f>
        <v>2</v>
      </c>
      <c r="R2686" s="35" t="s">
        <v>298</v>
      </c>
      <c r="S2686" s="59" t="str">
        <f>MID(Tabla1[[#This Row],[Aplicación]],6,2)</f>
        <v>06</v>
      </c>
      <c r="T2686" s="35" t="str">
        <f>VLOOKUP(Tabla1[[#This Row],[AREA]],Hoja1!A:B,2,FALSE)</f>
        <v>06. Educación, infancia, juventud e igualdad</v>
      </c>
      <c r="U2686" s="56" t="str">
        <f>MID(Tabla1[[#This Row],[Aplicación]],9,4)</f>
        <v>2315</v>
      </c>
      <c r="V2686" s="35" t="str">
        <f>VLOOKUP(Tabla1[[#This Row],[PROGRAMA]],Hoja1!A:B,2,FALSE)</f>
        <v>2315. Políticas de Igualdad e infancia</v>
      </c>
      <c r="W2686" s="56" t="str">
        <f>MID(Tabla1[[#This Row],[Aplicación]],14,2)</f>
        <v>22</v>
      </c>
      <c r="X2686" s="56" t="str">
        <f>MID(Tabla1[[#This Row],[Aplicación]],14,6)</f>
        <v>22611</v>
      </c>
    </row>
    <row r="2687" spans="1:24" x14ac:dyDescent="0.25">
      <c r="A2687" s="62">
        <v>220230017964</v>
      </c>
      <c r="B2687" s="44" t="s">
        <v>507</v>
      </c>
      <c r="C2687" s="64">
        <v>45050</v>
      </c>
      <c r="D2687" s="62">
        <v>22023004112</v>
      </c>
      <c r="E2687" s="44" t="s">
        <v>931</v>
      </c>
      <c r="F2687" s="65">
        <v>6715.5</v>
      </c>
      <c r="G2687" s="44" t="s">
        <v>428</v>
      </c>
      <c r="H2687" s="44" t="s">
        <v>4314</v>
      </c>
      <c r="I2687" s="62" t="s">
        <v>511</v>
      </c>
      <c r="J2687" s="44" t="s">
        <v>519</v>
      </c>
      <c r="K2687" s="44" t="s">
        <v>519</v>
      </c>
      <c r="L2687" s="44" t="s">
        <v>520</v>
      </c>
      <c r="M2687" s="44" t="s">
        <v>976</v>
      </c>
      <c r="N2687" s="44" t="s">
        <v>839</v>
      </c>
      <c r="O2687" s="45" t="s">
        <v>383</v>
      </c>
      <c r="P2687" s="45" t="s">
        <v>3760</v>
      </c>
      <c r="Q2687" s="59" t="str">
        <f>MID(Tabla1[[#This Row],[Aplicación]],14,1)</f>
        <v>2</v>
      </c>
      <c r="R2687" s="35" t="s">
        <v>298</v>
      </c>
      <c r="S2687" s="59" t="str">
        <f>MID(Tabla1[[#This Row],[Aplicación]],6,2)</f>
        <v>09</v>
      </c>
      <c r="T2687" s="35" t="str">
        <f>VLOOKUP(Tabla1[[#This Row],[AREA]],Hoja1!A:B,2,FALSE)</f>
        <v>09. Cultura y turismo</v>
      </c>
      <c r="U2687" s="56" t="str">
        <f>MID(Tabla1[[#This Row],[Aplicación]],9,4)</f>
        <v>3341</v>
      </c>
      <c r="V2687" s="35" t="str">
        <f>VLOOKUP(Tabla1[[#This Row],[PROGRAMA]],Hoja1!A:B,2,FALSE)</f>
        <v>3341. Coordinación de políticas culturales</v>
      </c>
      <c r="W2687" s="56" t="str">
        <f>MID(Tabla1[[#This Row],[Aplicación]],14,2)</f>
        <v>22</v>
      </c>
      <c r="X2687" s="56" t="str">
        <f>MID(Tabla1[[#This Row],[Aplicación]],14,6)</f>
        <v>22799</v>
      </c>
    </row>
    <row r="2688" spans="1:24" x14ac:dyDescent="0.25">
      <c r="A2688" s="62">
        <v>220230015091</v>
      </c>
      <c r="B2688" s="44" t="s">
        <v>507</v>
      </c>
      <c r="C2688" s="64">
        <v>45041</v>
      </c>
      <c r="D2688" s="62">
        <v>22023003605</v>
      </c>
      <c r="E2688" s="44" t="s">
        <v>922</v>
      </c>
      <c r="F2688" s="65">
        <v>1873.08</v>
      </c>
      <c r="G2688" s="44" t="s">
        <v>522</v>
      </c>
      <c r="H2688" s="44" t="s">
        <v>4315</v>
      </c>
      <c r="I2688" s="62" t="s">
        <v>511</v>
      </c>
      <c r="J2688" s="44" t="s">
        <v>512</v>
      </c>
      <c r="K2688" s="44" t="s">
        <v>512</v>
      </c>
      <c r="L2688" s="44" t="s">
        <v>520</v>
      </c>
      <c r="M2688" s="44" t="s">
        <v>976</v>
      </c>
      <c r="N2688" s="44" t="s">
        <v>839</v>
      </c>
      <c r="O2688" s="45" t="s">
        <v>383</v>
      </c>
      <c r="P2688" s="45" t="s">
        <v>3760</v>
      </c>
      <c r="Q2688" s="59" t="str">
        <f>MID(Tabla1[[#This Row],[Aplicación]],14,1)</f>
        <v>2</v>
      </c>
      <c r="R2688" s="35" t="s">
        <v>298</v>
      </c>
      <c r="S2688" s="59" t="str">
        <f>MID(Tabla1[[#This Row],[Aplicación]],6,2)</f>
        <v>10</v>
      </c>
      <c r="T2688" s="35" t="str">
        <f>VLOOKUP(Tabla1[[#This Row],[AREA]],Hoja1!A:B,2,FALSE)</f>
        <v>10. Servicios sociales y mediación comunitaria</v>
      </c>
      <c r="U2688" s="56" t="str">
        <f>MID(Tabla1[[#This Row],[Aplicación]],9,4)</f>
        <v>2311</v>
      </c>
      <c r="V2688" s="35" t="str">
        <f>VLOOKUP(Tabla1[[#This Row],[PROGRAMA]],Hoja1!A:B,2,FALSE)</f>
        <v>2311. Intervención social</v>
      </c>
      <c r="W2688" s="56" t="str">
        <f>MID(Tabla1[[#This Row],[Aplicación]],14,2)</f>
        <v>22</v>
      </c>
      <c r="X2688" s="56" t="str">
        <f>MID(Tabla1[[#This Row],[Aplicación]],14,6)</f>
        <v>22700</v>
      </c>
    </row>
    <row r="2689" spans="1:24" x14ac:dyDescent="0.25">
      <c r="A2689" s="62">
        <v>220230020665</v>
      </c>
      <c r="B2689" s="44" t="s">
        <v>507</v>
      </c>
      <c r="C2689" s="64">
        <v>45061</v>
      </c>
      <c r="D2689" s="62">
        <v>22023000905</v>
      </c>
      <c r="E2689" s="44" t="s">
        <v>1876</v>
      </c>
      <c r="F2689" s="65">
        <v>3025</v>
      </c>
      <c r="G2689" s="44" t="s">
        <v>1877</v>
      </c>
      <c r="H2689" s="44" t="s">
        <v>4316</v>
      </c>
      <c r="I2689" s="62" t="s">
        <v>511</v>
      </c>
      <c r="J2689" s="44" t="s">
        <v>519</v>
      </c>
      <c r="K2689" s="44" t="s">
        <v>519</v>
      </c>
      <c r="L2689" s="44" t="s">
        <v>520</v>
      </c>
      <c r="M2689" s="44" t="s">
        <v>514</v>
      </c>
      <c r="N2689" s="44" t="s">
        <v>515</v>
      </c>
      <c r="O2689" s="45" t="s">
        <v>371</v>
      </c>
      <c r="P2689" s="45" t="s">
        <v>3760</v>
      </c>
      <c r="Q2689" s="59" t="str">
        <f>MID(Tabla1[[#This Row],[Aplicación]],14,1)</f>
        <v>2</v>
      </c>
      <c r="R2689" s="35" t="s">
        <v>298</v>
      </c>
      <c r="S2689" s="59" t="str">
        <f>MID(Tabla1[[#This Row],[Aplicación]],6,2)</f>
        <v>10</v>
      </c>
      <c r="T2689" s="35" t="str">
        <f>VLOOKUP(Tabla1[[#This Row],[AREA]],Hoja1!A:B,2,FALSE)</f>
        <v>10. Servicios sociales y mediación comunitaria</v>
      </c>
      <c r="U2689" s="56" t="str">
        <f>MID(Tabla1[[#This Row],[Aplicación]],9,4)</f>
        <v>2311</v>
      </c>
      <c r="V2689" s="35" t="str">
        <f>VLOOKUP(Tabla1[[#This Row],[PROGRAMA]],Hoja1!A:B,2,FALSE)</f>
        <v>2311. Intervención social</v>
      </c>
      <c r="W2689" s="56" t="str">
        <f>MID(Tabla1[[#This Row],[Aplicación]],14,2)</f>
        <v>22</v>
      </c>
      <c r="X2689" s="56" t="str">
        <f>MID(Tabla1[[#This Row],[Aplicación]],14,6)</f>
        <v>22706</v>
      </c>
    </row>
    <row r="2690" spans="1:24" x14ac:dyDescent="0.25">
      <c r="A2690" s="62">
        <v>220230016861</v>
      </c>
      <c r="B2690" s="44" t="s">
        <v>507</v>
      </c>
      <c r="C2690" s="64">
        <v>45048</v>
      </c>
      <c r="D2690" s="62">
        <v>22023004296</v>
      </c>
      <c r="E2690" s="44" t="s">
        <v>1234</v>
      </c>
      <c r="F2690" s="65">
        <v>300</v>
      </c>
      <c r="G2690" s="44" t="s">
        <v>1881</v>
      </c>
      <c r="H2690" s="44" t="s">
        <v>4317</v>
      </c>
      <c r="I2690" s="62" t="s">
        <v>511</v>
      </c>
      <c r="J2690" s="44" t="s">
        <v>519</v>
      </c>
      <c r="K2690" s="44" t="s">
        <v>519</v>
      </c>
      <c r="L2690" s="44" t="s">
        <v>520</v>
      </c>
      <c r="M2690" s="44" t="s">
        <v>976</v>
      </c>
      <c r="N2690" s="44" t="s">
        <v>839</v>
      </c>
      <c r="O2690" s="45" t="s">
        <v>383</v>
      </c>
      <c r="P2690" s="45" t="s">
        <v>3760</v>
      </c>
      <c r="Q2690" s="59" t="str">
        <f>MID(Tabla1[[#This Row],[Aplicación]],14,1)</f>
        <v>2</v>
      </c>
      <c r="R2690" s="35" t="s">
        <v>298</v>
      </c>
      <c r="S2690" s="59" t="str">
        <f>MID(Tabla1[[#This Row],[Aplicación]],6,2)</f>
        <v>10</v>
      </c>
      <c r="T2690" s="35" t="str">
        <f>VLOOKUP(Tabla1[[#This Row],[AREA]],Hoja1!A:B,2,FALSE)</f>
        <v>10. Servicios sociales y mediación comunitaria</v>
      </c>
      <c r="U2690" s="56" t="str">
        <f>MID(Tabla1[[#This Row],[Aplicación]],9,4)</f>
        <v>2316</v>
      </c>
      <c r="V2690" s="35" t="str">
        <f>VLOOKUP(Tabla1[[#This Row],[PROGRAMA]],Hoja1!A:B,2,FALSE)</f>
        <v>2316. Mediación comunitaria</v>
      </c>
      <c r="W2690" s="56" t="str">
        <f>MID(Tabla1[[#This Row],[Aplicación]],14,2)</f>
        <v>22</v>
      </c>
      <c r="X2690" s="56" t="str">
        <f>MID(Tabla1[[#This Row],[Aplicación]],14,6)</f>
        <v>22616</v>
      </c>
    </row>
    <row r="2691" spans="1:24" x14ac:dyDescent="0.25">
      <c r="A2691" s="62">
        <v>220230020794</v>
      </c>
      <c r="B2691" s="44" t="s">
        <v>507</v>
      </c>
      <c r="C2691" s="64">
        <v>45062</v>
      </c>
      <c r="D2691" s="62">
        <v>22023004540</v>
      </c>
      <c r="E2691" s="44" t="s">
        <v>3911</v>
      </c>
      <c r="F2691" s="65">
        <v>115</v>
      </c>
      <c r="G2691" s="44" t="s">
        <v>1881</v>
      </c>
      <c r="H2691" s="44" t="s">
        <v>4318</v>
      </c>
      <c r="I2691" s="62" t="s">
        <v>511</v>
      </c>
      <c r="J2691" s="44" t="s">
        <v>519</v>
      </c>
      <c r="K2691" s="44" t="s">
        <v>519</v>
      </c>
      <c r="L2691" s="44" t="s">
        <v>520</v>
      </c>
      <c r="M2691" s="44" t="s">
        <v>976</v>
      </c>
      <c r="N2691" s="44" t="s">
        <v>839</v>
      </c>
      <c r="O2691" s="45" t="s">
        <v>383</v>
      </c>
      <c r="P2691" s="45" t="s">
        <v>3760</v>
      </c>
      <c r="Q2691" s="59" t="str">
        <f>MID(Tabla1[[#This Row],[Aplicación]],14,1)</f>
        <v>2</v>
      </c>
      <c r="R2691" s="35" t="s">
        <v>298</v>
      </c>
      <c r="S2691" s="59" t="str">
        <f>MID(Tabla1[[#This Row],[Aplicación]],6,2)</f>
        <v>10</v>
      </c>
      <c r="T2691" s="35" t="str">
        <f>VLOOKUP(Tabla1[[#This Row],[AREA]],Hoja1!A:B,2,FALSE)</f>
        <v>10. Servicios sociales y mediación comunitaria</v>
      </c>
      <c r="U2691" s="56" t="str">
        <f>MID(Tabla1[[#This Row],[Aplicación]],9,4)</f>
        <v>2311</v>
      </c>
      <c r="V2691" s="35" t="str">
        <f>VLOOKUP(Tabla1[[#This Row],[PROGRAMA]],Hoja1!A:B,2,FALSE)</f>
        <v>2311. Intervención social</v>
      </c>
      <c r="W2691" s="56" t="str">
        <f>MID(Tabla1[[#This Row],[Aplicación]],14,2)</f>
        <v>22</v>
      </c>
      <c r="X2691" s="56" t="str">
        <f>MID(Tabla1[[#This Row],[Aplicación]],14,6)</f>
        <v>22699</v>
      </c>
    </row>
    <row r="2692" spans="1:24" x14ac:dyDescent="0.25">
      <c r="A2692" s="62">
        <v>220230016862</v>
      </c>
      <c r="B2692" s="44" t="s">
        <v>507</v>
      </c>
      <c r="C2692" s="64">
        <v>45048</v>
      </c>
      <c r="D2692" s="62">
        <v>22023004298</v>
      </c>
      <c r="E2692" s="44" t="s">
        <v>1234</v>
      </c>
      <c r="F2692" s="65">
        <v>83</v>
      </c>
      <c r="G2692" s="44" t="s">
        <v>1881</v>
      </c>
      <c r="H2692" s="44" t="s">
        <v>4319</v>
      </c>
      <c r="I2692" s="62" t="s">
        <v>511</v>
      </c>
      <c r="J2692" s="44" t="s">
        <v>519</v>
      </c>
      <c r="K2692" s="44" t="s">
        <v>519</v>
      </c>
      <c r="L2692" s="44" t="s">
        <v>520</v>
      </c>
      <c r="M2692" s="44" t="s">
        <v>976</v>
      </c>
      <c r="N2692" s="44" t="s">
        <v>839</v>
      </c>
      <c r="O2692" s="45" t="s">
        <v>383</v>
      </c>
      <c r="P2692" s="45" t="s">
        <v>3760</v>
      </c>
      <c r="Q2692" s="59" t="str">
        <f>MID(Tabla1[[#This Row],[Aplicación]],14,1)</f>
        <v>2</v>
      </c>
      <c r="R2692" s="35" t="s">
        <v>298</v>
      </c>
      <c r="S2692" s="59" t="str">
        <f>MID(Tabla1[[#This Row],[Aplicación]],6,2)</f>
        <v>10</v>
      </c>
      <c r="T2692" s="35" t="str">
        <f>VLOOKUP(Tabla1[[#This Row],[AREA]],Hoja1!A:B,2,FALSE)</f>
        <v>10. Servicios sociales y mediación comunitaria</v>
      </c>
      <c r="U2692" s="56" t="str">
        <f>MID(Tabla1[[#This Row],[Aplicación]],9,4)</f>
        <v>2316</v>
      </c>
      <c r="V2692" s="35" t="str">
        <f>VLOOKUP(Tabla1[[#This Row],[PROGRAMA]],Hoja1!A:B,2,FALSE)</f>
        <v>2316. Mediación comunitaria</v>
      </c>
      <c r="W2692" s="56" t="str">
        <f>MID(Tabla1[[#This Row],[Aplicación]],14,2)</f>
        <v>22</v>
      </c>
      <c r="X2692" s="56" t="str">
        <f>MID(Tabla1[[#This Row],[Aplicación]],14,6)</f>
        <v>22616</v>
      </c>
    </row>
    <row r="2693" spans="1:24" x14ac:dyDescent="0.25">
      <c r="A2693" s="62">
        <v>220230018177</v>
      </c>
      <c r="B2693" s="44" t="s">
        <v>507</v>
      </c>
      <c r="C2693" s="64">
        <v>45054</v>
      </c>
      <c r="D2693" s="62">
        <v>22023004351</v>
      </c>
      <c r="E2693" s="44" t="s">
        <v>4320</v>
      </c>
      <c r="F2693" s="65">
        <v>344.7</v>
      </c>
      <c r="G2693" s="44" t="s">
        <v>29</v>
      </c>
      <c r="H2693" s="44" t="s">
        <v>4321</v>
      </c>
      <c r="I2693" s="62" t="s">
        <v>511</v>
      </c>
      <c r="J2693" s="44" t="s">
        <v>519</v>
      </c>
      <c r="K2693" s="44" t="s">
        <v>519</v>
      </c>
      <c r="L2693" s="44" t="s">
        <v>552</v>
      </c>
      <c r="M2693" s="44" t="s">
        <v>976</v>
      </c>
      <c r="N2693" s="44" t="s">
        <v>839</v>
      </c>
      <c r="O2693" s="45" t="s">
        <v>383</v>
      </c>
      <c r="P2693" s="45" t="s">
        <v>3760</v>
      </c>
      <c r="Q2693" s="59" t="str">
        <f>MID(Tabla1[[#This Row],[Aplicación]],14,1)</f>
        <v>2</v>
      </c>
      <c r="R2693" s="35" t="s">
        <v>298</v>
      </c>
      <c r="S2693" s="59" t="str">
        <f>MID(Tabla1[[#This Row],[Aplicación]],6,2)</f>
        <v>10</v>
      </c>
      <c r="T2693" s="35" t="str">
        <f>VLOOKUP(Tabla1[[#This Row],[AREA]],Hoja1!A:B,2,FALSE)</f>
        <v>10. Servicios sociales y mediación comunitaria</v>
      </c>
      <c r="U2693" s="56" t="str">
        <f>MID(Tabla1[[#This Row],[Aplicación]],9,4)</f>
        <v>2312</v>
      </c>
      <c r="V2693" s="35" t="str">
        <f>VLOOKUP(Tabla1[[#This Row],[PROGRAMA]],Hoja1!A:B,2,FALSE)</f>
        <v>2312. Iniciativas sociales</v>
      </c>
      <c r="W2693" s="56" t="str">
        <f>MID(Tabla1[[#This Row],[Aplicación]],14,2)</f>
        <v>22</v>
      </c>
      <c r="X2693" s="56" t="str">
        <f>MID(Tabla1[[#This Row],[Aplicación]],14,6)</f>
        <v>22001</v>
      </c>
    </row>
    <row r="2694" spans="1:24" x14ac:dyDescent="0.25">
      <c r="A2694" s="62">
        <v>220230020537</v>
      </c>
      <c r="B2694" s="44" t="s">
        <v>507</v>
      </c>
      <c r="C2694" s="64">
        <v>45058</v>
      </c>
      <c r="D2694" s="62">
        <v>22023004421</v>
      </c>
      <c r="E2694" s="44" t="s">
        <v>1234</v>
      </c>
      <c r="F2694" s="65">
        <v>1802.9</v>
      </c>
      <c r="G2694" s="44" t="s">
        <v>3152</v>
      </c>
      <c r="H2694" s="44" t="s">
        <v>4322</v>
      </c>
      <c r="I2694" s="62" t="s">
        <v>511</v>
      </c>
      <c r="J2694" s="44" t="s">
        <v>1049</v>
      </c>
      <c r="K2694" s="44" t="s">
        <v>519</v>
      </c>
      <c r="L2694" s="44" t="s">
        <v>520</v>
      </c>
      <c r="M2694" s="44" t="s">
        <v>976</v>
      </c>
      <c r="N2694" s="44" t="s">
        <v>839</v>
      </c>
      <c r="O2694" s="45" t="s">
        <v>383</v>
      </c>
      <c r="P2694" s="45" t="s">
        <v>3760</v>
      </c>
      <c r="Q2694" s="59" t="str">
        <f>MID(Tabla1[[#This Row],[Aplicación]],14,1)</f>
        <v>2</v>
      </c>
      <c r="R2694" s="35" t="s">
        <v>298</v>
      </c>
      <c r="S2694" s="59" t="str">
        <f>MID(Tabla1[[#This Row],[Aplicación]],6,2)</f>
        <v>10</v>
      </c>
      <c r="T2694" s="35" t="str">
        <f>VLOOKUP(Tabla1[[#This Row],[AREA]],Hoja1!A:B,2,FALSE)</f>
        <v>10. Servicios sociales y mediación comunitaria</v>
      </c>
      <c r="U2694" s="56" t="str">
        <f>MID(Tabla1[[#This Row],[Aplicación]],9,4)</f>
        <v>2316</v>
      </c>
      <c r="V2694" s="35" t="str">
        <f>VLOOKUP(Tabla1[[#This Row],[PROGRAMA]],Hoja1!A:B,2,FALSE)</f>
        <v>2316. Mediación comunitaria</v>
      </c>
      <c r="W2694" s="56" t="str">
        <f>MID(Tabla1[[#This Row],[Aplicación]],14,2)</f>
        <v>22</v>
      </c>
      <c r="X2694" s="56" t="str">
        <f>MID(Tabla1[[#This Row],[Aplicación]],14,6)</f>
        <v>22616</v>
      </c>
    </row>
    <row r="2695" spans="1:24" x14ac:dyDescent="0.25">
      <c r="A2695" s="62">
        <v>220230015085</v>
      </c>
      <c r="B2695" s="44" t="s">
        <v>507</v>
      </c>
      <c r="C2695" s="64">
        <v>45041</v>
      </c>
      <c r="D2695" s="62">
        <v>22023003813</v>
      </c>
      <c r="E2695" s="44" t="s">
        <v>607</v>
      </c>
      <c r="F2695" s="65">
        <v>726</v>
      </c>
      <c r="G2695" s="44" t="s">
        <v>1928</v>
      </c>
      <c r="H2695" s="44" t="s">
        <v>4323</v>
      </c>
      <c r="I2695" s="62" t="s">
        <v>511</v>
      </c>
      <c r="J2695" s="44" t="s">
        <v>519</v>
      </c>
      <c r="K2695" s="44" t="s">
        <v>519</v>
      </c>
      <c r="L2695" s="44" t="s">
        <v>552</v>
      </c>
      <c r="M2695" s="44" t="s">
        <v>976</v>
      </c>
      <c r="N2695" s="44" t="s">
        <v>839</v>
      </c>
      <c r="O2695" s="45" t="s">
        <v>383</v>
      </c>
      <c r="P2695" s="45" t="s">
        <v>3760</v>
      </c>
      <c r="Q2695" s="59" t="str">
        <f>MID(Tabla1[[#This Row],[Aplicación]],14,1)</f>
        <v>2</v>
      </c>
      <c r="R2695" s="35" t="s">
        <v>298</v>
      </c>
      <c r="S2695" s="59" t="str">
        <f>MID(Tabla1[[#This Row],[Aplicación]],6,2)</f>
        <v>11</v>
      </c>
      <c r="T2695" s="35" t="str">
        <f>VLOOKUP(Tabla1[[#This Row],[AREA]],Hoja1!A:B,2,FALSE)</f>
        <v>11. Salud pública y seguridad ciudadana</v>
      </c>
      <c r="U2695" s="56" t="str">
        <f>MID(Tabla1[[#This Row],[Aplicación]],9,4)</f>
        <v>1621</v>
      </c>
      <c r="V2695" s="35" t="str">
        <f>VLOOKUP(Tabla1[[#This Row],[PROGRAMA]],Hoja1!A:B,2,FALSE)</f>
        <v>1621. Servicio de limpieza</v>
      </c>
      <c r="W2695" s="56" t="str">
        <f>MID(Tabla1[[#This Row],[Aplicación]],14,2)</f>
        <v>21</v>
      </c>
      <c r="X2695" s="56" t="str">
        <f>MID(Tabla1[[#This Row],[Aplicación]],14,6)</f>
        <v>213</v>
      </c>
    </row>
    <row r="2696" spans="1:24" x14ac:dyDescent="0.25">
      <c r="A2696" s="62">
        <v>220230020532</v>
      </c>
      <c r="B2696" s="44" t="s">
        <v>507</v>
      </c>
      <c r="C2696" s="64">
        <v>45058</v>
      </c>
      <c r="D2696" s="62">
        <v>22023004454</v>
      </c>
      <c r="E2696" s="44" t="s">
        <v>4324</v>
      </c>
      <c r="F2696" s="65">
        <v>2141.8000000000002</v>
      </c>
      <c r="G2696" s="44" t="s">
        <v>4325</v>
      </c>
      <c r="H2696" s="44" t="s">
        <v>4326</v>
      </c>
      <c r="I2696" s="62" t="s">
        <v>511</v>
      </c>
      <c r="J2696" s="44" t="s">
        <v>519</v>
      </c>
      <c r="K2696" s="44" t="s">
        <v>519</v>
      </c>
      <c r="L2696" s="44" t="s">
        <v>552</v>
      </c>
      <c r="M2696" s="44" t="s">
        <v>976</v>
      </c>
      <c r="N2696" s="44" t="s">
        <v>839</v>
      </c>
      <c r="O2696" s="45" t="s">
        <v>383</v>
      </c>
      <c r="P2696" s="45" t="s">
        <v>3760</v>
      </c>
      <c r="Q2696" s="59" t="str">
        <f>MID(Tabla1[[#This Row],[Aplicación]],14,1)</f>
        <v>6</v>
      </c>
      <c r="R2696" s="35" t="s">
        <v>299</v>
      </c>
      <c r="S2696" s="59" t="str">
        <f>MID(Tabla1[[#This Row],[Aplicación]],6,2)</f>
        <v>11</v>
      </c>
      <c r="T2696" s="35" t="str">
        <f>VLOOKUP(Tabla1[[#This Row],[AREA]],Hoja1!A:B,2,FALSE)</f>
        <v>11. Salud pública y seguridad ciudadana</v>
      </c>
      <c r="U2696" s="56" t="str">
        <f>MID(Tabla1[[#This Row],[Aplicación]],9,4)</f>
        <v>1321</v>
      </c>
      <c r="V2696" s="35" t="str">
        <f>VLOOKUP(Tabla1[[#This Row],[PROGRAMA]],Hoja1!A:B,2,FALSE)</f>
        <v>1321. Policía municipal</v>
      </c>
      <c r="W2696" s="56" t="str">
        <f>MID(Tabla1[[#This Row],[Aplicación]],14,2)</f>
        <v>62</v>
      </c>
      <c r="X2696" s="56" t="str">
        <f>MID(Tabla1[[#This Row],[Aplicación]],14,6)</f>
        <v>626</v>
      </c>
    </row>
    <row r="2697" spans="1:24" x14ac:dyDescent="0.25">
      <c r="A2697" s="62">
        <v>220230024852</v>
      </c>
      <c r="B2697" s="44" t="s">
        <v>507</v>
      </c>
      <c r="C2697" s="64">
        <v>45070</v>
      </c>
      <c r="D2697" s="62">
        <v>22023004575</v>
      </c>
      <c r="E2697" s="44" t="s">
        <v>1043</v>
      </c>
      <c r="F2697" s="65">
        <v>1400</v>
      </c>
      <c r="G2697" s="44" t="s">
        <v>29</v>
      </c>
      <c r="H2697" s="44" t="s">
        <v>4327</v>
      </c>
      <c r="I2697" s="62" t="s">
        <v>511</v>
      </c>
      <c r="J2697" s="44" t="s">
        <v>519</v>
      </c>
      <c r="K2697" s="44" t="s">
        <v>519</v>
      </c>
      <c r="L2697" s="44" t="s">
        <v>520</v>
      </c>
      <c r="M2697" s="44" t="s">
        <v>976</v>
      </c>
      <c r="N2697" s="44" t="s">
        <v>839</v>
      </c>
      <c r="O2697" s="45" t="s">
        <v>383</v>
      </c>
      <c r="P2697" s="45" t="s">
        <v>3760</v>
      </c>
      <c r="Q2697" s="59" t="str">
        <f>MID(Tabla1[[#This Row],[Aplicación]],14,1)</f>
        <v>2</v>
      </c>
      <c r="R2697" s="35" t="s">
        <v>298</v>
      </c>
      <c r="S2697" s="59" t="str">
        <f>MID(Tabla1[[#This Row],[Aplicación]],6,2)</f>
        <v>10</v>
      </c>
      <c r="T2697" s="35" t="str">
        <f>VLOOKUP(Tabla1[[#This Row],[AREA]],Hoja1!A:B,2,FALSE)</f>
        <v>10. Servicios sociales y mediación comunitaria</v>
      </c>
      <c r="U2697" s="56" t="str">
        <f>MID(Tabla1[[#This Row],[Aplicación]],9,4)</f>
        <v>2312</v>
      </c>
      <c r="V2697" s="35" t="str">
        <f>VLOOKUP(Tabla1[[#This Row],[PROGRAMA]],Hoja1!A:B,2,FALSE)</f>
        <v>2312. Iniciativas sociales</v>
      </c>
      <c r="W2697" s="56" t="str">
        <f>MID(Tabla1[[#This Row],[Aplicación]],14,2)</f>
        <v>22</v>
      </c>
      <c r="X2697" s="56" t="str">
        <f>MID(Tabla1[[#This Row],[Aplicación]],14,6)</f>
        <v>22699</v>
      </c>
    </row>
    <row r="2698" spans="1:24" x14ac:dyDescent="0.25">
      <c r="A2698" s="62">
        <v>220230020789</v>
      </c>
      <c r="B2698" s="44" t="s">
        <v>507</v>
      </c>
      <c r="C2698" s="64">
        <v>45062</v>
      </c>
      <c r="D2698" s="62">
        <v>22023004451</v>
      </c>
      <c r="E2698" s="44" t="s">
        <v>1490</v>
      </c>
      <c r="F2698" s="65">
        <v>72.67</v>
      </c>
      <c r="G2698" s="44" t="s">
        <v>1934</v>
      </c>
      <c r="H2698" s="44" t="s">
        <v>4328</v>
      </c>
      <c r="I2698" s="62" t="s">
        <v>511</v>
      </c>
      <c r="J2698" s="44" t="s">
        <v>519</v>
      </c>
      <c r="K2698" s="44" t="s">
        <v>519</v>
      </c>
      <c r="L2698" s="44" t="s">
        <v>552</v>
      </c>
      <c r="M2698" s="44" t="s">
        <v>976</v>
      </c>
      <c r="N2698" s="44" t="s">
        <v>839</v>
      </c>
      <c r="O2698" s="45" t="s">
        <v>383</v>
      </c>
      <c r="P2698" s="45" t="s">
        <v>3760</v>
      </c>
      <c r="Q2698" s="59" t="str">
        <f>MID(Tabla1[[#This Row],[Aplicación]],14,1)</f>
        <v>2</v>
      </c>
      <c r="R2698" s="35" t="s">
        <v>298</v>
      </c>
      <c r="S2698" s="59" t="str">
        <f>MID(Tabla1[[#This Row],[Aplicación]],6,2)</f>
        <v>06</v>
      </c>
      <c r="T2698" s="35" t="str">
        <f>VLOOKUP(Tabla1[[#This Row],[AREA]],Hoja1!A:B,2,FALSE)</f>
        <v>06. Educación, infancia, juventud e igualdad</v>
      </c>
      <c r="U2698" s="56" t="str">
        <f>MID(Tabla1[[#This Row],[Aplicación]],9,4)</f>
        <v>2314</v>
      </c>
      <c r="V2698" s="35" t="str">
        <f>VLOOKUP(Tabla1[[#This Row],[PROGRAMA]],Hoja1!A:B,2,FALSE)</f>
        <v>2314. Centro de programas juveniles</v>
      </c>
      <c r="W2698" s="56" t="str">
        <f>MID(Tabla1[[#This Row],[Aplicación]],14,2)</f>
        <v>22</v>
      </c>
      <c r="X2698" s="56" t="str">
        <f>MID(Tabla1[[#This Row],[Aplicación]],14,6)</f>
        <v>22613</v>
      </c>
    </row>
    <row r="2699" spans="1:24" x14ac:dyDescent="0.25">
      <c r="A2699" s="62">
        <v>220230015086</v>
      </c>
      <c r="B2699" s="44" t="s">
        <v>507</v>
      </c>
      <c r="C2699" s="64">
        <v>45041</v>
      </c>
      <c r="D2699" s="62">
        <v>22023003840</v>
      </c>
      <c r="E2699" s="44" t="s">
        <v>607</v>
      </c>
      <c r="F2699" s="65">
        <v>2516.8200000000002</v>
      </c>
      <c r="G2699" s="44" t="s">
        <v>30</v>
      </c>
      <c r="H2699" s="44" t="s">
        <v>4329</v>
      </c>
      <c r="I2699" s="62" t="s">
        <v>511</v>
      </c>
      <c r="J2699" s="44" t="s">
        <v>519</v>
      </c>
      <c r="K2699" s="44" t="s">
        <v>519</v>
      </c>
      <c r="L2699" s="44" t="s">
        <v>520</v>
      </c>
      <c r="M2699" s="44" t="s">
        <v>976</v>
      </c>
      <c r="N2699" s="44" t="s">
        <v>839</v>
      </c>
      <c r="O2699" s="45" t="s">
        <v>383</v>
      </c>
      <c r="P2699" s="45" t="s">
        <v>3760</v>
      </c>
      <c r="Q2699" s="59" t="str">
        <f>MID(Tabla1[[#This Row],[Aplicación]],14,1)</f>
        <v>2</v>
      </c>
      <c r="R2699" s="35" t="s">
        <v>298</v>
      </c>
      <c r="S2699" s="59" t="str">
        <f>MID(Tabla1[[#This Row],[Aplicación]],6,2)</f>
        <v>11</v>
      </c>
      <c r="T2699" s="35" t="str">
        <f>VLOOKUP(Tabla1[[#This Row],[AREA]],Hoja1!A:B,2,FALSE)</f>
        <v>11. Salud pública y seguridad ciudadana</v>
      </c>
      <c r="U2699" s="56" t="str">
        <f>MID(Tabla1[[#This Row],[Aplicación]],9,4)</f>
        <v>1621</v>
      </c>
      <c r="V2699" s="35" t="str">
        <f>VLOOKUP(Tabla1[[#This Row],[PROGRAMA]],Hoja1!A:B,2,FALSE)</f>
        <v>1621. Servicio de limpieza</v>
      </c>
      <c r="W2699" s="56" t="str">
        <f>MID(Tabla1[[#This Row],[Aplicación]],14,2)</f>
        <v>21</v>
      </c>
      <c r="X2699" s="56" t="str">
        <f>MID(Tabla1[[#This Row],[Aplicación]],14,6)</f>
        <v>213</v>
      </c>
    </row>
    <row r="2700" spans="1:24" x14ac:dyDescent="0.25">
      <c r="A2700" s="62">
        <v>220230015980</v>
      </c>
      <c r="B2700" s="44" t="s">
        <v>507</v>
      </c>
      <c r="C2700" s="64">
        <v>45042</v>
      </c>
      <c r="D2700" s="62">
        <v>22023004021</v>
      </c>
      <c r="E2700" s="44" t="s">
        <v>646</v>
      </c>
      <c r="F2700" s="65">
        <v>544.5</v>
      </c>
      <c r="G2700" s="44" t="s">
        <v>30</v>
      </c>
      <c r="H2700" s="44" t="s">
        <v>4330</v>
      </c>
      <c r="I2700" s="62" t="s">
        <v>511</v>
      </c>
      <c r="J2700" s="44" t="s">
        <v>519</v>
      </c>
      <c r="K2700" s="44" t="s">
        <v>519</v>
      </c>
      <c r="L2700" s="44" t="s">
        <v>520</v>
      </c>
      <c r="M2700" s="44" t="s">
        <v>976</v>
      </c>
      <c r="N2700" s="44" t="s">
        <v>839</v>
      </c>
      <c r="O2700" s="45" t="s">
        <v>383</v>
      </c>
      <c r="P2700" s="45" t="s">
        <v>3760</v>
      </c>
      <c r="Q2700" s="59" t="str">
        <f>MID(Tabla1[[#This Row],[Aplicación]],14,1)</f>
        <v>2</v>
      </c>
      <c r="R2700" s="35" t="s">
        <v>298</v>
      </c>
      <c r="S2700" s="59" t="str">
        <f>MID(Tabla1[[#This Row],[Aplicación]],6,2)</f>
        <v>01</v>
      </c>
      <c r="T2700" s="35" t="str">
        <f>VLOOKUP(Tabla1[[#This Row],[AREA]],Hoja1!A:B,2,FALSE)</f>
        <v>01. Alcaldía</v>
      </c>
      <c r="U2700" s="56" t="str">
        <f>MID(Tabla1[[#This Row],[Aplicación]],9,4)</f>
        <v>9203</v>
      </c>
      <c r="V2700" s="35" t="str">
        <f>VLOOKUP(Tabla1[[#This Row],[PROGRAMA]],Hoja1!A:B,2,FALSE)</f>
        <v>9203. Unidad de régimen interior</v>
      </c>
      <c r="W2700" s="56" t="str">
        <f>MID(Tabla1[[#This Row],[Aplicación]],14,2)</f>
        <v>20</v>
      </c>
      <c r="X2700" s="56" t="str">
        <f>MID(Tabla1[[#This Row],[Aplicación]],14,6)</f>
        <v>203</v>
      </c>
    </row>
    <row r="2701" spans="1:24" x14ac:dyDescent="0.25">
      <c r="A2701" s="62">
        <v>220230015087</v>
      </c>
      <c r="B2701" s="44" t="s">
        <v>507</v>
      </c>
      <c r="C2701" s="64">
        <v>45041</v>
      </c>
      <c r="D2701" s="62">
        <v>22023003844</v>
      </c>
      <c r="E2701" s="44" t="s">
        <v>1112</v>
      </c>
      <c r="F2701" s="65">
        <v>393.25</v>
      </c>
      <c r="G2701" s="44" t="s">
        <v>30</v>
      </c>
      <c r="H2701" s="44" t="s">
        <v>4331</v>
      </c>
      <c r="I2701" s="62" t="s">
        <v>511</v>
      </c>
      <c r="J2701" s="44" t="s">
        <v>519</v>
      </c>
      <c r="K2701" s="44" t="s">
        <v>519</v>
      </c>
      <c r="L2701" s="44" t="s">
        <v>552</v>
      </c>
      <c r="M2701" s="44" t="s">
        <v>976</v>
      </c>
      <c r="N2701" s="44" t="s">
        <v>839</v>
      </c>
      <c r="O2701" s="45" t="s">
        <v>383</v>
      </c>
      <c r="P2701" s="45" t="s">
        <v>3760</v>
      </c>
      <c r="Q2701" s="59" t="str">
        <f>MID(Tabla1[[#This Row],[Aplicación]],14,1)</f>
        <v>2</v>
      </c>
      <c r="R2701" s="35" t="s">
        <v>298</v>
      </c>
      <c r="S2701" s="59" t="str">
        <f>MID(Tabla1[[#This Row],[Aplicación]],6,2)</f>
        <v>06</v>
      </c>
      <c r="T2701" s="35" t="str">
        <f>VLOOKUP(Tabla1[[#This Row],[AREA]],Hoja1!A:B,2,FALSE)</f>
        <v>06. Educación, infancia, juventud e igualdad</v>
      </c>
      <c r="U2701" s="56" t="str">
        <f>MID(Tabla1[[#This Row],[Aplicación]],9,4)</f>
        <v>2315</v>
      </c>
      <c r="V2701" s="35" t="str">
        <f>VLOOKUP(Tabla1[[#This Row],[PROGRAMA]],Hoja1!A:B,2,FALSE)</f>
        <v>2315. Políticas de Igualdad e infancia</v>
      </c>
      <c r="W2701" s="56" t="str">
        <f>MID(Tabla1[[#This Row],[Aplicación]],14,2)</f>
        <v>22</v>
      </c>
      <c r="X2701" s="56" t="str">
        <f>MID(Tabla1[[#This Row],[Aplicación]],14,6)</f>
        <v>22100</v>
      </c>
    </row>
    <row r="2702" spans="1:24" x14ac:dyDescent="0.25">
      <c r="A2702" s="62">
        <v>220230015998</v>
      </c>
      <c r="B2702" s="44" t="s">
        <v>507</v>
      </c>
      <c r="C2702" s="64">
        <v>45042</v>
      </c>
      <c r="D2702" s="62">
        <v>22023004061</v>
      </c>
      <c r="E2702" s="44" t="s">
        <v>1234</v>
      </c>
      <c r="F2702" s="65">
        <v>393.25</v>
      </c>
      <c r="G2702" s="44" t="s">
        <v>30</v>
      </c>
      <c r="H2702" s="44" t="s">
        <v>4332</v>
      </c>
      <c r="I2702" s="62" t="s">
        <v>511</v>
      </c>
      <c r="J2702" s="44" t="s">
        <v>519</v>
      </c>
      <c r="K2702" s="44" t="s">
        <v>519</v>
      </c>
      <c r="L2702" s="44" t="s">
        <v>520</v>
      </c>
      <c r="M2702" s="44" t="s">
        <v>976</v>
      </c>
      <c r="N2702" s="44" t="s">
        <v>839</v>
      </c>
      <c r="O2702" s="45" t="s">
        <v>383</v>
      </c>
      <c r="P2702" s="45" t="s">
        <v>3760</v>
      </c>
      <c r="Q2702" s="59" t="str">
        <f>MID(Tabla1[[#This Row],[Aplicación]],14,1)</f>
        <v>2</v>
      </c>
      <c r="R2702" s="35" t="s">
        <v>298</v>
      </c>
      <c r="S2702" s="59" t="str">
        <f>MID(Tabla1[[#This Row],[Aplicación]],6,2)</f>
        <v>10</v>
      </c>
      <c r="T2702" s="35" t="str">
        <f>VLOOKUP(Tabla1[[#This Row],[AREA]],Hoja1!A:B,2,FALSE)</f>
        <v>10. Servicios sociales y mediación comunitaria</v>
      </c>
      <c r="U2702" s="56" t="str">
        <f>MID(Tabla1[[#This Row],[Aplicación]],9,4)</f>
        <v>2316</v>
      </c>
      <c r="V2702" s="35" t="str">
        <f>VLOOKUP(Tabla1[[#This Row],[PROGRAMA]],Hoja1!A:B,2,FALSE)</f>
        <v>2316. Mediación comunitaria</v>
      </c>
      <c r="W2702" s="56" t="str">
        <f>MID(Tabla1[[#This Row],[Aplicación]],14,2)</f>
        <v>22</v>
      </c>
      <c r="X2702" s="56" t="str">
        <f>MID(Tabla1[[#This Row],[Aplicación]],14,6)</f>
        <v>22616</v>
      </c>
    </row>
    <row r="2703" spans="1:24" x14ac:dyDescent="0.25">
      <c r="A2703" s="62">
        <v>220230016842</v>
      </c>
      <c r="B2703" s="44" t="s">
        <v>507</v>
      </c>
      <c r="C2703" s="64">
        <v>45048</v>
      </c>
      <c r="D2703" s="62">
        <v>22023004121</v>
      </c>
      <c r="E2703" s="44" t="s">
        <v>1512</v>
      </c>
      <c r="F2703" s="65">
        <v>186.91</v>
      </c>
      <c r="G2703" s="44" t="s">
        <v>4333</v>
      </c>
      <c r="H2703" s="44" t="s">
        <v>4334</v>
      </c>
      <c r="I2703" s="62" t="s">
        <v>511</v>
      </c>
      <c r="J2703" s="44" t="s">
        <v>519</v>
      </c>
      <c r="K2703" s="44" t="s">
        <v>519</v>
      </c>
      <c r="L2703" s="44" t="s">
        <v>815</v>
      </c>
      <c r="M2703" s="44" t="s">
        <v>976</v>
      </c>
      <c r="N2703" s="44" t="s">
        <v>839</v>
      </c>
      <c r="O2703" s="45" t="s">
        <v>383</v>
      </c>
      <c r="P2703" s="45" t="s">
        <v>3760</v>
      </c>
      <c r="Q2703" s="59" t="str">
        <f>MID(Tabla1[[#This Row],[Aplicación]],14,1)</f>
        <v>2</v>
      </c>
      <c r="R2703" s="35" t="s">
        <v>298</v>
      </c>
      <c r="S2703" s="59" t="str">
        <f>MID(Tabla1[[#This Row],[Aplicación]],6,2)</f>
        <v>10</v>
      </c>
      <c r="T2703" s="35" t="str">
        <f>VLOOKUP(Tabla1[[#This Row],[AREA]],Hoja1!A:B,2,FALSE)</f>
        <v>10. Servicios sociales y mediación comunitaria</v>
      </c>
      <c r="U2703" s="56" t="str">
        <f>MID(Tabla1[[#This Row],[Aplicación]],9,4)</f>
        <v>2312</v>
      </c>
      <c r="V2703" s="35" t="str">
        <f>VLOOKUP(Tabla1[[#This Row],[PROGRAMA]],Hoja1!A:B,2,FALSE)</f>
        <v>2312. Iniciativas sociales</v>
      </c>
      <c r="W2703" s="56" t="str">
        <f>MID(Tabla1[[#This Row],[Aplicación]],14,2)</f>
        <v>21</v>
      </c>
      <c r="X2703" s="56" t="str">
        <f>MID(Tabla1[[#This Row],[Aplicación]],14,6)</f>
        <v>212</v>
      </c>
    </row>
    <row r="2704" spans="1:24" x14ac:dyDescent="0.25">
      <c r="A2704" s="62">
        <v>220230024852</v>
      </c>
      <c r="B2704" s="44" t="s">
        <v>507</v>
      </c>
      <c r="C2704" s="64">
        <v>45070</v>
      </c>
      <c r="D2704" s="62">
        <v>22023004576</v>
      </c>
      <c r="E2704" s="44" t="s">
        <v>1043</v>
      </c>
      <c r="F2704" s="65">
        <v>1960</v>
      </c>
      <c r="G2704" s="44" t="s">
        <v>29</v>
      </c>
      <c r="H2704" s="44" t="s">
        <v>4327</v>
      </c>
      <c r="I2704" s="62" t="s">
        <v>511</v>
      </c>
      <c r="J2704" s="44" t="s">
        <v>519</v>
      </c>
      <c r="K2704" s="44" t="s">
        <v>519</v>
      </c>
      <c r="L2704" s="44" t="s">
        <v>520</v>
      </c>
      <c r="M2704" s="44" t="s">
        <v>976</v>
      </c>
      <c r="N2704" s="44" t="s">
        <v>839</v>
      </c>
      <c r="O2704" s="45" t="s">
        <v>383</v>
      </c>
      <c r="P2704" s="45" t="s">
        <v>3760</v>
      </c>
      <c r="Q2704" s="59" t="str">
        <f>MID(Tabla1[[#This Row],[Aplicación]],14,1)</f>
        <v>2</v>
      </c>
      <c r="R2704" s="35" t="s">
        <v>298</v>
      </c>
      <c r="S2704" s="59" t="str">
        <f>MID(Tabla1[[#This Row],[Aplicación]],6,2)</f>
        <v>10</v>
      </c>
      <c r="T2704" s="35" t="str">
        <f>VLOOKUP(Tabla1[[#This Row],[AREA]],Hoja1!A:B,2,FALSE)</f>
        <v>10. Servicios sociales y mediación comunitaria</v>
      </c>
      <c r="U2704" s="56" t="str">
        <f>MID(Tabla1[[#This Row],[Aplicación]],9,4)</f>
        <v>2312</v>
      </c>
      <c r="V2704" s="35" t="str">
        <f>VLOOKUP(Tabla1[[#This Row],[PROGRAMA]],Hoja1!A:B,2,FALSE)</f>
        <v>2312. Iniciativas sociales</v>
      </c>
      <c r="W2704" s="56" t="str">
        <f>MID(Tabla1[[#This Row],[Aplicación]],14,2)</f>
        <v>22</v>
      </c>
      <c r="X2704" s="56" t="str">
        <f>MID(Tabla1[[#This Row],[Aplicación]],14,6)</f>
        <v>22699</v>
      </c>
    </row>
    <row r="2705" spans="1:24" x14ac:dyDescent="0.25">
      <c r="A2705" s="62">
        <v>220230018171</v>
      </c>
      <c r="B2705" s="44" t="s">
        <v>507</v>
      </c>
      <c r="C2705" s="64">
        <v>45054</v>
      </c>
      <c r="D2705" s="62">
        <v>22023004348</v>
      </c>
      <c r="E2705" s="44" t="s">
        <v>709</v>
      </c>
      <c r="F2705" s="65">
        <v>290.39999999999998</v>
      </c>
      <c r="G2705" s="44" t="s">
        <v>2013</v>
      </c>
      <c r="H2705" s="44" t="s">
        <v>4335</v>
      </c>
      <c r="I2705" s="62" t="s">
        <v>511</v>
      </c>
      <c r="J2705" s="44" t="s">
        <v>953</v>
      </c>
      <c r="K2705" s="44" t="s">
        <v>519</v>
      </c>
      <c r="L2705" s="44" t="s">
        <v>520</v>
      </c>
      <c r="M2705" s="44" t="s">
        <v>976</v>
      </c>
      <c r="N2705" s="44" t="s">
        <v>839</v>
      </c>
      <c r="O2705" s="45" t="s">
        <v>383</v>
      </c>
      <c r="P2705" s="45" t="s">
        <v>3760</v>
      </c>
      <c r="Q2705" s="59" t="str">
        <f>MID(Tabla1[[#This Row],[Aplicación]],14,1)</f>
        <v>2</v>
      </c>
      <c r="R2705" s="35" t="s">
        <v>298</v>
      </c>
      <c r="S2705" s="59" t="str">
        <f>MID(Tabla1[[#This Row],[Aplicación]],6,2)</f>
        <v>07</v>
      </c>
      <c r="T2705" s="35" t="str">
        <f>VLOOKUP(Tabla1[[#This Row],[AREA]],Hoja1!A:B,2,FALSE)</f>
        <v>07. Medio ambiente y desarrollo sostenible</v>
      </c>
      <c r="U2705" s="56" t="str">
        <f>MID(Tabla1[[#This Row],[Aplicación]],9,4)</f>
        <v>1711</v>
      </c>
      <c r="V2705" s="35" t="str">
        <f>VLOOKUP(Tabla1[[#This Row],[PROGRAMA]],Hoja1!A:B,2,FALSE)</f>
        <v>1711. Parques y jardines</v>
      </c>
      <c r="W2705" s="56" t="str">
        <f>MID(Tabla1[[#This Row],[Aplicación]],14,2)</f>
        <v>22</v>
      </c>
      <c r="X2705" s="56" t="str">
        <f>MID(Tabla1[[#This Row],[Aplicación]],14,6)</f>
        <v>22799</v>
      </c>
    </row>
    <row r="2706" spans="1:24" x14ac:dyDescent="0.25">
      <c r="A2706" s="62">
        <v>220230013379</v>
      </c>
      <c r="B2706" s="44" t="s">
        <v>507</v>
      </c>
      <c r="C2706" s="64">
        <v>45020</v>
      </c>
      <c r="D2706" s="62">
        <v>22023003661</v>
      </c>
      <c r="E2706" s="44" t="s">
        <v>4336</v>
      </c>
      <c r="F2706" s="65">
        <v>7260</v>
      </c>
      <c r="G2706" s="44" t="s">
        <v>4337</v>
      </c>
      <c r="H2706" s="44" t="s">
        <v>4338</v>
      </c>
      <c r="I2706" s="62" t="s">
        <v>511</v>
      </c>
      <c r="J2706" s="44" t="s">
        <v>519</v>
      </c>
      <c r="K2706" s="44" t="s">
        <v>519</v>
      </c>
      <c r="L2706" s="44" t="s">
        <v>520</v>
      </c>
      <c r="M2706" s="44" t="s">
        <v>976</v>
      </c>
      <c r="N2706" s="44" t="s">
        <v>839</v>
      </c>
      <c r="O2706" s="45" t="s">
        <v>383</v>
      </c>
      <c r="P2706" s="45" t="s">
        <v>3760</v>
      </c>
      <c r="Q2706" s="59" t="str">
        <f>MID(Tabla1[[#This Row],[Aplicación]],14,1)</f>
        <v>2</v>
      </c>
      <c r="R2706" s="35" t="s">
        <v>298</v>
      </c>
      <c r="S2706" s="59" t="str">
        <f>MID(Tabla1[[#This Row],[Aplicación]],6,2)</f>
        <v>10</v>
      </c>
      <c r="T2706" s="35" t="str">
        <f>VLOOKUP(Tabla1[[#This Row],[AREA]],Hoja1!A:B,2,FALSE)</f>
        <v>10. Servicios sociales y mediación comunitaria</v>
      </c>
      <c r="U2706" s="56" t="str">
        <f>MID(Tabla1[[#This Row],[Aplicación]],9,4)</f>
        <v>2311</v>
      </c>
      <c r="V2706" s="35" t="str">
        <f>VLOOKUP(Tabla1[[#This Row],[PROGRAMA]],Hoja1!A:B,2,FALSE)</f>
        <v>2311. Intervención social</v>
      </c>
      <c r="W2706" s="56" t="str">
        <f>MID(Tabla1[[#This Row],[Aplicación]],14,2)</f>
        <v>22</v>
      </c>
      <c r="X2706" s="56" t="str">
        <f>MID(Tabla1[[#This Row],[Aplicación]],14,6)</f>
        <v>22606</v>
      </c>
    </row>
    <row r="2707" spans="1:24" x14ac:dyDescent="0.25">
      <c r="A2707" s="62">
        <v>220230018980</v>
      </c>
      <c r="B2707" s="44" t="s">
        <v>507</v>
      </c>
      <c r="C2707" s="64">
        <v>45056</v>
      </c>
      <c r="D2707" s="62">
        <v>22023004212</v>
      </c>
      <c r="E2707" s="44" t="s">
        <v>1519</v>
      </c>
      <c r="F2707" s="65">
        <v>9471.5499999999993</v>
      </c>
      <c r="G2707" s="44" t="s">
        <v>20</v>
      </c>
      <c r="H2707" s="44" t="s">
        <v>4339</v>
      </c>
      <c r="I2707" s="62" t="s">
        <v>511</v>
      </c>
      <c r="J2707" s="44" t="s">
        <v>519</v>
      </c>
      <c r="K2707" s="44" t="s">
        <v>519</v>
      </c>
      <c r="L2707" s="44" t="s">
        <v>520</v>
      </c>
      <c r="M2707" s="44" t="s">
        <v>976</v>
      </c>
      <c r="N2707" s="44" t="s">
        <v>839</v>
      </c>
      <c r="O2707" s="45" t="s">
        <v>383</v>
      </c>
      <c r="P2707" s="45" t="s">
        <v>3760</v>
      </c>
      <c r="Q2707" s="59" t="str">
        <f>MID(Tabla1[[#This Row],[Aplicación]],14,1)</f>
        <v>2</v>
      </c>
      <c r="R2707" s="35" t="s">
        <v>298</v>
      </c>
      <c r="S2707" s="59" t="str">
        <f>MID(Tabla1[[#This Row],[Aplicación]],6,2)</f>
        <v>02</v>
      </c>
      <c r="T2707" s="35" t="str">
        <f>VLOOKUP(Tabla1[[#This Row],[AREA]],Hoja1!A:B,2,FALSE)</f>
        <v>02. Planeamiento urbanístico y vivienda</v>
      </c>
      <c r="U2707" s="56" t="str">
        <f>MID(Tabla1[[#This Row],[Aplicación]],9,4)</f>
        <v>9332</v>
      </c>
      <c r="V2707" s="35" t="str">
        <f>VLOOKUP(Tabla1[[#This Row],[PROGRAMA]],Hoja1!A:B,2,FALSE)</f>
        <v>9332. Mantenimiento de edificios e instalaciones municipales</v>
      </c>
      <c r="W2707" s="56" t="str">
        <f>MID(Tabla1[[#This Row],[Aplicación]],14,2)</f>
        <v>22</v>
      </c>
      <c r="X2707" s="56" t="str">
        <f>MID(Tabla1[[#This Row],[Aplicación]],14,6)</f>
        <v>22799</v>
      </c>
    </row>
    <row r="2708" spans="1:24" x14ac:dyDescent="0.25">
      <c r="A2708" s="62">
        <v>220230016006</v>
      </c>
      <c r="B2708" s="44" t="s">
        <v>507</v>
      </c>
      <c r="C2708" s="64">
        <v>45042</v>
      </c>
      <c r="D2708" s="62">
        <v>22023002684</v>
      </c>
      <c r="E2708" s="44" t="s">
        <v>1153</v>
      </c>
      <c r="F2708" s="65">
        <v>508.2</v>
      </c>
      <c r="G2708" s="44" t="s">
        <v>20</v>
      </c>
      <c r="H2708" s="44" t="s">
        <v>4340</v>
      </c>
      <c r="I2708" s="62" t="s">
        <v>511</v>
      </c>
      <c r="J2708" s="44" t="s">
        <v>519</v>
      </c>
      <c r="K2708" s="44" t="s">
        <v>519</v>
      </c>
      <c r="L2708" s="44" t="s">
        <v>520</v>
      </c>
      <c r="M2708" s="44" t="s">
        <v>976</v>
      </c>
      <c r="N2708" s="44" t="s">
        <v>839</v>
      </c>
      <c r="O2708" s="45" t="s">
        <v>383</v>
      </c>
      <c r="P2708" s="45" t="s">
        <v>3760</v>
      </c>
      <c r="Q2708" s="59" t="str">
        <f>MID(Tabla1[[#This Row],[Aplicación]],14,1)</f>
        <v>2</v>
      </c>
      <c r="R2708" s="35" t="s">
        <v>298</v>
      </c>
      <c r="S2708" s="59" t="str">
        <f>MID(Tabla1[[#This Row],[Aplicación]],6,2)</f>
        <v>06</v>
      </c>
      <c r="T2708" s="35" t="str">
        <f>VLOOKUP(Tabla1[[#This Row],[AREA]],Hoja1!A:B,2,FALSE)</f>
        <v>06. Educación, infancia, juventud e igualdad</v>
      </c>
      <c r="U2708" s="56" t="str">
        <f>MID(Tabla1[[#This Row],[Aplicación]],9,4)</f>
        <v>3261</v>
      </c>
      <c r="V2708" s="35" t="str">
        <f>VLOOKUP(Tabla1[[#This Row],[PROGRAMA]],Hoja1!A:B,2,FALSE)</f>
        <v>3261. Servicios complementarios de educación</v>
      </c>
      <c r="W2708" s="56" t="str">
        <f>MID(Tabla1[[#This Row],[Aplicación]],14,2)</f>
        <v>21</v>
      </c>
      <c r="X2708" s="56" t="str">
        <f>MID(Tabla1[[#This Row],[Aplicación]],14,6)</f>
        <v>213</v>
      </c>
    </row>
    <row r="2709" spans="1:24" x14ac:dyDescent="0.25">
      <c r="A2709" s="62">
        <v>220230021928</v>
      </c>
      <c r="B2709" s="44" t="s">
        <v>507</v>
      </c>
      <c r="C2709" s="64">
        <v>45064</v>
      </c>
      <c r="D2709" s="62">
        <v>22023004204</v>
      </c>
      <c r="E2709" s="44" t="s">
        <v>583</v>
      </c>
      <c r="F2709" s="65">
        <v>12948.82</v>
      </c>
      <c r="G2709" s="44" t="s">
        <v>400</v>
      </c>
      <c r="H2709" s="44" t="s">
        <v>4341</v>
      </c>
      <c r="I2709" s="62" t="s">
        <v>511</v>
      </c>
      <c r="J2709" s="44" t="s">
        <v>519</v>
      </c>
      <c r="K2709" s="44" t="s">
        <v>519</v>
      </c>
      <c r="L2709" s="44" t="s">
        <v>520</v>
      </c>
      <c r="M2709" s="44" t="s">
        <v>514</v>
      </c>
      <c r="N2709" s="44" t="s">
        <v>515</v>
      </c>
      <c r="O2709" s="45" t="s">
        <v>371</v>
      </c>
      <c r="P2709" s="45" t="s">
        <v>3760</v>
      </c>
      <c r="Q2709" s="59" t="str">
        <f>MID(Tabla1[[#This Row],[Aplicación]],14,1)</f>
        <v>6</v>
      </c>
      <c r="R2709" s="35" t="s">
        <v>299</v>
      </c>
      <c r="S2709" s="59" t="str">
        <f>MID(Tabla1[[#This Row],[Aplicación]],6,2)</f>
        <v>02</v>
      </c>
      <c r="T2709" s="35" t="str">
        <f>VLOOKUP(Tabla1[[#This Row],[AREA]],Hoja1!A:B,2,FALSE)</f>
        <v>02. Planeamiento urbanístico y vivienda</v>
      </c>
      <c r="U2709" s="56" t="str">
        <f>MID(Tabla1[[#This Row],[Aplicación]],9,4)</f>
        <v>1511</v>
      </c>
      <c r="V2709" s="35" t="str">
        <f>VLOOKUP(Tabla1[[#This Row],[PROGRAMA]],Hoja1!A:B,2,FALSE)</f>
        <v>1511. Planficación y gestión del urbanismo</v>
      </c>
      <c r="W2709" s="56" t="str">
        <f>MID(Tabla1[[#This Row],[Aplicación]],14,2)</f>
        <v>60</v>
      </c>
      <c r="X2709" s="56" t="str">
        <f>MID(Tabla1[[#This Row],[Aplicación]],14,6)</f>
        <v>609</v>
      </c>
    </row>
    <row r="2710" spans="1:24" x14ac:dyDescent="0.25">
      <c r="A2710" s="62">
        <v>220230016599</v>
      </c>
      <c r="B2710" s="44" t="s">
        <v>1514</v>
      </c>
      <c r="C2710" s="64">
        <v>45043</v>
      </c>
      <c r="D2710" s="62">
        <v>22023001967</v>
      </c>
      <c r="E2710" s="44" t="s">
        <v>524</v>
      </c>
      <c r="F2710" s="65">
        <v>1512.57</v>
      </c>
      <c r="G2710" s="44" t="s">
        <v>400</v>
      </c>
      <c r="H2710" s="44" t="s">
        <v>4342</v>
      </c>
      <c r="I2710" s="62" t="s">
        <v>1517</v>
      </c>
      <c r="J2710" s="44" t="s">
        <v>519</v>
      </c>
      <c r="K2710" s="44" t="s">
        <v>519</v>
      </c>
      <c r="L2710" s="44" t="s">
        <v>520</v>
      </c>
      <c r="M2710" s="44" t="s">
        <v>514</v>
      </c>
      <c r="N2710" s="44" t="s">
        <v>515</v>
      </c>
      <c r="O2710" s="45" t="s">
        <v>371</v>
      </c>
      <c r="P2710" s="45" t="s">
        <v>3760</v>
      </c>
      <c r="Q2710" s="59" t="str">
        <f>MID(Tabla1[[#This Row],[Aplicación]],14,1)</f>
        <v>6</v>
      </c>
      <c r="R2710" s="35" t="s">
        <v>299</v>
      </c>
      <c r="S2710" s="59" t="str">
        <f>MID(Tabla1[[#This Row],[Aplicación]],6,2)</f>
        <v>02</v>
      </c>
      <c r="T2710" s="35" t="str">
        <f>VLOOKUP(Tabla1[[#This Row],[AREA]],Hoja1!A:B,2,FALSE)</f>
        <v>02. Planeamiento urbanístico y vivienda</v>
      </c>
      <c r="U2710" s="56" t="str">
        <f>MID(Tabla1[[#This Row],[Aplicación]],9,4)</f>
        <v>1511</v>
      </c>
      <c r="V2710" s="35" t="str">
        <f>VLOOKUP(Tabla1[[#This Row],[PROGRAMA]],Hoja1!A:B,2,FALSE)</f>
        <v>1511. Planficación y gestión del urbanismo</v>
      </c>
      <c r="W2710" s="56" t="str">
        <f>MID(Tabla1[[#This Row],[Aplicación]],14,2)</f>
        <v>61</v>
      </c>
      <c r="X2710" s="56" t="str">
        <f>MID(Tabla1[[#This Row],[Aplicación]],14,6)</f>
        <v>619</v>
      </c>
    </row>
    <row r="2711" spans="1:24" x14ac:dyDescent="0.25">
      <c r="A2711" s="62">
        <v>220230015987</v>
      </c>
      <c r="B2711" s="44" t="s">
        <v>507</v>
      </c>
      <c r="C2711" s="64">
        <v>45042</v>
      </c>
      <c r="D2711" s="62">
        <v>22023004096</v>
      </c>
      <c r="E2711" s="44" t="s">
        <v>546</v>
      </c>
      <c r="F2711" s="65">
        <v>158.57</v>
      </c>
      <c r="G2711" s="44" t="s">
        <v>400</v>
      </c>
      <c r="H2711" s="44" t="s">
        <v>4343</v>
      </c>
      <c r="I2711" s="62" t="s">
        <v>511</v>
      </c>
      <c r="J2711" s="44" t="s">
        <v>519</v>
      </c>
      <c r="K2711" s="44" t="s">
        <v>519</v>
      </c>
      <c r="L2711" s="44" t="s">
        <v>520</v>
      </c>
      <c r="M2711" s="44" t="s">
        <v>514</v>
      </c>
      <c r="N2711" s="44" t="s">
        <v>515</v>
      </c>
      <c r="O2711" s="45" t="s">
        <v>371</v>
      </c>
      <c r="P2711" s="45" t="s">
        <v>3760</v>
      </c>
      <c r="Q2711" s="59" t="str">
        <f>MID(Tabla1[[#This Row],[Aplicación]],14,1)</f>
        <v>6</v>
      </c>
      <c r="R2711" s="35" t="s">
        <v>299</v>
      </c>
      <c r="S2711" s="59" t="str">
        <f>MID(Tabla1[[#This Row],[Aplicación]],6,2)</f>
        <v>08</v>
      </c>
      <c r="T2711" s="35" t="str">
        <f>VLOOKUP(Tabla1[[#This Row],[AREA]],Hoja1!A:B,2,FALSE)</f>
        <v>08. Movilidad y espacio urbano</v>
      </c>
      <c r="U2711" s="56" t="str">
        <f>MID(Tabla1[[#This Row],[Aplicación]],9,4)</f>
        <v>1532</v>
      </c>
      <c r="V2711" s="35" t="str">
        <f>VLOOKUP(Tabla1[[#This Row],[PROGRAMA]],Hoja1!A:B,2,FALSE)</f>
        <v>1532. Pavimentación vias públicas y otros servicios urbanísticos</v>
      </c>
      <c r="W2711" s="56" t="str">
        <f>MID(Tabla1[[#This Row],[Aplicación]],14,2)</f>
        <v>61</v>
      </c>
      <c r="X2711" s="56" t="str">
        <f>MID(Tabla1[[#This Row],[Aplicación]],14,6)</f>
        <v>619</v>
      </c>
    </row>
    <row r="2712" spans="1:24" x14ac:dyDescent="0.25">
      <c r="A2712" s="62">
        <v>220230015988</v>
      </c>
      <c r="B2712" s="44" t="s">
        <v>507</v>
      </c>
      <c r="C2712" s="64">
        <v>45042</v>
      </c>
      <c r="D2712" s="62">
        <v>22023004100</v>
      </c>
      <c r="E2712" s="44" t="s">
        <v>546</v>
      </c>
      <c r="F2712" s="65">
        <v>129.25</v>
      </c>
      <c r="G2712" s="44" t="s">
        <v>400</v>
      </c>
      <c r="H2712" s="44" t="s">
        <v>4344</v>
      </c>
      <c r="I2712" s="62" t="s">
        <v>511</v>
      </c>
      <c r="J2712" s="44" t="s">
        <v>519</v>
      </c>
      <c r="K2712" s="44" t="s">
        <v>519</v>
      </c>
      <c r="L2712" s="44" t="s">
        <v>520</v>
      </c>
      <c r="M2712" s="44" t="s">
        <v>514</v>
      </c>
      <c r="N2712" s="44" t="s">
        <v>515</v>
      </c>
      <c r="O2712" s="45" t="s">
        <v>371</v>
      </c>
      <c r="P2712" s="45" t="s">
        <v>3760</v>
      </c>
      <c r="Q2712" s="59" t="str">
        <f>MID(Tabla1[[#This Row],[Aplicación]],14,1)</f>
        <v>6</v>
      </c>
      <c r="R2712" s="35" t="s">
        <v>299</v>
      </c>
      <c r="S2712" s="59" t="str">
        <f>MID(Tabla1[[#This Row],[Aplicación]],6,2)</f>
        <v>08</v>
      </c>
      <c r="T2712" s="35" t="str">
        <f>VLOOKUP(Tabla1[[#This Row],[AREA]],Hoja1!A:B,2,FALSE)</f>
        <v>08. Movilidad y espacio urbano</v>
      </c>
      <c r="U2712" s="56" t="str">
        <f>MID(Tabla1[[#This Row],[Aplicación]],9,4)</f>
        <v>1532</v>
      </c>
      <c r="V2712" s="35" t="str">
        <f>VLOOKUP(Tabla1[[#This Row],[PROGRAMA]],Hoja1!A:B,2,FALSE)</f>
        <v>1532. Pavimentación vias públicas y otros servicios urbanísticos</v>
      </c>
      <c r="W2712" s="56" t="str">
        <f>MID(Tabla1[[#This Row],[Aplicación]],14,2)</f>
        <v>61</v>
      </c>
      <c r="X2712" s="56" t="str">
        <f>MID(Tabla1[[#This Row],[Aplicación]],14,6)</f>
        <v>619</v>
      </c>
    </row>
    <row r="2713" spans="1:24" x14ac:dyDescent="0.25">
      <c r="A2713" s="62">
        <v>220230018154</v>
      </c>
      <c r="B2713" s="44" t="s">
        <v>507</v>
      </c>
      <c r="C2713" s="64">
        <v>45054</v>
      </c>
      <c r="D2713" s="62">
        <v>22023004332</v>
      </c>
      <c r="E2713" s="44" t="s">
        <v>1011</v>
      </c>
      <c r="F2713" s="65">
        <v>1318.9</v>
      </c>
      <c r="G2713" s="44" t="s">
        <v>4345</v>
      </c>
      <c r="H2713" s="44" t="s">
        <v>4346</v>
      </c>
      <c r="I2713" s="62" t="s">
        <v>511</v>
      </c>
      <c r="J2713" s="44" t="s">
        <v>512</v>
      </c>
      <c r="K2713" s="44" t="s">
        <v>512</v>
      </c>
      <c r="L2713" s="44" t="s">
        <v>520</v>
      </c>
      <c r="M2713" s="44" t="s">
        <v>976</v>
      </c>
      <c r="N2713" s="44" t="s">
        <v>839</v>
      </c>
      <c r="O2713" s="45" t="s">
        <v>383</v>
      </c>
      <c r="P2713" s="45" t="s">
        <v>3760</v>
      </c>
      <c r="Q2713" s="59" t="str">
        <f>MID(Tabla1[[#This Row],[Aplicación]],14,1)</f>
        <v>2</v>
      </c>
      <c r="R2713" s="35" t="s">
        <v>298</v>
      </c>
      <c r="S2713" s="59" t="str">
        <f>MID(Tabla1[[#This Row],[Aplicación]],6,2)</f>
        <v>09</v>
      </c>
      <c r="T2713" s="35" t="str">
        <f>VLOOKUP(Tabla1[[#This Row],[AREA]],Hoja1!A:B,2,FALSE)</f>
        <v>09. Cultura y turismo</v>
      </c>
      <c r="U2713" s="56" t="str">
        <f>MID(Tabla1[[#This Row],[Aplicación]],9,4)</f>
        <v>3341</v>
      </c>
      <c r="V2713" s="35" t="str">
        <f>VLOOKUP(Tabla1[[#This Row],[PROGRAMA]],Hoja1!A:B,2,FALSE)</f>
        <v>3341. Coordinación de políticas culturales</v>
      </c>
      <c r="W2713" s="56" t="str">
        <f>MID(Tabla1[[#This Row],[Aplicación]],14,2)</f>
        <v>22</v>
      </c>
      <c r="X2713" s="56" t="str">
        <f>MID(Tabla1[[#This Row],[Aplicación]],14,6)</f>
        <v>22609</v>
      </c>
    </row>
    <row r="2714" spans="1:24" x14ac:dyDescent="0.25">
      <c r="A2714" s="62">
        <v>220230025396</v>
      </c>
      <c r="B2714" s="44" t="s">
        <v>507</v>
      </c>
      <c r="C2714" s="64">
        <v>45072</v>
      </c>
      <c r="D2714" s="62">
        <v>22023004707</v>
      </c>
      <c r="E2714" s="44" t="s">
        <v>1388</v>
      </c>
      <c r="F2714" s="65">
        <v>1320</v>
      </c>
      <c r="G2714" s="44" t="s">
        <v>29</v>
      </c>
      <c r="H2714" s="44" t="s">
        <v>4347</v>
      </c>
      <c r="I2714" s="62" t="s">
        <v>511</v>
      </c>
      <c r="J2714" s="44" t="s">
        <v>519</v>
      </c>
      <c r="K2714" s="44" t="s">
        <v>519</v>
      </c>
      <c r="L2714" s="44" t="s">
        <v>552</v>
      </c>
      <c r="M2714" s="44" t="s">
        <v>976</v>
      </c>
      <c r="N2714" s="44" t="s">
        <v>839</v>
      </c>
      <c r="O2714" s="45" t="s">
        <v>383</v>
      </c>
      <c r="P2714" s="45" t="s">
        <v>3760</v>
      </c>
      <c r="Q2714" s="59" t="str">
        <f>MID(Tabla1[[#This Row],[Aplicación]],14,1)</f>
        <v>2</v>
      </c>
      <c r="R2714" s="35" t="s">
        <v>298</v>
      </c>
      <c r="S2714" s="59" t="str">
        <f>MID(Tabla1[[#This Row],[Aplicación]],6,2)</f>
        <v>05</v>
      </c>
      <c r="T2714" s="35" t="str">
        <f>VLOOKUP(Tabla1[[#This Row],[AREA]],Hoja1!A:B,2,FALSE)</f>
        <v>05. Innovación, desarrollo económico, empleo y comercio</v>
      </c>
      <c r="U2714" s="56" t="str">
        <f>MID(Tabla1[[#This Row],[Aplicación]],9,4)</f>
        <v>4331</v>
      </c>
      <c r="V2714" s="35" t="str">
        <f>VLOOKUP(Tabla1[[#This Row],[PROGRAMA]],Hoja1!A:B,2,FALSE)</f>
        <v>4331. Desarrollo empresarial</v>
      </c>
      <c r="W2714" s="56" t="str">
        <f>MID(Tabla1[[#This Row],[Aplicación]],14,2)</f>
        <v>22</v>
      </c>
      <c r="X2714" s="56" t="str">
        <f>MID(Tabla1[[#This Row],[Aplicación]],14,6)</f>
        <v>22001</v>
      </c>
    </row>
    <row r="2715" spans="1:24" x14ac:dyDescent="0.25">
      <c r="A2715" s="62">
        <v>220230020788</v>
      </c>
      <c r="B2715" s="44" t="s">
        <v>507</v>
      </c>
      <c r="C2715" s="64">
        <v>45062</v>
      </c>
      <c r="D2715" s="62">
        <v>22023004470</v>
      </c>
      <c r="E2715" s="44" t="s">
        <v>835</v>
      </c>
      <c r="F2715" s="65">
        <v>6655</v>
      </c>
      <c r="G2715" s="44" t="s">
        <v>2166</v>
      </c>
      <c r="H2715" s="44" t="s">
        <v>4348</v>
      </c>
      <c r="I2715" s="62" t="s">
        <v>511</v>
      </c>
      <c r="J2715" s="44" t="s">
        <v>519</v>
      </c>
      <c r="K2715" s="44" t="s">
        <v>519</v>
      </c>
      <c r="L2715" s="44" t="s">
        <v>520</v>
      </c>
      <c r="M2715" s="44" t="s">
        <v>976</v>
      </c>
      <c r="N2715" s="44" t="s">
        <v>839</v>
      </c>
      <c r="O2715" s="45" t="s">
        <v>383</v>
      </c>
      <c r="P2715" s="45" t="s">
        <v>3760</v>
      </c>
      <c r="Q2715" s="59" t="str">
        <f>MID(Tabla1[[#This Row],[Aplicación]],14,1)</f>
        <v>2</v>
      </c>
      <c r="R2715" s="35" t="s">
        <v>298</v>
      </c>
      <c r="S2715" s="59" t="str">
        <f>MID(Tabla1[[#This Row],[Aplicación]],6,2)</f>
        <v>05</v>
      </c>
      <c r="T2715" s="35" t="str">
        <f>VLOOKUP(Tabla1[[#This Row],[AREA]],Hoja1!A:B,2,FALSE)</f>
        <v>05. Innovación, desarrollo económico, empleo y comercio</v>
      </c>
      <c r="U2715" s="56" t="str">
        <f>MID(Tabla1[[#This Row],[Aplicación]],9,4)</f>
        <v>4331</v>
      </c>
      <c r="V2715" s="35" t="str">
        <f>VLOOKUP(Tabla1[[#This Row],[PROGRAMA]],Hoja1!A:B,2,FALSE)</f>
        <v>4331. Desarrollo empresarial</v>
      </c>
      <c r="W2715" s="56" t="str">
        <f>MID(Tabla1[[#This Row],[Aplicación]],14,2)</f>
        <v>22</v>
      </c>
      <c r="X2715" s="56" t="str">
        <f>MID(Tabla1[[#This Row],[Aplicación]],14,6)</f>
        <v>22799</v>
      </c>
    </row>
    <row r="2716" spans="1:24" x14ac:dyDescent="0.25">
      <c r="A2716" s="62">
        <v>220230015097</v>
      </c>
      <c r="B2716" s="44" t="s">
        <v>507</v>
      </c>
      <c r="C2716" s="64">
        <v>45041</v>
      </c>
      <c r="D2716" s="62">
        <v>22023003836</v>
      </c>
      <c r="E2716" s="44" t="s">
        <v>1447</v>
      </c>
      <c r="F2716" s="65">
        <v>231.2</v>
      </c>
      <c r="G2716" s="44" t="s">
        <v>442</v>
      </c>
      <c r="H2716" s="44" t="s">
        <v>4349</v>
      </c>
      <c r="I2716" s="62" t="s">
        <v>511</v>
      </c>
      <c r="J2716" s="44" t="s">
        <v>1449</v>
      </c>
      <c r="K2716" s="44" t="s">
        <v>512</v>
      </c>
      <c r="L2716" s="44" t="s">
        <v>552</v>
      </c>
      <c r="M2716" s="44" t="s">
        <v>976</v>
      </c>
      <c r="N2716" s="44" t="s">
        <v>839</v>
      </c>
      <c r="O2716" s="45" t="s">
        <v>383</v>
      </c>
      <c r="P2716" s="45" t="s">
        <v>3760</v>
      </c>
      <c r="Q2716" s="59" t="str">
        <f>MID(Tabla1[[#This Row],[Aplicación]],14,1)</f>
        <v>2</v>
      </c>
      <c r="R2716" s="35" t="s">
        <v>298</v>
      </c>
      <c r="S2716" s="59" t="str">
        <f>MID(Tabla1[[#This Row],[Aplicación]],6,2)</f>
        <v>10</v>
      </c>
      <c r="T2716" s="35" t="str">
        <f>VLOOKUP(Tabla1[[#This Row],[AREA]],Hoja1!A:B,2,FALSE)</f>
        <v>10. Servicios sociales y mediación comunitaria</v>
      </c>
      <c r="U2716" s="56" t="str">
        <f>MID(Tabla1[[#This Row],[Aplicación]],9,4)</f>
        <v>2412</v>
      </c>
      <c r="V2716" s="35" t="str">
        <f>VLOOKUP(Tabla1[[#This Row],[PROGRAMA]],Hoja1!A:B,2,FALSE)</f>
        <v>2412. Formación para el empleo</v>
      </c>
      <c r="W2716" s="56" t="str">
        <f>MID(Tabla1[[#This Row],[Aplicación]],14,2)</f>
        <v>22</v>
      </c>
      <c r="X2716" s="56" t="str">
        <f>MID(Tabla1[[#This Row],[Aplicación]],14,6)</f>
        <v>22001</v>
      </c>
    </row>
    <row r="2717" spans="1:24" x14ac:dyDescent="0.25">
      <c r="A2717" s="62">
        <v>220230015363</v>
      </c>
      <c r="B2717" s="44" t="s">
        <v>507</v>
      </c>
      <c r="C2717" s="64">
        <v>45041</v>
      </c>
      <c r="D2717" s="62">
        <v>22023003902</v>
      </c>
      <c r="E2717" s="44" t="s">
        <v>1234</v>
      </c>
      <c r="F2717" s="65">
        <v>661.5</v>
      </c>
      <c r="G2717" s="44" t="s">
        <v>442</v>
      </c>
      <c r="H2717" s="44" t="s">
        <v>4350</v>
      </c>
      <c r="I2717" s="62" t="s">
        <v>511</v>
      </c>
      <c r="J2717" s="44" t="s">
        <v>1449</v>
      </c>
      <c r="K2717" s="44" t="s">
        <v>512</v>
      </c>
      <c r="L2717" s="44" t="s">
        <v>552</v>
      </c>
      <c r="M2717" s="44" t="s">
        <v>976</v>
      </c>
      <c r="N2717" s="44" t="s">
        <v>839</v>
      </c>
      <c r="O2717" s="45" t="s">
        <v>383</v>
      </c>
      <c r="P2717" s="45" t="s">
        <v>3760</v>
      </c>
      <c r="Q2717" s="59" t="str">
        <f>MID(Tabla1[[#This Row],[Aplicación]],14,1)</f>
        <v>2</v>
      </c>
      <c r="R2717" s="35" t="s">
        <v>298</v>
      </c>
      <c r="S2717" s="59" t="str">
        <f>MID(Tabla1[[#This Row],[Aplicación]],6,2)</f>
        <v>10</v>
      </c>
      <c r="T2717" s="35" t="str">
        <f>VLOOKUP(Tabla1[[#This Row],[AREA]],Hoja1!A:B,2,FALSE)</f>
        <v>10. Servicios sociales y mediación comunitaria</v>
      </c>
      <c r="U2717" s="56" t="str">
        <f>MID(Tabla1[[#This Row],[Aplicación]],9,4)</f>
        <v>2316</v>
      </c>
      <c r="V2717" s="35" t="str">
        <f>VLOOKUP(Tabla1[[#This Row],[PROGRAMA]],Hoja1!A:B,2,FALSE)</f>
        <v>2316. Mediación comunitaria</v>
      </c>
      <c r="W2717" s="56" t="str">
        <f>MID(Tabla1[[#This Row],[Aplicación]],14,2)</f>
        <v>22</v>
      </c>
      <c r="X2717" s="56" t="str">
        <f>MID(Tabla1[[#This Row],[Aplicación]],14,6)</f>
        <v>22616</v>
      </c>
    </row>
    <row r="2718" spans="1:24" x14ac:dyDescent="0.25">
      <c r="A2718" s="62">
        <v>220230022633</v>
      </c>
      <c r="B2718" s="44" t="s">
        <v>507</v>
      </c>
      <c r="C2718" s="64">
        <v>45068</v>
      </c>
      <c r="D2718" s="62">
        <v>22023004586</v>
      </c>
      <c r="E2718" s="44" t="s">
        <v>1011</v>
      </c>
      <c r="F2718" s="65">
        <v>6050</v>
      </c>
      <c r="G2718" s="44" t="s">
        <v>2166</v>
      </c>
      <c r="H2718" s="44" t="s">
        <v>4351</v>
      </c>
      <c r="I2718" s="62" t="s">
        <v>511</v>
      </c>
      <c r="J2718" s="44" t="s">
        <v>519</v>
      </c>
      <c r="K2718" s="44" t="s">
        <v>519</v>
      </c>
      <c r="L2718" s="44" t="s">
        <v>552</v>
      </c>
      <c r="M2718" s="44" t="s">
        <v>976</v>
      </c>
      <c r="N2718" s="44" t="s">
        <v>839</v>
      </c>
      <c r="O2718" s="45" t="s">
        <v>383</v>
      </c>
      <c r="P2718" s="45" t="s">
        <v>3760</v>
      </c>
      <c r="Q2718" s="59" t="str">
        <f>MID(Tabla1[[#This Row],[Aplicación]],14,1)</f>
        <v>2</v>
      </c>
      <c r="R2718" s="35" t="s">
        <v>298</v>
      </c>
      <c r="S2718" s="59" t="str">
        <f>MID(Tabla1[[#This Row],[Aplicación]],6,2)</f>
        <v>09</v>
      </c>
      <c r="T2718" s="35" t="str">
        <f>VLOOKUP(Tabla1[[#This Row],[AREA]],Hoja1!A:B,2,FALSE)</f>
        <v>09. Cultura y turismo</v>
      </c>
      <c r="U2718" s="56" t="str">
        <f>MID(Tabla1[[#This Row],[Aplicación]],9,4)</f>
        <v>3341</v>
      </c>
      <c r="V2718" s="35" t="str">
        <f>VLOOKUP(Tabla1[[#This Row],[PROGRAMA]],Hoja1!A:B,2,FALSE)</f>
        <v>3341. Coordinación de políticas culturales</v>
      </c>
      <c r="W2718" s="56" t="str">
        <f>MID(Tabla1[[#This Row],[Aplicación]],14,2)</f>
        <v>22</v>
      </c>
      <c r="X2718" s="56" t="str">
        <f>MID(Tabla1[[#This Row],[Aplicación]],14,6)</f>
        <v>22609</v>
      </c>
    </row>
    <row r="2719" spans="1:24" x14ac:dyDescent="0.25">
      <c r="A2719" s="62">
        <v>220230016864</v>
      </c>
      <c r="B2719" s="44" t="s">
        <v>507</v>
      </c>
      <c r="C2719" s="64">
        <v>45048</v>
      </c>
      <c r="D2719" s="62">
        <v>22023004320</v>
      </c>
      <c r="E2719" s="44" t="s">
        <v>1234</v>
      </c>
      <c r="F2719" s="65">
        <v>3630</v>
      </c>
      <c r="G2719" s="44" t="s">
        <v>2166</v>
      </c>
      <c r="H2719" s="44" t="s">
        <v>4352</v>
      </c>
      <c r="I2719" s="62" t="s">
        <v>511</v>
      </c>
      <c r="J2719" s="44" t="s">
        <v>519</v>
      </c>
      <c r="K2719" s="44" t="s">
        <v>519</v>
      </c>
      <c r="L2719" s="44" t="s">
        <v>520</v>
      </c>
      <c r="M2719" s="44" t="s">
        <v>976</v>
      </c>
      <c r="N2719" s="44" t="s">
        <v>839</v>
      </c>
      <c r="O2719" s="45" t="s">
        <v>383</v>
      </c>
      <c r="P2719" s="45" t="s">
        <v>3760</v>
      </c>
      <c r="Q2719" s="59" t="str">
        <f>MID(Tabla1[[#This Row],[Aplicación]],14,1)</f>
        <v>2</v>
      </c>
      <c r="R2719" s="35" t="s">
        <v>298</v>
      </c>
      <c r="S2719" s="59" t="str">
        <f>MID(Tabla1[[#This Row],[Aplicación]],6,2)</f>
        <v>10</v>
      </c>
      <c r="T2719" s="35" t="str">
        <f>VLOOKUP(Tabla1[[#This Row],[AREA]],Hoja1!A:B,2,FALSE)</f>
        <v>10. Servicios sociales y mediación comunitaria</v>
      </c>
      <c r="U2719" s="56" t="str">
        <f>MID(Tabla1[[#This Row],[Aplicación]],9,4)</f>
        <v>2316</v>
      </c>
      <c r="V2719" s="35" t="str">
        <f>VLOOKUP(Tabla1[[#This Row],[PROGRAMA]],Hoja1!A:B,2,FALSE)</f>
        <v>2316. Mediación comunitaria</v>
      </c>
      <c r="W2719" s="56" t="str">
        <f>MID(Tabla1[[#This Row],[Aplicación]],14,2)</f>
        <v>22</v>
      </c>
      <c r="X2719" s="56" t="str">
        <f>MID(Tabla1[[#This Row],[Aplicación]],14,6)</f>
        <v>22616</v>
      </c>
    </row>
    <row r="2720" spans="1:24" x14ac:dyDescent="0.25">
      <c r="A2720" s="62">
        <v>220230012977</v>
      </c>
      <c r="B2720" s="44" t="s">
        <v>507</v>
      </c>
      <c r="C2720" s="64">
        <v>45019</v>
      </c>
      <c r="D2720" s="62">
        <v>22023003700</v>
      </c>
      <c r="E2720" s="44" t="s">
        <v>2393</v>
      </c>
      <c r="F2720" s="65">
        <v>38</v>
      </c>
      <c r="G2720" s="44" t="s">
        <v>4353</v>
      </c>
      <c r="H2720" s="44" t="s">
        <v>4354</v>
      </c>
      <c r="I2720" s="62" t="s">
        <v>511</v>
      </c>
      <c r="J2720" s="44" t="s">
        <v>519</v>
      </c>
      <c r="K2720" s="44" t="s">
        <v>519</v>
      </c>
      <c r="L2720" s="44" t="s">
        <v>552</v>
      </c>
      <c r="M2720" s="44" t="s">
        <v>976</v>
      </c>
      <c r="N2720" s="44" t="s">
        <v>839</v>
      </c>
      <c r="O2720" s="45" t="s">
        <v>383</v>
      </c>
      <c r="P2720" s="45" t="s">
        <v>3760</v>
      </c>
      <c r="Q2720" s="59" t="str">
        <f>MID(Tabla1[[#This Row],[Aplicación]],14,1)</f>
        <v>2</v>
      </c>
      <c r="R2720" s="35" t="s">
        <v>298</v>
      </c>
      <c r="S2720" s="59" t="str">
        <f>MID(Tabla1[[#This Row],[Aplicación]],6,2)</f>
        <v>06</v>
      </c>
      <c r="T2720" s="35" t="str">
        <f>VLOOKUP(Tabla1[[#This Row],[AREA]],Hoja1!A:B,2,FALSE)</f>
        <v>06. Educación, infancia, juventud e igualdad</v>
      </c>
      <c r="U2720" s="56" t="str">
        <f>MID(Tabla1[[#This Row],[Aplicación]],9,4)</f>
        <v>3321</v>
      </c>
      <c r="V2720" s="35" t="str">
        <f>VLOOKUP(Tabla1[[#This Row],[PROGRAMA]],Hoja1!A:B,2,FALSE)</f>
        <v>3321. Bibliotecas públicas</v>
      </c>
      <c r="W2720" s="56" t="str">
        <f>MID(Tabla1[[#This Row],[Aplicación]],14,2)</f>
        <v>22</v>
      </c>
      <c r="X2720" s="56" t="str">
        <f>MID(Tabla1[[#This Row],[Aplicación]],14,6)</f>
        <v>22699</v>
      </c>
    </row>
    <row r="2721" spans="1:24" x14ac:dyDescent="0.25">
      <c r="A2721" s="62">
        <v>220230020805</v>
      </c>
      <c r="B2721" s="44" t="s">
        <v>507</v>
      </c>
      <c r="C2721" s="64">
        <v>45062</v>
      </c>
      <c r="D2721" s="62">
        <v>22023004496</v>
      </c>
      <c r="E2721" s="44" t="s">
        <v>1120</v>
      </c>
      <c r="F2721" s="65">
        <v>3391.98</v>
      </c>
      <c r="G2721" s="44" t="s">
        <v>587</v>
      </c>
      <c r="H2721" s="44" t="s">
        <v>4290</v>
      </c>
      <c r="I2721" s="62" t="s">
        <v>511</v>
      </c>
      <c r="J2721" s="44" t="s">
        <v>589</v>
      </c>
      <c r="K2721" s="44" t="s">
        <v>590</v>
      </c>
      <c r="L2721" s="44" t="s">
        <v>552</v>
      </c>
      <c r="M2721" s="44" t="s">
        <v>514</v>
      </c>
      <c r="N2721" s="44" t="s">
        <v>515</v>
      </c>
      <c r="O2721" s="45" t="s">
        <v>371</v>
      </c>
      <c r="P2721" s="45" t="s">
        <v>3760</v>
      </c>
      <c r="Q2721" s="59" t="str">
        <f>MID(Tabla1[[#This Row],[Aplicación]],14,1)</f>
        <v>2</v>
      </c>
      <c r="R2721" s="35" t="s">
        <v>298</v>
      </c>
      <c r="S2721" s="59" t="str">
        <f>MID(Tabla1[[#This Row],[Aplicación]],6,2)</f>
        <v>10</v>
      </c>
      <c r="T2721" s="35" t="str">
        <f>VLOOKUP(Tabla1[[#This Row],[AREA]],Hoja1!A:B,2,FALSE)</f>
        <v>10. Servicios sociales y mediación comunitaria</v>
      </c>
      <c r="U2721" s="56" t="str">
        <f>MID(Tabla1[[#This Row],[Aplicación]],9,4)</f>
        <v>2412</v>
      </c>
      <c r="V2721" s="35" t="str">
        <f>VLOOKUP(Tabla1[[#This Row],[PROGRAMA]],Hoja1!A:B,2,FALSE)</f>
        <v>2412. Formación para el empleo</v>
      </c>
      <c r="W2721" s="56" t="str">
        <f>MID(Tabla1[[#This Row],[Aplicación]],14,2)</f>
        <v>22</v>
      </c>
      <c r="X2721" s="56" t="str">
        <f>MID(Tabla1[[#This Row],[Aplicación]],14,6)</f>
        <v>22100</v>
      </c>
    </row>
    <row r="2722" spans="1:24" x14ac:dyDescent="0.25">
      <c r="A2722" s="62">
        <v>220230020805</v>
      </c>
      <c r="B2722" s="44" t="s">
        <v>507</v>
      </c>
      <c r="C2722" s="64">
        <v>45062</v>
      </c>
      <c r="D2722" s="62">
        <v>22023004495</v>
      </c>
      <c r="E2722" s="44" t="s">
        <v>1120</v>
      </c>
      <c r="F2722" s="65">
        <v>2384.9899999999998</v>
      </c>
      <c r="G2722" s="44" t="s">
        <v>587</v>
      </c>
      <c r="H2722" s="44" t="s">
        <v>4290</v>
      </c>
      <c r="I2722" s="62" t="s">
        <v>511</v>
      </c>
      <c r="J2722" s="44" t="s">
        <v>589</v>
      </c>
      <c r="K2722" s="44" t="s">
        <v>590</v>
      </c>
      <c r="L2722" s="44" t="s">
        <v>552</v>
      </c>
      <c r="M2722" s="44" t="s">
        <v>514</v>
      </c>
      <c r="N2722" s="44" t="s">
        <v>515</v>
      </c>
      <c r="O2722" s="45" t="s">
        <v>371</v>
      </c>
      <c r="P2722" s="45" t="s">
        <v>3760</v>
      </c>
      <c r="Q2722" s="59" t="str">
        <f>MID(Tabla1[[#This Row],[Aplicación]],14,1)</f>
        <v>2</v>
      </c>
      <c r="R2722" s="35" t="s">
        <v>298</v>
      </c>
      <c r="S2722" s="59" t="str">
        <f>MID(Tabla1[[#This Row],[Aplicación]],6,2)</f>
        <v>10</v>
      </c>
      <c r="T2722" s="35" t="str">
        <f>VLOOKUP(Tabla1[[#This Row],[AREA]],Hoja1!A:B,2,FALSE)</f>
        <v>10. Servicios sociales y mediación comunitaria</v>
      </c>
      <c r="U2722" s="56" t="str">
        <f>MID(Tabla1[[#This Row],[Aplicación]],9,4)</f>
        <v>2412</v>
      </c>
      <c r="V2722" s="35" t="str">
        <f>VLOOKUP(Tabla1[[#This Row],[PROGRAMA]],Hoja1!A:B,2,FALSE)</f>
        <v>2412. Formación para el empleo</v>
      </c>
      <c r="W2722" s="56" t="str">
        <f>MID(Tabla1[[#This Row],[Aplicación]],14,2)</f>
        <v>22</v>
      </c>
      <c r="X2722" s="56" t="str">
        <f>MID(Tabla1[[#This Row],[Aplicación]],14,6)</f>
        <v>22100</v>
      </c>
    </row>
    <row r="2723" spans="1:24" x14ac:dyDescent="0.25">
      <c r="A2723" s="62">
        <v>220230020806</v>
      </c>
      <c r="B2723" s="44" t="s">
        <v>1337</v>
      </c>
      <c r="C2723" s="64">
        <v>45062</v>
      </c>
      <c r="D2723" s="62">
        <v>22023000595</v>
      </c>
      <c r="E2723" s="44" t="s">
        <v>1120</v>
      </c>
      <c r="F2723" s="65">
        <v>-11129.95</v>
      </c>
      <c r="G2723" s="44" t="s">
        <v>587</v>
      </c>
      <c r="H2723" s="44" t="s">
        <v>1121</v>
      </c>
      <c r="I2723" s="62" t="s">
        <v>511</v>
      </c>
      <c r="J2723" s="44" t="s">
        <v>589</v>
      </c>
      <c r="K2723" s="44" t="s">
        <v>590</v>
      </c>
      <c r="L2723" s="44" t="s">
        <v>552</v>
      </c>
      <c r="M2723" s="44" t="s">
        <v>514</v>
      </c>
      <c r="N2723" s="44" t="s">
        <v>515</v>
      </c>
      <c r="O2723" s="45" t="s">
        <v>371</v>
      </c>
      <c r="P2723" s="45" t="s">
        <v>3760</v>
      </c>
      <c r="Q2723" s="59" t="str">
        <f>MID(Tabla1[[#This Row],[Aplicación]],14,1)</f>
        <v>2</v>
      </c>
      <c r="R2723" s="35" t="s">
        <v>298</v>
      </c>
      <c r="S2723" s="59" t="str">
        <f>MID(Tabla1[[#This Row],[Aplicación]],6,2)</f>
        <v>10</v>
      </c>
      <c r="T2723" s="35" t="str">
        <f>VLOOKUP(Tabla1[[#This Row],[AREA]],Hoja1!A:B,2,FALSE)</f>
        <v>10. Servicios sociales y mediación comunitaria</v>
      </c>
      <c r="U2723" s="56" t="str">
        <f>MID(Tabla1[[#This Row],[Aplicación]],9,4)</f>
        <v>2412</v>
      </c>
      <c r="V2723" s="35" t="str">
        <f>VLOOKUP(Tabla1[[#This Row],[PROGRAMA]],Hoja1!A:B,2,FALSE)</f>
        <v>2412. Formación para el empleo</v>
      </c>
      <c r="W2723" s="56" t="str">
        <f>MID(Tabla1[[#This Row],[Aplicación]],14,2)</f>
        <v>22</v>
      </c>
      <c r="X2723" s="56" t="str">
        <f>MID(Tabla1[[#This Row],[Aplicación]],14,6)</f>
        <v>22100</v>
      </c>
    </row>
    <row r="2724" spans="1:24" x14ac:dyDescent="0.25">
      <c r="A2724" s="62">
        <v>220230026515</v>
      </c>
      <c r="B2724" s="44" t="s">
        <v>1514</v>
      </c>
      <c r="C2724" s="64">
        <v>45077</v>
      </c>
      <c r="D2724" s="62">
        <v>22023004052</v>
      </c>
      <c r="E2724" s="44" t="s">
        <v>1290</v>
      </c>
      <c r="F2724" s="65">
        <v>1313.85</v>
      </c>
      <c r="G2724" s="44" t="s">
        <v>1825</v>
      </c>
      <c r="H2724" s="44" t="s">
        <v>4355</v>
      </c>
      <c r="I2724" s="62" t="s">
        <v>1517</v>
      </c>
      <c r="J2724" s="44" t="s">
        <v>519</v>
      </c>
      <c r="K2724" s="44" t="s">
        <v>519</v>
      </c>
      <c r="L2724" s="44" t="s">
        <v>552</v>
      </c>
      <c r="M2724" s="44" t="s">
        <v>514</v>
      </c>
      <c r="N2724" s="44" t="s">
        <v>515</v>
      </c>
      <c r="O2724" s="45" t="s">
        <v>382</v>
      </c>
      <c r="P2724" s="45" t="s">
        <v>3760</v>
      </c>
      <c r="Q2724" s="59" t="str">
        <f>MID(Tabla1[[#This Row],[Aplicación]],14,1)</f>
        <v>2</v>
      </c>
      <c r="R2724" s="35" t="s">
        <v>298</v>
      </c>
      <c r="S2724" s="59" t="str">
        <f>MID(Tabla1[[#This Row],[Aplicación]],6,2)</f>
        <v>11</v>
      </c>
      <c r="T2724" s="35" t="str">
        <f>VLOOKUP(Tabla1[[#This Row],[AREA]],Hoja1!A:B,2,FALSE)</f>
        <v>11. Salud pública y seguridad ciudadana</v>
      </c>
      <c r="U2724" s="56" t="str">
        <f>MID(Tabla1[[#This Row],[Aplicación]],9,4)</f>
        <v>1621</v>
      </c>
      <c r="V2724" s="35" t="str">
        <f>VLOOKUP(Tabla1[[#This Row],[PROGRAMA]],Hoja1!A:B,2,FALSE)</f>
        <v>1621. Servicio de limpieza</v>
      </c>
      <c r="W2724" s="56" t="str">
        <f>MID(Tabla1[[#This Row],[Aplicación]],14,2)</f>
        <v>21</v>
      </c>
      <c r="X2724" s="56" t="str">
        <f>MID(Tabla1[[#This Row],[Aplicación]],14,6)</f>
        <v>214</v>
      </c>
    </row>
    <row r="2725" spans="1:24" x14ac:dyDescent="0.25">
      <c r="A2725" s="62">
        <v>220230020779</v>
      </c>
      <c r="B2725" s="44" t="s">
        <v>507</v>
      </c>
      <c r="C2725" s="64">
        <v>45062</v>
      </c>
      <c r="D2725" s="62">
        <v>22023004047</v>
      </c>
      <c r="E2725" s="44" t="s">
        <v>2693</v>
      </c>
      <c r="F2725" s="65">
        <v>3176.25</v>
      </c>
      <c r="G2725" s="44" t="s">
        <v>4356</v>
      </c>
      <c r="H2725" s="44" t="s">
        <v>4357</v>
      </c>
      <c r="I2725" s="62" t="s">
        <v>511</v>
      </c>
      <c r="J2725" s="44" t="s">
        <v>4358</v>
      </c>
      <c r="K2725" s="44" t="s">
        <v>2909</v>
      </c>
      <c r="L2725" s="44" t="s">
        <v>552</v>
      </c>
      <c r="M2725" s="44" t="s">
        <v>514</v>
      </c>
      <c r="N2725" s="44" t="s">
        <v>515</v>
      </c>
      <c r="O2725" s="45" t="s">
        <v>371</v>
      </c>
      <c r="P2725" s="45" t="s">
        <v>3760</v>
      </c>
      <c r="Q2725" s="59" t="str">
        <f>MID(Tabla1[[#This Row],[Aplicación]],14,1)</f>
        <v>2</v>
      </c>
      <c r="R2725" s="35" t="s">
        <v>298</v>
      </c>
      <c r="S2725" s="59" t="str">
        <f>MID(Tabla1[[#This Row],[Aplicación]],6,2)</f>
        <v>11</v>
      </c>
      <c r="T2725" s="35" t="str">
        <f>VLOOKUP(Tabla1[[#This Row],[AREA]],Hoja1!A:B,2,FALSE)</f>
        <v>11. Salud pública y seguridad ciudadana</v>
      </c>
      <c r="U2725" s="56" t="str">
        <f>MID(Tabla1[[#This Row],[Aplicación]],9,4)</f>
        <v>1631</v>
      </c>
      <c r="V2725" s="35" t="str">
        <f>VLOOKUP(Tabla1[[#This Row],[PROGRAMA]],Hoja1!A:B,2,FALSE)</f>
        <v>1631. Limpieza viaria</v>
      </c>
      <c r="W2725" s="56" t="str">
        <f>MID(Tabla1[[#This Row],[Aplicación]],14,2)</f>
        <v>22</v>
      </c>
      <c r="X2725" s="56" t="str">
        <f>MID(Tabla1[[#This Row],[Aplicación]],14,6)</f>
        <v>22110</v>
      </c>
    </row>
    <row r="2726" spans="1:24" x14ac:dyDescent="0.25">
      <c r="A2726" s="62">
        <v>220230012974</v>
      </c>
      <c r="B2726" s="44" t="s">
        <v>507</v>
      </c>
      <c r="C2726" s="64">
        <v>45019</v>
      </c>
      <c r="D2726" s="62">
        <v>22023003682</v>
      </c>
      <c r="E2726" s="44" t="s">
        <v>736</v>
      </c>
      <c r="F2726" s="65">
        <v>550</v>
      </c>
      <c r="G2726" s="44" t="s">
        <v>447</v>
      </c>
      <c r="H2726" s="44" t="s">
        <v>4359</v>
      </c>
      <c r="I2726" s="62" t="s">
        <v>511</v>
      </c>
      <c r="J2726" s="44" t="s">
        <v>2178</v>
      </c>
      <c r="K2726" s="44" t="s">
        <v>519</v>
      </c>
      <c r="L2726" s="44" t="s">
        <v>520</v>
      </c>
      <c r="M2726" s="44" t="s">
        <v>976</v>
      </c>
      <c r="N2726" s="44" t="s">
        <v>839</v>
      </c>
      <c r="O2726" s="45" t="s">
        <v>383</v>
      </c>
      <c r="P2726" s="45" t="s">
        <v>3760</v>
      </c>
      <c r="Q2726" s="59" t="str">
        <f>MID(Tabla1[[#This Row],[Aplicación]],14,1)</f>
        <v>2</v>
      </c>
      <c r="R2726" s="35" t="s">
        <v>298</v>
      </c>
      <c r="S2726" s="59" t="str">
        <f>MID(Tabla1[[#This Row],[Aplicación]],6,2)</f>
        <v>06</v>
      </c>
      <c r="T2726" s="35" t="str">
        <f>VLOOKUP(Tabla1[[#This Row],[AREA]],Hoja1!A:B,2,FALSE)</f>
        <v>06. Educación, infancia, juventud e igualdad</v>
      </c>
      <c r="U2726" s="56" t="str">
        <f>MID(Tabla1[[#This Row],[Aplicación]],9,4)</f>
        <v>3261</v>
      </c>
      <c r="V2726" s="35" t="str">
        <f>VLOOKUP(Tabla1[[#This Row],[PROGRAMA]],Hoja1!A:B,2,FALSE)</f>
        <v>3261. Servicios complementarios de educación</v>
      </c>
      <c r="W2726" s="56" t="str">
        <f>MID(Tabla1[[#This Row],[Aplicación]],14,2)</f>
        <v>22</v>
      </c>
      <c r="X2726" s="56" t="str">
        <f>MID(Tabla1[[#This Row],[Aplicación]],14,6)</f>
        <v>22799</v>
      </c>
    </row>
    <row r="2727" spans="1:24" x14ac:dyDescent="0.25">
      <c r="A2727" s="62">
        <v>220230020534</v>
      </c>
      <c r="B2727" s="44" t="s">
        <v>507</v>
      </c>
      <c r="C2727" s="64">
        <v>45058</v>
      </c>
      <c r="D2727" s="62">
        <v>22023004380</v>
      </c>
      <c r="E2727" s="44" t="s">
        <v>618</v>
      </c>
      <c r="F2727" s="65">
        <v>1319.64</v>
      </c>
      <c r="G2727" s="44" t="s">
        <v>1621</v>
      </c>
      <c r="H2727" s="44" t="s">
        <v>4360</v>
      </c>
      <c r="I2727" s="62" t="s">
        <v>511</v>
      </c>
      <c r="J2727" s="44" t="s">
        <v>1623</v>
      </c>
      <c r="K2727" s="44" t="s">
        <v>1624</v>
      </c>
      <c r="L2727" s="44" t="s">
        <v>520</v>
      </c>
      <c r="M2727" s="44" t="s">
        <v>976</v>
      </c>
      <c r="N2727" s="44" t="s">
        <v>839</v>
      </c>
      <c r="O2727" s="45" t="s">
        <v>383</v>
      </c>
      <c r="P2727" s="45" t="s">
        <v>3760</v>
      </c>
      <c r="Q2727" s="59" t="str">
        <f>MID(Tabla1[[#This Row],[Aplicación]],14,1)</f>
        <v>2</v>
      </c>
      <c r="R2727" s="35" t="s">
        <v>298</v>
      </c>
      <c r="S2727" s="59" t="str">
        <f>MID(Tabla1[[#This Row],[Aplicación]],6,2)</f>
        <v>10</v>
      </c>
      <c r="T2727" s="35" t="str">
        <f>VLOOKUP(Tabla1[[#This Row],[AREA]],Hoja1!A:B,2,FALSE)</f>
        <v>10. Servicios sociales y mediación comunitaria</v>
      </c>
      <c r="U2727" s="56" t="str">
        <f>MID(Tabla1[[#This Row],[Aplicación]],9,4)</f>
        <v>2311</v>
      </c>
      <c r="V2727" s="35" t="str">
        <f>VLOOKUP(Tabla1[[#This Row],[PROGRAMA]],Hoja1!A:B,2,FALSE)</f>
        <v>2311. Intervención social</v>
      </c>
      <c r="W2727" s="56" t="str">
        <f>MID(Tabla1[[#This Row],[Aplicación]],14,2)</f>
        <v>21</v>
      </c>
      <c r="X2727" s="56" t="str">
        <f>MID(Tabla1[[#This Row],[Aplicación]],14,6)</f>
        <v>213</v>
      </c>
    </row>
    <row r="2728" spans="1:24" x14ac:dyDescent="0.25">
      <c r="A2728" s="62">
        <v>220230017054</v>
      </c>
      <c r="B2728" s="44" t="s">
        <v>507</v>
      </c>
      <c r="C2728" s="64">
        <v>45048</v>
      </c>
      <c r="D2728" s="62">
        <v>22023004286</v>
      </c>
      <c r="E2728" s="44" t="s">
        <v>613</v>
      </c>
      <c r="F2728" s="65">
        <v>588.57000000000005</v>
      </c>
      <c r="G2728" s="44" t="s">
        <v>1621</v>
      </c>
      <c r="H2728" s="44" t="s">
        <v>4361</v>
      </c>
      <c r="I2728" s="62" t="s">
        <v>511</v>
      </c>
      <c r="J2728" s="44" t="s">
        <v>1623</v>
      </c>
      <c r="K2728" s="44" t="s">
        <v>1624</v>
      </c>
      <c r="L2728" s="44" t="s">
        <v>552</v>
      </c>
      <c r="M2728" s="44" t="s">
        <v>976</v>
      </c>
      <c r="N2728" s="44" t="s">
        <v>839</v>
      </c>
      <c r="O2728" s="45" t="s">
        <v>383</v>
      </c>
      <c r="P2728" s="45" t="s">
        <v>3760</v>
      </c>
      <c r="Q2728" s="59" t="str">
        <f>MID(Tabla1[[#This Row],[Aplicación]],14,1)</f>
        <v>2</v>
      </c>
      <c r="R2728" s="35" t="s">
        <v>298</v>
      </c>
      <c r="S2728" s="59" t="str">
        <f>MID(Tabla1[[#This Row],[Aplicación]],6,2)</f>
        <v>10</v>
      </c>
      <c r="T2728" s="35" t="str">
        <f>VLOOKUP(Tabla1[[#This Row],[AREA]],Hoja1!A:B,2,FALSE)</f>
        <v>10. Servicios sociales y mediación comunitaria</v>
      </c>
      <c r="U2728" s="56" t="str">
        <f>MID(Tabla1[[#This Row],[Aplicación]],9,4)</f>
        <v>2312</v>
      </c>
      <c r="V2728" s="35" t="str">
        <f>VLOOKUP(Tabla1[[#This Row],[PROGRAMA]],Hoja1!A:B,2,FALSE)</f>
        <v>2312. Iniciativas sociales</v>
      </c>
      <c r="W2728" s="56" t="str">
        <f>MID(Tabla1[[#This Row],[Aplicación]],14,2)</f>
        <v>21</v>
      </c>
      <c r="X2728" s="56" t="str">
        <f>MID(Tabla1[[#This Row],[Aplicación]],14,6)</f>
        <v>213</v>
      </c>
    </row>
    <row r="2729" spans="1:24" x14ac:dyDescent="0.25">
      <c r="A2729" s="62">
        <v>220230020534</v>
      </c>
      <c r="B2729" s="44" t="s">
        <v>507</v>
      </c>
      <c r="C2729" s="64">
        <v>45058</v>
      </c>
      <c r="D2729" s="62">
        <v>22023004379</v>
      </c>
      <c r="E2729" s="44" t="s">
        <v>618</v>
      </c>
      <c r="F2729" s="65">
        <v>177.08</v>
      </c>
      <c r="G2729" s="44" t="s">
        <v>1621</v>
      </c>
      <c r="H2729" s="44" t="s">
        <v>4360</v>
      </c>
      <c r="I2729" s="62" t="s">
        <v>511</v>
      </c>
      <c r="J2729" s="44" t="s">
        <v>1623</v>
      </c>
      <c r="K2729" s="44" t="s">
        <v>1624</v>
      </c>
      <c r="L2729" s="44" t="s">
        <v>520</v>
      </c>
      <c r="M2729" s="44" t="s">
        <v>976</v>
      </c>
      <c r="N2729" s="44" t="s">
        <v>839</v>
      </c>
      <c r="O2729" s="45" t="s">
        <v>383</v>
      </c>
      <c r="P2729" s="45" t="s">
        <v>3760</v>
      </c>
      <c r="Q2729" s="59" t="str">
        <f>MID(Tabla1[[#This Row],[Aplicación]],14,1)</f>
        <v>2</v>
      </c>
      <c r="R2729" s="35" t="s">
        <v>298</v>
      </c>
      <c r="S2729" s="59" t="str">
        <f>MID(Tabla1[[#This Row],[Aplicación]],6,2)</f>
        <v>10</v>
      </c>
      <c r="T2729" s="35" t="str">
        <f>VLOOKUP(Tabla1[[#This Row],[AREA]],Hoja1!A:B,2,FALSE)</f>
        <v>10. Servicios sociales y mediación comunitaria</v>
      </c>
      <c r="U2729" s="56" t="str">
        <f>MID(Tabla1[[#This Row],[Aplicación]],9,4)</f>
        <v>2311</v>
      </c>
      <c r="V2729" s="35" t="str">
        <f>VLOOKUP(Tabla1[[#This Row],[PROGRAMA]],Hoja1!A:B,2,FALSE)</f>
        <v>2311. Intervención social</v>
      </c>
      <c r="W2729" s="56" t="str">
        <f>MID(Tabla1[[#This Row],[Aplicación]],14,2)</f>
        <v>21</v>
      </c>
      <c r="X2729" s="56" t="str">
        <f>MID(Tabla1[[#This Row],[Aplicación]],14,6)</f>
        <v>213</v>
      </c>
    </row>
    <row r="2730" spans="1:24" x14ac:dyDescent="0.25">
      <c r="A2730" s="62">
        <v>220230025402</v>
      </c>
      <c r="B2730" s="44" t="s">
        <v>507</v>
      </c>
      <c r="C2730" s="64">
        <v>45072</v>
      </c>
      <c r="D2730" s="62">
        <v>22023004672</v>
      </c>
      <c r="E2730" s="44" t="s">
        <v>616</v>
      </c>
      <c r="F2730" s="65">
        <v>161.72</v>
      </c>
      <c r="G2730" s="44" t="s">
        <v>1621</v>
      </c>
      <c r="H2730" s="44" t="s">
        <v>4362</v>
      </c>
      <c r="I2730" s="62" t="s">
        <v>511</v>
      </c>
      <c r="J2730" s="44" t="s">
        <v>1623</v>
      </c>
      <c r="K2730" s="44" t="s">
        <v>1624</v>
      </c>
      <c r="L2730" s="44" t="s">
        <v>552</v>
      </c>
      <c r="M2730" s="44" t="s">
        <v>976</v>
      </c>
      <c r="N2730" s="44" t="s">
        <v>839</v>
      </c>
      <c r="O2730" s="45" t="s">
        <v>383</v>
      </c>
      <c r="P2730" s="45" t="s">
        <v>3760</v>
      </c>
      <c r="Q2730" s="59" t="str">
        <f>MID(Tabla1[[#This Row],[Aplicación]],14,1)</f>
        <v>2</v>
      </c>
      <c r="R2730" s="35" t="s">
        <v>298</v>
      </c>
      <c r="S2730" s="59" t="str">
        <f>MID(Tabla1[[#This Row],[Aplicación]],6,2)</f>
        <v>10</v>
      </c>
      <c r="T2730" s="35" t="str">
        <f>VLOOKUP(Tabla1[[#This Row],[AREA]],Hoja1!A:B,2,FALSE)</f>
        <v>10. Servicios sociales y mediación comunitaria</v>
      </c>
      <c r="U2730" s="56" t="str">
        <f>MID(Tabla1[[#This Row],[Aplicación]],9,4)</f>
        <v>2412</v>
      </c>
      <c r="V2730" s="35" t="str">
        <f>VLOOKUP(Tabla1[[#This Row],[PROGRAMA]],Hoja1!A:B,2,FALSE)</f>
        <v>2412. Formación para el empleo</v>
      </c>
      <c r="W2730" s="56" t="str">
        <f>MID(Tabla1[[#This Row],[Aplicación]],14,2)</f>
        <v>21</v>
      </c>
      <c r="X2730" s="56" t="str">
        <f>MID(Tabla1[[#This Row],[Aplicación]],14,6)</f>
        <v>213</v>
      </c>
    </row>
    <row r="2731" spans="1:24" x14ac:dyDescent="0.25">
      <c r="A2731" s="62">
        <v>220230017405</v>
      </c>
      <c r="B2731" s="44" t="s">
        <v>1514</v>
      </c>
      <c r="C2731" s="64">
        <v>45049</v>
      </c>
      <c r="D2731" s="62">
        <v>22023002598</v>
      </c>
      <c r="E2731" s="44" t="s">
        <v>591</v>
      </c>
      <c r="F2731" s="65">
        <v>44.77</v>
      </c>
      <c r="G2731" s="44" t="s">
        <v>2436</v>
      </c>
      <c r="H2731" s="44" t="s">
        <v>4363</v>
      </c>
      <c r="I2731" s="62" t="s">
        <v>1517</v>
      </c>
      <c r="J2731" s="44" t="s">
        <v>2438</v>
      </c>
      <c r="K2731" s="44" t="s">
        <v>1359</v>
      </c>
      <c r="L2731" s="44" t="s">
        <v>552</v>
      </c>
      <c r="M2731" s="44" t="s">
        <v>514</v>
      </c>
      <c r="N2731" s="44" t="s">
        <v>515</v>
      </c>
      <c r="O2731" s="45" t="s">
        <v>382</v>
      </c>
      <c r="P2731" s="45" t="s">
        <v>3760</v>
      </c>
      <c r="Q2731" s="59" t="str">
        <f>MID(Tabla1[[#This Row],[Aplicación]],14,1)</f>
        <v>2</v>
      </c>
      <c r="R2731" s="35" t="s">
        <v>298</v>
      </c>
      <c r="S2731" s="59" t="str">
        <f>MID(Tabla1[[#This Row],[Aplicación]],6,2)</f>
        <v>04</v>
      </c>
      <c r="T2731" s="35" t="str">
        <f>VLOOKUP(Tabla1[[#This Row],[AREA]],Hoja1!A:B,2,FALSE)</f>
        <v>04. Planificación y recursos</v>
      </c>
      <c r="U2731" s="56" t="str">
        <f>MID(Tabla1[[#This Row],[Aplicación]],9,4)</f>
        <v>9204</v>
      </c>
      <c r="V2731" s="35" t="str">
        <f>VLOOKUP(Tabla1[[#This Row],[PROGRAMA]],Hoja1!A:B,2,FALSE)</f>
        <v>9204. Tecnologías de la información y comunicación</v>
      </c>
      <c r="W2731" s="56" t="str">
        <f>MID(Tabla1[[#This Row],[Aplicación]],14,2)</f>
        <v>21</v>
      </c>
      <c r="X2731" s="56" t="str">
        <f>MID(Tabla1[[#This Row],[Aplicación]],14,6)</f>
        <v>213</v>
      </c>
    </row>
    <row r="2732" spans="1:24" x14ac:dyDescent="0.25">
      <c r="A2732" s="62">
        <v>220230026277</v>
      </c>
      <c r="B2732" s="44" t="s">
        <v>1514</v>
      </c>
      <c r="C2732" s="64">
        <v>45077</v>
      </c>
      <c r="D2732" s="62">
        <v>22023004056</v>
      </c>
      <c r="E2732" s="44" t="s">
        <v>2624</v>
      </c>
      <c r="F2732" s="65">
        <v>277.66000000000003</v>
      </c>
      <c r="G2732" s="44" t="s">
        <v>1351</v>
      </c>
      <c r="H2732" s="44" t="s">
        <v>4364</v>
      </c>
      <c r="I2732" s="62" t="s">
        <v>1517</v>
      </c>
      <c r="J2732" s="44" t="s">
        <v>519</v>
      </c>
      <c r="K2732" s="44" t="s">
        <v>519</v>
      </c>
      <c r="L2732" s="44" t="s">
        <v>552</v>
      </c>
      <c r="M2732" s="44" t="s">
        <v>514</v>
      </c>
      <c r="N2732" s="44" t="s">
        <v>515</v>
      </c>
      <c r="O2732" s="45" t="s">
        <v>382</v>
      </c>
      <c r="P2732" s="45" t="s">
        <v>3760</v>
      </c>
      <c r="Q2732" s="59" t="str">
        <f>MID(Tabla1[[#This Row],[Aplicación]],14,1)</f>
        <v>2</v>
      </c>
      <c r="R2732" s="35" t="s">
        <v>298</v>
      </c>
      <c r="S2732" s="59" t="str">
        <f>MID(Tabla1[[#This Row],[Aplicación]],6,2)</f>
        <v>11</v>
      </c>
      <c r="T2732" s="35" t="str">
        <f>VLOOKUP(Tabla1[[#This Row],[AREA]],Hoja1!A:B,2,FALSE)</f>
        <v>11. Salud pública y seguridad ciudadana</v>
      </c>
      <c r="U2732" s="56" t="str">
        <f>MID(Tabla1[[#This Row],[Aplicación]],9,4)</f>
        <v>1621</v>
      </c>
      <c r="V2732" s="35" t="str">
        <f>VLOOKUP(Tabla1[[#This Row],[PROGRAMA]],Hoja1!A:B,2,FALSE)</f>
        <v>1621. Servicio de limpieza</v>
      </c>
      <c r="W2732" s="56" t="str">
        <f>MID(Tabla1[[#This Row],[Aplicación]],14,2)</f>
        <v>22</v>
      </c>
      <c r="X2732" s="56" t="str">
        <f>MID(Tabla1[[#This Row],[Aplicación]],14,6)</f>
        <v>22199</v>
      </c>
    </row>
    <row r="2733" spans="1:24" x14ac:dyDescent="0.25">
      <c r="A2733" s="62">
        <v>220230020233</v>
      </c>
      <c r="B2733" s="44" t="s">
        <v>1514</v>
      </c>
      <c r="C2733" s="64">
        <v>45057</v>
      </c>
      <c r="D2733" s="62">
        <v>22023002013</v>
      </c>
      <c r="E2733" s="44" t="s">
        <v>4365</v>
      </c>
      <c r="F2733" s="65">
        <v>1500</v>
      </c>
      <c r="G2733" s="44" t="s">
        <v>442</v>
      </c>
      <c r="H2733" s="44" t="s">
        <v>4366</v>
      </c>
      <c r="I2733" s="62" t="s">
        <v>1517</v>
      </c>
      <c r="J2733" s="44" t="s">
        <v>1449</v>
      </c>
      <c r="K2733" s="44" t="s">
        <v>512</v>
      </c>
      <c r="L2733" s="44" t="s">
        <v>552</v>
      </c>
      <c r="M2733" s="44" t="s">
        <v>514</v>
      </c>
      <c r="N2733" s="44" t="s">
        <v>515</v>
      </c>
      <c r="O2733" s="45" t="s">
        <v>382</v>
      </c>
      <c r="P2733" s="45" t="s">
        <v>3760</v>
      </c>
      <c r="Q2733" s="59">
        <v>6</v>
      </c>
      <c r="R2733" s="35" t="s">
        <v>299</v>
      </c>
      <c r="S2733" s="59" t="str">
        <f>MID(Tabla1[[#This Row],[Aplicación]],6,2)</f>
        <v>06</v>
      </c>
      <c r="T2733" s="35" t="str">
        <f>VLOOKUP(Tabla1[[#This Row],[AREA]],Hoja1!A:B,2,FALSE)</f>
        <v>06. Educación, infancia, juventud e igualdad</v>
      </c>
      <c r="U2733" s="56" t="str">
        <f>MID(Tabla1[[#This Row],[Aplicación]],9,4)</f>
        <v>0 33</v>
      </c>
      <c r="V2733" s="59">
        <v>3321</v>
      </c>
      <c r="W2733" s="59">
        <v>62</v>
      </c>
      <c r="X2733" s="59">
        <v>629</v>
      </c>
    </row>
    <row r="2734" spans="1:24" x14ac:dyDescent="0.25">
      <c r="A2734" s="62">
        <v>220230022002</v>
      </c>
      <c r="B2734" s="44" t="s">
        <v>1514</v>
      </c>
      <c r="C2734" s="64">
        <v>45064</v>
      </c>
      <c r="D2734" s="62">
        <v>22023002013</v>
      </c>
      <c r="E2734" s="44" t="s">
        <v>4365</v>
      </c>
      <c r="F2734" s="65">
        <v>1500</v>
      </c>
      <c r="G2734" s="44" t="s">
        <v>4367</v>
      </c>
      <c r="H2734" s="44" t="s">
        <v>4368</v>
      </c>
      <c r="I2734" s="62" t="s">
        <v>1517</v>
      </c>
      <c r="J2734" s="44" t="s">
        <v>519</v>
      </c>
      <c r="K2734" s="44" t="s">
        <v>519</v>
      </c>
      <c r="L2734" s="44" t="s">
        <v>552</v>
      </c>
      <c r="M2734" s="44" t="s">
        <v>514</v>
      </c>
      <c r="N2734" s="44" t="s">
        <v>515</v>
      </c>
      <c r="O2734" s="45" t="s">
        <v>382</v>
      </c>
      <c r="P2734" s="45" t="s">
        <v>3760</v>
      </c>
      <c r="Q2734" s="59">
        <v>6</v>
      </c>
      <c r="R2734" s="35" t="s">
        <v>299</v>
      </c>
      <c r="S2734" s="59" t="str">
        <f>MID(Tabla1[[#This Row],[Aplicación]],6,2)</f>
        <v>06</v>
      </c>
      <c r="T2734" s="35" t="str">
        <f>VLOOKUP(Tabla1[[#This Row],[AREA]],Hoja1!A:B,2,FALSE)</f>
        <v>06. Educación, infancia, juventud e igualdad</v>
      </c>
      <c r="U2734" s="56" t="str">
        <f>MID(Tabla1[[#This Row],[Aplicación]],9,4)</f>
        <v>0 33</v>
      </c>
      <c r="V2734" s="59">
        <v>3321</v>
      </c>
      <c r="W2734" s="59">
        <v>62</v>
      </c>
      <c r="X2734" s="59">
        <v>629</v>
      </c>
    </row>
    <row r="2735" spans="1:24" x14ac:dyDescent="0.25">
      <c r="A2735" s="62">
        <v>220230022004</v>
      </c>
      <c r="B2735" s="44" t="s">
        <v>1514</v>
      </c>
      <c r="C2735" s="64">
        <v>45064</v>
      </c>
      <c r="D2735" s="62">
        <v>22023002013</v>
      </c>
      <c r="E2735" s="44" t="s">
        <v>4365</v>
      </c>
      <c r="F2735" s="65">
        <v>1500</v>
      </c>
      <c r="G2735" s="44" t="s">
        <v>4367</v>
      </c>
      <c r="H2735" s="44" t="s">
        <v>4369</v>
      </c>
      <c r="I2735" s="62" t="s">
        <v>1517</v>
      </c>
      <c r="J2735" s="44" t="s">
        <v>519</v>
      </c>
      <c r="K2735" s="44" t="s">
        <v>519</v>
      </c>
      <c r="L2735" s="44" t="s">
        <v>552</v>
      </c>
      <c r="M2735" s="44" t="s">
        <v>514</v>
      </c>
      <c r="N2735" s="44" t="s">
        <v>515</v>
      </c>
      <c r="O2735" s="45" t="s">
        <v>382</v>
      </c>
      <c r="P2735" s="45" t="s">
        <v>3760</v>
      </c>
      <c r="Q2735" s="59">
        <v>6</v>
      </c>
      <c r="R2735" s="35" t="s">
        <v>299</v>
      </c>
      <c r="S2735" s="59" t="str">
        <f>MID(Tabla1[[#This Row],[Aplicación]],6,2)</f>
        <v>06</v>
      </c>
      <c r="T2735" s="35" t="str">
        <f>VLOOKUP(Tabla1[[#This Row],[AREA]],Hoja1!A:B,2,FALSE)</f>
        <v>06. Educación, infancia, juventud e igualdad</v>
      </c>
      <c r="U2735" s="56" t="str">
        <f>MID(Tabla1[[#This Row],[Aplicación]],9,4)</f>
        <v>0 33</v>
      </c>
      <c r="V2735" s="59">
        <v>3321</v>
      </c>
      <c r="W2735" s="59">
        <v>62</v>
      </c>
      <c r="X2735" s="59">
        <v>629</v>
      </c>
    </row>
    <row r="2736" spans="1:24" x14ac:dyDescent="0.25">
      <c r="A2736" s="62">
        <v>220230022006</v>
      </c>
      <c r="B2736" s="44" t="s">
        <v>1514</v>
      </c>
      <c r="C2736" s="64">
        <v>45064</v>
      </c>
      <c r="D2736" s="62">
        <v>22023002013</v>
      </c>
      <c r="E2736" s="44" t="s">
        <v>4365</v>
      </c>
      <c r="F2736" s="65">
        <v>1500</v>
      </c>
      <c r="G2736" s="44" t="s">
        <v>4367</v>
      </c>
      <c r="H2736" s="44" t="s">
        <v>4370</v>
      </c>
      <c r="I2736" s="62" t="s">
        <v>1517</v>
      </c>
      <c r="J2736" s="44" t="s">
        <v>519</v>
      </c>
      <c r="K2736" s="44" t="s">
        <v>519</v>
      </c>
      <c r="L2736" s="44" t="s">
        <v>552</v>
      </c>
      <c r="M2736" s="44" t="s">
        <v>514</v>
      </c>
      <c r="N2736" s="44" t="s">
        <v>515</v>
      </c>
      <c r="O2736" s="45" t="s">
        <v>382</v>
      </c>
      <c r="P2736" s="45" t="s">
        <v>3760</v>
      </c>
      <c r="Q2736" s="59">
        <v>6</v>
      </c>
      <c r="R2736" s="35" t="s">
        <v>299</v>
      </c>
      <c r="S2736" s="59" t="str">
        <f>MID(Tabla1[[#This Row],[Aplicación]],6,2)</f>
        <v>06</v>
      </c>
      <c r="T2736" s="35" t="str">
        <f>VLOOKUP(Tabla1[[#This Row],[AREA]],Hoja1!A:B,2,FALSE)</f>
        <v>06. Educación, infancia, juventud e igualdad</v>
      </c>
      <c r="U2736" s="56" t="str">
        <f>MID(Tabla1[[#This Row],[Aplicación]],9,4)</f>
        <v>0 33</v>
      </c>
      <c r="V2736" s="59">
        <v>3321</v>
      </c>
      <c r="W2736" s="59">
        <v>62</v>
      </c>
      <c r="X2736" s="59">
        <v>629</v>
      </c>
    </row>
    <row r="2737" spans="1:24" x14ac:dyDescent="0.25">
      <c r="A2737" s="62">
        <v>220230025402</v>
      </c>
      <c r="B2737" s="44" t="s">
        <v>507</v>
      </c>
      <c r="C2737" s="64">
        <v>45072</v>
      </c>
      <c r="D2737" s="62">
        <v>22023004674</v>
      </c>
      <c r="E2737" s="44" t="s">
        <v>616</v>
      </c>
      <c r="F2737" s="65">
        <v>161.72</v>
      </c>
      <c r="G2737" s="44" t="s">
        <v>1621</v>
      </c>
      <c r="H2737" s="44" t="s">
        <v>4362</v>
      </c>
      <c r="I2737" s="62" t="s">
        <v>511</v>
      </c>
      <c r="J2737" s="44" t="s">
        <v>1623</v>
      </c>
      <c r="K2737" s="44" t="s">
        <v>1624</v>
      </c>
      <c r="L2737" s="44" t="s">
        <v>552</v>
      </c>
      <c r="M2737" s="44" t="s">
        <v>976</v>
      </c>
      <c r="N2737" s="44" t="s">
        <v>839</v>
      </c>
      <c r="O2737" s="45" t="s">
        <v>383</v>
      </c>
      <c r="P2737" s="45" t="s">
        <v>3760</v>
      </c>
      <c r="Q2737" s="59" t="str">
        <f>MID(Tabla1[[#This Row],[Aplicación]],14,1)</f>
        <v>2</v>
      </c>
      <c r="R2737" s="35" t="s">
        <v>298</v>
      </c>
      <c r="S2737" s="59" t="str">
        <f>MID(Tabla1[[#This Row],[Aplicación]],6,2)</f>
        <v>10</v>
      </c>
      <c r="T2737" s="35" t="str">
        <f>VLOOKUP(Tabla1[[#This Row],[AREA]],Hoja1!A:B,2,FALSE)</f>
        <v>10. Servicios sociales y mediación comunitaria</v>
      </c>
      <c r="U2737" s="56" t="str">
        <f>MID(Tabla1[[#This Row],[Aplicación]],9,4)</f>
        <v>2412</v>
      </c>
      <c r="V2737" s="35" t="str">
        <f>VLOOKUP(Tabla1[[#This Row],[PROGRAMA]],Hoja1!A:B,2,FALSE)</f>
        <v>2412. Formación para el empleo</v>
      </c>
      <c r="W2737" s="56" t="str">
        <f>MID(Tabla1[[#This Row],[Aplicación]],14,2)</f>
        <v>21</v>
      </c>
      <c r="X2737" s="56" t="str">
        <f>MID(Tabla1[[#This Row],[Aplicación]],14,6)</f>
        <v>213</v>
      </c>
    </row>
    <row r="2738" spans="1:24" x14ac:dyDescent="0.25">
      <c r="A2738" s="62">
        <v>220230017667</v>
      </c>
      <c r="B2738" s="44" t="s">
        <v>1249</v>
      </c>
      <c r="C2738" s="64">
        <v>45050</v>
      </c>
      <c r="D2738" s="62">
        <v>22023002642</v>
      </c>
      <c r="E2738" s="44" t="s">
        <v>508</v>
      </c>
      <c r="F2738" s="65">
        <v>291842.2</v>
      </c>
      <c r="G2738" s="44" t="s">
        <v>509</v>
      </c>
      <c r="H2738" s="44" t="s">
        <v>4371</v>
      </c>
      <c r="I2738" s="62" t="s">
        <v>1251</v>
      </c>
      <c r="J2738" s="44" t="s">
        <v>512</v>
      </c>
      <c r="K2738" s="44" t="s">
        <v>512</v>
      </c>
      <c r="L2738" s="44" t="s">
        <v>520</v>
      </c>
      <c r="M2738" s="44" t="s">
        <v>514</v>
      </c>
      <c r="N2738" s="44" t="s">
        <v>515</v>
      </c>
      <c r="O2738" s="45" t="s">
        <v>371</v>
      </c>
      <c r="P2738" s="45" t="s">
        <v>3760</v>
      </c>
      <c r="Q2738" s="59" t="str">
        <f>MID(Tabla1[[#This Row],[Aplicación]],14,1)</f>
        <v>2</v>
      </c>
      <c r="R2738" s="35" t="s">
        <v>298</v>
      </c>
      <c r="S2738" s="59" t="str">
        <f>MID(Tabla1[[#This Row],[Aplicación]],6,2)</f>
        <v>08</v>
      </c>
      <c r="T2738" s="35" t="str">
        <f>VLOOKUP(Tabla1[[#This Row],[AREA]],Hoja1!A:B,2,FALSE)</f>
        <v>08. Movilidad y espacio urbano</v>
      </c>
      <c r="U2738" s="56" t="str">
        <f>MID(Tabla1[[#This Row],[Aplicación]],9,4)</f>
        <v>1341</v>
      </c>
      <c r="V2738" s="35" t="str">
        <f>VLOOKUP(Tabla1[[#This Row],[PROGRAMA]],Hoja1!A:B,2,FALSE)</f>
        <v>1341. Movilidad</v>
      </c>
      <c r="W2738" s="56" t="str">
        <f>MID(Tabla1[[#This Row],[Aplicación]],14,2)</f>
        <v>22</v>
      </c>
      <c r="X2738" s="56" t="str">
        <f>MID(Tabla1[[#This Row],[Aplicación]],14,6)</f>
        <v>22799</v>
      </c>
    </row>
    <row r="2739" spans="1:24" x14ac:dyDescent="0.25">
      <c r="A2739" s="62">
        <v>220230025402</v>
      </c>
      <c r="B2739" s="44" t="s">
        <v>507</v>
      </c>
      <c r="C2739" s="64">
        <v>45072</v>
      </c>
      <c r="D2739" s="62">
        <v>22023004673</v>
      </c>
      <c r="E2739" s="44" t="s">
        <v>616</v>
      </c>
      <c r="F2739" s="65">
        <v>129.37</v>
      </c>
      <c r="G2739" s="44" t="s">
        <v>1621</v>
      </c>
      <c r="H2739" s="44" t="s">
        <v>4362</v>
      </c>
      <c r="I2739" s="62" t="s">
        <v>511</v>
      </c>
      <c r="J2739" s="44" t="s">
        <v>1623</v>
      </c>
      <c r="K2739" s="44" t="s">
        <v>1624</v>
      </c>
      <c r="L2739" s="44" t="s">
        <v>552</v>
      </c>
      <c r="M2739" s="44" t="s">
        <v>976</v>
      </c>
      <c r="N2739" s="44" t="s">
        <v>839</v>
      </c>
      <c r="O2739" s="45" t="s">
        <v>383</v>
      </c>
      <c r="P2739" s="45" t="s">
        <v>3760</v>
      </c>
      <c r="Q2739" s="59" t="str">
        <f>MID(Tabla1[[#This Row],[Aplicación]],14,1)</f>
        <v>2</v>
      </c>
      <c r="R2739" s="35" t="s">
        <v>298</v>
      </c>
      <c r="S2739" s="59" t="str">
        <f>MID(Tabla1[[#This Row],[Aplicación]],6,2)</f>
        <v>10</v>
      </c>
      <c r="T2739" s="35" t="str">
        <f>VLOOKUP(Tabla1[[#This Row],[AREA]],Hoja1!A:B,2,FALSE)</f>
        <v>10. Servicios sociales y mediación comunitaria</v>
      </c>
      <c r="U2739" s="56" t="str">
        <f>MID(Tabla1[[#This Row],[Aplicación]],9,4)</f>
        <v>2412</v>
      </c>
      <c r="V2739" s="35" t="str">
        <f>VLOOKUP(Tabla1[[#This Row],[PROGRAMA]],Hoja1!A:B,2,FALSE)</f>
        <v>2412. Formación para el empleo</v>
      </c>
      <c r="W2739" s="56" t="str">
        <f>MID(Tabla1[[#This Row],[Aplicación]],14,2)</f>
        <v>21</v>
      </c>
      <c r="X2739" s="56" t="str">
        <f>MID(Tabla1[[#This Row],[Aplicación]],14,6)</f>
        <v>213</v>
      </c>
    </row>
    <row r="2740" spans="1:24" x14ac:dyDescent="0.25">
      <c r="A2740" s="62">
        <v>220230025397</v>
      </c>
      <c r="B2740" s="44" t="s">
        <v>507</v>
      </c>
      <c r="C2740" s="64">
        <v>45072</v>
      </c>
      <c r="D2740" s="62">
        <v>22023004670</v>
      </c>
      <c r="E2740" s="44" t="s">
        <v>613</v>
      </c>
      <c r="F2740" s="65">
        <v>115.56</v>
      </c>
      <c r="G2740" s="44" t="s">
        <v>1621</v>
      </c>
      <c r="H2740" s="44" t="s">
        <v>4372</v>
      </c>
      <c r="I2740" s="62" t="s">
        <v>511</v>
      </c>
      <c r="J2740" s="44" t="s">
        <v>1623</v>
      </c>
      <c r="K2740" s="44" t="s">
        <v>1624</v>
      </c>
      <c r="L2740" s="44" t="s">
        <v>552</v>
      </c>
      <c r="M2740" s="44" t="s">
        <v>976</v>
      </c>
      <c r="N2740" s="44" t="s">
        <v>839</v>
      </c>
      <c r="O2740" s="45" t="s">
        <v>383</v>
      </c>
      <c r="P2740" s="45" t="s">
        <v>3760</v>
      </c>
      <c r="Q2740" s="59" t="str">
        <f>MID(Tabla1[[#This Row],[Aplicación]],14,1)</f>
        <v>2</v>
      </c>
      <c r="R2740" s="35" t="s">
        <v>298</v>
      </c>
      <c r="S2740" s="59" t="str">
        <f>MID(Tabla1[[#This Row],[Aplicación]],6,2)</f>
        <v>10</v>
      </c>
      <c r="T2740" s="35" t="str">
        <f>VLOOKUP(Tabla1[[#This Row],[AREA]],Hoja1!A:B,2,FALSE)</f>
        <v>10. Servicios sociales y mediación comunitaria</v>
      </c>
      <c r="U2740" s="56" t="str">
        <f>MID(Tabla1[[#This Row],[Aplicación]],9,4)</f>
        <v>2312</v>
      </c>
      <c r="V2740" s="35" t="str">
        <f>VLOOKUP(Tabla1[[#This Row],[PROGRAMA]],Hoja1!A:B,2,FALSE)</f>
        <v>2312. Iniciativas sociales</v>
      </c>
      <c r="W2740" s="56" t="str">
        <f>MID(Tabla1[[#This Row],[Aplicación]],14,2)</f>
        <v>21</v>
      </c>
      <c r="X2740" s="56" t="str">
        <f>MID(Tabla1[[#This Row],[Aplicación]],14,6)</f>
        <v>213</v>
      </c>
    </row>
    <row r="2741" spans="1:24" x14ac:dyDescent="0.25">
      <c r="A2741" s="62">
        <v>220230024854</v>
      </c>
      <c r="B2741" s="44" t="s">
        <v>507</v>
      </c>
      <c r="C2741" s="64">
        <v>45070</v>
      </c>
      <c r="D2741" s="62">
        <v>22023004618</v>
      </c>
      <c r="E2741" s="44" t="s">
        <v>835</v>
      </c>
      <c r="F2741" s="65">
        <v>3176.25</v>
      </c>
      <c r="G2741" s="44" t="s">
        <v>4373</v>
      </c>
      <c r="H2741" s="44" t="s">
        <v>4374</v>
      </c>
      <c r="I2741" s="62" t="s">
        <v>511</v>
      </c>
      <c r="J2741" s="44" t="s">
        <v>1025</v>
      </c>
      <c r="K2741" s="44" t="s">
        <v>717</v>
      </c>
      <c r="L2741" s="44" t="s">
        <v>520</v>
      </c>
      <c r="M2741" s="44" t="s">
        <v>976</v>
      </c>
      <c r="N2741" s="44" t="s">
        <v>839</v>
      </c>
      <c r="O2741" s="45" t="s">
        <v>383</v>
      </c>
      <c r="P2741" s="45" t="s">
        <v>3760</v>
      </c>
      <c r="Q2741" s="59" t="str">
        <f>MID(Tabla1[[#This Row],[Aplicación]],14,1)</f>
        <v>2</v>
      </c>
      <c r="R2741" s="35" t="s">
        <v>298</v>
      </c>
      <c r="S2741" s="59" t="str">
        <f>MID(Tabla1[[#This Row],[Aplicación]],6,2)</f>
        <v>05</v>
      </c>
      <c r="T2741" s="35" t="str">
        <f>VLOOKUP(Tabla1[[#This Row],[AREA]],Hoja1!A:B,2,FALSE)</f>
        <v>05. Innovación, desarrollo económico, empleo y comercio</v>
      </c>
      <c r="U2741" s="56" t="str">
        <f>MID(Tabla1[[#This Row],[Aplicación]],9,4)</f>
        <v>4331</v>
      </c>
      <c r="V2741" s="35" t="str">
        <f>VLOOKUP(Tabla1[[#This Row],[PROGRAMA]],Hoja1!A:B,2,FALSE)</f>
        <v>4331. Desarrollo empresarial</v>
      </c>
      <c r="W2741" s="56" t="str">
        <f>MID(Tabla1[[#This Row],[Aplicación]],14,2)</f>
        <v>22</v>
      </c>
      <c r="X2741" s="56" t="str">
        <f>MID(Tabla1[[#This Row],[Aplicación]],14,6)</f>
        <v>22799</v>
      </c>
    </row>
    <row r="2742" spans="1:24" x14ac:dyDescent="0.25">
      <c r="A2742" s="62">
        <v>220230025391</v>
      </c>
      <c r="B2742" s="44" t="s">
        <v>507</v>
      </c>
      <c r="C2742" s="64">
        <v>45072</v>
      </c>
      <c r="D2742" s="62">
        <v>22023004704</v>
      </c>
      <c r="E2742" s="44" t="s">
        <v>1430</v>
      </c>
      <c r="F2742" s="65">
        <v>1986.34</v>
      </c>
      <c r="G2742" s="44" t="s">
        <v>4375</v>
      </c>
      <c r="H2742" s="44" t="s">
        <v>4376</v>
      </c>
      <c r="I2742" s="62" t="s">
        <v>511</v>
      </c>
      <c r="J2742" s="44" t="s">
        <v>1289</v>
      </c>
      <c r="K2742" s="44" t="s">
        <v>1289</v>
      </c>
      <c r="L2742" s="44" t="s">
        <v>552</v>
      </c>
      <c r="M2742" s="44" t="s">
        <v>976</v>
      </c>
      <c r="N2742" s="44" t="s">
        <v>839</v>
      </c>
      <c r="O2742" s="45" t="s">
        <v>383</v>
      </c>
      <c r="P2742" s="45" t="s">
        <v>3760</v>
      </c>
      <c r="Q2742" s="59" t="str">
        <f>MID(Tabla1[[#This Row],[Aplicación]],14,1)</f>
        <v>2</v>
      </c>
      <c r="R2742" s="35" t="s">
        <v>298</v>
      </c>
      <c r="S2742" s="59" t="str">
        <f>MID(Tabla1[[#This Row],[Aplicación]],6,2)</f>
        <v>06</v>
      </c>
      <c r="T2742" s="35" t="str">
        <f>VLOOKUP(Tabla1[[#This Row],[AREA]],Hoja1!A:B,2,FALSE)</f>
        <v>06. Educación, infancia, juventud e igualdad</v>
      </c>
      <c r="U2742" s="56" t="str">
        <f>MID(Tabla1[[#This Row],[Aplicación]],9,4)</f>
        <v>2315</v>
      </c>
      <c r="V2742" s="35" t="str">
        <f>VLOOKUP(Tabla1[[#This Row],[PROGRAMA]],Hoja1!A:B,2,FALSE)</f>
        <v>2315. Políticas de Igualdad e infancia</v>
      </c>
      <c r="W2742" s="56" t="str">
        <f>MID(Tabla1[[#This Row],[Aplicación]],14,2)</f>
        <v>22</v>
      </c>
      <c r="X2742" s="56" t="str">
        <f>MID(Tabla1[[#This Row],[Aplicación]],14,6)</f>
        <v>22614</v>
      </c>
    </row>
    <row r="2743" spans="1:24" x14ac:dyDescent="0.25">
      <c r="A2743" s="62">
        <v>220230018167</v>
      </c>
      <c r="B2743" s="44" t="s">
        <v>507</v>
      </c>
      <c r="C2743" s="64">
        <v>45054</v>
      </c>
      <c r="D2743" s="62">
        <v>22023004391</v>
      </c>
      <c r="E2743" s="44" t="s">
        <v>3722</v>
      </c>
      <c r="F2743" s="65">
        <v>1437.01</v>
      </c>
      <c r="G2743" s="44" t="s">
        <v>4377</v>
      </c>
      <c r="H2743" s="44" t="s">
        <v>4378</v>
      </c>
      <c r="I2743" s="62" t="s">
        <v>511</v>
      </c>
      <c r="J2743" s="44" t="s">
        <v>519</v>
      </c>
      <c r="K2743" s="44" t="s">
        <v>519</v>
      </c>
      <c r="L2743" s="44" t="s">
        <v>552</v>
      </c>
      <c r="M2743" s="44" t="s">
        <v>976</v>
      </c>
      <c r="N2743" s="44" t="s">
        <v>839</v>
      </c>
      <c r="O2743" s="45" t="s">
        <v>383</v>
      </c>
      <c r="P2743" s="45" t="s">
        <v>3760</v>
      </c>
      <c r="Q2743" s="59" t="str">
        <f>MID(Tabla1[[#This Row],[Aplicación]],14,1)</f>
        <v>2</v>
      </c>
      <c r="R2743" s="35" t="s">
        <v>298</v>
      </c>
      <c r="S2743" s="59" t="str">
        <f>MID(Tabla1[[#This Row],[Aplicación]],6,2)</f>
        <v>08</v>
      </c>
      <c r="T2743" s="35" t="str">
        <f>VLOOKUP(Tabla1[[#This Row],[AREA]],Hoja1!A:B,2,FALSE)</f>
        <v>08. Movilidad y espacio urbano</v>
      </c>
      <c r="U2743" s="56" t="str">
        <f>MID(Tabla1[[#This Row],[Aplicación]],9,4)</f>
        <v>1532</v>
      </c>
      <c r="V2743" s="35" t="str">
        <f>VLOOKUP(Tabla1[[#This Row],[PROGRAMA]],Hoja1!A:B,2,FALSE)</f>
        <v>1532. Pavimentación vias públicas y otros servicios urbanísticos</v>
      </c>
      <c r="W2743" s="56" t="str">
        <f>MID(Tabla1[[#This Row],[Aplicación]],14,2)</f>
        <v>20</v>
      </c>
      <c r="X2743" s="56" t="str">
        <f>MID(Tabla1[[#This Row],[Aplicación]],14,6)</f>
        <v>204</v>
      </c>
    </row>
    <row r="2744" spans="1:24" x14ac:dyDescent="0.25">
      <c r="A2744" s="62">
        <v>220230016855</v>
      </c>
      <c r="B2744" s="44" t="s">
        <v>507</v>
      </c>
      <c r="C2744" s="64">
        <v>45048</v>
      </c>
      <c r="D2744" s="62">
        <v>22023004195</v>
      </c>
      <c r="E2744" s="44" t="s">
        <v>1627</v>
      </c>
      <c r="F2744" s="65">
        <v>956.47</v>
      </c>
      <c r="G2744" s="44" t="s">
        <v>4379</v>
      </c>
      <c r="H2744" s="44" t="s">
        <v>4380</v>
      </c>
      <c r="I2744" s="62" t="s">
        <v>511</v>
      </c>
      <c r="J2744" s="44" t="s">
        <v>519</v>
      </c>
      <c r="K2744" s="44" t="s">
        <v>519</v>
      </c>
      <c r="L2744" s="44" t="s">
        <v>552</v>
      </c>
      <c r="M2744" s="44" t="s">
        <v>976</v>
      </c>
      <c r="N2744" s="44" t="s">
        <v>839</v>
      </c>
      <c r="O2744" s="45" t="s">
        <v>383</v>
      </c>
      <c r="P2744" s="45" t="s">
        <v>3760</v>
      </c>
      <c r="Q2744" s="59" t="str">
        <f>MID(Tabla1[[#This Row],[Aplicación]],14,1)</f>
        <v>2</v>
      </c>
      <c r="R2744" s="35" t="s">
        <v>298</v>
      </c>
      <c r="S2744" s="59" t="str">
        <f>MID(Tabla1[[#This Row],[Aplicación]],6,2)</f>
        <v>03</v>
      </c>
      <c r="T2744" s="35" t="str">
        <f>VLOOKUP(Tabla1[[#This Row],[AREA]],Hoja1!A:B,2,FALSE)</f>
        <v>03. Participación ciudadana y deportes</v>
      </c>
      <c r="U2744" s="56" t="str">
        <f>MID(Tabla1[[#This Row],[Aplicación]],9,4)</f>
        <v>9241</v>
      </c>
      <c r="V2744" s="35" t="str">
        <f>VLOOKUP(Tabla1[[#This Row],[PROGRAMA]],Hoja1!A:B,2,FALSE)</f>
        <v>9241. Participación ciudadana</v>
      </c>
      <c r="W2744" s="56" t="str">
        <f>MID(Tabla1[[#This Row],[Aplicación]],14,2)</f>
        <v>22</v>
      </c>
      <c r="X2744" s="56" t="str">
        <f>MID(Tabla1[[#This Row],[Aplicación]],14,6)</f>
        <v>22199</v>
      </c>
    </row>
    <row r="2745" spans="1:24" x14ac:dyDescent="0.25">
      <c r="A2745" s="62">
        <v>220230020543</v>
      </c>
      <c r="B2745" s="44" t="s">
        <v>507</v>
      </c>
      <c r="C2745" s="64">
        <v>45058</v>
      </c>
      <c r="D2745" s="62">
        <v>22023004402</v>
      </c>
      <c r="E2745" s="44" t="s">
        <v>1558</v>
      </c>
      <c r="F2745" s="65">
        <v>946.26</v>
      </c>
      <c r="G2745" s="44" t="s">
        <v>4381</v>
      </c>
      <c r="H2745" s="44" t="s">
        <v>4382</v>
      </c>
      <c r="I2745" s="62" t="s">
        <v>511</v>
      </c>
      <c r="J2745" s="44" t="s">
        <v>2909</v>
      </c>
      <c r="K2745" s="44" t="s">
        <v>2909</v>
      </c>
      <c r="L2745" s="44" t="s">
        <v>552</v>
      </c>
      <c r="M2745" s="44" t="s">
        <v>976</v>
      </c>
      <c r="N2745" s="44" t="s">
        <v>839</v>
      </c>
      <c r="O2745" s="45" t="s">
        <v>383</v>
      </c>
      <c r="P2745" s="45" t="s">
        <v>3760</v>
      </c>
      <c r="Q2745" s="59" t="str">
        <f>MID(Tabla1[[#This Row],[Aplicación]],14,1)</f>
        <v>2</v>
      </c>
      <c r="R2745" s="35" t="s">
        <v>298</v>
      </c>
      <c r="S2745" s="59" t="str">
        <f>MID(Tabla1[[#This Row],[Aplicación]],6,2)</f>
        <v>11</v>
      </c>
      <c r="T2745" s="35" t="str">
        <f>VLOOKUP(Tabla1[[#This Row],[AREA]],Hoja1!A:B,2,FALSE)</f>
        <v>11. Salud pública y seguridad ciudadana</v>
      </c>
      <c r="U2745" s="56" t="str">
        <f>MID(Tabla1[[#This Row],[Aplicación]],9,4)</f>
        <v>3111</v>
      </c>
      <c r="V2745" s="35" t="str">
        <f>VLOOKUP(Tabla1[[#This Row],[PROGRAMA]],Hoja1!A:B,2,FALSE)</f>
        <v>3111. Protección de la salubridad pública</v>
      </c>
      <c r="W2745" s="56" t="str">
        <f>MID(Tabla1[[#This Row],[Aplicación]],14,2)</f>
        <v>21</v>
      </c>
      <c r="X2745" s="56" t="str">
        <f>MID(Tabla1[[#This Row],[Aplicación]],14,6)</f>
        <v>213</v>
      </c>
    </row>
    <row r="2746" spans="1:24" x14ac:dyDescent="0.25">
      <c r="A2746" s="62">
        <v>220230016008</v>
      </c>
      <c r="B2746" s="44" t="s">
        <v>507</v>
      </c>
      <c r="C2746" s="64">
        <v>45042</v>
      </c>
      <c r="D2746" s="62">
        <v>22023004117</v>
      </c>
      <c r="E2746" s="44" t="s">
        <v>1191</v>
      </c>
      <c r="F2746" s="65">
        <v>605</v>
      </c>
      <c r="G2746" s="44" t="s">
        <v>4383</v>
      </c>
      <c r="H2746" s="44" t="s">
        <v>4384</v>
      </c>
      <c r="I2746" s="62" t="s">
        <v>511</v>
      </c>
      <c r="J2746" s="44" t="s">
        <v>519</v>
      </c>
      <c r="K2746" s="44" t="s">
        <v>519</v>
      </c>
      <c r="L2746" s="44" t="s">
        <v>520</v>
      </c>
      <c r="M2746" s="44" t="s">
        <v>976</v>
      </c>
      <c r="N2746" s="44" t="s">
        <v>839</v>
      </c>
      <c r="O2746" s="45" t="s">
        <v>383</v>
      </c>
      <c r="P2746" s="45" t="s">
        <v>3760</v>
      </c>
      <c r="Q2746" s="59" t="str">
        <f>MID(Tabla1[[#This Row],[Aplicación]],14,1)</f>
        <v>2</v>
      </c>
      <c r="R2746" s="35" t="s">
        <v>298</v>
      </c>
      <c r="S2746" s="59" t="str">
        <f>MID(Tabla1[[#This Row],[Aplicación]],6,2)</f>
        <v>06</v>
      </c>
      <c r="T2746" s="35" t="str">
        <f>VLOOKUP(Tabla1[[#This Row],[AREA]],Hoja1!A:B,2,FALSE)</f>
        <v>06. Educación, infancia, juventud e igualdad</v>
      </c>
      <c r="U2746" s="56" t="str">
        <f>MID(Tabla1[[#This Row],[Aplicación]],9,4)</f>
        <v>2315</v>
      </c>
      <c r="V2746" s="35" t="str">
        <f>VLOOKUP(Tabla1[[#This Row],[PROGRAMA]],Hoja1!A:B,2,FALSE)</f>
        <v>2315. Políticas de Igualdad e infancia</v>
      </c>
      <c r="W2746" s="56" t="str">
        <f>MID(Tabla1[[#This Row],[Aplicación]],14,2)</f>
        <v>22</v>
      </c>
      <c r="X2746" s="56" t="str">
        <f>MID(Tabla1[[#This Row],[Aplicación]],14,6)</f>
        <v>22611</v>
      </c>
    </row>
    <row r="2747" spans="1:24" x14ac:dyDescent="0.25">
      <c r="A2747" s="62">
        <v>220230015106</v>
      </c>
      <c r="B2747" s="44" t="s">
        <v>507</v>
      </c>
      <c r="C2747" s="64">
        <v>45041</v>
      </c>
      <c r="D2747" s="62">
        <v>22023003847</v>
      </c>
      <c r="E2747" s="44" t="s">
        <v>4385</v>
      </c>
      <c r="F2747" s="65">
        <v>34.85</v>
      </c>
      <c r="G2747" s="44" t="s">
        <v>2115</v>
      </c>
      <c r="H2747" s="44" t="s">
        <v>4386</v>
      </c>
      <c r="I2747" s="62" t="s">
        <v>511</v>
      </c>
      <c r="J2747" s="44" t="s">
        <v>519</v>
      </c>
      <c r="K2747" s="44" t="s">
        <v>519</v>
      </c>
      <c r="L2747" s="44" t="s">
        <v>552</v>
      </c>
      <c r="M2747" s="44" t="s">
        <v>514</v>
      </c>
      <c r="N2747" s="44" t="s">
        <v>515</v>
      </c>
      <c r="O2747" s="45" t="s">
        <v>382</v>
      </c>
      <c r="P2747" s="45" t="s">
        <v>3760</v>
      </c>
      <c r="Q2747" s="59" t="str">
        <f>MID(Tabla1[[#This Row],[Aplicación]],14,1)</f>
        <v>2</v>
      </c>
      <c r="R2747" s="35" t="s">
        <v>298</v>
      </c>
      <c r="S2747" s="59" t="str">
        <f>MID(Tabla1[[#This Row],[Aplicación]],6,2)</f>
        <v>01</v>
      </c>
      <c r="T2747" s="35" t="str">
        <f>VLOOKUP(Tabla1[[#This Row],[AREA]],Hoja1!A:B,2,FALSE)</f>
        <v>01. Alcaldía</v>
      </c>
      <c r="U2747" s="56" t="str">
        <f>MID(Tabla1[[#This Row],[Aplicación]],9,4)</f>
        <v>9206</v>
      </c>
      <c r="V2747" s="35" t="str">
        <f>VLOOKUP(Tabla1[[#This Row],[PROGRAMA]],Hoja1!A:B,2,FALSE)</f>
        <v>9206. Archivo municipal</v>
      </c>
      <c r="W2747" s="56" t="str">
        <f>MID(Tabla1[[#This Row],[Aplicación]],14,2)</f>
        <v>22</v>
      </c>
      <c r="X2747" s="56" t="str">
        <f>MID(Tabla1[[#This Row],[Aplicación]],14,6)</f>
        <v>22199</v>
      </c>
    </row>
    <row r="2748" spans="1:24" x14ac:dyDescent="0.25">
      <c r="A2748" s="62">
        <v>220230025398</v>
      </c>
      <c r="B2748" s="44" t="s">
        <v>507</v>
      </c>
      <c r="C2748" s="64">
        <v>45072</v>
      </c>
      <c r="D2748" s="62">
        <v>22023004684</v>
      </c>
      <c r="E2748" s="44" t="s">
        <v>1502</v>
      </c>
      <c r="F2748" s="65">
        <v>752.64</v>
      </c>
      <c r="G2748" s="44" t="s">
        <v>2115</v>
      </c>
      <c r="H2748" s="44" t="s">
        <v>4387</v>
      </c>
      <c r="I2748" s="62" t="s">
        <v>511</v>
      </c>
      <c r="J2748" s="44" t="s">
        <v>519</v>
      </c>
      <c r="K2748" s="44" t="s">
        <v>519</v>
      </c>
      <c r="L2748" s="44" t="s">
        <v>552</v>
      </c>
      <c r="M2748" s="44" t="s">
        <v>976</v>
      </c>
      <c r="N2748" s="44" t="s">
        <v>839</v>
      </c>
      <c r="O2748" s="45" t="s">
        <v>383</v>
      </c>
      <c r="P2748" s="45" t="s">
        <v>3760</v>
      </c>
      <c r="Q2748" s="59" t="str">
        <f>MID(Tabla1[[#This Row],[Aplicación]],14,1)</f>
        <v>2</v>
      </c>
      <c r="R2748" s="35" t="s">
        <v>298</v>
      </c>
      <c r="S2748" s="59" t="str">
        <f>MID(Tabla1[[#This Row],[Aplicación]],6,2)</f>
        <v>10</v>
      </c>
      <c r="T2748" s="35" t="str">
        <f>VLOOKUP(Tabla1[[#This Row],[AREA]],Hoja1!A:B,2,FALSE)</f>
        <v>10. Servicios sociales y mediación comunitaria</v>
      </c>
      <c r="U2748" s="56" t="str">
        <f>MID(Tabla1[[#This Row],[Aplicación]],9,4)</f>
        <v>2412</v>
      </c>
      <c r="V2748" s="35" t="str">
        <f>VLOOKUP(Tabla1[[#This Row],[PROGRAMA]],Hoja1!A:B,2,FALSE)</f>
        <v>2412. Formación para el empleo</v>
      </c>
      <c r="W2748" s="56" t="str">
        <f>MID(Tabla1[[#This Row],[Aplicación]],14,2)</f>
        <v>22</v>
      </c>
      <c r="X2748" s="56" t="str">
        <f>MID(Tabla1[[#This Row],[Aplicación]],14,6)</f>
        <v>22199</v>
      </c>
    </row>
    <row r="2749" spans="1:24" x14ac:dyDescent="0.25">
      <c r="A2749" s="62">
        <v>220230017046</v>
      </c>
      <c r="B2749" s="44" t="s">
        <v>507</v>
      </c>
      <c r="C2749" s="64">
        <v>45048</v>
      </c>
      <c r="D2749" s="62">
        <v>22023003759</v>
      </c>
      <c r="E2749" s="44" t="s">
        <v>3068</v>
      </c>
      <c r="F2749" s="65">
        <v>15.95</v>
      </c>
      <c r="G2749" s="44" t="s">
        <v>98</v>
      </c>
      <c r="H2749" s="44" t="s">
        <v>4388</v>
      </c>
      <c r="I2749" s="62" t="s">
        <v>511</v>
      </c>
      <c r="J2749" s="44" t="s">
        <v>519</v>
      </c>
      <c r="K2749" s="44" t="s">
        <v>519</v>
      </c>
      <c r="L2749" s="44" t="s">
        <v>552</v>
      </c>
      <c r="M2749" s="44" t="s">
        <v>514</v>
      </c>
      <c r="N2749" s="44" t="s">
        <v>515</v>
      </c>
      <c r="O2749" s="45" t="s">
        <v>382</v>
      </c>
      <c r="P2749" s="45" t="s">
        <v>3760</v>
      </c>
      <c r="Q2749" s="59" t="str">
        <f>MID(Tabla1[[#This Row],[Aplicación]],14,1)</f>
        <v>2</v>
      </c>
      <c r="R2749" s="35" t="s">
        <v>298</v>
      </c>
      <c r="S2749" s="59" t="str">
        <f>MID(Tabla1[[#This Row],[Aplicación]],6,2)</f>
        <v>05</v>
      </c>
      <c r="T2749" s="35" t="str">
        <f>VLOOKUP(Tabla1[[#This Row],[AREA]],Hoja1!A:B,2,FALSE)</f>
        <v>05. Innovación, desarrollo económico, empleo y comercio</v>
      </c>
      <c r="U2749" s="56" t="str">
        <f>MID(Tabla1[[#This Row],[Aplicación]],9,4)</f>
        <v>4312</v>
      </c>
      <c r="V2749" s="35" t="str">
        <f>VLOOKUP(Tabla1[[#This Row],[PROGRAMA]],Hoja1!A:B,2,FALSE)</f>
        <v>4312. Mercados, abastos y lonjas</v>
      </c>
      <c r="W2749" s="56" t="str">
        <f>MID(Tabla1[[#This Row],[Aplicación]],14,2)</f>
        <v>22</v>
      </c>
      <c r="X2749" s="56" t="str">
        <f>MID(Tabla1[[#This Row],[Aplicación]],14,6)</f>
        <v>22199</v>
      </c>
    </row>
    <row r="2750" spans="1:24" x14ac:dyDescent="0.25">
      <c r="A2750" s="62">
        <v>220230018145</v>
      </c>
      <c r="B2750" s="44" t="s">
        <v>507</v>
      </c>
      <c r="C2750" s="64">
        <v>45054</v>
      </c>
      <c r="D2750" s="62">
        <v>22023004028</v>
      </c>
      <c r="E2750" s="44" t="s">
        <v>931</v>
      </c>
      <c r="F2750" s="65">
        <v>306.13</v>
      </c>
      <c r="G2750" s="44" t="s">
        <v>4389</v>
      </c>
      <c r="H2750" s="44" t="s">
        <v>4390</v>
      </c>
      <c r="I2750" s="62" t="s">
        <v>511</v>
      </c>
      <c r="J2750" s="44" t="s">
        <v>519</v>
      </c>
      <c r="K2750" s="44" t="s">
        <v>519</v>
      </c>
      <c r="L2750" s="44" t="s">
        <v>652</v>
      </c>
      <c r="M2750" s="44" t="s">
        <v>976</v>
      </c>
      <c r="N2750" s="44" t="s">
        <v>839</v>
      </c>
      <c r="O2750" s="45" t="s">
        <v>383</v>
      </c>
      <c r="P2750" s="45" t="s">
        <v>3760</v>
      </c>
      <c r="Q2750" s="59" t="str">
        <f>MID(Tabla1[[#This Row],[Aplicación]],14,1)</f>
        <v>2</v>
      </c>
      <c r="R2750" s="35" t="s">
        <v>298</v>
      </c>
      <c r="S2750" s="59" t="str">
        <f>MID(Tabla1[[#This Row],[Aplicación]],6,2)</f>
        <v>09</v>
      </c>
      <c r="T2750" s="35" t="str">
        <f>VLOOKUP(Tabla1[[#This Row],[AREA]],Hoja1!A:B,2,FALSE)</f>
        <v>09. Cultura y turismo</v>
      </c>
      <c r="U2750" s="56" t="str">
        <f>MID(Tabla1[[#This Row],[Aplicación]],9,4)</f>
        <v>3341</v>
      </c>
      <c r="V2750" s="35" t="str">
        <f>VLOOKUP(Tabla1[[#This Row],[PROGRAMA]],Hoja1!A:B,2,FALSE)</f>
        <v>3341. Coordinación de políticas culturales</v>
      </c>
      <c r="W2750" s="56" t="str">
        <f>MID(Tabla1[[#This Row],[Aplicación]],14,2)</f>
        <v>22</v>
      </c>
      <c r="X2750" s="56" t="str">
        <f>MID(Tabla1[[#This Row],[Aplicación]],14,6)</f>
        <v>22799</v>
      </c>
    </row>
    <row r="2751" spans="1:24" x14ac:dyDescent="0.25">
      <c r="A2751" s="62">
        <v>220230020542</v>
      </c>
      <c r="B2751" s="44" t="s">
        <v>507</v>
      </c>
      <c r="C2751" s="64">
        <v>45058</v>
      </c>
      <c r="D2751" s="62">
        <v>22023004028</v>
      </c>
      <c r="E2751" s="44" t="s">
        <v>931</v>
      </c>
      <c r="F2751" s="65">
        <v>126.5</v>
      </c>
      <c r="G2751" s="44" t="s">
        <v>4389</v>
      </c>
      <c r="H2751" s="44" t="s">
        <v>4391</v>
      </c>
      <c r="I2751" s="62" t="s">
        <v>511</v>
      </c>
      <c r="J2751" s="44" t="s">
        <v>519</v>
      </c>
      <c r="K2751" s="44" t="s">
        <v>519</v>
      </c>
      <c r="L2751" s="44" t="s">
        <v>520</v>
      </c>
      <c r="M2751" s="44" t="s">
        <v>976</v>
      </c>
      <c r="N2751" s="44" t="s">
        <v>839</v>
      </c>
      <c r="O2751" s="45" t="s">
        <v>383</v>
      </c>
      <c r="P2751" s="45" t="s">
        <v>3760</v>
      </c>
      <c r="Q2751" s="59" t="str">
        <f>MID(Tabla1[[#This Row],[Aplicación]],14,1)</f>
        <v>2</v>
      </c>
      <c r="R2751" s="35" t="s">
        <v>298</v>
      </c>
      <c r="S2751" s="59" t="str">
        <f>MID(Tabla1[[#This Row],[Aplicación]],6,2)</f>
        <v>09</v>
      </c>
      <c r="T2751" s="35" t="str">
        <f>VLOOKUP(Tabla1[[#This Row],[AREA]],Hoja1!A:B,2,FALSE)</f>
        <v>09. Cultura y turismo</v>
      </c>
      <c r="U2751" s="56" t="str">
        <f>MID(Tabla1[[#This Row],[Aplicación]],9,4)</f>
        <v>3341</v>
      </c>
      <c r="V2751" s="35" t="str">
        <f>VLOOKUP(Tabla1[[#This Row],[PROGRAMA]],Hoja1!A:B,2,FALSE)</f>
        <v>3341. Coordinación de políticas culturales</v>
      </c>
      <c r="W2751" s="56" t="str">
        <f>MID(Tabla1[[#This Row],[Aplicación]],14,2)</f>
        <v>22</v>
      </c>
      <c r="X2751" s="56" t="str">
        <f>MID(Tabla1[[#This Row],[Aplicación]],14,6)</f>
        <v>22799</v>
      </c>
    </row>
    <row r="2752" spans="1:24" x14ac:dyDescent="0.25">
      <c r="A2752" s="62">
        <v>220230015083</v>
      </c>
      <c r="B2752" s="44" t="s">
        <v>507</v>
      </c>
      <c r="C2752" s="64">
        <v>45041</v>
      </c>
      <c r="D2752" s="62">
        <v>22023003808</v>
      </c>
      <c r="E2752" s="44" t="s">
        <v>574</v>
      </c>
      <c r="F2752" s="65">
        <v>2268.7800000000002</v>
      </c>
      <c r="G2752" s="44" t="s">
        <v>4392</v>
      </c>
      <c r="H2752" s="44" t="s">
        <v>4393</v>
      </c>
      <c r="I2752" s="62" t="s">
        <v>511</v>
      </c>
      <c r="J2752" s="44" t="s">
        <v>519</v>
      </c>
      <c r="K2752" s="44" t="s">
        <v>519</v>
      </c>
      <c r="L2752" s="44" t="s">
        <v>520</v>
      </c>
      <c r="M2752" s="44" t="s">
        <v>976</v>
      </c>
      <c r="N2752" s="44" t="s">
        <v>839</v>
      </c>
      <c r="O2752" s="45" t="s">
        <v>383</v>
      </c>
      <c r="P2752" s="45" t="s">
        <v>3760</v>
      </c>
      <c r="Q2752" s="59" t="str">
        <f>MID(Tabla1[[#This Row],[Aplicación]],14,1)</f>
        <v>2</v>
      </c>
      <c r="R2752" s="35" t="s">
        <v>298</v>
      </c>
      <c r="S2752" s="59" t="str">
        <f>MID(Tabla1[[#This Row],[Aplicación]],6,2)</f>
        <v>11</v>
      </c>
      <c r="T2752" s="35" t="str">
        <f>VLOOKUP(Tabla1[[#This Row],[AREA]],Hoja1!A:B,2,FALSE)</f>
        <v>11. Salud pública y seguridad ciudadana</v>
      </c>
      <c r="U2752" s="56" t="str">
        <f>MID(Tabla1[[#This Row],[Aplicación]],9,4)</f>
        <v>1621</v>
      </c>
      <c r="V2752" s="35" t="str">
        <f>VLOOKUP(Tabla1[[#This Row],[PROGRAMA]],Hoja1!A:B,2,FALSE)</f>
        <v>1621. Servicio de limpieza</v>
      </c>
      <c r="W2752" s="56" t="str">
        <f>MID(Tabla1[[#This Row],[Aplicación]],14,2)</f>
        <v>22</v>
      </c>
      <c r="X2752" s="56" t="str">
        <f>MID(Tabla1[[#This Row],[Aplicación]],14,6)</f>
        <v>22700</v>
      </c>
    </row>
    <row r="2753" spans="1:24" x14ac:dyDescent="0.25">
      <c r="A2753" s="62">
        <v>220230025401</v>
      </c>
      <c r="B2753" s="44" t="s">
        <v>507</v>
      </c>
      <c r="C2753" s="64">
        <v>45072</v>
      </c>
      <c r="D2753" s="62">
        <v>22023004713</v>
      </c>
      <c r="E2753" s="44" t="s">
        <v>1043</v>
      </c>
      <c r="F2753" s="65">
        <v>1809.5</v>
      </c>
      <c r="G2753" s="44" t="s">
        <v>4394</v>
      </c>
      <c r="H2753" s="44" t="s">
        <v>4395</v>
      </c>
      <c r="I2753" s="62" t="s">
        <v>511</v>
      </c>
      <c r="J2753" s="44" t="s">
        <v>519</v>
      </c>
      <c r="K2753" s="44" t="s">
        <v>519</v>
      </c>
      <c r="L2753" s="44" t="s">
        <v>520</v>
      </c>
      <c r="M2753" s="44" t="s">
        <v>976</v>
      </c>
      <c r="N2753" s="44" t="s">
        <v>839</v>
      </c>
      <c r="O2753" s="45" t="s">
        <v>383</v>
      </c>
      <c r="P2753" s="45" t="s">
        <v>3760</v>
      </c>
      <c r="Q2753" s="59" t="str">
        <f>MID(Tabla1[[#This Row],[Aplicación]],14,1)</f>
        <v>2</v>
      </c>
      <c r="R2753" s="35" t="s">
        <v>298</v>
      </c>
      <c r="S2753" s="59" t="str">
        <f>MID(Tabla1[[#This Row],[Aplicación]],6,2)</f>
        <v>10</v>
      </c>
      <c r="T2753" s="35" t="str">
        <f>VLOOKUP(Tabla1[[#This Row],[AREA]],Hoja1!A:B,2,FALSE)</f>
        <v>10. Servicios sociales y mediación comunitaria</v>
      </c>
      <c r="U2753" s="56" t="str">
        <f>MID(Tabla1[[#This Row],[Aplicación]],9,4)</f>
        <v>2312</v>
      </c>
      <c r="V2753" s="35" t="str">
        <f>VLOOKUP(Tabla1[[#This Row],[PROGRAMA]],Hoja1!A:B,2,FALSE)</f>
        <v>2312. Iniciativas sociales</v>
      </c>
      <c r="W2753" s="56" t="str">
        <f>MID(Tabla1[[#This Row],[Aplicación]],14,2)</f>
        <v>22</v>
      </c>
      <c r="X2753" s="56" t="str">
        <f>MID(Tabla1[[#This Row],[Aplicación]],14,6)</f>
        <v>22699</v>
      </c>
    </row>
    <row r="2754" spans="1:24" x14ac:dyDescent="0.25">
      <c r="A2754" s="62">
        <v>220230025401</v>
      </c>
      <c r="B2754" s="44" t="s">
        <v>507</v>
      </c>
      <c r="C2754" s="64">
        <v>45072</v>
      </c>
      <c r="D2754" s="62">
        <v>22023004712</v>
      </c>
      <c r="E2754" s="44" t="s">
        <v>1043</v>
      </c>
      <c r="F2754" s="65">
        <v>1292.5</v>
      </c>
      <c r="G2754" s="44" t="s">
        <v>4394</v>
      </c>
      <c r="H2754" s="44" t="s">
        <v>4395</v>
      </c>
      <c r="I2754" s="62" t="s">
        <v>511</v>
      </c>
      <c r="J2754" s="44" t="s">
        <v>519</v>
      </c>
      <c r="K2754" s="44" t="s">
        <v>519</v>
      </c>
      <c r="L2754" s="44" t="s">
        <v>520</v>
      </c>
      <c r="M2754" s="44" t="s">
        <v>976</v>
      </c>
      <c r="N2754" s="44" t="s">
        <v>839</v>
      </c>
      <c r="O2754" s="45" t="s">
        <v>383</v>
      </c>
      <c r="P2754" s="45" t="s">
        <v>3760</v>
      </c>
      <c r="Q2754" s="59" t="str">
        <f>MID(Tabla1[[#This Row],[Aplicación]],14,1)</f>
        <v>2</v>
      </c>
      <c r="R2754" s="35" t="s">
        <v>298</v>
      </c>
      <c r="S2754" s="59" t="str">
        <f>MID(Tabla1[[#This Row],[Aplicación]],6,2)</f>
        <v>10</v>
      </c>
      <c r="T2754" s="35" t="str">
        <f>VLOOKUP(Tabla1[[#This Row],[AREA]],Hoja1!A:B,2,FALSE)</f>
        <v>10. Servicios sociales y mediación comunitaria</v>
      </c>
      <c r="U2754" s="56" t="str">
        <f>MID(Tabla1[[#This Row],[Aplicación]],9,4)</f>
        <v>2312</v>
      </c>
      <c r="V2754" s="35" t="str">
        <f>VLOOKUP(Tabla1[[#This Row],[PROGRAMA]],Hoja1!A:B,2,FALSE)</f>
        <v>2312. Iniciativas sociales</v>
      </c>
      <c r="W2754" s="56" t="str">
        <f>MID(Tabla1[[#This Row],[Aplicación]],14,2)</f>
        <v>22</v>
      </c>
      <c r="X2754" s="56" t="str">
        <f>MID(Tabla1[[#This Row],[Aplicación]],14,6)</f>
        <v>22699</v>
      </c>
    </row>
    <row r="2755" spans="1:24" x14ac:dyDescent="0.25">
      <c r="A2755" s="62">
        <v>220230024853</v>
      </c>
      <c r="B2755" s="44" t="s">
        <v>507</v>
      </c>
      <c r="C2755" s="64">
        <v>45070</v>
      </c>
      <c r="D2755" s="62">
        <v>22023004594</v>
      </c>
      <c r="E2755" s="44" t="s">
        <v>3138</v>
      </c>
      <c r="F2755" s="65">
        <v>2028</v>
      </c>
      <c r="G2755" s="44" t="s">
        <v>4396</v>
      </c>
      <c r="H2755" s="44" t="s">
        <v>4397</v>
      </c>
      <c r="I2755" s="62" t="s">
        <v>511</v>
      </c>
      <c r="J2755" s="44" t="s">
        <v>519</v>
      </c>
      <c r="K2755" s="44" t="s">
        <v>519</v>
      </c>
      <c r="L2755" s="44" t="s">
        <v>552</v>
      </c>
      <c r="M2755" s="44" t="s">
        <v>976</v>
      </c>
      <c r="N2755" s="44" t="s">
        <v>839</v>
      </c>
      <c r="O2755" s="45" t="s">
        <v>383</v>
      </c>
      <c r="P2755" s="45" t="s">
        <v>3760</v>
      </c>
      <c r="Q2755" s="59" t="str">
        <f>MID(Tabla1[[#This Row],[Aplicación]],14,1)</f>
        <v>2</v>
      </c>
      <c r="R2755" s="35" t="s">
        <v>298</v>
      </c>
      <c r="S2755" s="59" t="str">
        <f>MID(Tabla1[[#This Row],[Aplicación]],6,2)</f>
        <v>08</v>
      </c>
      <c r="T2755" s="35" t="str">
        <f>VLOOKUP(Tabla1[[#This Row],[AREA]],Hoja1!A:B,2,FALSE)</f>
        <v>08. Movilidad y espacio urbano</v>
      </c>
      <c r="U2755" s="56" t="str">
        <f>MID(Tabla1[[#This Row],[Aplicación]],9,4)</f>
        <v>1532</v>
      </c>
      <c r="V2755" s="35" t="str">
        <f>VLOOKUP(Tabla1[[#This Row],[PROGRAMA]],Hoja1!A:B,2,FALSE)</f>
        <v>1532. Pavimentación vias públicas y otros servicios urbanísticos</v>
      </c>
      <c r="W2755" s="56" t="str">
        <f>MID(Tabla1[[#This Row],[Aplicación]],14,2)</f>
        <v>22</v>
      </c>
      <c r="X2755" s="56" t="str">
        <f>MID(Tabla1[[#This Row],[Aplicación]],14,6)</f>
        <v>22104</v>
      </c>
    </row>
    <row r="2756" spans="1:24" x14ac:dyDescent="0.25">
      <c r="A2756" s="62">
        <v>220230017047</v>
      </c>
      <c r="B2756" s="44" t="s">
        <v>507</v>
      </c>
      <c r="C2756" s="64">
        <v>45048</v>
      </c>
      <c r="D2756" s="62">
        <v>22023003814</v>
      </c>
      <c r="E2756" s="44" t="s">
        <v>3068</v>
      </c>
      <c r="F2756" s="65">
        <v>3.73</v>
      </c>
      <c r="G2756" s="44" t="s">
        <v>98</v>
      </c>
      <c r="H2756" s="44" t="s">
        <v>4398</v>
      </c>
      <c r="I2756" s="62" t="s">
        <v>511</v>
      </c>
      <c r="J2756" s="44" t="s">
        <v>519</v>
      </c>
      <c r="K2756" s="44" t="s">
        <v>519</v>
      </c>
      <c r="L2756" s="44" t="s">
        <v>552</v>
      </c>
      <c r="M2756" s="44" t="s">
        <v>514</v>
      </c>
      <c r="N2756" s="44" t="s">
        <v>515</v>
      </c>
      <c r="O2756" s="45" t="s">
        <v>382</v>
      </c>
      <c r="P2756" s="45" t="s">
        <v>3760</v>
      </c>
      <c r="Q2756" s="59" t="str">
        <f>MID(Tabla1[[#This Row],[Aplicación]],14,1)</f>
        <v>2</v>
      </c>
      <c r="R2756" s="35" t="s">
        <v>298</v>
      </c>
      <c r="S2756" s="59" t="str">
        <f>MID(Tabla1[[#This Row],[Aplicación]],6,2)</f>
        <v>05</v>
      </c>
      <c r="T2756" s="35" t="str">
        <f>VLOOKUP(Tabla1[[#This Row],[AREA]],Hoja1!A:B,2,FALSE)</f>
        <v>05. Innovación, desarrollo económico, empleo y comercio</v>
      </c>
      <c r="U2756" s="56" t="str">
        <f>MID(Tabla1[[#This Row],[Aplicación]],9,4)</f>
        <v>4312</v>
      </c>
      <c r="V2756" s="35" t="str">
        <f>VLOOKUP(Tabla1[[#This Row],[PROGRAMA]],Hoja1!A:B,2,FALSE)</f>
        <v>4312. Mercados, abastos y lonjas</v>
      </c>
      <c r="W2756" s="56" t="str">
        <f>MID(Tabla1[[#This Row],[Aplicación]],14,2)</f>
        <v>22</v>
      </c>
      <c r="X2756" s="56" t="str">
        <f>MID(Tabla1[[#This Row],[Aplicación]],14,6)</f>
        <v>22199</v>
      </c>
    </row>
    <row r="2757" spans="1:24" x14ac:dyDescent="0.25">
      <c r="A2757" s="62">
        <v>220230017048</v>
      </c>
      <c r="B2757" s="44" t="s">
        <v>507</v>
      </c>
      <c r="C2757" s="64">
        <v>45048</v>
      </c>
      <c r="D2757" s="62">
        <v>22023003724</v>
      </c>
      <c r="E2757" s="44" t="s">
        <v>1395</v>
      </c>
      <c r="F2757" s="65">
        <v>3902.25</v>
      </c>
      <c r="G2757" s="44" t="s">
        <v>502</v>
      </c>
      <c r="H2757" s="44" t="s">
        <v>4399</v>
      </c>
      <c r="I2757" s="62" t="s">
        <v>511</v>
      </c>
      <c r="J2757" s="44" t="s">
        <v>519</v>
      </c>
      <c r="K2757" s="44" t="s">
        <v>519</v>
      </c>
      <c r="L2757" s="44" t="s">
        <v>520</v>
      </c>
      <c r="M2757" s="44" t="s">
        <v>976</v>
      </c>
      <c r="N2757" s="44" t="s">
        <v>839</v>
      </c>
      <c r="O2757" s="45" t="s">
        <v>383</v>
      </c>
      <c r="P2757" s="45" t="s">
        <v>3760</v>
      </c>
      <c r="Q2757" s="59" t="str">
        <f>MID(Tabla1[[#This Row],[Aplicación]],14,1)</f>
        <v>2</v>
      </c>
      <c r="R2757" s="35" t="s">
        <v>298</v>
      </c>
      <c r="S2757" s="59" t="str">
        <f>MID(Tabla1[[#This Row],[Aplicación]],6,2)</f>
        <v>07</v>
      </c>
      <c r="T2757" s="35" t="str">
        <f>VLOOKUP(Tabla1[[#This Row],[AREA]],Hoja1!A:B,2,FALSE)</f>
        <v>07. Medio ambiente y desarrollo sostenible</v>
      </c>
      <c r="U2757" s="56" t="str">
        <f>MID(Tabla1[[#This Row],[Aplicación]],9,4)</f>
        <v>1721</v>
      </c>
      <c r="V2757" s="35" t="str">
        <f>VLOOKUP(Tabla1[[#This Row],[PROGRAMA]],Hoja1!A:B,2,FALSE)</f>
        <v>1721. Protección del medio ambiente</v>
      </c>
      <c r="W2757" s="56" t="str">
        <f>MID(Tabla1[[#This Row],[Aplicación]],14,2)</f>
        <v>22</v>
      </c>
      <c r="X2757" s="56" t="str">
        <f>MID(Tabla1[[#This Row],[Aplicación]],14,6)</f>
        <v>22112</v>
      </c>
    </row>
    <row r="2758" spans="1:24" x14ac:dyDescent="0.25">
      <c r="A2758" s="62">
        <v>220230013381</v>
      </c>
      <c r="B2758" s="44" t="s">
        <v>507</v>
      </c>
      <c r="C2758" s="64">
        <v>45020</v>
      </c>
      <c r="D2758" s="62">
        <v>22023003723</v>
      </c>
      <c r="E2758" s="44" t="s">
        <v>1390</v>
      </c>
      <c r="F2758" s="65">
        <v>3599.75</v>
      </c>
      <c r="G2758" s="44" t="s">
        <v>502</v>
      </c>
      <c r="H2758" s="44" t="s">
        <v>4400</v>
      </c>
      <c r="I2758" s="62" t="s">
        <v>511</v>
      </c>
      <c r="J2758" s="44" t="s">
        <v>519</v>
      </c>
      <c r="K2758" s="44" t="s">
        <v>519</v>
      </c>
      <c r="L2758" s="44" t="s">
        <v>520</v>
      </c>
      <c r="M2758" s="44" t="s">
        <v>976</v>
      </c>
      <c r="N2758" s="44" t="s">
        <v>839</v>
      </c>
      <c r="O2758" s="45" t="s">
        <v>383</v>
      </c>
      <c r="P2758" s="45" t="s">
        <v>3760</v>
      </c>
      <c r="Q2758" s="59" t="str">
        <f>MID(Tabla1[[#This Row],[Aplicación]],14,1)</f>
        <v>2</v>
      </c>
      <c r="R2758" s="35" t="s">
        <v>298</v>
      </c>
      <c r="S2758" s="59" t="str">
        <f>MID(Tabla1[[#This Row],[Aplicación]],6,2)</f>
        <v>07</v>
      </c>
      <c r="T2758" s="35" t="str">
        <f>VLOOKUP(Tabla1[[#This Row],[AREA]],Hoja1!A:B,2,FALSE)</f>
        <v>07. Medio ambiente y desarrollo sostenible</v>
      </c>
      <c r="U2758" s="56" t="str">
        <f>MID(Tabla1[[#This Row],[Aplicación]],9,4)</f>
        <v>1721</v>
      </c>
      <c r="V2758" s="35" t="str">
        <f>VLOOKUP(Tabla1[[#This Row],[PROGRAMA]],Hoja1!A:B,2,FALSE)</f>
        <v>1721. Protección del medio ambiente</v>
      </c>
      <c r="W2758" s="56" t="str">
        <f>MID(Tabla1[[#This Row],[Aplicación]],14,2)</f>
        <v>22</v>
      </c>
      <c r="X2758" s="56" t="str">
        <f>MID(Tabla1[[#This Row],[Aplicación]],14,6)</f>
        <v>22799</v>
      </c>
    </row>
    <row r="2759" spans="1:24" x14ac:dyDescent="0.25">
      <c r="A2759" s="62">
        <v>220230025399</v>
      </c>
      <c r="B2759" s="44" t="s">
        <v>507</v>
      </c>
      <c r="C2759" s="64">
        <v>45072</v>
      </c>
      <c r="D2759" s="62">
        <v>22023004694</v>
      </c>
      <c r="E2759" s="44" t="s">
        <v>1382</v>
      </c>
      <c r="F2759" s="65">
        <v>439.08</v>
      </c>
      <c r="G2759" s="44" t="s">
        <v>93</v>
      </c>
      <c r="H2759" s="44" t="s">
        <v>4401</v>
      </c>
      <c r="I2759" s="62" t="s">
        <v>511</v>
      </c>
      <c r="J2759" s="44" t="s">
        <v>519</v>
      </c>
      <c r="K2759" s="44" t="s">
        <v>519</v>
      </c>
      <c r="L2759" s="44" t="s">
        <v>552</v>
      </c>
      <c r="M2759" s="44" t="s">
        <v>976</v>
      </c>
      <c r="N2759" s="44" t="s">
        <v>839</v>
      </c>
      <c r="O2759" s="45" t="s">
        <v>383</v>
      </c>
      <c r="P2759" s="45" t="s">
        <v>3760</v>
      </c>
      <c r="Q2759" s="59" t="str">
        <f>MID(Tabla1[[#This Row],[Aplicación]],14,1)</f>
        <v>2</v>
      </c>
      <c r="R2759" s="35" t="s">
        <v>298</v>
      </c>
      <c r="S2759" s="59" t="str">
        <f>MID(Tabla1[[#This Row],[Aplicación]],6,2)</f>
        <v>03</v>
      </c>
      <c r="T2759" s="35" t="str">
        <f>VLOOKUP(Tabla1[[#This Row],[AREA]],Hoja1!A:B,2,FALSE)</f>
        <v>03. Participación ciudadana y deportes</v>
      </c>
      <c r="U2759" s="56" t="str">
        <f>MID(Tabla1[[#This Row],[Aplicación]],9,4)</f>
        <v>9241</v>
      </c>
      <c r="V2759" s="35" t="str">
        <f>VLOOKUP(Tabla1[[#This Row],[PROGRAMA]],Hoja1!A:B,2,FALSE)</f>
        <v>9241. Participación ciudadana</v>
      </c>
      <c r="W2759" s="56" t="str">
        <f>MID(Tabla1[[#This Row],[Aplicación]],14,2)</f>
        <v>22</v>
      </c>
      <c r="X2759" s="56" t="str">
        <f>MID(Tabla1[[#This Row],[Aplicación]],14,6)</f>
        <v>22699</v>
      </c>
    </row>
    <row r="2760" spans="1:24" x14ac:dyDescent="0.25">
      <c r="A2760" s="62">
        <v>220230017056</v>
      </c>
      <c r="B2760" s="44" t="s">
        <v>507</v>
      </c>
      <c r="C2760" s="64">
        <v>45048</v>
      </c>
      <c r="D2760" s="62">
        <v>22023003897</v>
      </c>
      <c r="E2760" s="44" t="s">
        <v>574</v>
      </c>
      <c r="F2760" s="65">
        <v>16225</v>
      </c>
      <c r="G2760" s="44" t="s">
        <v>4402</v>
      </c>
      <c r="H2760" s="44" t="s">
        <v>4403</v>
      </c>
      <c r="I2760" s="62" t="s">
        <v>511</v>
      </c>
      <c r="J2760" s="44" t="s">
        <v>519</v>
      </c>
      <c r="K2760" s="44" t="s">
        <v>519</v>
      </c>
      <c r="L2760" s="44" t="s">
        <v>520</v>
      </c>
      <c r="M2760" s="44" t="s">
        <v>976</v>
      </c>
      <c r="N2760" s="44" t="s">
        <v>839</v>
      </c>
      <c r="O2760" s="45" t="s">
        <v>383</v>
      </c>
      <c r="P2760" s="45" t="s">
        <v>3760</v>
      </c>
      <c r="Q2760" s="59" t="str">
        <f>MID(Tabla1[[#This Row],[Aplicación]],14,1)</f>
        <v>2</v>
      </c>
      <c r="R2760" s="35" t="s">
        <v>298</v>
      </c>
      <c r="S2760" s="59" t="str">
        <f>MID(Tabla1[[#This Row],[Aplicación]],6,2)</f>
        <v>11</v>
      </c>
      <c r="T2760" s="35" t="str">
        <f>VLOOKUP(Tabla1[[#This Row],[AREA]],Hoja1!A:B,2,FALSE)</f>
        <v>11. Salud pública y seguridad ciudadana</v>
      </c>
      <c r="U2760" s="56" t="str">
        <f>MID(Tabla1[[#This Row],[Aplicación]],9,4)</f>
        <v>1621</v>
      </c>
      <c r="V2760" s="35" t="str">
        <f>VLOOKUP(Tabla1[[#This Row],[PROGRAMA]],Hoja1!A:B,2,FALSE)</f>
        <v>1621. Servicio de limpieza</v>
      </c>
      <c r="W2760" s="56" t="str">
        <f>MID(Tabla1[[#This Row],[Aplicación]],14,2)</f>
        <v>22</v>
      </c>
      <c r="X2760" s="56" t="str">
        <f>MID(Tabla1[[#This Row],[Aplicación]],14,6)</f>
        <v>22700</v>
      </c>
    </row>
    <row r="2761" spans="1:24" x14ac:dyDescent="0.25">
      <c r="A2761" s="62">
        <v>220230016005</v>
      </c>
      <c r="B2761" s="44" t="s">
        <v>507</v>
      </c>
      <c r="C2761" s="64">
        <v>45042</v>
      </c>
      <c r="D2761" s="62">
        <v>22023004108</v>
      </c>
      <c r="E2761" s="44" t="s">
        <v>1191</v>
      </c>
      <c r="F2761" s="65">
        <v>178.9</v>
      </c>
      <c r="G2761" s="44" t="s">
        <v>2375</v>
      </c>
      <c r="H2761" s="44" t="s">
        <v>4404</v>
      </c>
      <c r="I2761" s="62" t="s">
        <v>511</v>
      </c>
      <c r="J2761" s="44" t="s">
        <v>519</v>
      </c>
      <c r="K2761" s="44" t="s">
        <v>519</v>
      </c>
      <c r="L2761" s="44" t="s">
        <v>520</v>
      </c>
      <c r="M2761" s="44" t="s">
        <v>976</v>
      </c>
      <c r="N2761" s="44" t="s">
        <v>839</v>
      </c>
      <c r="O2761" s="45" t="s">
        <v>383</v>
      </c>
      <c r="P2761" s="45" t="s">
        <v>3760</v>
      </c>
      <c r="Q2761" s="59" t="str">
        <f>MID(Tabla1[[#This Row],[Aplicación]],14,1)</f>
        <v>2</v>
      </c>
      <c r="R2761" s="35" t="s">
        <v>298</v>
      </c>
      <c r="S2761" s="59" t="str">
        <f>MID(Tabla1[[#This Row],[Aplicación]],6,2)</f>
        <v>06</v>
      </c>
      <c r="T2761" s="35" t="str">
        <f>VLOOKUP(Tabla1[[#This Row],[AREA]],Hoja1!A:B,2,FALSE)</f>
        <v>06. Educación, infancia, juventud e igualdad</v>
      </c>
      <c r="U2761" s="56" t="str">
        <f>MID(Tabla1[[#This Row],[Aplicación]],9,4)</f>
        <v>2315</v>
      </c>
      <c r="V2761" s="35" t="str">
        <f>VLOOKUP(Tabla1[[#This Row],[PROGRAMA]],Hoja1!A:B,2,FALSE)</f>
        <v>2315. Políticas de Igualdad e infancia</v>
      </c>
      <c r="W2761" s="56" t="str">
        <f>MID(Tabla1[[#This Row],[Aplicación]],14,2)</f>
        <v>22</v>
      </c>
      <c r="X2761" s="56" t="str">
        <f>MID(Tabla1[[#This Row],[Aplicación]],14,6)</f>
        <v>22611</v>
      </c>
    </row>
    <row r="2762" spans="1:24" x14ac:dyDescent="0.25">
      <c r="A2762" s="62">
        <v>220230020523</v>
      </c>
      <c r="B2762" s="44" t="s">
        <v>507</v>
      </c>
      <c r="C2762" s="64">
        <v>45058</v>
      </c>
      <c r="D2762" s="62">
        <v>22023004283</v>
      </c>
      <c r="E2762" s="44" t="s">
        <v>2107</v>
      </c>
      <c r="F2762" s="65">
        <v>332.97</v>
      </c>
      <c r="G2762" s="44" t="s">
        <v>4405</v>
      </c>
      <c r="H2762" s="44" t="s">
        <v>4406</v>
      </c>
      <c r="I2762" s="62" t="s">
        <v>511</v>
      </c>
      <c r="J2762" s="44" t="s">
        <v>519</v>
      </c>
      <c r="K2762" s="44" t="s">
        <v>519</v>
      </c>
      <c r="L2762" s="44" t="s">
        <v>520</v>
      </c>
      <c r="M2762" s="44" t="s">
        <v>976</v>
      </c>
      <c r="N2762" s="44" t="s">
        <v>839</v>
      </c>
      <c r="O2762" s="45" t="s">
        <v>383</v>
      </c>
      <c r="P2762" s="45" t="s">
        <v>3760</v>
      </c>
      <c r="Q2762" s="59" t="str">
        <f>MID(Tabla1[[#This Row],[Aplicación]],14,1)</f>
        <v>2</v>
      </c>
      <c r="R2762" s="35" t="s">
        <v>298</v>
      </c>
      <c r="S2762" s="59" t="str">
        <f>MID(Tabla1[[#This Row],[Aplicación]],6,2)</f>
        <v>07</v>
      </c>
      <c r="T2762" s="35" t="str">
        <f>VLOOKUP(Tabla1[[#This Row],[AREA]],Hoja1!A:B,2,FALSE)</f>
        <v>07. Medio ambiente y desarrollo sostenible</v>
      </c>
      <c r="U2762" s="56" t="str">
        <f>MID(Tabla1[[#This Row],[Aplicación]],9,4)</f>
        <v>1711</v>
      </c>
      <c r="V2762" s="35" t="str">
        <f>VLOOKUP(Tabla1[[#This Row],[PROGRAMA]],Hoja1!A:B,2,FALSE)</f>
        <v>1711. Parques y jardines</v>
      </c>
      <c r="W2762" s="56" t="str">
        <f>MID(Tabla1[[#This Row],[Aplicación]],14,2)</f>
        <v>21</v>
      </c>
      <c r="X2762" s="56" t="str">
        <f>MID(Tabla1[[#This Row],[Aplicación]],14,6)</f>
        <v>213</v>
      </c>
    </row>
    <row r="2763" spans="1:24" x14ac:dyDescent="0.25">
      <c r="A2763" s="62">
        <v>220230016020</v>
      </c>
      <c r="B2763" s="44" t="s">
        <v>507</v>
      </c>
      <c r="C2763" s="64">
        <v>45042</v>
      </c>
      <c r="D2763" s="62">
        <v>22023004111</v>
      </c>
      <c r="E2763" s="44" t="s">
        <v>4407</v>
      </c>
      <c r="F2763" s="65">
        <v>7260</v>
      </c>
      <c r="G2763" s="44" t="s">
        <v>4408</v>
      </c>
      <c r="H2763" s="44" t="s">
        <v>4409</v>
      </c>
      <c r="I2763" s="62" t="s">
        <v>511</v>
      </c>
      <c r="J2763" s="44" t="s">
        <v>519</v>
      </c>
      <c r="K2763" s="44" t="s">
        <v>519</v>
      </c>
      <c r="L2763" s="44" t="s">
        <v>520</v>
      </c>
      <c r="M2763" s="44" t="s">
        <v>976</v>
      </c>
      <c r="N2763" s="44" t="s">
        <v>839</v>
      </c>
      <c r="O2763" s="45" t="s">
        <v>383</v>
      </c>
      <c r="P2763" s="45" t="s">
        <v>3760</v>
      </c>
      <c r="Q2763" s="59" t="str">
        <f>MID(Tabla1[[#This Row],[Aplicación]],14,1)</f>
        <v>2</v>
      </c>
      <c r="R2763" s="35" t="s">
        <v>298</v>
      </c>
      <c r="S2763" s="59" t="str">
        <f>MID(Tabla1[[#This Row],[Aplicación]],6,2)</f>
        <v>06</v>
      </c>
      <c r="T2763" s="35" t="str">
        <f>VLOOKUP(Tabla1[[#This Row],[AREA]],Hoja1!A:B,2,FALSE)</f>
        <v>06. Educación, infancia, juventud e igualdad</v>
      </c>
      <c r="U2763" s="56" t="str">
        <f>MID(Tabla1[[#This Row],[Aplicación]],9,4)</f>
        <v>3231</v>
      </c>
      <c r="V2763" s="35" t="str">
        <f>VLOOKUP(Tabla1[[#This Row],[PROGRAMA]],Hoja1!A:B,2,FALSE)</f>
        <v>3231. Escuelas infantiles</v>
      </c>
      <c r="W2763" s="56" t="str">
        <f>MID(Tabla1[[#This Row],[Aplicación]],14,2)</f>
        <v>22</v>
      </c>
      <c r="X2763" s="56" t="str">
        <f>MID(Tabla1[[#This Row],[Aplicación]],14,6)</f>
        <v>22699</v>
      </c>
    </row>
    <row r="2764" spans="1:24" x14ac:dyDescent="0.25">
      <c r="A2764" s="62">
        <v>220230012986</v>
      </c>
      <c r="B2764" s="44" t="s">
        <v>507</v>
      </c>
      <c r="C2764" s="64">
        <v>45019</v>
      </c>
      <c r="D2764" s="62">
        <v>22023003725</v>
      </c>
      <c r="E2764" s="44" t="s">
        <v>1479</v>
      </c>
      <c r="F2764" s="65">
        <v>228.3</v>
      </c>
      <c r="G2764" s="44" t="s">
        <v>4410</v>
      </c>
      <c r="H2764" s="44" t="s">
        <v>4411</v>
      </c>
      <c r="I2764" s="62" t="s">
        <v>511</v>
      </c>
      <c r="J2764" s="44" t="s">
        <v>519</v>
      </c>
      <c r="K2764" s="44" t="s">
        <v>519</v>
      </c>
      <c r="L2764" s="44" t="s">
        <v>520</v>
      </c>
      <c r="M2764" s="44" t="s">
        <v>976</v>
      </c>
      <c r="N2764" s="44" t="s">
        <v>839</v>
      </c>
      <c r="O2764" s="45" t="s">
        <v>383</v>
      </c>
      <c r="P2764" s="45" t="s">
        <v>3760</v>
      </c>
      <c r="Q2764" s="59" t="str">
        <f>MID(Tabla1[[#This Row],[Aplicación]],14,1)</f>
        <v>2</v>
      </c>
      <c r="R2764" s="35" t="s">
        <v>298</v>
      </c>
      <c r="S2764" s="59" t="str">
        <f>MID(Tabla1[[#This Row],[Aplicación]],6,2)</f>
        <v>03</v>
      </c>
      <c r="T2764" s="35" t="str">
        <f>VLOOKUP(Tabla1[[#This Row],[AREA]],Hoja1!A:B,2,FALSE)</f>
        <v>03. Participación ciudadana y deportes</v>
      </c>
      <c r="U2764" s="56" t="str">
        <f>MID(Tabla1[[#This Row],[Aplicación]],9,4)</f>
        <v>9241</v>
      </c>
      <c r="V2764" s="35" t="str">
        <f>VLOOKUP(Tabla1[[#This Row],[PROGRAMA]],Hoja1!A:B,2,FALSE)</f>
        <v>9241. Participación ciudadana</v>
      </c>
      <c r="W2764" s="56" t="str">
        <f>MID(Tabla1[[#This Row],[Aplicación]],14,2)</f>
        <v>22</v>
      </c>
      <c r="X2764" s="56" t="str">
        <f>MID(Tabla1[[#This Row],[Aplicación]],14,6)</f>
        <v>22609</v>
      </c>
    </row>
    <row r="2765" spans="1:24" x14ac:dyDescent="0.25">
      <c r="A2765" s="62">
        <v>220230015973</v>
      </c>
      <c r="B2765" s="44" t="s">
        <v>507</v>
      </c>
      <c r="C2765" s="64">
        <v>45042</v>
      </c>
      <c r="D2765" s="62">
        <v>22023004043</v>
      </c>
      <c r="E2765" s="44" t="s">
        <v>1191</v>
      </c>
      <c r="F2765" s="65">
        <v>1270.58</v>
      </c>
      <c r="G2765" s="44" t="s">
        <v>483</v>
      </c>
      <c r="H2765" s="44" t="s">
        <v>4412</v>
      </c>
      <c r="I2765" s="62" t="s">
        <v>511</v>
      </c>
      <c r="J2765" s="44" t="s">
        <v>519</v>
      </c>
      <c r="K2765" s="44" t="s">
        <v>519</v>
      </c>
      <c r="L2765" s="44" t="s">
        <v>520</v>
      </c>
      <c r="M2765" s="44" t="s">
        <v>976</v>
      </c>
      <c r="N2765" s="44" t="s">
        <v>839</v>
      </c>
      <c r="O2765" s="45" t="s">
        <v>383</v>
      </c>
      <c r="P2765" s="45" t="s">
        <v>3760</v>
      </c>
      <c r="Q2765" s="59" t="str">
        <f>MID(Tabla1[[#This Row],[Aplicación]],14,1)</f>
        <v>2</v>
      </c>
      <c r="R2765" s="35" t="s">
        <v>298</v>
      </c>
      <c r="S2765" s="59" t="str">
        <f>MID(Tabla1[[#This Row],[Aplicación]],6,2)</f>
        <v>06</v>
      </c>
      <c r="T2765" s="35" t="str">
        <f>VLOOKUP(Tabla1[[#This Row],[AREA]],Hoja1!A:B,2,FALSE)</f>
        <v>06. Educación, infancia, juventud e igualdad</v>
      </c>
      <c r="U2765" s="56" t="str">
        <f>MID(Tabla1[[#This Row],[Aplicación]],9,4)</f>
        <v>2315</v>
      </c>
      <c r="V2765" s="35" t="str">
        <f>VLOOKUP(Tabla1[[#This Row],[PROGRAMA]],Hoja1!A:B,2,FALSE)</f>
        <v>2315. Políticas de Igualdad e infancia</v>
      </c>
      <c r="W2765" s="56" t="str">
        <f>MID(Tabla1[[#This Row],[Aplicación]],14,2)</f>
        <v>22</v>
      </c>
      <c r="X2765" s="56" t="str">
        <f>MID(Tabla1[[#This Row],[Aplicación]],14,6)</f>
        <v>22611</v>
      </c>
    </row>
    <row r="2766" spans="1:24" x14ac:dyDescent="0.25">
      <c r="A2766" s="62">
        <v>220230020797</v>
      </c>
      <c r="B2766" s="44" t="s">
        <v>507</v>
      </c>
      <c r="C2766" s="64">
        <v>45062</v>
      </c>
      <c r="D2766" s="62">
        <v>22023004494</v>
      </c>
      <c r="E2766" s="44" t="s">
        <v>3068</v>
      </c>
      <c r="F2766" s="65">
        <v>20.61</v>
      </c>
      <c r="G2766" s="44" t="s">
        <v>1481</v>
      </c>
      <c r="H2766" s="44" t="s">
        <v>4413</v>
      </c>
      <c r="I2766" s="62" t="s">
        <v>511</v>
      </c>
      <c r="J2766" s="44" t="s">
        <v>837</v>
      </c>
      <c r="K2766" s="44" t="s">
        <v>837</v>
      </c>
      <c r="L2766" s="44" t="s">
        <v>552</v>
      </c>
      <c r="M2766" s="44" t="s">
        <v>514</v>
      </c>
      <c r="N2766" s="44" t="s">
        <v>515</v>
      </c>
      <c r="O2766" s="45" t="s">
        <v>382</v>
      </c>
      <c r="P2766" s="45" t="s">
        <v>3760</v>
      </c>
      <c r="Q2766" s="59" t="str">
        <f>MID(Tabla1[[#This Row],[Aplicación]],14,1)</f>
        <v>2</v>
      </c>
      <c r="R2766" s="35" t="s">
        <v>298</v>
      </c>
      <c r="S2766" s="59" t="str">
        <f>MID(Tabla1[[#This Row],[Aplicación]],6,2)</f>
        <v>05</v>
      </c>
      <c r="T2766" s="35" t="str">
        <f>VLOOKUP(Tabla1[[#This Row],[AREA]],Hoja1!A:B,2,FALSE)</f>
        <v>05. Innovación, desarrollo económico, empleo y comercio</v>
      </c>
      <c r="U2766" s="56" t="str">
        <f>MID(Tabla1[[#This Row],[Aplicación]],9,4)</f>
        <v>4312</v>
      </c>
      <c r="V2766" s="35" t="str">
        <f>VLOOKUP(Tabla1[[#This Row],[PROGRAMA]],Hoja1!A:B,2,FALSE)</f>
        <v>4312. Mercados, abastos y lonjas</v>
      </c>
      <c r="W2766" s="56" t="str">
        <f>MID(Tabla1[[#This Row],[Aplicación]],14,2)</f>
        <v>22</v>
      </c>
      <c r="X2766" s="56" t="str">
        <f>MID(Tabla1[[#This Row],[Aplicación]],14,6)</f>
        <v>22199</v>
      </c>
    </row>
    <row r="2767" spans="1:24" x14ac:dyDescent="0.25">
      <c r="A2767" s="62">
        <v>220230015972</v>
      </c>
      <c r="B2767" s="44" t="s">
        <v>507</v>
      </c>
      <c r="C2767" s="64">
        <v>45042</v>
      </c>
      <c r="D2767" s="62">
        <v>22023004042</v>
      </c>
      <c r="E2767" s="44" t="s">
        <v>1191</v>
      </c>
      <c r="F2767" s="65">
        <v>376.47</v>
      </c>
      <c r="G2767" s="44" t="s">
        <v>483</v>
      </c>
      <c r="H2767" s="44" t="s">
        <v>4414</v>
      </c>
      <c r="I2767" s="62" t="s">
        <v>511</v>
      </c>
      <c r="J2767" s="44" t="s">
        <v>519</v>
      </c>
      <c r="K2767" s="44" t="s">
        <v>519</v>
      </c>
      <c r="L2767" s="44" t="s">
        <v>520</v>
      </c>
      <c r="M2767" s="44" t="s">
        <v>976</v>
      </c>
      <c r="N2767" s="44" t="s">
        <v>839</v>
      </c>
      <c r="O2767" s="45" t="s">
        <v>383</v>
      </c>
      <c r="P2767" s="45" t="s">
        <v>3760</v>
      </c>
      <c r="Q2767" s="59" t="str">
        <f>MID(Tabla1[[#This Row],[Aplicación]],14,1)</f>
        <v>2</v>
      </c>
      <c r="R2767" s="35" t="s">
        <v>298</v>
      </c>
      <c r="S2767" s="59" t="str">
        <f>MID(Tabla1[[#This Row],[Aplicación]],6,2)</f>
        <v>06</v>
      </c>
      <c r="T2767" s="35" t="str">
        <f>VLOOKUP(Tabla1[[#This Row],[AREA]],Hoja1!A:B,2,FALSE)</f>
        <v>06. Educación, infancia, juventud e igualdad</v>
      </c>
      <c r="U2767" s="56" t="str">
        <f>MID(Tabla1[[#This Row],[Aplicación]],9,4)</f>
        <v>2315</v>
      </c>
      <c r="V2767" s="35" t="str">
        <f>VLOOKUP(Tabla1[[#This Row],[PROGRAMA]],Hoja1!A:B,2,FALSE)</f>
        <v>2315. Políticas de Igualdad e infancia</v>
      </c>
      <c r="W2767" s="56" t="str">
        <f>MID(Tabla1[[#This Row],[Aplicación]],14,2)</f>
        <v>22</v>
      </c>
      <c r="X2767" s="56" t="str">
        <f>MID(Tabla1[[#This Row],[Aplicación]],14,6)</f>
        <v>22611</v>
      </c>
    </row>
    <row r="2768" spans="1:24" x14ac:dyDescent="0.25">
      <c r="A2768" s="62">
        <v>220230020237</v>
      </c>
      <c r="B2768" s="44" t="s">
        <v>1514</v>
      </c>
      <c r="C2768" s="64">
        <v>45057</v>
      </c>
      <c r="D2768" s="62">
        <v>22023002013</v>
      </c>
      <c r="E2768" s="44" t="s">
        <v>4365</v>
      </c>
      <c r="F2768" s="65">
        <v>1500</v>
      </c>
      <c r="G2768" s="44" t="s">
        <v>4075</v>
      </c>
      <c r="H2768" s="44" t="s">
        <v>4415</v>
      </c>
      <c r="I2768" s="62" t="s">
        <v>1517</v>
      </c>
      <c r="J2768" s="44" t="s">
        <v>519</v>
      </c>
      <c r="K2768" s="44" t="s">
        <v>519</v>
      </c>
      <c r="L2768" s="44" t="s">
        <v>552</v>
      </c>
      <c r="M2768" s="44" t="s">
        <v>514</v>
      </c>
      <c r="N2768" s="44" t="s">
        <v>515</v>
      </c>
      <c r="O2768" s="45" t="s">
        <v>382</v>
      </c>
      <c r="P2768" s="45" t="s">
        <v>3760</v>
      </c>
      <c r="Q2768" s="59">
        <v>6</v>
      </c>
      <c r="R2768" s="35" t="s">
        <v>299</v>
      </c>
      <c r="S2768" s="59" t="str">
        <f>MID(Tabla1[[#This Row],[Aplicación]],6,2)</f>
        <v>06</v>
      </c>
      <c r="T2768" s="35" t="str">
        <f>VLOOKUP(Tabla1[[#This Row],[AREA]],Hoja1!A:B,2,FALSE)</f>
        <v>06. Educación, infancia, juventud e igualdad</v>
      </c>
      <c r="U2768" s="56" t="str">
        <f>MID(Tabla1[[#This Row],[Aplicación]],9,4)</f>
        <v>0 33</v>
      </c>
      <c r="V2768" s="59">
        <v>3321</v>
      </c>
      <c r="W2768" s="59">
        <v>62</v>
      </c>
      <c r="X2768" s="59">
        <v>629</v>
      </c>
    </row>
    <row r="2769" spans="1:24" x14ac:dyDescent="0.25">
      <c r="A2769" s="62">
        <v>220230013524</v>
      </c>
      <c r="B2769" s="44" t="s">
        <v>1514</v>
      </c>
      <c r="C2769" s="64">
        <v>45021</v>
      </c>
      <c r="D2769" s="62">
        <v>22023002053</v>
      </c>
      <c r="E2769" s="44" t="s">
        <v>2107</v>
      </c>
      <c r="F2769" s="65">
        <v>1077.0899999999999</v>
      </c>
      <c r="G2769" s="44" t="s">
        <v>2115</v>
      </c>
      <c r="H2769" s="44" t="s">
        <v>4416</v>
      </c>
      <c r="I2769" s="62" t="s">
        <v>1517</v>
      </c>
      <c r="J2769" s="44" t="s">
        <v>519</v>
      </c>
      <c r="K2769" s="44" t="s">
        <v>519</v>
      </c>
      <c r="L2769" s="44" t="s">
        <v>552</v>
      </c>
      <c r="M2769" s="44" t="s">
        <v>514</v>
      </c>
      <c r="N2769" s="44" t="s">
        <v>515</v>
      </c>
      <c r="O2769" s="45" t="s">
        <v>382</v>
      </c>
      <c r="P2769" s="45" t="s">
        <v>3760</v>
      </c>
      <c r="Q2769" s="59" t="str">
        <f>MID(Tabla1[[#This Row],[Aplicación]],14,1)</f>
        <v>2</v>
      </c>
      <c r="R2769" s="35" t="s">
        <v>298</v>
      </c>
      <c r="S2769" s="59" t="str">
        <f>MID(Tabla1[[#This Row],[Aplicación]],6,2)</f>
        <v>07</v>
      </c>
      <c r="T2769" s="35" t="str">
        <f>VLOOKUP(Tabla1[[#This Row],[AREA]],Hoja1!A:B,2,FALSE)</f>
        <v>07. Medio ambiente y desarrollo sostenible</v>
      </c>
      <c r="U2769" s="56" t="str">
        <f>MID(Tabla1[[#This Row],[Aplicación]],9,4)</f>
        <v>1711</v>
      </c>
      <c r="V2769" s="35" t="str">
        <f>VLOOKUP(Tabla1[[#This Row],[PROGRAMA]],Hoja1!A:B,2,FALSE)</f>
        <v>1711. Parques y jardines</v>
      </c>
      <c r="W2769" s="56" t="str">
        <f>MID(Tabla1[[#This Row],[Aplicación]],14,2)</f>
        <v>21</v>
      </c>
      <c r="X2769" s="56" t="str">
        <f>MID(Tabla1[[#This Row],[Aplicación]],14,6)</f>
        <v>213</v>
      </c>
    </row>
    <row r="2770" spans="1:24" x14ac:dyDescent="0.25">
      <c r="A2770" s="62">
        <v>220230013526</v>
      </c>
      <c r="B2770" s="44" t="s">
        <v>1514</v>
      </c>
      <c r="C2770" s="64">
        <v>45021</v>
      </c>
      <c r="D2770" s="62">
        <v>22023002053</v>
      </c>
      <c r="E2770" s="44" t="s">
        <v>2107</v>
      </c>
      <c r="F2770" s="65">
        <v>1508.53</v>
      </c>
      <c r="G2770" s="44" t="s">
        <v>2115</v>
      </c>
      <c r="H2770" s="44" t="s">
        <v>4417</v>
      </c>
      <c r="I2770" s="62" t="s">
        <v>1517</v>
      </c>
      <c r="J2770" s="44" t="s">
        <v>519</v>
      </c>
      <c r="K2770" s="44" t="s">
        <v>519</v>
      </c>
      <c r="L2770" s="44" t="s">
        <v>520</v>
      </c>
      <c r="M2770" s="44" t="s">
        <v>514</v>
      </c>
      <c r="N2770" s="44" t="s">
        <v>515</v>
      </c>
      <c r="O2770" s="45" t="s">
        <v>382</v>
      </c>
      <c r="P2770" s="45" t="s">
        <v>3760</v>
      </c>
      <c r="Q2770" s="59" t="str">
        <f>MID(Tabla1[[#This Row],[Aplicación]],14,1)</f>
        <v>2</v>
      </c>
      <c r="R2770" s="35" t="s">
        <v>298</v>
      </c>
      <c r="S2770" s="59" t="str">
        <f>MID(Tabla1[[#This Row],[Aplicación]],6,2)</f>
        <v>07</v>
      </c>
      <c r="T2770" s="35" t="str">
        <f>VLOOKUP(Tabla1[[#This Row],[AREA]],Hoja1!A:B,2,FALSE)</f>
        <v>07. Medio ambiente y desarrollo sostenible</v>
      </c>
      <c r="U2770" s="56" t="str">
        <f>MID(Tabla1[[#This Row],[Aplicación]],9,4)</f>
        <v>1711</v>
      </c>
      <c r="V2770" s="35" t="str">
        <f>VLOOKUP(Tabla1[[#This Row],[PROGRAMA]],Hoja1!A:B,2,FALSE)</f>
        <v>1711. Parques y jardines</v>
      </c>
      <c r="W2770" s="56" t="str">
        <f>MID(Tabla1[[#This Row],[Aplicación]],14,2)</f>
        <v>21</v>
      </c>
      <c r="X2770" s="56" t="str">
        <f>MID(Tabla1[[#This Row],[Aplicación]],14,6)</f>
        <v>213</v>
      </c>
    </row>
    <row r="2771" spans="1:24" x14ac:dyDescent="0.25">
      <c r="A2771" s="62">
        <v>220230016068</v>
      </c>
      <c r="B2771" s="44" t="s">
        <v>1514</v>
      </c>
      <c r="C2771" s="64">
        <v>45043</v>
      </c>
      <c r="D2771" s="62">
        <v>22023002739</v>
      </c>
      <c r="E2771" s="44" t="s">
        <v>1551</v>
      </c>
      <c r="F2771" s="65">
        <v>310.61</v>
      </c>
      <c r="G2771" s="44" t="s">
        <v>2115</v>
      </c>
      <c r="H2771" s="44" t="s">
        <v>4418</v>
      </c>
      <c r="I2771" s="62" t="s">
        <v>1517</v>
      </c>
      <c r="J2771" s="44" t="s">
        <v>519</v>
      </c>
      <c r="K2771" s="44" t="s">
        <v>519</v>
      </c>
      <c r="L2771" s="44" t="s">
        <v>552</v>
      </c>
      <c r="M2771" s="44" t="s">
        <v>514</v>
      </c>
      <c r="N2771" s="44" t="s">
        <v>515</v>
      </c>
      <c r="O2771" s="45" t="s">
        <v>382</v>
      </c>
      <c r="P2771" s="45" t="s">
        <v>3760</v>
      </c>
      <c r="Q2771" s="59" t="str">
        <f>MID(Tabla1[[#This Row],[Aplicación]],14,1)</f>
        <v>2</v>
      </c>
      <c r="R2771" s="35" t="s">
        <v>298</v>
      </c>
      <c r="S2771" s="59" t="str">
        <f>MID(Tabla1[[#This Row],[Aplicación]],6,2)</f>
        <v>02</v>
      </c>
      <c r="T2771" s="35" t="str">
        <f>VLOOKUP(Tabla1[[#This Row],[AREA]],Hoja1!A:B,2,FALSE)</f>
        <v>02. Planeamiento urbanístico y vivienda</v>
      </c>
      <c r="U2771" s="56" t="str">
        <f>MID(Tabla1[[#This Row],[Aplicación]],9,4)</f>
        <v>9332</v>
      </c>
      <c r="V2771" s="35" t="str">
        <f>VLOOKUP(Tabla1[[#This Row],[PROGRAMA]],Hoja1!A:B,2,FALSE)</f>
        <v>9332. Mantenimiento de edificios e instalaciones municipales</v>
      </c>
      <c r="W2771" s="56" t="str">
        <f>MID(Tabla1[[#This Row],[Aplicación]],14,2)</f>
        <v>21</v>
      </c>
      <c r="X2771" s="56" t="str">
        <f>MID(Tabla1[[#This Row],[Aplicación]],14,6)</f>
        <v>212</v>
      </c>
    </row>
    <row r="2772" spans="1:24" x14ac:dyDescent="0.25">
      <c r="A2772" s="62">
        <v>220230016116</v>
      </c>
      <c r="B2772" s="44" t="s">
        <v>1514</v>
      </c>
      <c r="C2772" s="64">
        <v>45043</v>
      </c>
      <c r="D2772" s="62">
        <v>22023002181</v>
      </c>
      <c r="E2772" s="44" t="s">
        <v>1305</v>
      </c>
      <c r="F2772" s="65">
        <v>1198.3499999999999</v>
      </c>
      <c r="G2772" s="44" t="s">
        <v>2115</v>
      </c>
      <c r="H2772" s="44" t="s">
        <v>4419</v>
      </c>
      <c r="I2772" s="62" t="s">
        <v>1517</v>
      </c>
      <c r="J2772" s="44" t="s">
        <v>519</v>
      </c>
      <c r="K2772" s="44" t="s">
        <v>519</v>
      </c>
      <c r="L2772" s="44" t="s">
        <v>552</v>
      </c>
      <c r="M2772" s="44" t="s">
        <v>514</v>
      </c>
      <c r="N2772" s="44" t="s">
        <v>515</v>
      </c>
      <c r="O2772" s="45" t="s">
        <v>382</v>
      </c>
      <c r="P2772" s="45" t="s">
        <v>3760</v>
      </c>
      <c r="Q2772" s="59" t="str">
        <f>MID(Tabla1[[#This Row],[Aplicación]],14,1)</f>
        <v>2</v>
      </c>
      <c r="R2772" s="35" t="s">
        <v>298</v>
      </c>
      <c r="S2772" s="59" t="str">
        <f>MID(Tabla1[[#This Row],[Aplicación]],6,2)</f>
        <v>06</v>
      </c>
      <c r="T2772" s="35" t="str">
        <f>VLOOKUP(Tabla1[[#This Row],[AREA]],Hoja1!A:B,2,FALSE)</f>
        <v>06. Educación, infancia, juventud e igualdad</v>
      </c>
      <c r="U2772" s="56" t="str">
        <f>MID(Tabla1[[#This Row],[Aplicación]],9,4)</f>
        <v>3232</v>
      </c>
      <c r="V2772" s="35" t="str">
        <f>VLOOKUP(Tabla1[[#This Row],[PROGRAMA]],Hoja1!A:B,2,FALSE)</f>
        <v>3232. Conservación y mantenimiento centros educación infantil y primaria</v>
      </c>
      <c r="W2772" s="56" t="str">
        <f>MID(Tabla1[[#This Row],[Aplicación]],14,2)</f>
        <v>21</v>
      </c>
      <c r="X2772" s="56" t="str">
        <f>MID(Tabla1[[#This Row],[Aplicación]],14,6)</f>
        <v>212</v>
      </c>
    </row>
    <row r="2773" spans="1:24" x14ac:dyDescent="0.25">
      <c r="A2773" s="62">
        <v>220230016166</v>
      </c>
      <c r="B2773" s="44" t="s">
        <v>1514</v>
      </c>
      <c r="C2773" s="64">
        <v>45043</v>
      </c>
      <c r="D2773" s="62">
        <v>22023001514</v>
      </c>
      <c r="E2773" s="44" t="s">
        <v>1285</v>
      </c>
      <c r="F2773" s="65">
        <v>81.069999999999993</v>
      </c>
      <c r="G2773" s="44" t="s">
        <v>2115</v>
      </c>
      <c r="H2773" s="44" t="s">
        <v>4420</v>
      </c>
      <c r="I2773" s="62" t="s">
        <v>1517</v>
      </c>
      <c r="J2773" s="44" t="s">
        <v>519</v>
      </c>
      <c r="K2773" s="44" t="s">
        <v>519</v>
      </c>
      <c r="L2773" s="44" t="s">
        <v>552</v>
      </c>
      <c r="M2773" s="44" t="s">
        <v>514</v>
      </c>
      <c r="N2773" s="44" t="s">
        <v>515</v>
      </c>
      <c r="O2773" s="45" t="s">
        <v>382</v>
      </c>
      <c r="P2773" s="45" t="s">
        <v>3760</v>
      </c>
      <c r="Q2773" s="59" t="str">
        <f>MID(Tabla1[[#This Row],[Aplicación]],14,1)</f>
        <v>2</v>
      </c>
      <c r="R2773" s="35" t="s">
        <v>298</v>
      </c>
      <c r="S2773" s="59" t="str">
        <f>MID(Tabla1[[#This Row],[Aplicación]],6,2)</f>
        <v>11</v>
      </c>
      <c r="T2773" s="35" t="str">
        <f>VLOOKUP(Tabla1[[#This Row],[AREA]],Hoja1!A:B,2,FALSE)</f>
        <v>11. Salud pública y seguridad ciudadana</v>
      </c>
      <c r="U2773" s="56" t="str">
        <f>MID(Tabla1[[#This Row],[Aplicación]],9,4)</f>
        <v>1361</v>
      </c>
      <c r="V2773" s="35" t="str">
        <f>VLOOKUP(Tabla1[[#This Row],[PROGRAMA]],Hoja1!A:B,2,FALSE)</f>
        <v>1361. Prevención y extinción de incencios</v>
      </c>
      <c r="W2773" s="56" t="str">
        <f>MID(Tabla1[[#This Row],[Aplicación]],14,2)</f>
        <v>22</v>
      </c>
      <c r="X2773" s="56" t="str">
        <f>MID(Tabla1[[#This Row],[Aplicación]],14,6)</f>
        <v>22199</v>
      </c>
    </row>
    <row r="2774" spans="1:24" x14ac:dyDescent="0.25">
      <c r="A2774" s="62">
        <v>220230016176</v>
      </c>
      <c r="B2774" s="44" t="s">
        <v>1514</v>
      </c>
      <c r="C2774" s="64">
        <v>45043</v>
      </c>
      <c r="D2774" s="62">
        <v>22023002185</v>
      </c>
      <c r="E2774" s="44" t="s">
        <v>2458</v>
      </c>
      <c r="F2774" s="65">
        <v>14.64</v>
      </c>
      <c r="G2774" s="44" t="s">
        <v>2115</v>
      </c>
      <c r="H2774" s="44" t="s">
        <v>4421</v>
      </c>
      <c r="I2774" s="62" t="s">
        <v>1517</v>
      </c>
      <c r="J2774" s="44" t="s">
        <v>519</v>
      </c>
      <c r="K2774" s="44" t="s">
        <v>519</v>
      </c>
      <c r="L2774" s="44" t="s">
        <v>552</v>
      </c>
      <c r="M2774" s="44" t="s">
        <v>514</v>
      </c>
      <c r="N2774" s="44" t="s">
        <v>515</v>
      </c>
      <c r="O2774" s="45" t="s">
        <v>382</v>
      </c>
      <c r="P2774" s="45" t="s">
        <v>3760</v>
      </c>
      <c r="Q2774" s="59" t="str">
        <f>MID(Tabla1[[#This Row],[Aplicación]],14,1)</f>
        <v>2</v>
      </c>
      <c r="R2774" s="35" t="s">
        <v>298</v>
      </c>
      <c r="S2774" s="59" t="str">
        <f>MID(Tabla1[[#This Row],[Aplicación]],6,2)</f>
        <v>06</v>
      </c>
      <c r="T2774" s="35" t="str">
        <f>VLOOKUP(Tabla1[[#This Row],[AREA]],Hoja1!A:B,2,FALSE)</f>
        <v>06. Educación, infancia, juventud e igualdad</v>
      </c>
      <c r="U2774" s="56" t="str">
        <f>MID(Tabla1[[#This Row],[Aplicación]],9,4)</f>
        <v>3231</v>
      </c>
      <c r="V2774" s="35" t="str">
        <f>VLOOKUP(Tabla1[[#This Row],[PROGRAMA]],Hoja1!A:B,2,FALSE)</f>
        <v>3231. Escuelas infantiles</v>
      </c>
      <c r="W2774" s="56" t="str">
        <f>MID(Tabla1[[#This Row],[Aplicación]],14,2)</f>
        <v>21</v>
      </c>
      <c r="X2774" s="56" t="str">
        <f>MID(Tabla1[[#This Row],[Aplicación]],14,6)</f>
        <v>212</v>
      </c>
    </row>
    <row r="2775" spans="1:24" x14ac:dyDescent="0.25">
      <c r="A2775" s="62">
        <v>220230016191</v>
      </c>
      <c r="B2775" s="44" t="s">
        <v>1514</v>
      </c>
      <c r="C2775" s="64">
        <v>45043</v>
      </c>
      <c r="D2775" s="62">
        <v>22023002181</v>
      </c>
      <c r="E2775" s="44" t="s">
        <v>1305</v>
      </c>
      <c r="F2775" s="65">
        <v>49.97</v>
      </c>
      <c r="G2775" s="44" t="s">
        <v>2115</v>
      </c>
      <c r="H2775" s="44" t="s">
        <v>4422</v>
      </c>
      <c r="I2775" s="62" t="s">
        <v>1517</v>
      </c>
      <c r="J2775" s="44" t="s">
        <v>519</v>
      </c>
      <c r="K2775" s="44" t="s">
        <v>519</v>
      </c>
      <c r="L2775" s="44" t="s">
        <v>552</v>
      </c>
      <c r="M2775" s="44" t="s">
        <v>514</v>
      </c>
      <c r="N2775" s="44" t="s">
        <v>515</v>
      </c>
      <c r="O2775" s="45" t="s">
        <v>382</v>
      </c>
      <c r="P2775" s="45" t="s">
        <v>3760</v>
      </c>
      <c r="Q2775" s="59" t="str">
        <f>MID(Tabla1[[#This Row],[Aplicación]],14,1)</f>
        <v>2</v>
      </c>
      <c r="R2775" s="35" t="s">
        <v>298</v>
      </c>
      <c r="S2775" s="59" t="str">
        <f>MID(Tabla1[[#This Row],[Aplicación]],6,2)</f>
        <v>06</v>
      </c>
      <c r="T2775" s="35" t="str">
        <f>VLOOKUP(Tabla1[[#This Row],[AREA]],Hoja1!A:B,2,FALSE)</f>
        <v>06. Educación, infancia, juventud e igualdad</v>
      </c>
      <c r="U2775" s="56" t="str">
        <f>MID(Tabla1[[#This Row],[Aplicación]],9,4)</f>
        <v>3232</v>
      </c>
      <c r="V2775" s="35" t="str">
        <f>VLOOKUP(Tabla1[[#This Row],[PROGRAMA]],Hoja1!A:B,2,FALSE)</f>
        <v>3232. Conservación y mantenimiento centros educación infantil y primaria</v>
      </c>
      <c r="W2775" s="56" t="str">
        <f>MID(Tabla1[[#This Row],[Aplicación]],14,2)</f>
        <v>21</v>
      </c>
      <c r="X2775" s="56" t="str">
        <f>MID(Tabla1[[#This Row],[Aplicación]],14,6)</f>
        <v>212</v>
      </c>
    </row>
    <row r="2776" spans="1:24" x14ac:dyDescent="0.25">
      <c r="A2776" s="62">
        <v>220230016239</v>
      </c>
      <c r="B2776" s="44" t="s">
        <v>1514</v>
      </c>
      <c r="C2776" s="64">
        <v>45043</v>
      </c>
      <c r="D2776" s="62">
        <v>22023002740</v>
      </c>
      <c r="E2776" s="44" t="s">
        <v>1055</v>
      </c>
      <c r="F2776" s="65">
        <v>391.29</v>
      </c>
      <c r="G2776" s="44" t="s">
        <v>2115</v>
      </c>
      <c r="H2776" s="44" t="s">
        <v>4423</v>
      </c>
      <c r="I2776" s="62" t="s">
        <v>1517</v>
      </c>
      <c r="J2776" s="44" t="s">
        <v>519</v>
      </c>
      <c r="K2776" s="44" t="s">
        <v>519</v>
      </c>
      <c r="L2776" s="44" t="s">
        <v>520</v>
      </c>
      <c r="M2776" s="44" t="s">
        <v>514</v>
      </c>
      <c r="N2776" s="44" t="s">
        <v>515</v>
      </c>
      <c r="O2776" s="45" t="s">
        <v>382</v>
      </c>
      <c r="P2776" s="45" t="s">
        <v>3760</v>
      </c>
      <c r="Q2776" s="59" t="str">
        <f>MID(Tabla1[[#This Row],[Aplicación]],14,1)</f>
        <v>2</v>
      </c>
      <c r="R2776" s="35" t="s">
        <v>298</v>
      </c>
      <c r="S2776" s="59" t="str">
        <f>MID(Tabla1[[#This Row],[Aplicación]],6,2)</f>
        <v>02</v>
      </c>
      <c r="T2776" s="35" t="str">
        <f>VLOOKUP(Tabla1[[#This Row],[AREA]],Hoja1!A:B,2,FALSE)</f>
        <v>02. Planeamiento urbanístico y vivienda</v>
      </c>
      <c r="U2776" s="56" t="str">
        <f>MID(Tabla1[[#This Row],[Aplicación]],9,4)</f>
        <v>9332</v>
      </c>
      <c r="V2776" s="35" t="str">
        <f>VLOOKUP(Tabla1[[#This Row],[PROGRAMA]],Hoja1!A:B,2,FALSE)</f>
        <v>9332. Mantenimiento de edificios e instalaciones municipales</v>
      </c>
      <c r="W2776" s="56" t="str">
        <f>MID(Tabla1[[#This Row],[Aplicación]],14,2)</f>
        <v>21</v>
      </c>
      <c r="X2776" s="56" t="str">
        <f>MID(Tabla1[[#This Row],[Aplicación]],14,6)</f>
        <v>213</v>
      </c>
    </row>
    <row r="2777" spans="1:24" x14ac:dyDescent="0.25">
      <c r="A2777" s="62">
        <v>220230016304</v>
      </c>
      <c r="B2777" s="44" t="s">
        <v>1514</v>
      </c>
      <c r="C2777" s="64">
        <v>45043</v>
      </c>
      <c r="D2777" s="62">
        <v>22023001343</v>
      </c>
      <c r="E2777" s="44" t="s">
        <v>1506</v>
      </c>
      <c r="F2777" s="65">
        <v>307.38</v>
      </c>
      <c r="G2777" s="44" t="s">
        <v>2115</v>
      </c>
      <c r="H2777" s="44" t="s">
        <v>4424</v>
      </c>
      <c r="I2777" s="62" t="s">
        <v>1517</v>
      </c>
      <c r="J2777" s="44" t="s">
        <v>519</v>
      </c>
      <c r="K2777" s="44" t="s">
        <v>519</v>
      </c>
      <c r="L2777" s="44" t="s">
        <v>552</v>
      </c>
      <c r="M2777" s="44" t="s">
        <v>514</v>
      </c>
      <c r="N2777" s="44" t="s">
        <v>604</v>
      </c>
      <c r="O2777" s="45" t="s">
        <v>382</v>
      </c>
      <c r="P2777" s="45" t="s">
        <v>3760</v>
      </c>
      <c r="Q2777" s="59" t="str">
        <f>MID(Tabla1[[#This Row],[Aplicación]],14,1)</f>
        <v>2</v>
      </c>
      <c r="R2777" s="35" t="s">
        <v>298</v>
      </c>
      <c r="S2777" s="59" t="str">
        <f>MID(Tabla1[[#This Row],[Aplicación]],6,2)</f>
        <v>03</v>
      </c>
      <c r="T2777" s="35" t="str">
        <f>VLOOKUP(Tabla1[[#This Row],[AREA]],Hoja1!A:B,2,FALSE)</f>
        <v>03. Participación ciudadana y deportes</v>
      </c>
      <c r="U2777" s="56" t="str">
        <f>MID(Tabla1[[#This Row],[Aplicación]],9,4)</f>
        <v>9241</v>
      </c>
      <c r="V2777" s="35" t="str">
        <f>VLOOKUP(Tabla1[[#This Row],[PROGRAMA]],Hoja1!A:B,2,FALSE)</f>
        <v>9241. Participación ciudadana</v>
      </c>
      <c r="W2777" s="56" t="str">
        <f>MID(Tabla1[[#This Row],[Aplicación]],14,2)</f>
        <v>21</v>
      </c>
      <c r="X2777" s="56" t="str">
        <f>MID(Tabla1[[#This Row],[Aplicación]],14,6)</f>
        <v>212</v>
      </c>
    </row>
    <row r="2778" spans="1:24" x14ac:dyDescent="0.25">
      <c r="A2778" s="62">
        <v>220230016348</v>
      </c>
      <c r="B2778" s="44" t="s">
        <v>1514</v>
      </c>
      <c r="C2778" s="64">
        <v>45043</v>
      </c>
      <c r="D2778" s="62">
        <v>22023001412</v>
      </c>
      <c r="E2778" s="44" t="s">
        <v>1510</v>
      </c>
      <c r="F2778" s="65">
        <v>26.34</v>
      </c>
      <c r="G2778" s="44" t="s">
        <v>2115</v>
      </c>
      <c r="H2778" s="44" t="s">
        <v>4425</v>
      </c>
      <c r="I2778" s="62" t="s">
        <v>1517</v>
      </c>
      <c r="J2778" s="44" t="s">
        <v>519</v>
      </c>
      <c r="K2778" s="44" t="s">
        <v>519</v>
      </c>
      <c r="L2778" s="44" t="s">
        <v>552</v>
      </c>
      <c r="M2778" s="44" t="s">
        <v>514</v>
      </c>
      <c r="N2778" s="44" t="s">
        <v>515</v>
      </c>
      <c r="O2778" s="45" t="s">
        <v>382</v>
      </c>
      <c r="P2778" s="45" t="s">
        <v>3760</v>
      </c>
      <c r="Q2778" s="59" t="str">
        <f>MID(Tabla1[[#This Row],[Aplicación]],14,1)</f>
        <v>2</v>
      </c>
      <c r="R2778" s="35" t="s">
        <v>298</v>
      </c>
      <c r="S2778" s="59" t="str">
        <f>MID(Tabla1[[#This Row],[Aplicación]],6,2)</f>
        <v>10</v>
      </c>
      <c r="T2778" s="35" t="str">
        <f>VLOOKUP(Tabla1[[#This Row],[AREA]],Hoja1!A:B,2,FALSE)</f>
        <v>10. Servicios sociales y mediación comunitaria</v>
      </c>
      <c r="U2778" s="56" t="str">
        <f>MID(Tabla1[[#This Row],[Aplicación]],9,4)</f>
        <v>2311</v>
      </c>
      <c r="V2778" s="35" t="str">
        <f>VLOOKUP(Tabla1[[#This Row],[PROGRAMA]],Hoja1!A:B,2,FALSE)</f>
        <v>2311. Intervención social</v>
      </c>
      <c r="W2778" s="56" t="str">
        <f>MID(Tabla1[[#This Row],[Aplicación]],14,2)</f>
        <v>21</v>
      </c>
      <c r="X2778" s="56" t="str">
        <f>MID(Tabla1[[#This Row],[Aplicación]],14,6)</f>
        <v>212</v>
      </c>
    </row>
    <row r="2779" spans="1:24" x14ac:dyDescent="0.25">
      <c r="A2779" s="62">
        <v>220230018447</v>
      </c>
      <c r="B2779" s="44" t="s">
        <v>1514</v>
      </c>
      <c r="C2779" s="64">
        <v>45055</v>
      </c>
      <c r="D2779" s="62">
        <v>22023002053</v>
      </c>
      <c r="E2779" s="44" t="s">
        <v>2107</v>
      </c>
      <c r="F2779" s="65">
        <v>173.56</v>
      </c>
      <c r="G2779" s="44" t="s">
        <v>2115</v>
      </c>
      <c r="H2779" s="44" t="s">
        <v>4426</v>
      </c>
      <c r="I2779" s="62" t="s">
        <v>1517</v>
      </c>
      <c r="J2779" s="44" t="s">
        <v>519</v>
      </c>
      <c r="K2779" s="44" t="s">
        <v>519</v>
      </c>
      <c r="L2779" s="44" t="s">
        <v>552</v>
      </c>
      <c r="M2779" s="44" t="s">
        <v>514</v>
      </c>
      <c r="N2779" s="44" t="s">
        <v>515</v>
      </c>
      <c r="O2779" s="45" t="s">
        <v>382</v>
      </c>
      <c r="P2779" s="45" t="s">
        <v>3760</v>
      </c>
      <c r="Q2779" s="59" t="str">
        <f>MID(Tabla1[[#This Row],[Aplicación]],14,1)</f>
        <v>2</v>
      </c>
      <c r="R2779" s="35" t="s">
        <v>298</v>
      </c>
      <c r="S2779" s="59" t="str">
        <f>MID(Tabla1[[#This Row],[Aplicación]],6,2)</f>
        <v>07</v>
      </c>
      <c r="T2779" s="35" t="str">
        <f>VLOOKUP(Tabla1[[#This Row],[AREA]],Hoja1!A:B,2,FALSE)</f>
        <v>07. Medio ambiente y desarrollo sostenible</v>
      </c>
      <c r="U2779" s="56" t="str">
        <f>MID(Tabla1[[#This Row],[Aplicación]],9,4)</f>
        <v>1711</v>
      </c>
      <c r="V2779" s="35" t="str">
        <f>VLOOKUP(Tabla1[[#This Row],[PROGRAMA]],Hoja1!A:B,2,FALSE)</f>
        <v>1711. Parques y jardines</v>
      </c>
      <c r="W2779" s="56" t="str">
        <f>MID(Tabla1[[#This Row],[Aplicación]],14,2)</f>
        <v>21</v>
      </c>
      <c r="X2779" s="56" t="str">
        <f>MID(Tabla1[[#This Row],[Aplicación]],14,6)</f>
        <v>213</v>
      </c>
    </row>
    <row r="2780" spans="1:24" x14ac:dyDescent="0.25">
      <c r="A2780" s="62">
        <v>220230018449</v>
      </c>
      <c r="B2780" s="44" t="s">
        <v>1514</v>
      </c>
      <c r="C2780" s="64">
        <v>45055</v>
      </c>
      <c r="D2780" s="62">
        <v>22023002053</v>
      </c>
      <c r="E2780" s="44" t="s">
        <v>2107</v>
      </c>
      <c r="F2780" s="65">
        <v>2584.9699999999998</v>
      </c>
      <c r="G2780" s="44" t="s">
        <v>2115</v>
      </c>
      <c r="H2780" s="44" t="s">
        <v>4427</v>
      </c>
      <c r="I2780" s="62" t="s">
        <v>1517</v>
      </c>
      <c r="J2780" s="44" t="s">
        <v>519</v>
      </c>
      <c r="K2780" s="44" t="s">
        <v>519</v>
      </c>
      <c r="L2780" s="44" t="s">
        <v>520</v>
      </c>
      <c r="M2780" s="44" t="s">
        <v>514</v>
      </c>
      <c r="N2780" s="44" t="s">
        <v>515</v>
      </c>
      <c r="O2780" s="45" t="s">
        <v>382</v>
      </c>
      <c r="P2780" s="45" t="s">
        <v>3760</v>
      </c>
      <c r="Q2780" s="59" t="str">
        <f>MID(Tabla1[[#This Row],[Aplicación]],14,1)</f>
        <v>2</v>
      </c>
      <c r="R2780" s="35" t="s">
        <v>298</v>
      </c>
      <c r="S2780" s="59" t="str">
        <f>MID(Tabla1[[#This Row],[Aplicación]],6,2)</f>
        <v>07</v>
      </c>
      <c r="T2780" s="35" t="str">
        <f>VLOOKUP(Tabla1[[#This Row],[AREA]],Hoja1!A:B,2,FALSE)</f>
        <v>07. Medio ambiente y desarrollo sostenible</v>
      </c>
      <c r="U2780" s="56" t="str">
        <f>MID(Tabla1[[#This Row],[Aplicación]],9,4)</f>
        <v>1711</v>
      </c>
      <c r="V2780" s="35" t="str">
        <f>VLOOKUP(Tabla1[[#This Row],[PROGRAMA]],Hoja1!A:B,2,FALSE)</f>
        <v>1711. Parques y jardines</v>
      </c>
      <c r="W2780" s="56" t="str">
        <f>MID(Tabla1[[#This Row],[Aplicación]],14,2)</f>
        <v>21</v>
      </c>
      <c r="X2780" s="56" t="str">
        <f>MID(Tabla1[[#This Row],[Aplicación]],14,6)</f>
        <v>213</v>
      </c>
    </row>
    <row r="2781" spans="1:24" x14ac:dyDescent="0.25">
      <c r="A2781" s="62">
        <v>220230018485</v>
      </c>
      <c r="B2781" s="44" t="s">
        <v>1514</v>
      </c>
      <c r="C2781" s="64">
        <v>45055</v>
      </c>
      <c r="D2781" s="62">
        <v>22023002053</v>
      </c>
      <c r="E2781" s="44" t="s">
        <v>2107</v>
      </c>
      <c r="F2781" s="65">
        <v>22.6</v>
      </c>
      <c r="G2781" s="44" t="s">
        <v>2115</v>
      </c>
      <c r="H2781" s="44" t="s">
        <v>4428</v>
      </c>
      <c r="I2781" s="62" t="s">
        <v>1517</v>
      </c>
      <c r="J2781" s="44" t="s">
        <v>519</v>
      </c>
      <c r="K2781" s="44" t="s">
        <v>519</v>
      </c>
      <c r="L2781" s="44" t="s">
        <v>552</v>
      </c>
      <c r="M2781" s="44" t="s">
        <v>514</v>
      </c>
      <c r="N2781" s="44" t="s">
        <v>515</v>
      </c>
      <c r="O2781" s="45" t="s">
        <v>382</v>
      </c>
      <c r="P2781" s="45" t="s">
        <v>3760</v>
      </c>
      <c r="Q2781" s="59" t="str">
        <f>MID(Tabla1[[#This Row],[Aplicación]],14,1)</f>
        <v>2</v>
      </c>
      <c r="R2781" s="35" t="s">
        <v>298</v>
      </c>
      <c r="S2781" s="59" t="str">
        <f>MID(Tabla1[[#This Row],[Aplicación]],6,2)</f>
        <v>07</v>
      </c>
      <c r="T2781" s="35" t="str">
        <f>VLOOKUP(Tabla1[[#This Row],[AREA]],Hoja1!A:B,2,FALSE)</f>
        <v>07. Medio ambiente y desarrollo sostenible</v>
      </c>
      <c r="U2781" s="56" t="str">
        <f>MID(Tabla1[[#This Row],[Aplicación]],9,4)</f>
        <v>1711</v>
      </c>
      <c r="V2781" s="35" t="str">
        <f>VLOOKUP(Tabla1[[#This Row],[PROGRAMA]],Hoja1!A:B,2,FALSE)</f>
        <v>1711. Parques y jardines</v>
      </c>
      <c r="W2781" s="56" t="str">
        <f>MID(Tabla1[[#This Row],[Aplicación]],14,2)</f>
        <v>21</v>
      </c>
      <c r="X2781" s="56" t="str">
        <f>MID(Tabla1[[#This Row],[Aplicación]],14,6)</f>
        <v>213</v>
      </c>
    </row>
    <row r="2782" spans="1:24" x14ac:dyDescent="0.25">
      <c r="A2782" s="62">
        <v>220230020243</v>
      </c>
      <c r="B2782" s="44" t="s">
        <v>1514</v>
      </c>
      <c r="C2782" s="64">
        <v>45057</v>
      </c>
      <c r="D2782" s="62">
        <v>22023002013</v>
      </c>
      <c r="E2782" s="44" t="s">
        <v>4365</v>
      </c>
      <c r="F2782" s="65">
        <v>1500</v>
      </c>
      <c r="G2782" s="44" t="s">
        <v>4429</v>
      </c>
      <c r="H2782" s="44" t="s">
        <v>4430</v>
      </c>
      <c r="I2782" s="62" t="s">
        <v>1517</v>
      </c>
      <c r="J2782" s="44" t="s">
        <v>4431</v>
      </c>
      <c r="K2782" s="44" t="s">
        <v>768</v>
      </c>
      <c r="L2782" s="44" t="s">
        <v>552</v>
      </c>
      <c r="M2782" s="44" t="s">
        <v>514</v>
      </c>
      <c r="N2782" s="44" t="s">
        <v>515</v>
      </c>
      <c r="O2782" s="45" t="s">
        <v>382</v>
      </c>
      <c r="P2782" s="45" t="s">
        <v>3760</v>
      </c>
      <c r="Q2782" s="59">
        <v>6</v>
      </c>
      <c r="R2782" s="35" t="s">
        <v>299</v>
      </c>
      <c r="S2782" s="59" t="str">
        <f>MID(Tabla1[[#This Row],[Aplicación]],6,2)</f>
        <v>06</v>
      </c>
      <c r="T2782" s="35" t="str">
        <f>VLOOKUP(Tabla1[[#This Row],[AREA]],Hoja1!A:B,2,FALSE)</f>
        <v>06. Educación, infancia, juventud e igualdad</v>
      </c>
      <c r="U2782" s="56" t="str">
        <f>MID(Tabla1[[#This Row],[Aplicación]],9,4)</f>
        <v>0 33</v>
      </c>
      <c r="V2782" s="59">
        <v>3321</v>
      </c>
      <c r="W2782" s="59">
        <v>6</v>
      </c>
      <c r="X2782" s="59">
        <v>629</v>
      </c>
    </row>
    <row r="2783" spans="1:24" x14ac:dyDescent="0.25">
      <c r="A2783" s="62">
        <v>220230018510</v>
      </c>
      <c r="B2783" s="44" t="s">
        <v>1514</v>
      </c>
      <c r="C2783" s="64">
        <v>45055</v>
      </c>
      <c r="D2783" s="62">
        <v>22023001468</v>
      </c>
      <c r="E2783" s="44" t="s">
        <v>1512</v>
      </c>
      <c r="F2783" s="65">
        <v>25.53</v>
      </c>
      <c r="G2783" s="44" t="s">
        <v>2115</v>
      </c>
      <c r="H2783" s="44" t="s">
        <v>4432</v>
      </c>
      <c r="I2783" s="62" t="s">
        <v>1517</v>
      </c>
      <c r="J2783" s="44" t="s">
        <v>519</v>
      </c>
      <c r="K2783" s="44" t="s">
        <v>519</v>
      </c>
      <c r="L2783" s="44" t="s">
        <v>552</v>
      </c>
      <c r="M2783" s="44" t="s">
        <v>514</v>
      </c>
      <c r="N2783" s="44" t="s">
        <v>515</v>
      </c>
      <c r="O2783" s="45" t="s">
        <v>382</v>
      </c>
      <c r="P2783" s="45" t="s">
        <v>3760</v>
      </c>
      <c r="Q2783" s="59" t="str">
        <f>MID(Tabla1[[#This Row],[Aplicación]],14,1)</f>
        <v>2</v>
      </c>
      <c r="R2783" s="35" t="s">
        <v>298</v>
      </c>
      <c r="S2783" s="59" t="str">
        <f>MID(Tabla1[[#This Row],[Aplicación]],6,2)</f>
        <v>10</v>
      </c>
      <c r="T2783" s="35" t="str">
        <f>VLOOKUP(Tabla1[[#This Row],[AREA]],Hoja1!A:B,2,FALSE)</f>
        <v>10. Servicios sociales y mediación comunitaria</v>
      </c>
      <c r="U2783" s="56" t="str">
        <f>MID(Tabla1[[#This Row],[Aplicación]],9,4)</f>
        <v>2312</v>
      </c>
      <c r="V2783" s="35" t="str">
        <f>VLOOKUP(Tabla1[[#This Row],[PROGRAMA]],Hoja1!A:B,2,FALSE)</f>
        <v>2312. Iniciativas sociales</v>
      </c>
      <c r="W2783" s="56" t="str">
        <f>MID(Tabla1[[#This Row],[Aplicación]],14,2)</f>
        <v>21</v>
      </c>
      <c r="X2783" s="56" t="str">
        <f>MID(Tabla1[[#This Row],[Aplicación]],14,6)</f>
        <v>212</v>
      </c>
    </row>
    <row r="2784" spans="1:24" x14ac:dyDescent="0.25">
      <c r="A2784" s="62">
        <v>220230018530</v>
      </c>
      <c r="B2784" s="44" t="s">
        <v>1514</v>
      </c>
      <c r="C2784" s="64">
        <v>45055</v>
      </c>
      <c r="D2784" s="62">
        <v>22023001466</v>
      </c>
      <c r="E2784" s="44" t="s">
        <v>2624</v>
      </c>
      <c r="F2784" s="65">
        <v>180.08</v>
      </c>
      <c r="G2784" s="44" t="s">
        <v>2115</v>
      </c>
      <c r="H2784" s="44" t="s">
        <v>4433</v>
      </c>
      <c r="I2784" s="62" t="s">
        <v>1517</v>
      </c>
      <c r="J2784" s="44" t="s">
        <v>519</v>
      </c>
      <c r="K2784" s="44" t="s">
        <v>519</v>
      </c>
      <c r="L2784" s="44" t="s">
        <v>552</v>
      </c>
      <c r="M2784" s="44" t="s">
        <v>514</v>
      </c>
      <c r="N2784" s="44" t="s">
        <v>515</v>
      </c>
      <c r="O2784" s="45" t="s">
        <v>382</v>
      </c>
      <c r="P2784" s="45" t="s">
        <v>3760</v>
      </c>
      <c r="Q2784" s="59" t="str">
        <f>MID(Tabla1[[#This Row],[Aplicación]],14,1)</f>
        <v>2</v>
      </c>
      <c r="R2784" s="35" t="s">
        <v>298</v>
      </c>
      <c r="S2784" s="59" t="str">
        <f>MID(Tabla1[[#This Row],[Aplicación]],6,2)</f>
        <v>11</v>
      </c>
      <c r="T2784" s="35" t="str">
        <f>VLOOKUP(Tabla1[[#This Row],[AREA]],Hoja1!A:B,2,FALSE)</f>
        <v>11. Salud pública y seguridad ciudadana</v>
      </c>
      <c r="U2784" s="56" t="str">
        <f>MID(Tabla1[[#This Row],[Aplicación]],9,4)</f>
        <v>1621</v>
      </c>
      <c r="V2784" s="35" t="str">
        <f>VLOOKUP(Tabla1[[#This Row],[PROGRAMA]],Hoja1!A:B,2,FALSE)</f>
        <v>1621. Servicio de limpieza</v>
      </c>
      <c r="W2784" s="56" t="str">
        <f>MID(Tabla1[[#This Row],[Aplicación]],14,2)</f>
        <v>22</v>
      </c>
      <c r="X2784" s="56" t="str">
        <f>MID(Tabla1[[#This Row],[Aplicación]],14,6)</f>
        <v>22199</v>
      </c>
    </row>
    <row r="2785" spans="1:24" x14ac:dyDescent="0.25">
      <c r="A2785" s="62">
        <v>220230018532</v>
      </c>
      <c r="B2785" s="44" t="s">
        <v>1514</v>
      </c>
      <c r="C2785" s="64">
        <v>45055</v>
      </c>
      <c r="D2785" s="62">
        <v>22023001466</v>
      </c>
      <c r="E2785" s="44" t="s">
        <v>2624</v>
      </c>
      <c r="F2785" s="65">
        <v>104.51</v>
      </c>
      <c r="G2785" s="44" t="s">
        <v>2115</v>
      </c>
      <c r="H2785" s="44" t="s">
        <v>4434</v>
      </c>
      <c r="I2785" s="62" t="s">
        <v>1517</v>
      </c>
      <c r="J2785" s="44" t="s">
        <v>519</v>
      </c>
      <c r="K2785" s="44" t="s">
        <v>519</v>
      </c>
      <c r="L2785" s="44" t="s">
        <v>552</v>
      </c>
      <c r="M2785" s="44" t="s">
        <v>514</v>
      </c>
      <c r="N2785" s="44" t="s">
        <v>515</v>
      </c>
      <c r="O2785" s="45" t="s">
        <v>382</v>
      </c>
      <c r="P2785" s="45" t="s">
        <v>3760</v>
      </c>
      <c r="Q2785" s="59" t="str">
        <f>MID(Tabla1[[#This Row],[Aplicación]],14,1)</f>
        <v>2</v>
      </c>
      <c r="R2785" s="35" t="s">
        <v>298</v>
      </c>
      <c r="S2785" s="59" t="str">
        <f>MID(Tabla1[[#This Row],[Aplicación]],6,2)</f>
        <v>11</v>
      </c>
      <c r="T2785" s="35" t="str">
        <f>VLOOKUP(Tabla1[[#This Row],[AREA]],Hoja1!A:B,2,FALSE)</f>
        <v>11. Salud pública y seguridad ciudadana</v>
      </c>
      <c r="U2785" s="56" t="str">
        <f>MID(Tabla1[[#This Row],[Aplicación]],9,4)</f>
        <v>1621</v>
      </c>
      <c r="V2785" s="35" t="str">
        <f>VLOOKUP(Tabla1[[#This Row],[PROGRAMA]],Hoja1!A:B,2,FALSE)</f>
        <v>1621. Servicio de limpieza</v>
      </c>
      <c r="W2785" s="56" t="str">
        <f>MID(Tabla1[[#This Row],[Aplicación]],14,2)</f>
        <v>22</v>
      </c>
      <c r="X2785" s="56" t="str">
        <f>MID(Tabla1[[#This Row],[Aplicación]],14,6)</f>
        <v>22199</v>
      </c>
    </row>
    <row r="2786" spans="1:24" x14ac:dyDescent="0.25">
      <c r="A2786" s="62">
        <v>220230020253</v>
      </c>
      <c r="B2786" s="44" t="s">
        <v>1514</v>
      </c>
      <c r="C2786" s="64">
        <v>45057</v>
      </c>
      <c r="D2786" s="62">
        <v>22023002181</v>
      </c>
      <c r="E2786" s="44" t="s">
        <v>1305</v>
      </c>
      <c r="F2786" s="65">
        <v>18.05</v>
      </c>
      <c r="G2786" s="44" t="s">
        <v>2115</v>
      </c>
      <c r="H2786" s="44" t="s">
        <v>4435</v>
      </c>
      <c r="I2786" s="62" t="s">
        <v>1517</v>
      </c>
      <c r="J2786" s="44" t="s">
        <v>519</v>
      </c>
      <c r="K2786" s="44" t="s">
        <v>519</v>
      </c>
      <c r="L2786" s="44" t="s">
        <v>552</v>
      </c>
      <c r="M2786" s="44" t="s">
        <v>514</v>
      </c>
      <c r="N2786" s="44" t="s">
        <v>515</v>
      </c>
      <c r="O2786" s="45" t="s">
        <v>382</v>
      </c>
      <c r="P2786" s="45" t="s">
        <v>3760</v>
      </c>
      <c r="Q2786" s="59" t="str">
        <f>MID(Tabla1[[#This Row],[Aplicación]],14,1)</f>
        <v>2</v>
      </c>
      <c r="R2786" s="35" t="s">
        <v>298</v>
      </c>
      <c r="S2786" s="59" t="str">
        <f>MID(Tabla1[[#This Row],[Aplicación]],6,2)</f>
        <v>06</v>
      </c>
      <c r="T2786" s="35" t="str">
        <f>VLOOKUP(Tabla1[[#This Row],[AREA]],Hoja1!A:B,2,FALSE)</f>
        <v>06. Educación, infancia, juventud e igualdad</v>
      </c>
      <c r="U2786" s="56" t="str">
        <f>MID(Tabla1[[#This Row],[Aplicación]],9,4)</f>
        <v>3232</v>
      </c>
      <c r="V2786" s="35" t="str">
        <f>VLOOKUP(Tabla1[[#This Row],[PROGRAMA]],Hoja1!A:B,2,FALSE)</f>
        <v>3232. Conservación y mantenimiento centros educación infantil y primaria</v>
      </c>
      <c r="W2786" s="56" t="str">
        <f>MID(Tabla1[[#This Row],[Aplicación]],14,2)</f>
        <v>21</v>
      </c>
      <c r="X2786" s="56" t="str">
        <f>MID(Tabla1[[#This Row],[Aplicación]],14,6)</f>
        <v>212</v>
      </c>
    </row>
    <row r="2787" spans="1:24" x14ac:dyDescent="0.25">
      <c r="A2787" s="62">
        <v>220230020944</v>
      </c>
      <c r="B2787" s="44" t="s">
        <v>1514</v>
      </c>
      <c r="C2787" s="64">
        <v>45062</v>
      </c>
      <c r="D2787" s="62">
        <v>22023002161</v>
      </c>
      <c r="E2787" s="44" t="s">
        <v>2107</v>
      </c>
      <c r="F2787" s="65">
        <v>1421.68</v>
      </c>
      <c r="G2787" s="44" t="s">
        <v>2115</v>
      </c>
      <c r="H2787" s="44" t="s">
        <v>4436</v>
      </c>
      <c r="I2787" s="62" t="s">
        <v>1517</v>
      </c>
      <c r="J2787" s="44" t="s">
        <v>519</v>
      </c>
      <c r="K2787" s="44" t="s">
        <v>519</v>
      </c>
      <c r="L2787" s="44" t="s">
        <v>520</v>
      </c>
      <c r="M2787" s="44" t="s">
        <v>514</v>
      </c>
      <c r="N2787" s="44" t="s">
        <v>515</v>
      </c>
      <c r="O2787" s="45" t="s">
        <v>382</v>
      </c>
      <c r="P2787" s="45" t="s">
        <v>3760</v>
      </c>
      <c r="Q2787" s="59" t="str">
        <f>MID(Tabla1[[#This Row],[Aplicación]],14,1)</f>
        <v>2</v>
      </c>
      <c r="R2787" s="35" t="s">
        <v>298</v>
      </c>
      <c r="S2787" s="59" t="str">
        <f>MID(Tabla1[[#This Row],[Aplicación]],6,2)</f>
        <v>07</v>
      </c>
      <c r="T2787" s="35" t="str">
        <f>VLOOKUP(Tabla1[[#This Row],[AREA]],Hoja1!A:B,2,FALSE)</f>
        <v>07. Medio ambiente y desarrollo sostenible</v>
      </c>
      <c r="U2787" s="56" t="str">
        <f>MID(Tabla1[[#This Row],[Aplicación]],9,4)</f>
        <v>1711</v>
      </c>
      <c r="V2787" s="35" t="str">
        <f>VLOOKUP(Tabla1[[#This Row],[PROGRAMA]],Hoja1!A:B,2,FALSE)</f>
        <v>1711. Parques y jardines</v>
      </c>
      <c r="W2787" s="56" t="str">
        <f>MID(Tabla1[[#This Row],[Aplicación]],14,2)</f>
        <v>21</v>
      </c>
      <c r="X2787" s="56" t="str">
        <f>MID(Tabla1[[#This Row],[Aplicación]],14,6)</f>
        <v>213</v>
      </c>
    </row>
    <row r="2788" spans="1:24" x14ac:dyDescent="0.25">
      <c r="A2788" s="62">
        <v>220230020946</v>
      </c>
      <c r="B2788" s="44" t="s">
        <v>1514</v>
      </c>
      <c r="C2788" s="64">
        <v>45062</v>
      </c>
      <c r="D2788" s="62">
        <v>22023002161</v>
      </c>
      <c r="E2788" s="44" t="s">
        <v>2107</v>
      </c>
      <c r="F2788" s="65">
        <v>1194.43</v>
      </c>
      <c r="G2788" s="44" t="s">
        <v>2115</v>
      </c>
      <c r="H2788" s="44" t="s">
        <v>4437</v>
      </c>
      <c r="I2788" s="62" t="s">
        <v>1517</v>
      </c>
      <c r="J2788" s="44" t="s">
        <v>519</v>
      </c>
      <c r="K2788" s="44" t="s">
        <v>519</v>
      </c>
      <c r="L2788" s="44" t="s">
        <v>520</v>
      </c>
      <c r="M2788" s="44" t="s">
        <v>514</v>
      </c>
      <c r="N2788" s="44" t="s">
        <v>515</v>
      </c>
      <c r="O2788" s="45" t="s">
        <v>382</v>
      </c>
      <c r="P2788" s="45" t="s">
        <v>3760</v>
      </c>
      <c r="Q2788" s="59" t="str">
        <f>MID(Tabla1[[#This Row],[Aplicación]],14,1)</f>
        <v>2</v>
      </c>
      <c r="R2788" s="35" t="s">
        <v>298</v>
      </c>
      <c r="S2788" s="59" t="str">
        <f>MID(Tabla1[[#This Row],[Aplicación]],6,2)</f>
        <v>07</v>
      </c>
      <c r="T2788" s="35" t="str">
        <f>VLOOKUP(Tabla1[[#This Row],[AREA]],Hoja1!A:B,2,FALSE)</f>
        <v>07. Medio ambiente y desarrollo sostenible</v>
      </c>
      <c r="U2788" s="56" t="str">
        <f>MID(Tabla1[[#This Row],[Aplicación]],9,4)</f>
        <v>1711</v>
      </c>
      <c r="V2788" s="35" t="str">
        <f>VLOOKUP(Tabla1[[#This Row],[PROGRAMA]],Hoja1!A:B,2,FALSE)</f>
        <v>1711. Parques y jardines</v>
      </c>
      <c r="W2788" s="56" t="str">
        <f>MID(Tabla1[[#This Row],[Aplicación]],14,2)</f>
        <v>21</v>
      </c>
      <c r="X2788" s="56" t="str">
        <f>MID(Tabla1[[#This Row],[Aplicación]],14,6)</f>
        <v>213</v>
      </c>
    </row>
    <row r="2789" spans="1:24" x14ac:dyDescent="0.25">
      <c r="A2789" s="62">
        <v>220230020954</v>
      </c>
      <c r="B2789" s="44" t="s">
        <v>1514</v>
      </c>
      <c r="C2789" s="64">
        <v>45062</v>
      </c>
      <c r="D2789" s="62">
        <v>22023001549</v>
      </c>
      <c r="E2789" s="44" t="s">
        <v>1515</v>
      </c>
      <c r="F2789" s="65">
        <v>3671.13</v>
      </c>
      <c r="G2789" s="44" t="s">
        <v>2115</v>
      </c>
      <c r="H2789" s="44" t="s">
        <v>4438</v>
      </c>
      <c r="I2789" s="62" t="s">
        <v>1517</v>
      </c>
      <c r="J2789" s="44" t="s">
        <v>519</v>
      </c>
      <c r="K2789" s="44" t="s">
        <v>519</v>
      </c>
      <c r="L2789" s="44" t="s">
        <v>552</v>
      </c>
      <c r="M2789" s="44" t="s">
        <v>514</v>
      </c>
      <c r="N2789" s="44" t="s">
        <v>515</v>
      </c>
      <c r="O2789" s="45" t="s">
        <v>382</v>
      </c>
      <c r="P2789" s="45" t="s">
        <v>3760</v>
      </c>
      <c r="Q2789" s="59" t="str">
        <f>MID(Tabla1[[#This Row],[Aplicación]],14,1)</f>
        <v>2</v>
      </c>
      <c r="R2789" s="35" t="s">
        <v>298</v>
      </c>
      <c r="S2789" s="59" t="str">
        <f>MID(Tabla1[[#This Row],[Aplicación]],6,2)</f>
        <v>07</v>
      </c>
      <c r="T2789" s="35" t="str">
        <f>VLOOKUP(Tabla1[[#This Row],[AREA]],Hoja1!A:B,2,FALSE)</f>
        <v>07. Medio ambiente y desarrollo sostenible</v>
      </c>
      <c r="U2789" s="56" t="str">
        <f>MID(Tabla1[[#This Row],[Aplicación]],9,4)</f>
        <v>1711</v>
      </c>
      <c r="V2789" s="35" t="str">
        <f>VLOOKUP(Tabla1[[#This Row],[PROGRAMA]],Hoja1!A:B,2,FALSE)</f>
        <v>1711. Parques y jardines</v>
      </c>
      <c r="W2789" s="56" t="str">
        <f>MID(Tabla1[[#This Row],[Aplicación]],14,2)</f>
        <v>22</v>
      </c>
      <c r="X2789" s="56" t="str">
        <f>MID(Tabla1[[#This Row],[Aplicación]],14,6)</f>
        <v>22199</v>
      </c>
    </row>
    <row r="2790" spans="1:24" x14ac:dyDescent="0.25">
      <c r="A2790" s="62">
        <v>220230020968</v>
      </c>
      <c r="B2790" s="44" t="s">
        <v>1514</v>
      </c>
      <c r="C2790" s="64">
        <v>45062</v>
      </c>
      <c r="D2790" s="62">
        <v>22023001344</v>
      </c>
      <c r="E2790" s="44" t="s">
        <v>1150</v>
      </c>
      <c r="F2790" s="65">
        <v>433.86</v>
      </c>
      <c r="G2790" s="44" t="s">
        <v>2115</v>
      </c>
      <c r="H2790" s="44" t="s">
        <v>4439</v>
      </c>
      <c r="I2790" s="62" t="s">
        <v>1517</v>
      </c>
      <c r="J2790" s="44" t="s">
        <v>519</v>
      </c>
      <c r="K2790" s="44" t="s">
        <v>519</v>
      </c>
      <c r="L2790" s="44" t="s">
        <v>552</v>
      </c>
      <c r="M2790" s="44" t="s">
        <v>514</v>
      </c>
      <c r="N2790" s="44" t="s">
        <v>604</v>
      </c>
      <c r="O2790" s="45" t="s">
        <v>382</v>
      </c>
      <c r="P2790" s="45" t="s">
        <v>3760</v>
      </c>
      <c r="Q2790" s="59" t="str">
        <f>MID(Tabla1[[#This Row],[Aplicación]],14,1)</f>
        <v>2</v>
      </c>
      <c r="R2790" s="35" t="s">
        <v>298</v>
      </c>
      <c r="S2790" s="59" t="str">
        <f>MID(Tabla1[[#This Row],[Aplicación]],6,2)</f>
        <v>03</v>
      </c>
      <c r="T2790" s="35" t="str">
        <f>VLOOKUP(Tabla1[[#This Row],[AREA]],Hoja1!A:B,2,FALSE)</f>
        <v>03. Participación ciudadana y deportes</v>
      </c>
      <c r="U2790" s="56" t="str">
        <f>MID(Tabla1[[#This Row],[Aplicación]],9,4)</f>
        <v>9241</v>
      </c>
      <c r="V2790" s="35" t="str">
        <f>VLOOKUP(Tabla1[[#This Row],[PROGRAMA]],Hoja1!A:B,2,FALSE)</f>
        <v>9241. Participación ciudadana</v>
      </c>
      <c r="W2790" s="56" t="str">
        <f>MID(Tabla1[[#This Row],[Aplicación]],14,2)</f>
        <v>21</v>
      </c>
      <c r="X2790" s="56" t="str">
        <f>MID(Tabla1[[#This Row],[Aplicación]],14,6)</f>
        <v>213</v>
      </c>
    </row>
    <row r="2791" spans="1:24" x14ac:dyDescent="0.25">
      <c r="A2791" s="62">
        <v>220230021011</v>
      </c>
      <c r="B2791" s="44" t="s">
        <v>1514</v>
      </c>
      <c r="C2791" s="64">
        <v>45062</v>
      </c>
      <c r="D2791" s="62">
        <v>22023002185</v>
      </c>
      <c r="E2791" s="44" t="s">
        <v>2458</v>
      </c>
      <c r="F2791" s="65">
        <v>193.12</v>
      </c>
      <c r="G2791" s="44" t="s">
        <v>2115</v>
      </c>
      <c r="H2791" s="44" t="s">
        <v>4440</v>
      </c>
      <c r="I2791" s="62" t="s">
        <v>1517</v>
      </c>
      <c r="J2791" s="44" t="s">
        <v>519</v>
      </c>
      <c r="K2791" s="44" t="s">
        <v>519</v>
      </c>
      <c r="L2791" s="44" t="s">
        <v>552</v>
      </c>
      <c r="M2791" s="44" t="s">
        <v>514</v>
      </c>
      <c r="N2791" s="44" t="s">
        <v>515</v>
      </c>
      <c r="O2791" s="45" t="s">
        <v>382</v>
      </c>
      <c r="P2791" s="45" t="s">
        <v>3760</v>
      </c>
      <c r="Q2791" s="59" t="str">
        <f>MID(Tabla1[[#This Row],[Aplicación]],14,1)</f>
        <v>2</v>
      </c>
      <c r="R2791" s="35" t="s">
        <v>298</v>
      </c>
      <c r="S2791" s="59" t="str">
        <f>MID(Tabla1[[#This Row],[Aplicación]],6,2)</f>
        <v>06</v>
      </c>
      <c r="T2791" s="35" t="str">
        <f>VLOOKUP(Tabla1[[#This Row],[AREA]],Hoja1!A:B,2,FALSE)</f>
        <v>06. Educación, infancia, juventud e igualdad</v>
      </c>
      <c r="U2791" s="56" t="str">
        <f>MID(Tabla1[[#This Row],[Aplicación]],9,4)</f>
        <v>3231</v>
      </c>
      <c r="V2791" s="35" t="str">
        <f>VLOOKUP(Tabla1[[#This Row],[PROGRAMA]],Hoja1!A:B,2,FALSE)</f>
        <v>3231. Escuelas infantiles</v>
      </c>
      <c r="W2791" s="56" t="str">
        <f>MID(Tabla1[[#This Row],[Aplicación]],14,2)</f>
        <v>21</v>
      </c>
      <c r="X2791" s="56" t="str">
        <f>MID(Tabla1[[#This Row],[Aplicación]],14,6)</f>
        <v>212</v>
      </c>
    </row>
    <row r="2792" spans="1:24" x14ac:dyDescent="0.25">
      <c r="A2792" s="62">
        <v>220230023248</v>
      </c>
      <c r="B2792" s="44" t="s">
        <v>1514</v>
      </c>
      <c r="C2792" s="64">
        <v>45068</v>
      </c>
      <c r="D2792" s="62">
        <v>22023001412</v>
      </c>
      <c r="E2792" s="44" t="s">
        <v>1510</v>
      </c>
      <c r="F2792" s="65">
        <v>8.42</v>
      </c>
      <c r="G2792" s="44" t="s">
        <v>2115</v>
      </c>
      <c r="H2792" s="44" t="s">
        <v>4441</v>
      </c>
      <c r="I2792" s="62" t="s">
        <v>1517</v>
      </c>
      <c r="J2792" s="44" t="s">
        <v>519</v>
      </c>
      <c r="K2792" s="44" t="s">
        <v>519</v>
      </c>
      <c r="L2792" s="44" t="s">
        <v>552</v>
      </c>
      <c r="M2792" s="44" t="s">
        <v>514</v>
      </c>
      <c r="N2792" s="44" t="s">
        <v>515</v>
      </c>
      <c r="O2792" s="45" t="s">
        <v>382</v>
      </c>
      <c r="P2792" s="45" t="s">
        <v>3760</v>
      </c>
      <c r="Q2792" s="59" t="str">
        <f>MID(Tabla1[[#This Row],[Aplicación]],14,1)</f>
        <v>2</v>
      </c>
      <c r="R2792" s="35" t="s">
        <v>298</v>
      </c>
      <c r="S2792" s="59" t="str">
        <f>MID(Tabla1[[#This Row],[Aplicación]],6,2)</f>
        <v>10</v>
      </c>
      <c r="T2792" s="35" t="str">
        <f>VLOOKUP(Tabla1[[#This Row],[AREA]],Hoja1!A:B,2,FALSE)</f>
        <v>10. Servicios sociales y mediación comunitaria</v>
      </c>
      <c r="U2792" s="56" t="str">
        <f>MID(Tabla1[[#This Row],[Aplicación]],9,4)</f>
        <v>2311</v>
      </c>
      <c r="V2792" s="35" t="str">
        <f>VLOOKUP(Tabla1[[#This Row],[PROGRAMA]],Hoja1!A:B,2,FALSE)</f>
        <v>2311. Intervención social</v>
      </c>
      <c r="W2792" s="56" t="str">
        <f>MID(Tabla1[[#This Row],[Aplicación]],14,2)</f>
        <v>21</v>
      </c>
      <c r="X2792" s="56" t="str">
        <f>MID(Tabla1[[#This Row],[Aplicación]],14,6)</f>
        <v>212</v>
      </c>
    </row>
    <row r="2793" spans="1:24" x14ac:dyDescent="0.25">
      <c r="A2793" s="62">
        <v>220230026228</v>
      </c>
      <c r="B2793" s="44" t="s">
        <v>1514</v>
      </c>
      <c r="C2793" s="64">
        <v>45077</v>
      </c>
      <c r="D2793" s="62">
        <v>22023002161</v>
      </c>
      <c r="E2793" s="44" t="s">
        <v>2107</v>
      </c>
      <c r="F2793" s="65">
        <v>1131.83</v>
      </c>
      <c r="G2793" s="44" t="s">
        <v>2115</v>
      </c>
      <c r="H2793" s="44" t="s">
        <v>4442</v>
      </c>
      <c r="I2793" s="62" t="s">
        <v>1517</v>
      </c>
      <c r="J2793" s="44" t="s">
        <v>519</v>
      </c>
      <c r="K2793" s="44" t="s">
        <v>519</v>
      </c>
      <c r="L2793" s="44" t="s">
        <v>520</v>
      </c>
      <c r="M2793" s="44" t="s">
        <v>514</v>
      </c>
      <c r="N2793" s="44" t="s">
        <v>515</v>
      </c>
      <c r="O2793" s="45" t="s">
        <v>382</v>
      </c>
      <c r="P2793" s="45" t="s">
        <v>3760</v>
      </c>
      <c r="Q2793" s="59" t="str">
        <f>MID(Tabla1[[#This Row],[Aplicación]],14,1)</f>
        <v>2</v>
      </c>
      <c r="R2793" s="35" t="s">
        <v>298</v>
      </c>
      <c r="S2793" s="59" t="str">
        <f>MID(Tabla1[[#This Row],[Aplicación]],6,2)</f>
        <v>07</v>
      </c>
      <c r="T2793" s="35" t="str">
        <f>VLOOKUP(Tabla1[[#This Row],[AREA]],Hoja1!A:B,2,FALSE)</f>
        <v>07. Medio ambiente y desarrollo sostenible</v>
      </c>
      <c r="U2793" s="56" t="str">
        <f>MID(Tabla1[[#This Row],[Aplicación]],9,4)</f>
        <v>1711</v>
      </c>
      <c r="V2793" s="35" t="str">
        <f>VLOOKUP(Tabla1[[#This Row],[PROGRAMA]],Hoja1!A:B,2,FALSE)</f>
        <v>1711. Parques y jardines</v>
      </c>
      <c r="W2793" s="56" t="str">
        <f>MID(Tabla1[[#This Row],[Aplicación]],14,2)</f>
        <v>21</v>
      </c>
      <c r="X2793" s="56" t="str">
        <f>MID(Tabla1[[#This Row],[Aplicación]],14,6)</f>
        <v>213</v>
      </c>
    </row>
    <row r="2794" spans="1:24" x14ac:dyDescent="0.25">
      <c r="A2794" s="62">
        <v>220230026230</v>
      </c>
      <c r="B2794" s="44" t="s">
        <v>1514</v>
      </c>
      <c r="C2794" s="64">
        <v>45077</v>
      </c>
      <c r="D2794" s="62">
        <v>22023002161</v>
      </c>
      <c r="E2794" s="44" t="s">
        <v>2107</v>
      </c>
      <c r="F2794" s="65">
        <v>1141.6400000000001</v>
      </c>
      <c r="G2794" s="44" t="s">
        <v>2115</v>
      </c>
      <c r="H2794" s="44" t="s">
        <v>4443</v>
      </c>
      <c r="I2794" s="62" t="s">
        <v>1517</v>
      </c>
      <c r="J2794" s="44" t="s">
        <v>519</v>
      </c>
      <c r="K2794" s="44" t="s">
        <v>519</v>
      </c>
      <c r="L2794" s="44" t="s">
        <v>520</v>
      </c>
      <c r="M2794" s="44" t="s">
        <v>514</v>
      </c>
      <c r="N2794" s="44" t="s">
        <v>515</v>
      </c>
      <c r="O2794" s="45" t="s">
        <v>382</v>
      </c>
      <c r="P2794" s="45" t="s">
        <v>3760</v>
      </c>
      <c r="Q2794" s="59" t="str">
        <f>MID(Tabla1[[#This Row],[Aplicación]],14,1)</f>
        <v>2</v>
      </c>
      <c r="R2794" s="35" t="s">
        <v>298</v>
      </c>
      <c r="S2794" s="59" t="str">
        <f>MID(Tabla1[[#This Row],[Aplicación]],6,2)</f>
        <v>07</v>
      </c>
      <c r="T2794" s="35" t="str">
        <f>VLOOKUP(Tabla1[[#This Row],[AREA]],Hoja1!A:B,2,FALSE)</f>
        <v>07. Medio ambiente y desarrollo sostenible</v>
      </c>
      <c r="U2794" s="56" t="str">
        <f>MID(Tabla1[[#This Row],[Aplicación]],9,4)</f>
        <v>1711</v>
      </c>
      <c r="V2794" s="35" t="str">
        <f>VLOOKUP(Tabla1[[#This Row],[PROGRAMA]],Hoja1!A:B,2,FALSE)</f>
        <v>1711. Parques y jardines</v>
      </c>
      <c r="W2794" s="56" t="str">
        <f>MID(Tabla1[[#This Row],[Aplicación]],14,2)</f>
        <v>21</v>
      </c>
      <c r="X2794" s="56" t="str">
        <f>MID(Tabla1[[#This Row],[Aplicación]],14,6)</f>
        <v>213</v>
      </c>
    </row>
    <row r="2795" spans="1:24" x14ac:dyDescent="0.25">
      <c r="A2795" s="62">
        <v>220230026234</v>
      </c>
      <c r="B2795" s="44" t="s">
        <v>1514</v>
      </c>
      <c r="C2795" s="64">
        <v>45077</v>
      </c>
      <c r="D2795" s="62">
        <v>22023001549</v>
      </c>
      <c r="E2795" s="44" t="s">
        <v>1515</v>
      </c>
      <c r="F2795" s="65">
        <v>274.38</v>
      </c>
      <c r="G2795" s="44" t="s">
        <v>2115</v>
      </c>
      <c r="H2795" s="44" t="s">
        <v>4444</v>
      </c>
      <c r="I2795" s="62" t="s">
        <v>1517</v>
      </c>
      <c r="J2795" s="44" t="s">
        <v>519</v>
      </c>
      <c r="K2795" s="44" t="s">
        <v>519</v>
      </c>
      <c r="L2795" s="44" t="s">
        <v>552</v>
      </c>
      <c r="M2795" s="44" t="s">
        <v>514</v>
      </c>
      <c r="N2795" s="44" t="s">
        <v>515</v>
      </c>
      <c r="O2795" s="45" t="s">
        <v>382</v>
      </c>
      <c r="P2795" s="45" t="s">
        <v>3760</v>
      </c>
      <c r="Q2795" s="59" t="str">
        <f>MID(Tabla1[[#This Row],[Aplicación]],14,1)</f>
        <v>2</v>
      </c>
      <c r="R2795" s="35" t="s">
        <v>298</v>
      </c>
      <c r="S2795" s="59" t="str">
        <f>MID(Tabla1[[#This Row],[Aplicación]],6,2)</f>
        <v>07</v>
      </c>
      <c r="T2795" s="35" t="str">
        <f>VLOOKUP(Tabla1[[#This Row],[AREA]],Hoja1!A:B,2,FALSE)</f>
        <v>07. Medio ambiente y desarrollo sostenible</v>
      </c>
      <c r="U2795" s="56" t="str">
        <f>MID(Tabla1[[#This Row],[Aplicación]],9,4)</f>
        <v>1711</v>
      </c>
      <c r="V2795" s="35" t="str">
        <f>VLOOKUP(Tabla1[[#This Row],[PROGRAMA]],Hoja1!A:B,2,FALSE)</f>
        <v>1711. Parques y jardines</v>
      </c>
      <c r="W2795" s="56" t="str">
        <f>MID(Tabla1[[#This Row],[Aplicación]],14,2)</f>
        <v>22</v>
      </c>
      <c r="X2795" s="56" t="str">
        <f>MID(Tabla1[[#This Row],[Aplicación]],14,6)</f>
        <v>22199</v>
      </c>
    </row>
    <row r="2796" spans="1:24" x14ac:dyDescent="0.25">
      <c r="A2796" s="62">
        <v>220230026247</v>
      </c>
      <c r="B2796" s="44" t="s">
        <v>1514</v>
      </c>
      <c r="C2796" s="64">
        <v>45077</v>
      </c>
      <c r="D2796" s="62">
        <v>22023001468</v>
      </c>
      <c r="E2796" s="44" t="s">
        <v>1512</v>
      </c>
      <c r="F2796" s="65">
        <v>286.92</v>
      </c>
      <c r="G2796" s="44" t="s">
        <v>2115</v>
      </c>
      <c r="H2796" s="44" t="s">
        <v>4445</v>
      </c>
      <c r="I2796" s="62" t="s">
        <v>1517</v>
      </c>
      <c r="J2796" s="44" t="s">
        <v>519</v>
      </c>
      <c r="K2796" s="44" t="s">
        <v>519</v>
      </c>
      <c r="L2796" s="44" t="s">
        <v>552</v>
      </c>
      <c r="M2796" s="44" t="s">
        <v>514</v>
      </c>
      <c r="N2796" s="44" t="s">
        <v>515</v>
      </c>
      <c r="O2796" s="45" t="s">
        <v>382</v>
      </c>
      <c r="P2796" s="45" t="s">
        <v>3760</v>
      </c>
      <c r="Q2796" s="59" t="str">
        <f>MID(Tabla1[[#This Row],[Aplicación]],14,1)</f>
        <v>2</v>
      </c>
      <c r="R2796" s="35" t="s">
        <v>298</v>
      </c>
      <c r="S2796" s="59" t="str">
        <f>MID(Tabla1[[#This Row],[Aplicación]],6,2)</f>
        <v>10</v>
      </c>
      <c r="T2796" s="35" t="str">
        <f>VLOOKUP(Tabla1[[#This Row],[AREA]],Hoja1!A:B,2,FALSE)</f>
        <v>10. Servicios sociales y mediación comunitaria</v>
      </c>
      <c r="U2796" s="56" t="str">
        <f>MID(Tabla1[[#This Row],[Aplicación]],9,4)</f>
        <v>2312</v>
      </c>
      <c r="V2796" s="35" t="str">
        <f>VLOOKUP(Tabla1[[#This Row],[PROGRAMA]],Hoja1!A:B,2,FALSE)</f>
        <v>2312. Iniciativas sociales</v>
      </c>
      <c r="W2796" s="56" t="str">
        <f>MID(Tabla1[[#This Row],[Aplicación]],14,2)</f>
        <v>21</v>
      </c>
      <c r="X2796" s="56" t="str">
        <f>MID(Tabla1[[#This Row],[Aplicación]],14,6)</f>
        <v>212</v>
      </c>
    </row>
    <row r="2797" spans="1:24" x14ac:dyDescent="0.25">
      <c r="A2797" s="62">
        <v>220230026351</v>
      </c>
      <c r="B2797" s="44" t="s">
        <v>1514</v>
      </c>
      <c r="C2797" s="64">
        <v>45077</v>
      </c>
      <c r="D2797" s="62">
        <v>22023001343</v>
      </c>
      <c r="E2797" s="44" t="s">
        <v>1506</v>
      </c>
      <c r="F2797" s="65">
        <v>145.88999999999999</v>
      </c>
      <c r="G2797" s="44" t="s">
        <v>2115</v>
      </c>
      <c r="H2797" s="44" t="s">
        <v>4446</v>
      </c>
      <c r="I2797" s="62" t="s">
        <v>1517</v>
      </c>
      <c r="J2797" s="44" t="s">
        <v>519</v>
      </c>
      <c r="K2797" s="44" t="s">
        <v>519</v>
      </c>
      <c r="L2797" s="44" t="s">
        <v>552</v>
      </c>
      <c r="M2797" s="44" t="s">
        <v>514</v>
      </c>
      <c r="N2797" s="44" t="s">
        <v>604</v>
      </c>
      <c r="O2797" s="45" t="s">
        <v>382</v>
      </c>
      <c r="P2797" s="45" t="s">
        <v>3760</v>
      </c>
      <c r="Q2797" s="59" t="str">
        <f>MID(Tabla1[[#This Row],[Aplicación]],14,1)</f>
        <v>2</v>
      </c>
      <c r="R2797" s="35" t="s">
        <v>298</v>
      </c>
      <c r="S2797" s="59" t="str">
        <f>MID(Tabla1[[#This Row],[Aplicación]],6,2)</f>
        <v>03</v>
      </c>
      <c r="T2797" s="35" t="str">
        <f>VLOOKUP(Tabla1[[#This Row],[AREA]],Hoja1!A:B,2,FALSE)</f>
        <v>03. Participación ciudadana y deportes</v>
      </c>
      <c r="U2797" s="56" t="str">
        <f>MID(Tabla1[[#This Row],[Aplicación]],9,4)</f>
        <v>9241</v>
      </c>
      <c r="V2797" s="35" t="str">
        <f>VLOOKUP(Tabla1[[#This Row],[PROGRAMA]],Hoja1!A:B,2,FALSE)</f>
        <v>9241. Participación ciudadana</v>
      </c>
      <c r="W2797" s="56" t="str">
        <f>MID(Tabla1[[#This Row],[Aplicación]],14,2)</f>
        <v>21</v>
      </c>
      <c r="X2797" s="56" t="str">
        <f>MID(Tabla1[[#This Row],[Aplicación]],14,6)</f>
        <v>212</v>
      </c>
    </row>
    <row r="2798" spans="1:24" x14ac:dyDescent="0.25">
      <c r="A2798" s="62">
        <v>220230026416</v>
      </c>
      <c r="B2798" s="44" t="s">
        <v>1514</v>
      </c>
      <c r="C2798" s="64">
        <v>45077</v>
      </c>
      <c r="D2798" s="62">
        <v>22023001466</v>
      </c>
      <c r="E2798" s="44" t="s">
        <v>2624</v>
      </c>
      <c r="F2798" s="65">
        <v>78.7</v>
      </c>
      <c r="G2798" s="44" t="s">
        <v>2115</v>
      </c>
      <c r="H2798" s="44" t="s">
        <v>4447</v>
      </c>
      <c r="I2798" s="62" t="s">
        <v>1517</v>
      </c>
      <c r="J2798" s="44" t="s">
        <v>519</v>
      </c>
      <c r="K2798" s="44" t="s">
        <v>519</v>
      </c>
      <c r="L2798" s="44" t="s">
        <v>552</v>
      </c>
      <c r="M2798" s="44" t="s">
        <v>514</v>
      </c>
      <c r="N2798" s="44" t="s">
        <v>515</v>
      </c>
      <c r="O2798" s="45" t="s">
        <v>382</v>
      </c>
      <c r="P2798" s="45" t="s">
        <v>3760</v>
      </c>
      <c r="Q2798" s="59" t="str">
        <f>MID(Tabla1[[#This Row],[Aplicación]],14,1)</f>
        <v>2</v>
      </c>
      <c r="R2798" s="35" t="s">
        <v>298</v>
      </c>
      <c r="S2798" s="59" t="str">
        <f>MID(Tabla1[[#This Row],[Aplicación]],6,2)</f>
        <v>11</v>
      </c>
      <c r="T2798" s="35" t="str">
        <f>VLOOKUP(Tabla1[[#This Row],[AREA]],Hoja1!A:B,2,FALSE)</f>
        <v>11. Salud pública y seguridad ciudadana</v>
      </c>
      <c r="U2798" s="56" t="str">
        <f>MID(Tabla1[[#This Row],[Aplicación]],9,4)</f>
        <v>1621</v>
      </c>
      <c r="V2798" s="35" t="str">
        <f>VLOOKUP(Tabla1[[#This Row],[PROGRAMA]],Hoja1!A:B,2,FALSE)</f>
        <v>1621. Servicio de limpieza</v>
      </c>
      <c r="W2798" s="56" t="str">
        <f>MID(Tabla1[[#This Row],[Aplicación]],14,2)</f>
        <v>22</v>
      </c>
      <c r="X2798" s="56" t="str">
        <f>MID(Tabla1[[#This Row],[Aplicación]],14,6)</f>
        <v>22199</v>
      </c>
    </row>
    <row r="2799" spans="1:24" x14ac:dyDescent="0.25">
      <c r="A2799" s="62">
        <v>220230026422</v>
      </c>
      <c r="B2799" s="44" t="s">
        <v>1514</v>
      </c>
      <c r="C2799" s="64">
        <v>45077</v>
      </c>
      <c r="D2799" s="62">
        <v>22023001476</v>
      </c>
      <c r="E2799" s="44" t="s">
        <v>2662</v>
      </c>
      <c r="F2799" s="65">
        <v>47.99</v>
      </c>
      <c r="G2799" s="44" t="s">
        <v>2115</v>
      </c>
      <c r="H2799" s="44" t="s">
        <v>4448</v>
      </c>
      <c r="I2799" s="62" t="s">
        <v>1517</v>
      </c>
      <c r="J2799" s="44" t="s">
        <v>519</v>
      </c>
      <c r="K2799" s="44" t="s">
        <v>519</v>
      </c>
      <c r="L2799" s="44" t="s">
        <v>552</v>
      </c>
      <c r="M2799" s="44" t="s">
        <v>514</v>
      </c>
      <c r="N2799" s="44" t="s">
        <v>515</v>
      </c>
      <c r="O2799" s="45" t="s">
        <v>382</v>
      </c>
      <c r="P2799" s="45" t="s">
        <v>3760</v>
      </c>
      <c r="Q2799" s="59" t="str">
        <f>MID(Tabla1[[#This Row],[Aplicación]],14,1)</f>
        <v>2</v>
      </c>
      <c r="R2799" s="35" t="s">
        <v>298</v>
      </c>
      <c r="S2799" s="59" t="str">
        <f>MID(Tabla1[[#This Row],[Aplicación]],6,2)</f>
        <v>11</v>
      </c>
      <c r="T2799" s="35" t="str">
        <f>VLOOKUP(Tabla1[[#This Row],[AREA]],Hoja1!A:B,2,FALSE)</f>
        <v>11. Salud pública y seguridad ciudadana</v>
      </c>
      <c r="U2799" s="56" t="str">
        <f>MID(Tabla1[[#This Row],[Aplicación]],9,4)</f>
        <v>1631</v>
      </c>
      <c r="V2799" s="35" t="str">
        <f>VLOOKUP(Tabla1[[#This Row],[PROGRAMA]],Hoja1!A:B,2,FALSE)</f>
        <v>1631. Limpieza viaria</v>
      </c>
      <c r="W2799" s="56" t="str">
        <f>MID(Tabla1[[#This Row],[Aplicación]],14,2)</f>
        <v>22</v>
      </c>
      <c r="X2799" s="56" t="str">
        <f>MID(Tabla1[[#This Row],[Aplicación]],14,6)</f>
        <v>22199</v>
      </c>
    </row>
    <row r="2800" spans="1:24" x14ac:dyDescent="0.25">
      <c r="A2800" s="62">
        <v>220230026424</v>
      </c>
      <c r="B2800" s="44" t="s">
        <v>1514</v>
      </c>
      <c r="C2800" s="64">
        <v>45077</v>
      </c>
      <c r="D2800" s="62">
        <v>22023001466</v>
      </c>
      <c r="E2800" s="44" t="s">
        <v>2624</v>
      </c>
      <c r="F2800" s="65">
        <v>32.32</v>
      </c>
      <c r="G2800" s="44" t="s">
        <v>2115</v>
      </c>
      <c r="H2800" s="44" t="s">
        <v>4449</v>
      </c>
      <c r="I2800" s="62" t="s">
        <v>1517</v>
      </c>
      <c r="J2800" s="44" t="s">
        <v>519</v>
      </c>
      <c r="K2800" s="44" t="s">
        <v>519</v>
      </c>
      <c r="L2800" s="44" t="s">
        <v>552</v>
      </c>
      <c r="M2800" s="44" t="s">
        <v>514</v>
      </c>
      <c r="N2800" s="44" t="s">
        <v>515</v>
      </c>
      <c r="O2800" s="45" t="s">
        <v>382</v>
      </c>
      <c r="P2800" s="45" t="s">
        <v>3760</v>
      </c>
      <c r="Q2800" s="59" t="str">
        <f>MID(Tabla1[[#This Row],[Aplicación]],14,1)</f>
        <v>2</v>
      </c>
      <c r="R2800" s="35" t="s">
        <v>298</v>
      </c>
      <c r="S2800" s="59" t="str">
        <f>MID(Tabla1[[#This Row],[Aplicación]],6,2)</f>
        <v>11</v>
      </c>
      <c r="T2800" s="35" t="str">
        <f>VLOOKUP(Tabla1[[#This Row],[AREA]],Hoja1!A:B,2,FALSE)</f>
        <v>11. Salud pública y seguridad ciudadana</v>
      </c>
      <c r="U2800" s="56" t="str">
        <f>MID(Tabla1[[#This Row],[Aplicación]],9,4)</f>
        <v>1621</v>
      </c>
      <c r="V2800" s="35" t="str">
        <f>VLOOKUP(Tabla1[[#This Row],[PROGRAMA]],Hoja1!A:B,2,FALSE)</f>
        <v>1621. Servicio de limpieza</v>
      </c>
      <c r="W2800" s="56" t="str">
        <f>MID(Tabla1[[#This Row],[Aplicación]],14,2)</f>
        <v>22</v>
      </c>
      <c r="X2800" s="56" t="str">
        <f>MID(Tabla1[[#This Row],[Aplicación]],14,6)</f>
        <v>22199</v>
      </c>
    </row>
    <row r="2801" spans="1:24" x14ac:dyDescent="0.25">
      <c r="A2801" s="62">
        <v>220230026714</v>
      </c>
      <c r="B2801" s="44" t="s">
        <v>1514</v>
      </c>
      <c r="C2801" s="64">
        <v>45077</v>
      </c>
      <c r="D2801" s="62">
        <v>22023004200</v>
      </c>
      <c r="E2801" s="44" t="s">
        <v>1362</v>
      </c>
      <c r="F2801" s="65">
        <v>1043.44</v>
      </c>
      <c r="G2801" s="44" t="s">
        <v>2115</v>
      </c>
      <c r="H2801" s="44" t="s">
        <v>4450</v>
      </c>
      <c r="I2801" s="62" t="s">
        <v>1517</v>
      </c>
      <c r="J2801" s="44" t="s">
        <v>519</v>
      </c>
      <c r="K2801" s="44" t="s">
        <v>519</v>
      </c>
      <c r="L2801" s="44" t="s">
        <v>552</v>
      </c>
      <c r="M2801" s="44" t="s">
        <v>514</v>
      </c>
      <c r="N2801" s="44" t="s">
        <v>515</v>
      </c>
      <c r="O2801" s="45" t="s">
        <v>382</v>
      </c>
      <c r="P2801" s="45" t="s">
        <v>3760</v>
      </c>
      <c r="Q2801" s="59" t="str">
        <f>MID(Tabla1[[#This Row],[Aplicación]],14,1)</f>
        <v>2</v>
      </c>
      <c r="R2801" s="35" t="s">
        <v>298</v>
      </c>
      <c r="S2801" s="59" t="str">
        <f>MID(Tabla1[[#This Row],[Aplicación]],6,2)</f>
        <v>09</v>
      </c>
      <c r="T2801" s="35" t="str">
        <f>VLOOKUP(Tabla1[[#This Row],[AREA]],Hoja1!A:B,2,FALSE)</f>
        <v>09. Cultura y turismo</v>
      </c>
      <c r="U2801" s="56" t="str">
        <f>MID(Tabla1[[#This Row],[Aplicación]],9,4)</f>
        <v>3341</v>
      </c>
      <c r="V2801" s="35" t="str">
        <f>VLOOKUP(Tabla1[[#This Row],[PROGRAMA]],Hoja1!A:B,2,FALSE)</f>
        <v>3341. Coordinación de políticas culturales</v>
      </c>
      <c r="W2801" s="56" t="str">
        <f>MID(Tabla1[[#This Row],[Aplicación]],14,2)</f>
        <v>21</v>
      </c>
      <c r="X2801" s="56" t="str">
        <f>MID(Tabla1[[#This Row],[Aplicación]],14,6)</f>
        <v>213</v>
      </c>
    </row>
    <row r="2802" spans="1:24" x14ac:dyDescent="0.25">
      <c r="A2802" s="62">
        <v>220230014131</v>
      </c>
      <c r="B2802" s="44" t="s">
        <v>1514</v>
      </c>
      <c r="C2802" s="64">
        <v>45035</v>
      </c>
      <c r="D2802" s="62">
        <v>22023002053</v>
      </c>
      <c r="E2802" s="44" t="s">
        <v>2107</v>
      </c>
      <c r="F2802" s="65">
        <v>38.159999999999997</v>
      </c>
      <c r="G2802" s="44" t="s">
        <v>2009</v>
      </c>
      <c r="H2802" s="44" t="s">
        <v>4451</v>
      </c>
      <c r="I2802" s="62" t="s">
        <v>1517</v>
      </c>
      <c r="J2802" s="44" t="s">
        <v>519</v>
      </c>
      <c r="K2802" s="44" t="s">
        <v>519</v>
      </c>
      <c r="L2802" s="44" t="s">
        <v>520</v>
      </c>
      <c r="M2802" s="44" t="s">
        <v>514</v>
      </c>
      <c r="N2802" s="44" t="s">
        <v>515</v>
      </c>
      <c r="O2802" s="45" t="s">
        <v>382</v>
      </c>
      <c r="P2802" s="45" t="s">
        <v>3760</v>
      </c>
      <c r="Q2802" s="59" t="str">
        <f>MID(Tabla1[[#This Row],[Aplicación]],14,1)</f>
        <v>2</v>
      </c>
      <c r="R2802" s="35" t="s">
        <v>298</v>
      </c>
      <c r="S2802" s="59" t="str">
        <f>MID(Tabla1[[#This Row],[Aplicación]],6,2)</f>
        <v>07</v>
      </c>
      <c r="T2802" s="35" t="str">
        <f>VLOOKUP(Tabla1[[#This Row],[AREA]],Hoja1!A:B,2,FALSE)</f>
        <v>07. Medio ambiente y desarrollo sostenible</v>
      </c>
      <c r="U2802" s="56" t="str">
        <f>MID(Tabla1[[#This Row],[Aplicación]],9,4)</f>
        <v>1711</v>
      </c>
      <c r="V2802" s="35" t="str">
        <f>VLOOKUP(Tabla1[[#This Row],[PROGRAMA]],Hoja1!A:B,2,FALSE)</f>
        <v>1711. Parques y jardines</v>
      </c>
      <c r="W2802" s="56" t="str">
        <f>MID(Tabla1[[#This Row],[Aplicación]],14,2)</f>
        <v>21</v>
      </c>
      <c r="X2802" s="56" t="str">
        <f>MID(Tabla1[[#This Row],[Aplicación]],14,6)</f>
        <v>213</v>
      </c>
    </row>
    <row r="2803" spans="1:24" x14ac:dyDescent="0.25">
      <c r="A2803" s="62">
        <v>220230021059</v>
      </c>
      <c r="B2803" s="44" t="s">
        <v>1514</v>
      </c>
      <c r="C2803" s="64">
        <v>45062</v>
      </c>
      <c r="D2803" s="62">
        <v>22023001956</v>
      </c>
      <c r="E2803" s="44" t="s">
        <v>1982</v>
      </c>
      <c r="F2803" s="65">
        <v>316.95999999999998</v>
      </c>
      <c r="G2803" s="44" t="s">
        <v>2009</v>
      </c>
      <c r="H2803" s="44" t="s">
        <v>4452</v>
      </c>
      <c r="I2803" s="62" t="s">
        <v>1517</v>
      </c>
      <c r="J2803" s="44" t="s">
        <v>519</v>
      </c>
      <c r="K2803" s="44" t="s">
        <v>519</v>
      </c>
      <c r="L2803" s="44" t="s">
        <v>520</v>
      </c>
      <c r="M2803" s="44" t="s">
        <v>514</v>
      </c>
      <c r="N2803" s="44" t="s">
        <v>515</v>
      </c>
      <c r="O2803" s="45" t="s">
        <v>382</v>
      </c>
      <c r="P2803" s="45" t="s">
        <v>3760</v>
      </c>
      <c r="Q2803" s="59" t="str">
        <f>MID(Tabla1[[#This Row],[Aplicación]],14,1)</f>
        <v>2</v>
      </c>
      <c r="R2803" s="35" t="s">
        <v>298</v>
      </c>
      <c r="S2803" s="59" t="str">
        <f>MID(Tabla1[[#This Row],[Aplicación]],6,2)</f>
        <v>07</v>
      </c>
      <c r="T2803" s="35" t="str">
        <f>VLOOKUP(Tabla1[[#This Row],[AREA]],Hoja1!A:B,2,FALSE)</f>
        <v>07. Medio ambiente y desarrollo sostenible</v>
      </c>
      <c r="U2803" s="56" t="str">
        <f>MID(Tabla1[[#This Row],[Aplicación]],9,4)</f>
        <v>1711</v>
      </c>
      <c r="V2803" s="35" t="str">
        <f>VLOOKUP(Tabla1[[#This Row],[PROGRAMA]],Hoja1!A:B,2,FALSE)</f>
        <v>1711. Parques y jardines</v>
      </c>
      <c r="W2803" s="56" t="str">
        <f>MID(Tabla1[[#This Row],[Aplicación]],14,2)</f>
        <v>21</v>
      </c>
      <c r="X2803" s="56" t="str">
        <f>MID(Tabla1[[#This Row],[Aplicación]],14,6)</f>
        <v>214</v>
      </c>
    </row>
    <row r="2804" spans="1:24" x14ac:dyDescent="0.25">
      <c r="A2804" s="62">
        <v>220230026216</v>
      </c>
      <c r="B2804" s="44" t="s">
        <v>1514</v>
      </c>
      <c r="C2804" s="64">
        <v>45077</v>
      </c>
      <c r="D2804" s="62">
        <v>22023001956</v>
      </c>
      <c r="E2804" s="44" t="s">
        <v>1982</v>
      </c>
      <c r="F2804" s="65">
        <v>233.08</v>
      </c>
      <c r="G2804" s="44" t="s">
        <v>2009</v>
      </c>
      <c r="H2804" s="44" t="s">
        <v>4453</v>
      </c>
      <c r="I2804" s="62" t="s">
        <v>1517</v>
      </c>
      <c r="J2804" s="44" t="s">
        <v>519</v>
      </c>
      <c r="K2804" s="44" t="s">
        <v>519</v>
      </c>
      <c r="L2804" s="44" t="s">
        <v>520</v>
      </c>
      <c r="M2804" s="44" t="s">
        <v>514</v>
      </c>
      <c r="N2804" s="44" t="s">
        <v>515</v>
      </c>
      <c r="O2804" s="45" t="s">
        <v>382</v>
      </c>
      <c r="P2804" s="45" t="s">
        <v>3760</v>
      </c>
      <c r="Q2804" s="59" t="str">
        <f>MID(Tabla1[[#This Row],[Aplicación]],14,1)</f>
        <v>2</v>
      </c>
      <c r="R2804" s="35" t="s">
        <v>298</v>
      </c>
      <c r="S2804" s="59" t="str">
        <f>MID(Tabla1[[#This Row],[Aplicación]],6,2)</f>
        <v>07</v>
      </c>
      <c r="T2804" s="35" t="str">
        <f>VLOOKUP(Tabla1[[#This Row],[AREA]],Hoja1!A:B,2,FALSE)</f>
        <v>07. Medio ambiente y desarrollo sostenible</v>
      </c>
      <c r="U2804" s="56" t="str">
        <f>MID(Tabla1[[#This Row],[Aplicación]],9,4)</f>
        <v>1711</v>
      </c>
      <c r="V2804" s="35" t="str">
        <f>VLOOKUP(Tabla1[[#This Row],[PROGRAMA]],Hoja1!A:B,2,FALSE)</f>
        <v>1711. Parques y jardines</v>
      </c>
      <c r="W2804" s="56" t="str">
        <f>MID(Tabla1[[#This Row],[Aplicación]],14,2)</f>
        <v>21</v>
      </c>
      <c r="X2804" s="56" t="str">
        <f>MID(Tabla1[[#This Row],[Aplicación]],14,6)</f>
        <v>214</v>
      </c>
    </row>
    <row r="2805" spans="1:24" x14ac:dyDescent="0.25">
      <c r="A2805" s="62">
        <v>220230026218</v>
      </c>
      <c r="B2805" s="44" t="s">
        <v>1514</v>
      </c>
      <c r="C2805" s="64">
        <v>45077</v>
      </c>
      <c r="D2805" s="62">
        <v>22023001956</v>
      </c>
      <c r="E2805" s="44" t="s">
        <v>1982</v>
      </c>
      <c r="F2805" s="65">
        <v>500.72</v>
      </c>
      <c r="G2805" s="44" t="s">
        <v>2009</v>
      </c>
      <c r="H2805" s="44" t="s">
        <v>4454</v>
      </c>
      <c r="I2805" s="62" t="s">
        <v>1517</v>
      </c>
      <c r="J2805" s="44" t="s">
        <v>519</v>
      </c>
      <c r="K2805" s="44" t="s">
        <v>519</v>
      </c>
      <c r="L2805" s="44" t="s">
        <v>520</v>
      </c>
      <c r="M2805" s="44" t="s">
        <v>514</v>
      </c>
      <c r="N2805" s="44" t="s">
        <v>515</v>
      </c>
      <c r="O2805" s="45" t="s">
        <v>382</v>
      </c>
      <c r="P2805" s="45" t="s">
        <v>3760</v>
      </c>
      <c r="Q2805" s="59" t="str">
        <f>MID(Tabla1[[#This Row],[Aplicación]],14,1)</f>
        <v>2</v>
      </c>
      <c r="R2805" s="35" t="s">
        <v>298</v>
      </c>
      <c r="S2805" s="59" t="str">
        <f>MID(Tabla1[[#This Row],[Aplicación]],6,2)</f>
        <v>07</v>
      </c>
      <c r="T2805" s="35" t="str">
        <f>VLOOKUP(Tabla1[[#This Row],[AREA]],Hoja1!A:B,2,FALSE)</f>
        <v>07. Medio ambiente y desarrollo sostenible</v>
      </c>
      <c r="U2805" s="56" t="str">
        <f>MID(Tabla1[[#This Row],[Aplicación]],9,4)</f>
        <v>1711</v>
      </c>
      <c r="V2805" s="35" t="str">
        <f>VLOOKUP(Tabla1[[#This Row],[PROGRAMA]],Hoja1!A:B,2,FALSE)</f>
        <v>1711. Parques y jardines</v>
      </c>
      <c r="W2805" s="56" t="str">
        <f>MID(Tabla1[[#This Row],[Aplicación]],14,2)</f>
        <v>21</v>
      </c>
      <c r="X2805" s="56" t="str">
        <f>MID(Tabla1[[#This Row],[Aplicación]],14,6)</f>
        <v>214</v>
      </c>
    </row>
    <row r="2806" spans="1:24" x14ac:dyDescent="0.25">
      <c r="A2806" s="62">
        <v>220230014587</v>
      </c>
      <c r="B2806" s="44" t="s">
        <v>1514</v>
      </c>
      <c r="C2806" s="64">
        <v>45040</v>
      </c>
      <c r="D2806" s="62">
        <v>22023002378</v>
      </c>
      <c r="E2806" s="44" t="s">
        <v>1362</v>
      </c>
      <c r="F2806" s="65">
        <v>19.95</v>
      </c>
      <c r="G2806" s="44" t="s">
        <v>98</v>
      </c>
      <c r="H2806" s="44" t="s">
        <v>4455</v>
      </c>
      <c r="I2806" s="62" t="s">
        <v>1517</v>
      </c>
      <c r="J2806" s="44" t="s">
        <v>519</v>
      </c>
      <c r="K2806" s="44" t="s">
        <v>519</v>
      </c>
      <c r="L2806" s="44" t="s">
        <v>552</v>
      </c>
      <c r="M2806" s="44" t="s">
        <v>514</v>
      </c>
      <c r="N2806" s="44" t="s">
        <v>515</v>
      </c>
      <c r="O2806" s="45" t="s">
        <v>382</v>
      </c>
      <c r="P2806" s="45" t="s">
        <v>3760</v>
      </c>
      <c r="Q2806" s="59" t="str">
        <f>MID(Tabla1[[#This Row],[Aplicación]],14,1)</f>
        <v>2</v>
      </c>
      <c r="R2806" s="35" t="s">
        <v>298</v>
      </c>
      <c r="S2806" s="59" t="str">
        <f>MID(Tabla1[[#This Row],[Aplicación]],6,2)</f>
        <v>09</v>
      </c>
      <c r="T2806" s="35" t="str">
        <f>VLOOKUP(Tabla1[[#This Row],[AREA]],Hoja1!A:B,2,FALSE)</f>
        <v>09. Cultura y turismo</v>
      </c>
      <c r="U2806" s="56" t="str">
        <f>MID(Tabla1[[#This Row],[Aplicación]],9,4)</f>
        <v>3341</v>
      </c>
      <c r="V2806" s="35" t="str">
        <f>VLOOKUP(Tabla1[[#This Row],[PROGRAMA]],Hoja1!A:B,2,FALSE)</f>
        <v>3341. Coordinación de políticas culturales</v>
      </c>
      <c r="W2806" s="56" t="str">
        <f>MID(Tabla1[[#This Row],[Aplicación]],14,2)</f>
        <v>21</v>
      </c>
      <c r="X2806" s="56" t="str">
        <f>MID(Tabla1[[#This Row],[Aplicación]],14,6)</f>
        <v>213</v>
      </c>
    </row>
    <row r="2807" spans="1:24" x14ac:dyDescent="0.25">
      <c r="A2807" s="62">
        <v>220230016072</v>
      </c>
      <c r="B2807" s="44" t="s">
        <v>1514</v>
      </c>
      <c r="C2807" s="64">
        <v>45043</v>
      </c>
      <c r="D2807" s="62">
        <v>22023002739</v>
      </c>
      <c r="E2807" s="44" t="s">
        <v>1551</v>
      </c>
      <c r="F2807" s="65">
        <v>197.62</v>
      </c>
      <c r="G2807" s="44" t="s">
        <v>98</v>
      </c>
      <c r="H2807" s="44" t="s">
        <v>4456</v>
      </c>
      <c r="I2807" s="62" t="s">
        <v>1517</v>
      </c>
      <c r="J2807" s="44" t="s">
        <v>519</v>
      </c>
      <c r="K2807" s="44" t="s">
        <v>519</v>
      </c>
      <c r="L2807" s="44" t="s">
        <v>552</v>
      </c>
      <c r="M2807" s="44" t="s">
        <v>514</v>
      </c>
      <c r="N2807" s="44" t="s">
        <v>515</v>
      </c>
      <c r="O2807" s="45" t="s">
        <v>382</v>
      </c>
      <c r="P2807" s="45" t="s">
        <v>3760</v>
      </c>
      <c r="Q2807" s="59" t="str">
        <f>MID(Tabla1[[#This Row],[Aplicación]],14,1)</f>
        <v>2</v>
      </c>
      <c r="R2807" s="35" t="s">
        <v>298</v>
      </c>
      <c r="S2807" s="59" t="str">
        <f>MID(Tabla1[[#This Row],[Aplicación]],6,2)</f>
        <v>02</v>
      </c>
      <c r="T2807" s="35" t="str">
        <f>VLOOKUP(Tabla1[[#This Row],[AREA]],Hoja1!A:B,2,FALSE)</f>
        <v>02. Planeamiento urbanístico y vivienda</v>
      </c>
      <c r="U2807" s="56" t="str">
        <f>MID(Tabla1[[#This Row],[Aplicación]],9,4)</f>
        <v>9332</v>
      </c>
      <c r="V2807" s="35" t="str">
        <f>VLOOKUP(Tabla1[[#This Row],[PROGRAMA]],Hoja1!A:B,2,FALSE)</f>
        <v>9332. Mantenimiento de edificios e instalaciones municipales</v>
      </c>
      <c r="W2807" s="56" t="str">
        <f>MID(Tabla1[[#This Row],[Aplicación]],14,2)</f>
        <v>21</v>
      </c>
      <c r="X2807" s="56" t="str">
        <f>MID(Tabla1[[#This Row],[Aplicación]],14,6)</f>
        <v>212</v>
      </c>
    </row>
    <row r="2808" spans="1:24" x14ac:dyDescent="0.25">
      <c r="A2808" s="62">
        <v>220230016118</v>
      </c>
      <c r="B2808" s="44" t="s">
        <v>1514</v>
      </c>
      <c r="C2808" s="64">
        <v>45043</v>
      </c>
      <c r="D2808" s="62">
        <v>22023002181</v>
      </c>
      <c r="E2808" s="44" t="s">
        <v>1305</v>
      </c>
      <c r="F2808" s="65">
        <v>8.75</v>
      </c>
      <c r="G2808" s="44" t="s">
        <v>98</v>
      </c>
      <c r="H2808" s="44" t="s">
        <v>4457</v>
      </c>
      <c r="I2808" s="62" t="s">
        <v>1517</v>
      </c>
      <c r="J2808" s="44" t="s">
        <v>519</v>
      </c>
      <c r="K2808" s="44" t="s">
        <v>519</v>
      </c>
      <c r="L2808" s="44" t="s">
        <v>552</v>
      </c>
      <c r="M2808" s="44" t="s">
        <v>514</v>
      </c>
      <c r="N2808" s="44" t="s">
        <v>515</v>
      </c>
      <c r="O2808" s="45" t="s">
        <v>382</v>
      </c>
      <c r="P2808" s="45" t="s">
        <v>3760</v>
      </c>
      <c r="Q2808" s="59" t="str">
        <f>MID(Tabla1[[#This Row],[Aplicación]],14,1)</f>
        <v>2</v>
      </c>
      <c r="R2808" s="35" t="s">
        <v>298</v>
      </c>
      <c r="S2808" s="59" t="str">
        <f>MID(Tabla1[[#This Row],[Aplicación]],6,2)</f>
        <v>06</v>
      </c>
      <c r="T2808" s="35" t="str">
        <f>VLOOKUP(Tabla1[[#This Row],[AREA]],Hoja1!A:B,2,FALSE)</f>
        <v>06. Educación, infancia, juventud e igualdad</v>
      </c>
      <c r="U2808" s="56" t="str">
        <f>MID(Tabla1[[#This Row],[Aplicación]],9,4)</f>
        <v>3232</v>
      </c>
      <c r="V2808" s="35" t="str">
        <f>VLOOKUP(Tabla1[[#This Row],[PROGRAMA]],Hoja1!A:B,2,FALSE)</f>
        <v>3232. Conservación y mantenimiento centros educación infantil y primaria</v>
      </c>
      <c r="W2808" s="56" t="str">
        <f>MID(Tabla1[[#This Row],[Aplicación]],14,2)</f>
        <v>21</v>
      </c>
      <c r="X2808" s="56" t="str">
        <f>MID(Tabla1[[#This Row],[Aplicación]],14,6)</f>
        <v>212</v>
      </c>
    </row>
    <row r="2809" spans="1:24" x14ac:dyDescent="0.25">
      <c r="A2809" s="62">
        <v>220230016142</v>
      </c>
      <c r="B2809" s="44" t="s">
        <v>1514</v>
      </c>
      <c r="C2809" s="64">
        <v>45043</v>
      </c>
      <c r="D2809" s="62">
        <v>22023002182</v>
      </c>
      <c r="E2809" s="44" t="s">
        <v>2785</v>
      </c>
      <c r="F2809" s="65">
        <v>35.53</v>
      </c>
      <c r="G2809" s="44" t="s">
        <v>98</v>
      </c>
      <c r="H2809" s="44" t="s">
        <v>4458</v>
      </c>
      <c r="I2809" s="62" t="s">
        <v>1517</v>
      </c>
      <c r="J2809" s="44" t="s">
        <v>519</v>
      </c>
      <c r="K2809" s="44" t="s">
        <v>519</v>
      </c>
      <c r="L2809" s="44" t="s">
        <v>552</v>
      </c>
      <c r="M2809" s="44" t="s">
        <v>514</v>
      </c>
      <c r="N2809" s="44" t="s">
        <v>515</v>
      </c>
      <c r="O2809" s="45" t="s">
        <v>382</v>
      </c>
      <c r="P2809" s="45" t="s">
        <v>3760</v>
      </c>
      <c r="Q2809" s="59" t="str">
        <f>MID(Tabla1[[#This Row],[Aplicación]],14,1)</f>
        <v>2</v>
      </c>
      <c r="R2809" s="35" t="s">
        <v>298</v>
      </c>
      <c r="S2809" s="59" t="str">
        <f>MID(Tabla1[[#This Row],[Aplicación]],6,2)</f>
        <v>06</v>
      </c>
      <c r="T2809" s="35" t="str">
        <f>VLOOKUP(Tabla1[[#This Row],[AREA]],Hoja1!A:B,2,FALSE)</f>
        <v>06. Educación, infancia, juventud e igualdad</v>
      </c>
      <c r="U2809" s="56" t="str">
        <f>MID(Tabla1[[#This Row],[Aplicación]],9,4)</f>
        <v>3321</v>
      </c>
      <c r="V2809" s="35" t="str">
        <f>VLOOKUP(Tabla1[[#This Row],[PROGRAMA]],Hoja1!A:B,2,FALSE)</f>
        <v>3321. Bibliotecas públicas</v>
      </c>
      <c r="W2809" s="56" t="str">
        <f>MID(Tabla1[[#This Row],[Aplicación]],14,2)</f>
        <v>21</v>
      </c>
      <c r="X2809" s="56" t="str">
        <f>MID(Tabla1[[#This Row],[Aplicación]],14,6)</f>
        <v>212</v>
      </c>
    </row>
    <row r="2810" spans="1:24" x14ac:dyDescent="0.25">
      <c r="A2810" s="62">
        <v>220230016144</v>
      </c>
      <c r="B2810" s="44" t="s">
        <v>1514</v>
      </c>
      <c r="C2810" s="64">
        <v>45043</v>
      </c>
      <c r="D2810" s="62">
        <v>22023002182</v>
      </c>
      <c r="E2810" s="44" t="s">
        <v>2785</v>
      </c>
      <c r="F2810" s="65">
        <v>381.26</v>
      </c>
      <c r="G2810" s="44" t="s">
        <v>98</v>
      </c>
      <c r="H2810" s="44" t="s">
        <v>4459</v>
      </c>
      <c r="I2810" s="62" t="s">
        <v>1517</v>
      </c>
      <c r="J2810" s="44" t="s">
        <v>519</v>
      </c>
      <c r="K2810" s="44" t="s">
        <v>519</v>
      </c>
      <c r="L2810" s="44" t="s">
        <v>552</v>
      </c>
      <c r="M2810" s="44" t="s">
        <v>514</v>
      </c>
      <c r="N2810" s="44" t="s">
        <v>515</v>
      </c>
      <c r="O2810" s="45" t="s">
        <v>382</v>
      </c>
      <c r="P2810" s="45" t="s">
        <v>3760</v>
      </c>
      <c r="Q2810" s="59" t="str">
        <f>MID(Tabla1[[#This Row],[Aplicación]],14,1)</f>
        <v>2</v>
      </c>
      <c r="R2810" s="35" t="s">
        <v>298</v>
      </c>
      <c r="S2810" s="59" t="str">
        <f>MID(Tabla1[[#This Row],[Aplicación]],6,2)</f>
        <v>06</v>
      </c>
      <c r="T2810" s="35" t="str">
        <f>VLOOKUP(Tabla1[[#This Row],[AREA]],Hoja1!A:B,2,FALSE)</f>
        <v>06. Educación, infancia, juventud e igualdad</v>
      </c>
      <c r="U2810" s="56" t="str">
        <f>MID(Tabla1[[#This Row],[Aplicación]],9,4)</f>
        <v>3321</v>
      </c>
      <c r="V2810" s="35" t="str">
        <f>VLOOKUP(Tabla1[[#This Row],[PROGRAMA]],Hoja1!A:B,2,FALSE)</f>
        <v>3321. Bibliotecas públicas</v>
      </c>
      <c r="W2810" s="56" t="str">
        <f>MID(Tabla1[[#This Row],[Aplicación]],14,2)</f>
        <v>21</v>
      </c>
      <c r="X2810" s="56" t="str">
        <f>MID(Tabla1[[#This Row],[Aplicación]],14,6)</f>
        <v>212</v>
      </c>
    </row>
    <row r="2811" spans="1:24" x14ac:dyDescent="0.25">
      <c r="A2811" s="62">
        <v>220230016154</v>
      </c>
      <c r="B2811" s="44" t="s">
        <v>1514</v>
      </c>
      <c r="C2811" s="64">
        <v>45043</v>
      </c>
      <c r="D2811" s="62">
        <v>22023002182</v>
      </c>
      <c r="E2811" s="44" t="s">
        <v>2785</v>
      </c>
      <c r="F2811" s="65">
        <v>34.42</v>
      </c>
      <c r="G2811" s="44" t="s">
        <v>98</v>
      </c>
      <c r="H2811" s="44" t="s">
        <v>4460</v>
      </c>
      <c r="I2811" s="62" t="s">
        <v>1517</v>
      </c>
      <c r="J2811" s="44" t="s">
        <v>519</v>
      </c>
      <c r="K2811" s="44" t="s">
        <v>519</v>
      </c>
      <c r="L2811" s="44" t="s">
        <v>552</v>
      </c>
      <c r="M2811" s="44" t="s">
        <v>514</v>
      </c>
      <c r="N2811" s="44" t="s">
        <v>515</v>
      </c>
      <c r="O2811" s="45" t="s">
        <v>382</v>
      </c>
      <c r="P2811" s="45" t="s">
        <v>3760</v>
      </c>
      <c r="Q2811" s="59" t="str">
        <f>MID(Tabla1[[#This Row],[Aplicación]],14,1)</f>
        <v>2</v>
      </c>
      <c r="R2811" s="35" t="s">
        <v>298</v>
      </c>
      <c r="S2811" s="59" t="str">
        <f>MID(Tabla1[[#This Row],[Aplicación]],6,2)</f>
        <v>06</v>
      </c>
      <c r="T2811" s="35" t="str">
        <f>VLOOKUP(Tabla1[[#This Row],[AREA]],Hoja1!A:B,2,FALSE)</f>
        <v>06. Educación, infancia, juventud e igualdad</v>
      </c>
      <c r="U2811" s="56" t="str">
        <f>MID(Tabla1[[#This Row],[Aplicación]],9,4)</f>
        <v>3321</v>
      </c>
      <c r="V2811" s="35" t="str">
        <f>VLOOKUP(Tabla1[[#This Row],[PROGRAMA]],Hoja1!A:B,2,FALSE)</f>
        <v>3321. Bibliotecas públicas</v>
      </c>
      <c r="W2811" s="56" t="str">
        <f>MID(Tabla1[[#This Row],[Aplicación]],14,2)</f>
        <v>21</v>
      </c>
      <c r="X2811" s="56" t="str">
        <f>MID(Tabla1[[#This Row],[Aplicación]],14,6)</f>
        <v>212</v>
      </c>
    </row>
    <row r="2812" spans="1:24" x14ac:dyDescent="0.25">
      <c r="A2812" s="62">
        <v>220230016174</v>
      </c>
      <c r="B2812" s="44" t="s">
        <v>1514</v>
      </c>
      <c r="C2812" s="64">
        <v>45043</v>
      </c>
      <c r="D2812" s="62">
        <v>22023002185</v>
      </c>
      <c r="E2812" s="44" t="s">
        <v>2458</v>
      </c>
      <c r="F2812" s="65">
        <v>45.98</v>
      </c>
      <c r="G2812" s="44" t="s">
        <v>98</v>
      </c>
      <c r="H2812" s="44" t="s">
        <v>4461</v>
      </c>
      <c r="I2812" s="62" t="s">
        <v>1517</v>
      </c>
      <c r="J2812" s="44" t="s">
        <v>519</v>
      </c>
      <c r="K2812" s="44" t="s">
        <v>519</v>
      </c>
      <c r="L2812" s="44" t="s">
        <v>552</v>
      </c>
      <c r="M2812" s="44" t="s">
        <v>514</v>
      </c>
      <c r="N2812" s="44" t="s">
        <v>515</v>
      </c>
      <c r="O2812" s="45" t="s">
        <v>382</v>
      </c>
      <c r="P2812" s="45" t="s">
        <v>3760</v>
      </c>
      <c r="Q2812" s="59" t="str">
        <f>MID(Tabla1[[#This Row],[Aplicación]],14,1)</f>
        <v>2</v>
      </c>
      <c r="R2812" s="35" t="s">
        <v>298</v>
      </c>
      <c r="S2812" s="59" t="str">
        <f>MID(Tabla1[[#This Row],[Aplicación]],6,2)</f>
        <v>06</v>
      </c>
      <c r="T2812" s="35" t="str">
        <f>VLOOKUP(Tabla1[[#This Row],[AREA]],Hoja1!A:B,2,FALSE)</f>
        <v>06. Educación, infancia, juventud e igualdad</v>
      </c>
      <c r="U2812" s="56" t="str">
        <f>MID(Tabla1[[#This Row],[Aplicación]],9,4)</f>
        <v>3231</v>
      </c>
      <c r="V2812" s="35" t="str">
        <f>VLOOKUP(Tabla1[[#This Row],[PROGRAMA]],Hoja1!A:B,2,FALSE)</f>
        <v>3231. Escuelas infantiles</v>
      </c>
      <c r="W2812" s="56" t="str">
        <f>MID(Tabla1[[#This Row],[Aplicación]],14,2)</f>
        <v>21</v>
      </c>
      <c r="X2812" s="56" t="str">
        <f>MID(Tabla1[[#This Row],[Aplicación]],14,6)</f>
        <v>212</v>
      </c>
    </row>
    <row r="2813" spans="1:24" x14ac:dyDescent="0.25">
      <c r="A2813" s="62">
        <v>220230016271</v>
      </c>
      <c r="B2813" s="44" t="s">
        <v>1514</v>
      </c>
      <c r="C2813" s="64">
        <v>45043</v>
      </c>
      <c r="D2813" s="62">
        <v>22023001514</v>
      </c>
      <c r="E2813" s="44" t="s">
        <v>1285</v>
      </c>
      <c r="F2813" s="65">
        <v>4357.8900000000003</v>
      </c>
      <c r="G2813" s="44" t="s">
        <v>98</v>
      </c>
      <c r="H2813" s="44" t="s">
        <v>4462</v>
      </c>
      <c r="I2813" s="62" t="s">
        <v>1517</v>
      </c>
      <c r="J2813" s="44" t="s">
        <v>519</v>
      </c>
      <c r="K2813" s="44" t="s">
        <v>519</v>
      </c>
      <c r="L2813" s="44" t="s">
        <v>552</v>
      </c>
      <c r="M2813" s="44" t="s">
        <v>514</v>
      </c>
      <c r="N2813" s="44" t="s">
        <v>515</v>
      </c>
      <c r="O2813" s="45" t="s">
        <v>382</v>
      </c>
      <c r="P2813" s="45" t="s">
        <v>3760</v>
      </c>
      <c r="Q2813" s="59" t="str">
        <f>MID(Tabla1[[#This Row],[Aplicación]],14,1)</f>
        <v>2</v>
      </c>
      <c r="R2813" s="35" t="s">
        <v>298</v>
      </c>
      <c r="S2813" s="59" t="str">
        <f>MID(Tabla1[[#This Row],[Aplicación]],6,2)</f>
        <v>11</v>
      </c>
      <c r="T2813" s="35" t="str">
        <f>VLOOKUP(Tabla1[[#This Row],[AREA]],Hoja1!A:B,2,FALSE)</f>
        <v>11. Salud pública y seguridad ciudadana</v>
      </c>
      <c r="U2813" s="56" t="str">
        <f>MID(Tabla1[[#This Row],[Aplicación]],9,4)</f>
        <v>1361</v>
      </c>
      <c r="V2813" s="35" t="str">
        <f>VLOOKUP(Tabla1[[#This Row],[PROGRAMA]],Hoja1!A:B,2,FALSE)</f>
        <v>1361. Prevención y extinción de incencios</v>
      </c>
      <c r="W2813" s="56" t="str">
        <f>MID(Tabla1[[#This Row],[Aplicación]],14,2)</f>
        <v>22</v>
      </c>
      <c r="X2813" s="56" t="str">
        <f>MID(Tabla1[[#This Row],[Aplicación]],14,6)</f>
        <v>22199</v>
      </c>
    </row>
    <row r="2814" spans="1:24" x14ac:dyDescent="0.25">
      <c r="A2814" s="62">
        <v>220230016306</v>
      </c>
      <c r="B2814" s="44" t="s">
        <v>1514</v>
      </c>
      <c r="C2814" s="64">
        <v>45043</v>
      </c>
      <c r="D2814" s="62">
        <v>22023001412</v>
      </c>
      <c r="E2814" s="44" t="s">
        <v>1510</v>
      </c>
      <c r="F2814" s="65">
        <v>87.35</v>
      </c>
      <c r="G2814" s="44" t="s">
        <v>98</v>
      </c>
      <c r="H2814" s="44" t="s">
        <v>4463</v>
      </c>
      <c r="I2814" s="62" t="s">
        <v>1517</v>
      </c>
      <c r="J2814" s="44" t="s">
        <v>519</v>
      </c>
      <c r="K2814" s="44" t="s">
        <v>519</v>
      </c>
      <c r="L2814" s="44" t="s">
        <v>552</v>
      </c>
      <c r="M2814" s="44" t="s">
        <v>514</v>
      </c>
      <c r="N2814" s="44" t="s">
        <v>515</v>
      </c>
      <c r="O2814" s="45" t="s">
        <v>382</v>
      </c>
      <c r="P2814" s="45" t="s">
        <v>3760</v>
      </c>
      <c r="Q2814" s="59" t="str">
        <f>MID(Tabla1[[#This Row],[Aplicación]],14,1)</f>
        <v>2</v>
      </c>
      <c r="R2814" s="35" t="s">
        <v>298</v>
      </c>
      <c r="S2814" s="59" t="str">
        <f>MID(Tabla1[[#This Row],[Aplicación]],6,2)</f>
        <v>10</v>
      </c>
      <c r="T2814" s="35" t="str">
        <f>VLOOKUP(Tabla1[[#This Row],[AREA]],Hoja1!A:B,2,FALSE)</f>
        <v>10. Servicios sociales y mediación comunitaria</v>
      </c>
      <c r="U2814" s="56" t="str">
        <f>MID(Tabla1[[#This Row],[Aplicación]],9,4)</f>
        <v>2311</v>
      </c>
      <c r="V2814" s="35" t="str">
        <f>VLOOKUP(Tabla1[[#This Row],[PROGRAMA]],Hoja1!A:B,2,FALSE)</f>
        <v>2311. Intervención social</v>
      </c>
      <c r="W2814" s="56" t="str">
        <f>MID(Tabla1[[#This Row],[Aplicación]],14,2)</f>
        <v>21</v>
      </c>
      <c r="X2814" s="56" t="str">
        <f>MID(Tabla1[[#This Row],[Aplicación]],14,6)</f>
        <v>212</v>
      </c>
    </row>
    <row r="2815" spans="1:24" x14ac:dyDescent="0.25">
      <c r="A2815" s="62">
        <v>220230017439</v>
      </c>
      <c r="B2815" s="44" t="s">
        <v>1514</v>
      </c>
      <c r="C2815" s="64">
        <v>45049</v>
      </c>
      <c r="D2815" s="62">
        <v>22023001412</v>
      </c>
      <c r="E2815" s="44" t="s">
        <v>1510</v>
      </c>
      <c r="F2815" s="65">
        <v>16.54</v>
      </c>
      <c r="G2815" s="44" t="s">
        <v>98</v>
      </c>
      <c r="H2815" s="44" t="s">
        <v>4464</v>
      </c>
      <c r="I2815" s="62" t="s">
        <v>1517</v>
      </c>
      <c r="J2815" s="44" t="s">
        <v>519</v>
      </c>
      <c r="K2815" s="44" t="s">
        <v>519</v>
      </c>
      <c r="L2815" s="44" t="s">
        <v>552</v>
      </c>
      <c r="M2815" s="44" t="s">
        <v>514</v>
      </c>
      <c r="N2815" s="44" t="s">
        <v>515</v>
      </c>
      <c r="O2815" s="45" t="s">
        <v>382</v>
      </c>
      <c r="P2815" s="45" t="s">
        <v>3760</v>
      </c>
      <c r="Q2815" s="59" t="str">
        <f>MID(Tabla1[[#This Row],[Aplicación]],14,1)</f>
        <v>2</v>
      </c>
      <c r="R2815" s="35" t="s">
        <v>298</v>
      </c>
      <c r="S2815" s="59" t="str">
        <f>MID(Tabla1[[#This Row],[Aplicación]],6,2)</f>
        <v>10</v>
      </c>
      <c r="T2815" s="35" t="str">
        <f>VLOOKUP(Tabla1[[#This Row],[AREA]],Hoja1!A:B,2,FALSE)</f>
        <v>10. Servicios sociales y mediación comunitaria</v>
      </c>
      <c r="U2815" s="56" t="str">
        <f>MID(Tabla1[[#This Row],[Aplicación]],9,4)</f>
        <v>2311</v>
      </c>
      <c r="V2815" s="35" t="str">
        <f>VLOOKUP(Tabla1[[#This Row],[PROGRAMA]],Hoja1!A:B,2,FALSE)</f>
        <v>2311. Intervención social</v>
      </c>
      <c r="W2815" s="56" t="str">
        <f>MID(Tabla1[[#This Row],[Aplicación]],14,2)</f>
        <v>21</v>
      </c>
      <c r="X2815" s="56" t="str">
        <f>MID(Tabla1[[#This Row],[Aplicación]],14,6)</f>
        <v>212</v>
      </c>
    </row>
    <row r="2816" spans="1:24" x14ac:dyDescent="0.25">
      <c r="A2816" s="62">
        <v>220230018413</v>
      </c>
      <c r="B2816" s="44" t="s">
        <v>1514</v>
      </c>
      <c r="C2816" s="64">
        <v>45055</v>
      </c>
      <c r="D2816" s="62">
        <v>22023001343</v>
      </c>
      <c r="E2816" s="44" t="s">
        <v>1506</v>
      </c>
      <c r="F2816" s="65">
        <v>72.239999999999995</v>
      </c>
      <c r="G2816" s="44" t="s">
        <v>98</v>
      </c>
      <c r="H2816" s="44" t="s">
        <v>4465</v>
      </c>
      <c r="I2816" s="62" t="s">
        <v>1517</v>
      </c>
      <c r="J2816" s="44" t="s">
        <v>519</v>
      </c>
      <c r="K2816" s="44" t="s">
        <v>519</v>
      </c>
      <c r="L2816" s="44" t="s">
        <v>552</v>
      </c>
      <c r="M2816" s="44" t="s">
        <v>514</v>
      </c>
      <c r="N2816" s="44" t="s">
        <v>604</v>
      </c>
      <c r="O2816" s="45" t="s">
        <v>382</v>
      </c>
      <c r="P2816" s="45" t="s">
        <v>3760</v>
      </c>
      <c r="Q2816" s="59" t="str">
        <f>MID(Tabla1[[#This Row],[Aplicación]],14,1)</f>
        <v>2</v>
      </c>
      <c r="R2816" s="35" t="s">
        <v>298</v>
      </c>
      <c r="S2816" s="59" t="str">
        <f>MID(Tabla1[[#This Row],[Aplicación]],6,2)</f>
        <v>03</v>
      </c>
      <c r="T2816" s="35" t="str">
        <f>VLOOKUP(Tabla1[[#This Row],[AREA]],Hoja1!A:B,2,FALSE)</f>
        <v>03. Participación ciudadana y deportes</v>
      </c>
      <c r="U2816" s="56" t="str">
        <f>MID(Tabla1[[#This Row],[Aplicación]],9,4)</f>
        <v>9241</v>
      </c>
      <c r="V2816" s="35" t="str">
        <f>VLOOKUP(Tabla1[[#This Row],[PROGRAMA]],Hoja1!A:B,2,FALSE)</f>
        <v>9241. Participación ciudadana</v>
      </c>
      <c r="W2816" s="56" t="str">
        <f>MID(Tabla1[[#This Row],[Aplicación]],14,2)</f>
        <v>21</v>
      </c>
      <c r="X2816" s="56" t="str">
        <f>MID(Tabla1[[#This Row],[Aplicación]],14,6)</f>
        <v>212</v>
      </c>
    </row>
    <row r="2817" spans="1:24" x14ac:dyDescent="0.25">
      <c r="A2817" s="62">
        <v>220230018961</v>
      </c>
      <c r="B2817" s="44" t="s">
        <v>1514</v>
      </c>
      <c r="C2817" s="64">
        <v>45056</v>
      </c>
      <c r="D2817" s="62">
        <v>22023002460</v>
      </c>
      <c r="E2817" s="44" t="s">
        <v>1978</v>
      </c>
      <c r="F2817" s="65">
        <v>68.180000000000007</v>
      </c>
      <c r="G2817" s="44" t="s">
        <v>98</v>
      </c>
      <c r="H2817" s="44" t="s">
        <v>4466</v>
      </c>
      <c r="I2817" s="62" t="s">
        <v>1517</v>
      </c>
      <c r="J2817" s="44" t="s">
        <v>519</v>
      </c>
      <c r="K2817" s="44" t="s">
        <v>519</v>
      </c>
      <c r="L2817" s="44" t="s">
        <v>552</v>
      </c>
      <c r="M2817" s="44" t="s">
        <v>514</v>
      </c>
      <c r="N2817" s="44" t="s">
        <v>604</v>
      </c>
      <c r="O2817" s="45" t="s">
        <v>382</v>
      </c>
      <c r="P2817" s="45" t="s">
        <v>3760</v>
      </c>
      <c r="Q2817" s="59" t="str">
        <f>MID(Tabla1[[#This Row],[Aplicación]],14,1)</f>
        <v>2</v>
      </c>
      <c r="R2817" s="35" t="s">
        <v>298</v>
      </c>
      <c r="S2817" s="59" t="str">
        <f>MID(Tabla1[[#This Row],[Aplicación]],6,2)</f>
        <v>05</v>
      </c>
      <c r="T2817" s="35" t="str">
        <f>VLOOKUP(Tabla1[[#This Row],[AREA]],Hoja1!A:B,2,FALSE)</f>
        <v>05. Innovación, desarrollo económico, empleo y comercio</v>
      </c>
      <c r="U2817" s="56" t="str">
        <f>MID(Tabla1[[#This Row],[Aplicación]],9,4)</f>
        <v>4331</v>
      </c>
      <c r="V2817" s="35" t="str">
        <f>VLOOKUP(Tabla1[[#This Row],[PROGRAMA]],Hoja1!A:B,2,FALSE)</f>
        <v>4331. Desarrollo empresarial</v>
      </c>
      <c r="W2817" s="56" t="str">
        <f>MID(Tabla1[[#This Row],[Aplicación]],14,2)</f>
        <v>21</v>
      </c>
      <c r="X2817" s="56" t="str">
        <f>MID(Tabla1[[#This Row],[Aplicación]],14,6)</f>
        <v>212</v>
      </c>
    </row>
    <row r="2818" spans="1:24" x14ac:dyDescent="0.25">
      <c r="A2818" s="62">
        <v>220230020255</v>
      </c>
      <c r="B2818" s="44" t="s">
        <v>1514</v>
      </c>
      <c r="C2818" s="64">
        <v>45057</v>
      </c>
      <c r="D2818" s="62">
        <v>22023002181</v>
      </c>
      <c r="E2818" s="44" t="s">
        <v>1305</v>
      </c>
      <c r="F2818" s="65">
        <v>129.87</v>
      </c>
      <c r="G2818" s="44" t="s">
        <v>98</v>
      </c>
      <c r="H2818" s="44" t="s">
        <v>4467</v>
      </c>
      <c r="I2818" s="62" t="s">
        <v>1517</v>
      </c>
      <c r="J2818" s="44" t="s">
        <v>519</v>
      </c>
      <c r="K2818" s="44" t="s">
        <v>519</v>
      </c>
      <c r="L2818" s="44" t="s">
        <v>552</v>
      </c>
      <c r="M2818" s="44" t="s">
        <v>514</v>
      </c>
      <c r="N2818" s="44" t="s">
        <v>515</v>
      </c>
      <c r="O2818" s="45" t="s">
        <v>382</v>
      </c>
      <c r="P2818" s="45" t="s">
        <v>3760</v>
      </c>
      <c r="Q2818" s="59" t="str">
        <f>MID(Tabla1[[#This Row],[Aplicación]],14,1)</f>
        <v>2</v>
      </c>
      <c r="R2818" s="35" t="s">
        <v>298</v>
      </c>
      <c r="S2818" s="59" t="str">
        <f>MID(Tabla1[[#This Row],[Aplicación]],6,2)</f>
        <v>06</v>
      </c>
      <c r="T2818" s="35" t="str">
        <f>VLOOKUP(Tabla1[[#This Row],[AREA]],Hoja1!A:B,2,FALSE)</f>
        <v>06. Educación, infancia, juventud e igualdad</v>
      </c>
      <c r="U2818" s="56" t="str">
        <f>MID(Tabla1[[#This Row],[Aplicación]],9,4)</f>
        <v>3232</v>
      </c>
      <c r="V2818" s="35" t="str">
        <f>VLOOKUP(Tabla1[[#This Row],[PROGRAMA]],Hoja1!A:B,2,FALSE)</f>
        <v>3232. Conservación y mantenimiento centros educación infantil y primaria</v>
      </c>
      <c r="W2818" s="56" t="str">
        <f>MID(Tabla1[[#This Row],[Aplicación]],14,2)</f>
        <v>21</v>
      </c>
      <c r="X2818" s="56" t="str">
        <f>MID(Tabla1[[#This Row],[Aplicación]],14,6)</f>
        <v>212</v>
      </c>
    </row>
    <row r="2819" spans="1:24" x14ac:dyDescent="0.25">
      <c r="A2819" s="62">
        <v>220230020257</v>
      </c>
      <c r="B2819" s="44" t="s">
        <v>1514</v>
      </c>
      <c r="C2819" s="64">
        <v>45057</v>
      </c>
      <c r="D2819" s="62">
        <v>22023002185</v>
      </c>
      <c r="E2819" s="44" t="s">
        <v>2458</v>
      </c>
      <c r="F2819" s="65">
        <v>20.93</v>
      </c>
      <c r="G2819" s="44" t="s">
        <v>98</v>
      </c>
      <c r="H2819" s="44" t="s">
        <v>4468</v>
      </c>
      <c r="I2819" s="62" t="s">
        <v>1517</v>
      </c>
      <c r="J2819" s="44" t="s">
        <v>519</v>
      </c>
      <c r="K2819" s="44" t="s">
        <v>519</v>
      </c>
      <c r="L2819" s="44" t="s">
        <v>552</v>
      </c>
      <c r="M2819" s="44" t="s">
        <v>514</v>
      </c>
      <c r="N2819" s="44" t="s">
        <v>515</v>
      </c>
      <c r="O2819" s="45" t="s">
        <v>382</v>
      </c>
      <c r="P2819" s="45" t="s">
        <v>3760</v>
      </c>
      <c r="Q2819" s="59" t="str">
        <f>MID(Tabla1[[#This Row],[Aplicación]],14,1)</f>
        <v>2</v>
      </c>
      <c r="R2819" s="35" t="s">
        <v>298</v>
      </c>
      <c r="S2819" s="59" t="str">
        <f>MID(Tabla1[[#This Row],[Aplicación]],6,2)</f>
        <v>06</v>
      </c>
      <c r="T2819" s="35" t="str">
        <f>VLOOKUP(Tabla1[[#This Row],[AREA]],Hoja1!A:B,2,FALSE)</f>
        <v>06. Educación, infancia, juventud e igualdad</v>
      </c>
      <c r="U2819" s="56" t="str">
        <f>MID(Tabla1[[#This Row],[Aplicación]],9,4)</f>
        <v>3231</v>
      </c>
      <c r="V2819" s="35" t="str">
        <f>VLOOKUP(Tabla1[[#This Row],[PROGRAMA]],Hoja1!A:B,2,FALSE)</f>
        <v>3231. Escuelas infantiles</v>
      </c>
      <c r="W2819" s="56" t="str">
        <f>MID(Tabla1[[#This Row],[Aplicación]],14,2)</f>
        <v>21</v>
      </c>
      <c r="X2819" s="56" t="str">
        <f>MID(Tabla1[[#This Row],[Aplicación]],14,6)</f>
        <v>212</v>
      </c>
    </row>
    <row r="2820" spans="1:24" x14ac:dyDescent="0.25">
      <c r="A2820" s="62">
        <v>220230014341</v>
      </c>
      <c r="B2820" s="44" t="s">
        <v>507</v>
      </c>
      <c r="C2820" s="64">
        <v>45037</v>
      </c>
      <c r="D2820" s="62">
        <v>22023000517</v>
      </c>
      <c r="E2820" s="44" t="s">
        <v>516</v>
      </c>
      <c r="F2820" s="65">
        <v>18065.810000000001</v>
      </c>
      <c r="G2820" s="44" t="s">
        <v>314</v>
      </c>
      <c r="H2820" s="44" t="s">
        <v>4469</v>
      </c>
      <c r="I2820" s="62" t="s">
        <v>511</v>
      </c>
      <c r="J2820" s="44" t="s">
        <v>519</v>
      </c>
      <c r="K2820" s="44" t="s">
        <v>519</v>
      </c>
      <c r="L2820" s="44" t="s">
        <v>520</v>
      </c>
      <c r="M2820" s="44" t="s">
        <v>514</v>
      </c>
      <c r="N2820" s="44" t="s">
        <v>515</v>
      </c>
      <c r="O2820" s="45" t="s">
        <v>371</v>
      </c>
      <c r="P2820" s="45" t="s">
        <v>3760</v>
      </c>
      <c r="Q2820" s="59" t="str">
        <f>MID(Tabla1[[#This Row],[Aplicación]],14,1)</f>
        <v>2</v>
      </c>
      <c r="R2820" s="35" t="s">
        <v>298</v>
      </c>
      <c r="S2820" s="59" t="str">
        <f>MID(Tabla1[[#This Row],[Aplicación]],6,2)</f>
        <v>10</v>
      </c>
      <c r="T2820" s="35" t="str">
        <f>VLOOKUP(Tabla1[[#This Row],[AREA]],Hoja1!A:B,2,FALSE)</f>
        <v>10. Servicios sociales y mediación comunitaria</v>
      </c>
      <c r="U2820" s="56" t="str">
        <f>MID(Tabla1[[#This Row],[Aplicación]],9,4)</f>
        <v>2311</v>
      </c>
      <c r="V2820" s="35" t="str">
        <f>VLOOKUP(Tabla1[[#This Row],[PROGRAMA]],Hoja1!A:B,2,FALSE)</f>
        <v>2311. Intervención social</v>
      </c>
      <c r="W2820" s="56" t="str">
        <f>MID(Tabla1[[#This Row],[Aplicación]],14,2)</f>
        <v>22</v>
      </c>
      <c r="X2820" s="56" t="str">
        <f>MID(Tabla1[[#This Row],[Aplicación]],14,6)</f>
        <v>22799</v>
      </c>
    </row>
    <row r="2821" spans="1:24" x14ac:dyDescent="0.25">
      <c r="A2821" s="62">
        <v>220230018967</v>
      </c>
      <c r="B2821" s="44" t="s">
        <v>507</v>
      </c>
      <c r="C2821" s="64">
        <v>45056</v>
      </c>
      <c r="D2821" s="62">
        <v>22023000539</v>
      </c>
      <c r="E2821" s="44" t="s">
        <v>1029</v>
      </c>
      <c r="F2821" s="65">
        <v>5544.89</v>
      </c>
      <c r="G2821" s="44" t="s">
        <v>1553</v>
      </c>
      <c r="H2821" s="44" t="s">
        <v>4470</v>
      </c>
      <c r="I2821" s="62" t="s">
        <v>511</v>
      </c>
      <c r="J2821" s="44" t="s">
        <v>512</v>
      </c>
      <c r="K2821" s="44" t="s">
        <v>512</v>
      </c>
      <c r="L2821" s="44" t="s">
        <v>552</v>
      </c>
      <c r="M2821" s="44" t="s">
        <v>514</v>
      </c>
      <c r="N2821" s="44" t="s">
        <v>604</v>
      </c>
      <c r="O2821" s="45" t="s">
        <v>371</v>
      </c>
      <c r="P2821" s="45" t="s">
        <v>3760</v>
      </c>
      <c r="Q2821" s="59" t="str">
        <f>MID(Tabla1[[#This Row],[Aplicación]],14,1)</f>
        <v>2</v>
      </c>
      <c r="R2821" s="35" t="s">
        <v>298</v>
      </c>
      <c r="S2821" s="59" t="str">
        <f>MID(Tabla1[[#This Row],[Aplicación]],6,2)</f>
        <v>04</v>
      </c>
      <c r="T2821" s="35" t="str">
        <f>VLOOKUP(Tabla1[[#This Row],[AREA]],Hoja1!A:B,2,FALSE)</f>
        <v>04. Planificación y recursos</v>
      </c>
      <c r="U2821" s="56" t="str">
        <f>MID(Tabla1[[#This Row],[Aplicación]],9,4)</f>
        <v>9204</v>
      </c>
      <c r="V2821" s="35" t="str">
        <f>VLOOKUP(Tabla1[[#This Row],[PROGRAMA]],Hoja1!A:B,2,FALSE)</f>
        <v>9204. Tecnologías de la información y comunicación</v>
      </c>
      <c r="W2821" s="56" t="str">
        <f>MID(Tabla1[[#This Row],[Aplicación]],14,2)</f>
        <v>22</v>
      </c>
      <c r="X2821" s="56" t="str">
        <f>MID(Tabla1[[#This Row],[Aplicación]],14,6)</f>
        <v>22002</v>
      </c>
    </row>
    <row r="2822" spans="1:24" x14ac:dyDescent="0.25">
      <c r="A2822" s="62">
        <v>220230018794</v>
      </c>
      <c r="B2822" s="44" t="s">
        <v>1514</v>
      </c>
      <c r="C2822" s="64">
        <v>45055</v>
      </c>
      <c r="D2822" s="62">
        <v>22023002188</v>
      </c>
      <c r="E2822" s="44" t="s">
        <v>529</v>
      </c>
      <c r="F2822" s="65">
        <v>175000</v>
      </c>
      <c r="G2822" s="44" t="s">
        <v>786</v>
      </c>
      <c r="H2822" s="44" t="s">
        <v>4471</v>
      </c>
      <c r="I2822" s="62" t="s">
        <v>1517</v>
      </c>
      <c r="J2822" s="44" t="s">
        <v>519</v>
      </c>
      <c r="K2822" s="44" t="s">
        <v>519</v>
      </c>
      <c r="L2822" s="44" t="s">
        <v>520</v>
      </c>
      <c r="M2822" s="44" t="s">
        <v>514</v>
      </c>
      <c r="N2822" s="44" t="s">
        <v>515</v>
      </c>
      <c r="O2822" s="45" t="s">
        <v>371</v>
      </c>
      <c r="P2822" s="45" t="s">
        <v>3760</v>
      </c>
      <c r="Q2822" s="59" t="str">
        <f>MID(Tabla1[[#This Row],[Aplicación]],14,1)</f>
        <v>6</v>
      </c>
      <c r="R2822" s="35" t="s">
        <v>299</v>
      </c>
      <c r="S2822" s="59" t="str">
        <f>MID(Tabla1[[#This Row],[Aplicación]],6,2)</f>
        <v>07</v>
      </c>
      <c r="T2822" s="35" t="str">
        <f>VLOOKUP(Tabla1[[#This Row],[AREA]],Hoja1!A:B,2,FALSE)</f>
        <v>07. Medio ambiente y desarrollo sostenible</v>
      </c>
      <c r="U2822" s="56" t="str">
        <f>MID(Tabla1[[#This Row],[Aplicación]],9,4)</f>
        <v>1711</v>
      </c>
      <c r="V2822" s="35" t="str">
        <f>VLOOKUP(Tabla1[[#This Row],[PROGRAMA]],Hoja1!A:B,2,FALSE)</f>
        <v>1711. Parques y jardines</v>
      </c>
      <c r="W2822" s="56" t="str">
        <f>MID(Tabla1[[#This Row],[Aplicación]],14,2)</f>
        <v>61</v>
      </c>
      <c r="X2822" s="56" t="str">
        <f>MID(Tabla1[[#This Row],[Aplicación]],14,6)</f>
        <v>610</v>
      </c>
    </row>
    <row r="2823" spans="1:24" x14ac:dyDescent="0.25">
      <c r="A2823" s="62">
        <v>220230015944</v>
      </c>
      <c r="B2823" s="44" t="s">
        <v>507</v>
      </c>
      <c r="C2823" s="64">
        <v>45042</v>
      </c>
      <c r="D2823" s="62">
        <v>22023003916</v>
      </c>
      <c r="E2823" s="44" t="s">
        <v>616</v>
      </c>
      <c r="F2823" s="65">
        <v>1242.47</v>
      </c>
      <c r="G2823" s="44" t="s">
        <v>592</v>
      </c>
      <c r="H2823" s="44" t="s">
        <v>4472</v>
      </c>
      <c r="I2823" s="62" t="s">
        <v>511</v>
      </c>
      <c r="J2823" s="44" t="s">
        <v>519</v>
      </c>
      <c r="K2823" s="44" t="s">
        <v>519</v>
      </c>
      <c r="L2823" s="44" t="s">
        <v>520</v>
      </c>
      <c r="M2823" s="44" t="s">
        <v>514</v>
      </c>
      <c r="N2823" s="44" t="s">
        <v>515</v>
      </c>
      <c r="O2823" s="45" t="s">
        <v>371</v>
      </c>
      <c r="P2823" s="45" t="s">
        <v>3760</v>
      </c>
      <c r="Q2823" s="59" t="str">
        <f>MID(Tabla1[[#This Row],[Aplicación]],14,1)</f>
        <v>2</v>
      </c>
      <c r="R2823" s="35" t="s">
        <v>298</v>
      </c>
      <c r="S2823" s="59" t="str">
        <f>MID(Tabla1[[#This Row],[Aplicación]],6,2)</f>
        <v>10</v>
      </c>
      <c r="T2823" s="35" t="str">
        <f>VLOOKUP(Tabla1[[#This Row],[AREA]],Hoja1!A:B,2,FALSE)</f>
        <v>10. Servicios sociales y mediación comunitaria</v>
      </c>
      <c r="U2823" s="56" t="str">
        <f>MID(Tabla1[[#This Row],[Aplicación]],9,4)</f>
        <v>2412</v>
      </c>
      <c r="V2823" s="35" t="str">
        <f>VLOOKUP(Tabla1[[#This Row],[PROGRAMA]],Hoja1!A:B,2,FALSE)</f>
        <v>2412. Formación para el empleo</v>
      </c>
      <c r="W2823" s="56" t="str">
        <f>MID(Tabla1[[#This Row],[Aplicación]],14,2)</f>
        <v>21</v>
      </c>
      <c r="X2823" s="56" t="str">
        <f>MID(Tabla1[[#This Row],[Aplicación]],14,6)</f>
        <v>213</v>
      </c>
    </row>
    <row r="2824" spans="1:24" x14ac:dyDescent="0.25">
      <c r="A2824" s="62">
        <v>220230016810</v>
      </c>
      <c r="B2824" s="44" t="s">
        <v>507</v>
      </c>
      <c r="C2824" s="64">
        <v>45044</v>
      </c>
      <c r="D2824" s="62">
        <v>22023003743</v>
      </c>
      <c r="E2824" s="44" t="s">
        <v>4473</v>
      </c>
      <c r="F2824" s="65">
        <v>14613.5</v>
      </c>
      <c r="G2824" s="44" t="s">
        <v>4474</v>
      </c>
      <c r="H2824" s="44" t="s">
        <v>4475</v>
      </c>
      <c r="I2824" s="62" t="s">
        <v>511</v>
      </c>
      <c r="J2824" s="44" t="s">
        <v>2260</v>
      </c>
      <c r="K2824" s="44" t="s">
        <v>512</v>
      </c>
      <c r="L2824" s="44" t="s">
        <v>552</v>
      </c>
      <c r="M2824" s="44" t="s">
        <v>976</v>
      </c>
      <c r="N2824" s="44" t="s">
        <v>839</v>
      </c>
      <c r="O2824" s="45" t="s">
        <v>383</v>
      </c>
      <c r="P2824" s="45" t="s">
        <v>3760</v>
      </c>
      <c r="Q2824" s="59" t="str">
        <f>MID(Tabla1[[#This Row],[Aplicación]],14,1)</f>
        <v>6</v>
      </c>
      <c r="R2824" s="35" t="s">
        <v>299</v>
      </c>
      <c r="S2824" s="59" t="str">
        <f>MID(Tabla1[[#This Row],[Aplicación]],6,2)</f>
        <v>05</v>
      </c>
      <c r="T2824" s="35" t="str">
        <f>VLOOKUP(Tabla1[[#This Row],[AREA]],Hoja1!A:B,2,FALSE)</f>
        <v>05. Innovación, desarrollo económico, empleo y comercio</v>
      </c>
      <c r="U2824" s="56" t="str">
        <f>MID(Tabla1[[#This Row],[Aplicación]],9,4)</f>
        <v>4312</v>
      </c>
      <c r="V2824" s="35" t="str">
        <f>VLOOKUP(Tabla1[[#This Row],[PROGRAMA]],Hoja1!A:B,2,FALSE)</f>
        <v>4312. Mercados, abastos y lonjas</v>
      </c>
      <c r="W2824" s="56" t="str">
        <f>MID(Tabla1[[#This Row],[Aplicación]],14,2)</f>
        <v>62</v>
      </c>
      <c r="X2824" s="56" t="str">
        <f>MID(Tabla1[[#This Row],[Aplicación]],14,6)</f>
        <v>623</v>
      </c>
    </row>
    <row r="2825" spans="1:24" x14ac:dyDescent="0.25">
      <c r="A2825" s="62">
        <v>220230021766</v>
      </c>
      <c r="B2825" s="44" t="s">
        <v>507</v>
      </c>
      <c r="C2825" s="64">
        <v>45063</v>
      </c>
      <c r="D2825" s="62">
        <v>22023003903</v>
      </c>
      <c r="E2825" s="44" t="s">
        <v>1492</v>
      </c>
      <c r="F2825" s="65">
        <v>11192.5</v>
      </c>
      <c r="G2825" s="44" t="s">
        <v>804</v>
      </c>
      <c r="H2825" s="44" t="s">
        <v>4476</v>
      </c>
      <c r="I2825" s="62" t="s">
        <v>511</v>
      </c>
      <c r="J2825" s="44" t="s">
        <v>519</v>
      </c>
      <c r="K2825" s="44" t="s">
        <v>519</v>
      </c>
      <c r="L2825" s="44" t="s">
        <v>520</v>
      </c>
      <c r="M2825" s="44" t="s">
        <v>976</v>
      </c>
      <c r="N2825" s="44" t="s">
        <v>839</v>
      </c>
      <c r="O2825" s="45" t="s">
        <v>383</v>
      </c>
      <c r="P2825" s="45" t="s">
        <v>3760</v>
      </c>
      <c r="Q2825" s="59" t="str">
        <f>MID(Tabla1[[#This Row],[Aplicación]],14,1)</f>
        <v>2</v>
      </c>
      <c r="R2825" s="35" t="s">
        <v>298</v>
      </c>
      <c r="S2825" s="59" t="str">
        <f>MID(Tabla1[[#This Row],[Aplicación]],6,2)</f>
        <v>10</v>
      </c>
      <c r="T2825" s="35" t="str">
        <f>VLOOKUP(Tabla1[[#This Row],[AREA]],Hoja1!A:B,2,FALSE)</f>
        <v>10. Servicios sociales y mediación comunitaria</v>
      </c>
      <c r="U2825" s="56" t="str">
        <f>MID(Tabla1[[#This Row],[Aplicación]],9,4)</f>
        <v>2316</v>
      </c>
      <c r="V2825" s="35" t="str">
        <f>VLOOKUP(Tabla1[[#This Row],[PROGRAMA]],Hoja1!A:B,2,FALSE)</f>
        <v>2316. Mediación comunitaria</v>
      </c>
      <c r="W2825" s="56" t="str">
        <f>MID(Tabla1[[#This Row],[Aplicación]],14,2)</f>
        <v>22</v>
      </c>
      <c r="X2825" s="56" t="str">
        <f>MID(Tabla1[[#This Row],[Aplicación]],14,6)</f>
        <v>22799</v>
      </c>
    </row>
    <row r="2826" spans="1:24" x14ac:dyDescent="0.25">
      <c r="A2826" s="62">
        <v>220230013377</v>
      </c>
      <c r="B2826" s="44" t="s">
        <v>507</v>
      </c>
      <c r="C2826" s="64">
        <v>45020</v>
      </c>
      <c r="D2826" s="62">
        <v>22023003587</v>
      </c>
      <c r="E2826" s="44" t="s">
        <v>4477</v>
      </c>
      <c r="F2826" s="65">
        <v>1573</v>
      </c>
      <c r="G2826" s="44" t="s">
        <v>4478</v>
      </c>
      <c r="H2826" s="44" t="s">
        <v>4479</v>
      </c>
      <c r="I2826" s="62" t="s">
        <v>511</v>
      </c>
      <c r="J2826" s="44" t="s">
        <v>519</v>
      </c>
      <c r="K2826" s="44" t="s">
        <v>519</v>
      </c>
      <c r="L2826" s="44" t="s">
        <v>520</v>
      </c>
      <c r="M2826" s="44" t="s">
        <v>976</v>
      </c>
      <c r="N2826" s="44" t="s">
        <v>839</v>
      </c>
      <c r="O2826" s="45" t="s">
        <v>383</v>
      </c>
      <c r="P2826" s="45" t="s">
        <v>3760</v>
      </c>
      <c r="Q2826" s="59" t="str">
        <f>MID(Tabla1[[#This Row],[Aplicación]],14,1)</f>
        <v>2</v>
      </c>
      <c r="R2826" s="35" t="s">
        <v>298</v>
      </c>
      <c r="S2826" s="59" t="str">
        <f>MID(Tabla1[[#This Row],[Aplicación]],6,2)</f>
        <v>07</v>
      </c>
      <c r="T2826" s="35" t="str">
        <f>VLOOKUP(Tabla1[[#This Row],[AREA]],Hoja1!A:B,2,FALSE)</f>
        <v>07. Medio ambiente y desarrollo sostenible</v>
      </c>
      <c r="U2826" s="56" t="str">
        <f>MID(Tabla1[[#This Row],[Aplicación]],9,4)</f>
        <v>1721</v>
      </c>
      <c r="V2826" s="35" t="str">
        <f>VLOOKUP(Tabla1[[#This Row],[PROGRAMA]],Hoja1!A:B,2,FALSE)</f>
        <v>1721. Protección del medio ambiente</v>
      </c>
      <c r="W2826" s="56" t="str">
        <f>MID(Tabla1[[#This Row],[Aplicación]],14,2)</f>
        <v>22</v>
      </c>
      <c r="X2826" s="56" t="str">
        <f>MID(Tabla1[[#This Row],[Aplicación]],14,6)</f>
        <v>22700</v>
      </c>
    </row>
    <row r="2827" spans="1:24" x14ac:dyDescent="0.25">
      <c r="A2827" s="62">
        <v>220230020800</v>
      </c>
      <c r="B2827" s="44" t="s">
        <v>507</v>
      </c>
      <c r="C2827" s="64">
        <v>45062</v>
      </c>
      <c r="D2827" s="62">
        <v>22023004507</v>
      </c>
      <c r="E2827" s="44" t="s">
        <v>1191</v>
      </c>
      <c r="F2827" s="65">
        <v>302.5</v>
      </c>
      <c r="G2827" s="44" t="s">
        <v>40</v>
      </c>
      <c r="H2827" s="44" t="s">
        <v>4480</v>
      </c>
      <c r="I2827" s="62" t="s">
        <v>511</v>
      </c>
      <c r="J2827" s="44" t="s">
        <v>519</v>
      </c>
      <c r="K2827" s="44" t="s">
        <v>519</v>
      </c>
      <c r="L2827" s="44" t="s">
        <v>520</v>
      </c>
      <c r="M2827" s="44" t="s">
        <v>976</v>
      </c>
      <c r="N2827" s="44" t="s">
        <v>839</v>
      </c>
      <c r="O2827" s="45" t="s">
        <v>383</v>
      </c>
      <c r="P2827" s="45" t="s">
        <v>3760</v>
      </c>
      <c r="Q2827" s="59" t="str">
        <f>MID(Tabla1[[#This Row],[Aplicación]],14,1)</f>
        <v>2</v>
      </c>
      <c r="R2827" s="35" t="s">
        <v>298</v>
      </c>
      <c r="S2827" s="59" t="str">
        <f>MID(Tabla1[[#This Row],[Aplicación]],6,2)</f>
        <v>06</v>
      </c>
      <c r="T2827" s="35" t="str">
        <f>VLOOKUP(Tabla1[[#This Row],[AREA]],Hoja1!A:B,2,FALSE)</f>
        <v>06. Educación, infancia, juventud e igualdad</v>
      </c>
      <c r="U2827" s="56" t="str">
        <f>MID(Tabla1[[#This Row],[Aplicación]],9,4)</f>
        <v>2315</v>
      </c>
      <c r="V2827" s="35" t="str">
        <f>VLOOKUP(Tabla1[[#This Row],[PROGRAMA]],Hoja1!A:B,2,FALSE)</f>
        <v>2315. Políticas de Igualdad e infancia</v>
      </c>
      <c r="W2827" s="56" t="str">
        <f>MID(Tabla1[[#This Row],[Aplicación]],14,2)</f>
        <v>22</v>
      </c>
      <c r="X2827" s="56" t="str">
        <f>MID(Tabla1[[#This Row],[Aplicación]],14,6)</f>
        <v>22611</v>
      </c>
    </row>
    <row r="2828" spans="1:24" x14ac:dyDescent="0.25">
      <c r="A2828" s="62">
        <v>220230020802</v>
      </c>
      <c r="B2828" s="44" t="s">
        <v>507</v>
      </c>
      <c r="C2828" s="64">
        <v>45062</v>
      </c>
      <c r="D2828" s="62">
        <v>22023004516</v>
      </c>
      <c r="E2828" s="44" t="s">
        <v>1191</v>
      </c>
      <c r="F2828" s="65">
        <v>229.9</v>
      </c>
      <c r="G2828" s="44" t="s">
        <v>40</v>
      </c>
      <c r="H2828" s="44" t="s">
        <v>4481</v>
      </c>
      <c r="I2828" s="62" t="s">
        <v>511</v>
      </c>
      <c r="J2828" s="44" t="s">
        <v>519</v>
      </c>
      <c r="K2828" s="44" t="s">
        <v>519</v>
      </c>
      <c r="L2828" s="44" t="s">
        <v>520</v>
      </c>
      <c r="M2828" s="44" t="s">
        <v>976</v>
      </c>
      <c r="N2828" s="44" t="s">
        <v>839</v>
      </c>
      <c r="O2828" s="45" t="s">
        <v>383</v>
      </c>
      <c r="P2828" s="45" t="s">
        <v>3760</v>
      </c>
      <c r="Q2828" s="59" t="str">
        <f>MID(Tabla1[[#This Row],[Aplicación]],14,1)</f>
        <v>2</v>
      </c>
      <c r="R2828" s="35" t="s">
        <v>298</v>
      </c>
      <c r="S2828" s="59" t="str">
        <f>MID(Tabla1[[#This Row],[Aplicación]],6,2)</f>
        <v>06</v>
      </c>
      <c r="T2828" s="35" t="str">
        <f>VLOOKUP(Tabla1[[#This Row],[AREA]],Hoja1!A:B,2,FALSE)</f>
        <v>06. Educación, infancia, juventud e igualdad</v>
      </c>
      <c r="U2828" s="56" t="str">
        <f>MID(Tabla1[[#This Row],[Aplicación]],9,4)</f>
        <v>2315</v>
      </c>
      <c r="V2828" s="35" t="str">
        <f>VLOOKUP(Tabla1[[#This Row],[PROGRAMA]],Hoja1!A:B,2,FALSE)</f>
        <v>2315. Políticas de Igualdad e infancia</v>
      </c>
      <c r="W2828" s="56" t="str">
        <f>MID(Tabla1[[#This Row],[Aplicación]],14,2)</f>
        <v>22</v>
      </c>
      <c r="X2828" s="56" t="str">
        <f>MID(Tabla1[[#This Row],[Aplicación]],14,6)</f>
        <v>22611</v>
      </c>
    </row>
    <row r="2829" spans="1:24" x14ac:dyDescent="0.25">
      <c r="A2829" s="62">
        <v>220230023216</v>
      </c>
      <c r="B2829" s="44" t="s">
        <v>1514</v>
      </c>
      <c r="C2829" s="64">
        <v>45068</v>
      </c>
      <c r="D2829" s="62">
        <v>22023000273</v>
      </c>
      <c r="E2829" s="44" t="s">
        <v>2310</v>
      </c>
      <c r="F2829" s="65">
        <v>65.69</v>
      </c>
      <c r="G2829" s="44" t="s">
        <v>98</v>
      </c>
      <c r="H2829" s="44" t="s">
        <v>4482</v>
      </c>
      <c r="I2829" s="62" t="s">
        <v>1517</v>
      </c>
      <c r="J2829" s="44" t="s">
        <v>519</v>
      </c>
      <c r="K2829" s="44" t="s">
        <v>519</v>
      </c>
      <c r="L2829" s="44" t="s">
        <v>552</v>
      </c>
      <c r="M2829" s="44" t="s">
        <v>514</v>
      </c>
      <c r="N2829" s="44" t="s">
        <v>515</v>
      </c>
      <c r="O2829" s="45" t="s">
        <v>382</v>
      </c>
      <c r="P2829" s="45" t="s">
        <v>3760</v>
      </c>
      <c r="Q2829" s="59" t="str">
        <f>MID(Tabla1[[#This Row],[Aplicación]],14,1)</f>
        <v>2</v>
      </c>
      <c r="R2829" s="35" t="s">
        <v>298</v>
      </c>
      <c r="S2829" s="59" t="str">
        <f>MID(Tabla1[[#This Row],[Aplicación]],6,2)</f>
        <v>11</v>
      </c>
      <c r="T2829" s="35" t="str">
        <f>VLOOKUP(Tabla1[[#This Row],[AREA]],Hoja1!A:B,2,FALSE)</f>
        <v>11. Salud pública y seguridad ciudadana</v>
      </c>
      <c r="U2829" s="56" t="str">
        <f>MID(Tabla1[[#This Row],[Aplicación]],9,4)</f>
        <v>1321</v>
      </c>
      <c r="V2829" s="35" t="str">
        <f>VLOOKUP(Tabla1[[#This Row],[PROGRAMA]],Hoja1!A:B,2,FALSE)</f>
        <v>1321. Policía municipal</v>
      </c>
      <c r="W2829" s="56" t="str">
        <f>MID(Tabla1[[#This Row],[Aplicación]],14,2)</f>
        <v>22</v>
      </c>
      <c r="X2829" s="56" t="str">
        <f>MID(Tabla1[[#This Row],[Aplicación]],14,6)</f>
        <v>22199</v>
      </c>
    </row>
    <row r="2830" spans="1:24" x14ac:dyDescent="0.25">
      <c r="A2830" s="62">
        <v>220230023246</v>
      </c>
      <c r="B2830" s="44" t="s">
        <v>1514</v>
      </c>
      <c r="C2830" s="64">
        <v>45068</v>
      </c>
      <c r="D2830" s="62">
        <v>22023001412</v>
      </c>
      <c r="E2830" s="44" t="s">
        <v>1510</v>
      </c>
      <c r="F2830" s="65">
        <v>54.22</v>
      </c>
      <c r="G2830" s="44" t="s">
        <v>98</v>
      </c>
      <c r="H2830" s="44" t="s">
        <v>4483</v>
      </c>
      <c r="I2830" s="62" t="s">
        <v>1517</v>
      </c>
      <c r="J2830" s="44" t="s">
        <v>519</v>
      </c>
      <c r="K2830" s="44" t="s">
        <v>519</v>
      </c>
      <c r="L2830" s="44" t="s">
        <v>552</v>
      </c>
      <c r="M2830" s="44" t="s">
        <v>514</v>
      </c>
      <c r="N2830" s="44" t="s">
        <v>515</v>
      </c>
      <c r="O2830" s="45" t="s">
        <v>382</v>
      </c>
      <c r="P2830" s="45" t="s">
        <v>3760</v>
      </c>
      <c r="Q2830" s="59" t="str">
        <f>MID(Tabla1[[#This Row],[Aplicación]],14,1)</f>
        <v>2</v>
      </c>
      <c r="R2830" s="35" t="s">
        <v>298</v>
      </c>
      <c r="S2830" s="59" t="str">
        <f>MID(Tabla1[[#This Row],[Aplicación]],6,2)</f>
        <v>10</v>
      </c>
      <c r="T2830" s="35" t="str">
        <f>VLOOKUP(Tabla1[[#This Row],[AREA]],Hoja1!A:B,2,FALSE)</f>
        <v>10. Servicios sociales y mediación comunitaria</v>
      </c>
      <c r="U2830" s="56" t="str">
        <f>MID(Tabla1[[#This Row],[Aplicación]],9,4)</f>
        <v>2311</v>
      </c>
      <c r="V2830" s="35" t="str">
        <f>VLOOKUP(Tabla1[[#This Row],[PROGRAMA]],Hoja1!A:B,2,FALSE)</f>
        <v>2311. Intervención social</v>
      </c>
      <c r="W2830" s="56" t="str">
        <f>MID(Tabla1[[#This Row],[Aplicación]],14,2)</f>
        <v>21</v>
      </c>
      <c r="X2830" s="56" t="str">
        <f>MID(Tabla1[[#This Row],[Aplicación]],14,6)</f>
        <v>212</v>
      </c>
    </row>
    <row r="2831" spans="1:24" x14ac:dyDescent="0.25">
      <c r="A2831" s="62">
        <v>220230026144</v>
      </c>
      <c r="B2831" s="44" t="s">
        <v>1514</v>
      </c>
      <c r="C2831" s="64">
        <v>45077</v>
      </c>
      <c r="D2831" s="62">
        <v>22023002739</v>
      </c>
      <c r="E2831" s="44" t="s">
        <v>1551</v>
      </c>
      <c r="F2831" s="65">
        <v>10.37</v>
      </c>
      <c r="G2831" s="44" t="s">
        <v>98</v>
      </c>
      <c r="H2831" s="44" t="s">
        <v>4484</v>
      </c>
      <c r="I2831" s="62" t="s">
        <v>1517</v>
      </c>
      <c r="J2831" s="44" t="s">
        <v>519</v>
      </c>
      <c r="K2831" s="44" t="s">
        <v>519</v>
      </c>
      <c r="L2831" s="44" t="s">
        <v>552</v>
      </c>
      <c r="M2831" s="44" t="s">
        <v>514</v>
      </c>
      <c r="N2831" s="44" t="s">
        <v>515</v>
      </c>
      <c r="O2831" s="45" t="s">
        <v>382</v>
      </c>
      <c r="P2831" s="45" t="s">
        <v>3760</v>
      </c>
      <c r="Q2831" s="59" t="str">
        <f>MID(Tabla1[[#This Row],[Aplicación]],14,1)</f>
        <v>2</v>
      </c>
      <c r="R2831" s="35" t="s">
        <v>298</v>
      </c>
      <c r="S2831" s="59" t="str">
        <f>MID(Tabla1[[#This Row],[Aplicación]],6,2)</f>
        <v>02</v>
      </c>
      <c r="T2831" s="35" t="str">
        <f>VLOOKUP(Tabla1[[#This Row],[AREA]],Hoja1!A:B,2,FALSE)</f>
        <v>02. Planeamiento urbanístico y vivienda</v>
      </c>
      <c r="U2831" s="56" t="str">
        <f>MID(Tabla1[[#This Row],[Aplicación]],9,4)</f>
        <v>9332</v>
      </c>
      <c r="V2831" s="35" t="str">
        <f>VLOOKUP(Tabla1[[#This Row],[PROGRAMA]],Hoja1!A:B,2,FALSE)</f>
        <v>9332. Mantenimiento de edificios e instalaciones municipales</v>
      </c>
      <c r="W2831" s="56" t="str">
        <f>MID(Tabla1[[#This Row],[Aplicación]],14,2)</f>
        <v>21</v>
      </c>
      <c r="X2831" s="56" t="str">
        <f>MID(Tabla1[[#This Row],[Aplicación]],14,6)</f>
        <v>212</v>
      </c>
    </row>
    <row r="2832" spans="1:24" x14ac:dyDescent="0.25">
      <c r="A2832" s="62">
        <v>220230018952</v>
      </c>
      <c r="B2832" s="44" t="s">
        <v>1514</v>
      </c>
      <c r="C2832" s="64">
        <v>45056</v>
      </c>
      <c r="D2832" s="62">
        <v>22023002598</v>
      </c>
      <c r="E2832" s="44" t="s">
        <v>591</v>
      </c>
      <c r="F2832" s="65">
        <v>15.33</v>
      </c>
      <c r="G2832" s="44" t="s">
        <v>2436</v>
      </c>
      <c r="H2832" s="44" t="s">
        <v>4485</v>
      </c>
      <c r="I2832" s="62" t="s">
        <v>1517</v>
      </c>
      <c r="J2832" s="44" t="s">
        <v>2438</v>
      </c>
      <c r="K2832" s="44" t="s">
        <v>1359</v>
      </c>
      <c r="L2832" s="44" t="s">
        <v>552</v>
      </c>
      <c r="M2832" s="44" t="s">
        <v>514</v>
      </c>
      <c r="N2832" s="44" t="s">
        <v>515</v>
      </c>
      <c r="O2832" s="45" t="s">
        <v>382</v>
      </c>
      <c r="P2832" s="45" t="s">
        <v>3760</v>
      </c>
      <c r="Q2832" s="59" t="str">
        <f>MID(Tabla1[[#This Row],[Aplicación]],14,1)</f>
        <v>2</v>
      </c>
      <c r="R2832" s="35" t="s">
        <v>298</v>
      </c>
      <c r="S2832" s="59" t="str">
        <f>MID(Tabla1[[#This Row],[Aplicación]],6,2)</f>
        <v>04</v>
      </c>
      <c r="T2832" s="35" t="str">
        <f>VLOOKUP(Tabla1[[#This Row],[AREA]],Hoja1!A:B,2,FALSE)</f>
        <v>04. Planificación y recursos</v>
      </c>
      <c r="U2832" s="56" t="str">
        <f>MID(Tabla1[[#This Row],[Aplicación]],9,4)</f>
        <v>9204</v>
      </c>
      <c r="V2832" s="35" t="str">
        <f>VLOOKUP(Tabla1[[#This Row],[PROGRAMA]],Hoja1!A:B,2,FALSE)</f>
        <v>9204. Tecnologías de la información y comunicación</v>
      </c>
      <c r="W2832" s="56" t="str">
        <f>MID(Tabla1[[#This Row],[Aplicación]],14,2)</f>
        <v>21</v>
      </c>
      <c r="X2832" s="56" t="str">
        <f>MID(Tabla1[[#This Row],[Aplicación]],14,6)</f>
        <v>213</v>
      </c>
    </row>
    <row r="2833" spans="1:24" x14ac:dyDescent="0.25">
      <c r="A2833" s="62">
        <v>220230026148</v>
      </c>
      <c r="B2833" s="44" t="s">
        <v>1514</v>
      </c>
      <c r="C2833" s="64">
        <v>45077</v>
      </c>
      <c r="D2833" s="62">
        <v>22023002739</v>
      </c>
      <c r="E2833" s="44" t="s">
        <v>1551</v>
      </c>
      <c r="F2833" s="65">
        <v>24.99</v>
      </c>
      <c r="G2833" s="44" t="s">
        <v>98</v>
      </c>
      <c r="H2833" s="44" t="s">
        <v>4486</v>
      </c>
      <c r="I2833" s="62" t="s">
        <v>1517</v>
      </c>
      <c r="J2833" s="44" t="s">
        <v>519</v>
      </c>
      <c r="K2833" s="44" t="s">
        <v>519</v>
      </c>
      <c r="L2833" s="44" t="s">
        <v>552</v>
      </c>
      <c r="M2833" s="44" t="s">
        <v>514</v>
      </c>
      <c r="N2833" s="44" t="s">
        <v>515</v>
      </c>
      <c r="O2833" s="45" t="s">
        <v>382</v>
      </c>
      <c r="P2833" s="45" t="s">
        <v>3760</v>
      </c>
      <c r="Q2833" s="59" t="str">
        <f>MID(Tabla1[[#This Row],[Aplicación]],14,1)</f>
        <v>2</v>
      </c>
      <c r="R2833" s="35" t="s">
        <v>298</v>
      </c>
      <c r="S2833" s="59" t="str">
        <f>MID(Tabla1[[#This Row],[Aplicación]],6,2)</f>
        <v>02</v>
      </c>
      <c r="T2833" s="35" t="str">
        <f>VLOOKUP(Tabla1[[#This Row],[AREA]],Hoja1!A:B,2,FALSE)</f>
        <v>02. Planeamiento urbanístico y vivienda</v>
      </c>
      <c r="U2833" s="56" t="str">
        <f>MID(Tabla1[[#This Row],[Aplicación]],9,4)</f>
        <v>9332</v>
      </c>
      <c r="V2833" s="35" t="str">
        <f>VLOOKUP(Tabla1[[#This Row],[PROGRAMA]],Hoja1!A:B,2,FALSE)</f>
        <v>9332. Mantenimiento de edificios e instalaciones municipales</v>
      </c>
      <c r="W2833" s="56" t="str">
        <f>MID(Tabla1[[#This Row],[Aplicación]],14,2)</f>
        <v>21</v>
      </c>
      <c r="X2833" s="56" t="str">
        <f>MID(Tabla1[[#This Row],[Aplicación]],14,6)</f>
        <v>212</v>
      </c>
    </row>
    <row r="2834" spans="1:24" x14ac:dyDescent="0.25">
      <c r="A2834" s="62">
        <v>220230026232</v>
      </c>
      <c r="B2834" s="44" t="s">
        <v>1514</v>
      </c>
      <c r="C2834" s="64">
        <v>45077</v>
      </c>
      <c r="D2834" s="62">
        <v>22023001549</v>
      </c>
      <c r="E2834" s="44" t="s">
        <v>1515</v>
      </c>
      <c r="F2834" s="65">
        <v>90.62</v>
      </c>
      <c r="G2834" s="44" t="s">
        <v>98</v>
      </c>
      <c r="H2834" s="44" t="s">
        <v>4487</v>
      </c>
      <c r="I2834" s="62" t="s">
        <v>1517</v>
      </c>
      <c r="J2834" s="44" t="s">
        <v>519</v>
      </c>
      <c r="K2834" s="44" t="s">
        <v>519</v>
      </c>
      <c r="L2834" s="44" t="s">
        <v>552</v>
      </c>
      <c r="M2834" s="44" t="s">
        <v>514</v>
      </c>
      <c r="N2834" s="44" t="s">
        <v>515</v>
      </c>
      <c r="O2834" s="45" t="s">
        <v>382</v>
      </c>
      <c r="P2834" s="45" t="s">
        <v>3760</v>
      </c>
      <c r="Q2834" s="59" t="str">
        <f>MID(Tabla1[[#This Row],[Aplicación]],14,1)</f>
        <v>2</v>
      </c>
      <c r="R2834" s="35" t="s">
        <v>298</v>
      </c>
      <c r="S2834" s="59" t="str">
        <f>MID(Tabla1[[#This Row],[Aplicación]],6,2)</f>
        <v>07</v>
      </c>
      <c r="T2834" s="35" t="str">
        <f>VLOOKUP(Tabla1[[#This Row],[AREA]],Hoja1!A:B,2,FALSE)</f>
        <v>07. Medio ambiente y desarrollo sostenible</v>
      </c>
      <c r="U2834" s="56" t="str">
        <f>MID(Tabla1[[#This Row],[Aplicación]],9,4)</f>
        <v>1711</v>
      </c>
      <c r="V2834" s="35" t="str">
        <f>VLOOKUP(Tabla1[[#This Row],[PROGRAMA]],Hoja1!A:B,2,FALSE)</f>
        <v>1711. Parques y jardines</v>
      </c>
      <c r="W2834" s="56" t="str">
        <f>MID(Tabla1[[#This Row],[Aplicación]],14,2)</f>
        <v>22</v>
      </c>
      <c r="X2834" s="56" t="str">
        <f>MID(Tabla1[[#This Row],[Aplicación]],14,6)</f>
        <v>22199</v>
      </c>
    </row>
    <row r="2835" spans="1:24" x14ac:dyDescent="0.25">
      <c r="A2835" s="62">
        <v>220230026241</v>
      </c>
      <c r="B2835" s="44" t="s">
        <v>1514</v>
      </c>
      <c r="C2835" s="64">
        <v>45077</v>
      </c>
      <c r="D2835" s="62">
        <v>22023001468</v>
      </c>
      <c r="E2835" s="44" t="s">
        <v>1512</v>
      </c>
      <c r="F2835" s="65">
        <v>60.92</v>
      </c>
      <c r="G2835" s="44" t="s">
        <v>98</v>
      </c>
      <c r="H2835" s="44" t="s">
        <v>4488</v>
      </c>
      <c r="I2835" s="62" t="s">
        <v>1517</v>
      </c>
      <c r="J2835" s="44" t="s">
        <v>519</v>
      </c>
      <c r="K2835" s="44" t="s">
        <v>519</v>
      </c>
      <c r="L2835" s="44" t="s">
        <v>552</v>
      </c>
      <c r="M2835" s="44" t="s">
        <v>514</v>
      </c>
      <c r="N2835" s="44" t="s">
        <v>515</v>
      </c>
      <c r="O2835" s="45" t="s">
        <v>382</v>
      </c>
      <c r="P2835" s="45" t="s">
        <v>3760</v>
      </c>
      <c r="Q2835" s="59" t="str">
        <f>MID(Tabla1[[#This Row],[Aplicación]],14,1)</f>
        <v>2</v>
      </c>
      <c r="R2835" s="35" t="s">
        <v>298</v>
      </c>
      <c r="S2835" s="59" t="str">
        <f>MID(Tabla1[[#This Row],[Aplicación]],6,2)</f>
        <v>10</v>
      </c>
      <c r="T2835" s="35" t="str">
        <f>VLOOKUP(Tabla1[[#This Row],[AREA]],Hoja1!A:B,2,FALSE)</f>
        <v>10. Servicios sociales y mediación comunitaria</v>
      </c>
      <c r="U2835" s="56" t="str">
        <f>MID(Tabla1[[#This Row],[Aplicación]],9,4)</f>
        <v>2312</v>
      </c>
      <c r="V2835" s="35" t="str">
        <f>VLOOKUP(Tabla1[[#This Row],[PROGRAMA]],Hoja1!A:B,2,FALSE)</f>
        <v>2312. Iniciativas sociales</v>
      </c>
      <c r="W2835" s="56" t="str">
        <f>MID(Tabla1[[#This Row],[Aplicación]],14,2)</f>
        <v>21</v>
      </c>
      <c r="X2835" s="56" t="str">
        <f>MID(Tabla1[[#This Row],[Aplicación]],14,6)</f>
        <v>212</v>
      </c>
    </row>
    <row r="2836" spans="1:24" x14ac:dyDescent="0.25">
      <c r="A2836" s="62">
        <v>220230026420</v>
      </c>
      <c r="B2836" s="44" t="s">
        <v>1514</v>
      </c>
      <c r="C2836" s="64">
        <v>45077</v>
      </c>
      <c r="D2836" s="62">
        <v>22023001476</v>
      </c>
      <c r="E2836" s="44" t="s">
        <v>2662</v>
      </c>
      <c r="F2836" s="65">
        <v>17.670000000000002</v>
      </c>
      <c r="G2836" s="44" t="s">
        <v>98</v>
      </c>
      <c r="H2836" s="44" t="s">
        <v>4489</v>
      </c>
      <c r="I2836" s="62" t="s">
        <v>1517</v>
      </c>
      <c r="J2836" s="44" t="s">
        <v>519</v>
      </c>
      <c r="K2836" s="44" t="s">
        <v>519</v>
      </c>
      <c r="L2836" s="44" t="s">
        <v>552</v>
      </c>
      <c r="M2836" s="44" t="s">
        <v>514</v>
      </c>
      <c r="N2836" s="44" t="s">
        <v>515</v>
      </c>
      <c r="O2836" s="45" t="s">
        <v>382</v>
      </c>
      <c r="P2836" s="45" t="s">
        <v>3760</v>
      </c>
      <c r="Q2836" s="59" t="str">
        <f>MID(Tabla1[[#This Row],[Aplicación]],14,1)</f>
        <v>2</v>
      </c>
      <c r="R2836" s="35" t="s">
        <v>298</v>
      </c>
      <c r="S2836" s="59" t="str">
        <f>MID(Tabla1[[#This Row],[Aplicación]],6,2)</f>
        <v>11</v>
      </c>
      <c r="T2836" s="35" t="str">
        <f>VLOOKUP(Tabla1[[#This Row],[AREA]],Hoja1!A:B,2,FALSE)</f>
        <v>11. Salud pública y seguridad ciudadana</v>
      </c>
      <c r="U2836" s="56" t="str">
        <f>MID(Tabla1[[#This Row],[Aplicación]],9,4)</f>
        <v>1631</v>
      </c>
      <c r="V2836" s="35" t="str">
        <f>VLOOKUP(Tabla1[[#This Row],[PROGRAMA]],Hoja1!A:B,2,FALSE)</f>
        <v>1631. Limpieza viaria</v>
      </c>
      <c r="W2836" s="56" t="str">
        <f>MID(Tabla1[[#This Row],[Aplicación]],14,2)</f>
        <v>22</v>
      </c>
      <c r="X2836" s="56" t="str">
        <f>MID(Tabla1[[#This Row],[Aplicación]],14,6)</f>
        <v>22199</v>
      </c>
    </row>
    <row r="2837" spans="1:24" x14ac:dyDescent="0.25">
      <c r="A2837" s="62">
        <v>220230018799</v>
      </c>
      <c r="B2837" s="44" t="s">
        <v>507</v>
      </c>
      <c r="C2837" s="64">
        <v>45055</v>
      </c>
      <c r="D2837" s="62">
        <v>22023003006</v>
      </c>
      <c r="E2837" s="44" t="s">
        <v>1150</v>
      </c>
      <c r="F2837" s="65">
        <v>3518.36</v>
      </c>
      <c r="G2837" s="44" t="s">
        <v>65</v>
      </c>
      <c r="H2837" s="44" t="s">
        <v>4490</v>
      </c>
      <c r="I2837" s="62" t="s">
        <v>511</v>
      </c>
      <c r="J2837" s="44" t="s">
        <v>519</v>
      </c>
      <c r="K2837" s="44" t="s">
        <v>519</v>
      </c>
      <c r="L2837" s="44" t="s">
        <v>520</v>
      </c>
      <c r="M2837" s="44" t="s">
        <v>514</v>
      </c>
      <c r="N2837" s="44" t="s">
        <v>604</v>
      </c>
      <c r="O2837" s="45" t="s">
        <v>371</v>
      </c>
      <c r="P2837" s="45" t="s">
        <v>3760</v>
      </c>
      <c r="Q2837" s="59" t="str">
        <f>MID(Tabla1[[#This Row],[Aplicación]],14,1)</f>
        <v>2</v>
      </c>
      <c r="R2837" s="35" t="s">
        <v>298</v>
      </c>
      <c r="S2837" s="59" t="str">
        <f>MID(Tabla1[[#This Row],[Aplicación]],6,2)</f>
        <v>03</v>
      </c>
      <c r="T2837" s="35" t="str">
        <f>VLOOKUP(Tabla1[[#This Row],[AREA]],Hoja1!A:B,2,FALSE)</f>
        <v>03. Participación ciudadana y deportes</v>
      </c>
      <c r="U2837" s="56" t="str">
        <f>MID(Tabla1[[#This Row],[Aplicación]],9,4)</f>
        <v>9241</v>
      </c>
      <c r="V2837" s="35" t="str">
        <f>VLOOKUP(Tabla1[[#This Row],[PROGRAMA]],Hoja1!A:B,2,FALSE)</f>
        <v>9241. Participación ciudadana</v>
      </c>
      <c r="W2837" s="56" t="str">
        <f>MID(Tabla1[[#This Row],[Aplicación]],14,2)</f>
        <v>21</v>
      </c>
      <c r="X2837" s="56" t="str">
        <f>MID(Tabla1[[#This Row],[Aplicación]],14,6)</f>
        <v>213</v>
      </c>
    </row>
    <row r="2838" spans="1:24" x14ac:dyDescent="0.25">
      <c r="A2838" s="62">
        <v>220230014397</v>
      </c>
      <c r="B2838" s="44" t="s">
        <v>507</v>
      </c>
      <c r="C2838" s="64">
        <v>45037</v>
      </c>
      <c r="D2838" s="62">
        <v>22022002193</v>
      </c>
      <c r="E2838" s="44" t="s">
        <v>726</v>
      </c>
      <c r="F2838" s="65">
        <v>4582.8599999999997</v>
      </c>
      <c r="G2838" s="44" t="s">
        <v>1450</v>
      </c>
      <c r="H2838" s="44" t="s">
        <v>1451</v>
      </c>
      <c r="I2838" s="62" t="s">
        <v>511</v>
      </c>
      <c r="J2838" s="44" t="s">
        <v>512</v>
      </c>
      <c r="K2838" s="44" t="s">
        <v>512</v>
      </c>
      <c r="L2838" s="44" t="s">
        <v>552</v>
      </c>
      <c r="M2838" s="44" t="s">
        <v>514</v>
      </c>
      <c r="N2838" s="44" t="s">
        <v>515</v>
      </c>
      <c r="O2838" s="45" t="s">
        <v>371</v>
      </c>
      <c r="P2838" s="45" t="s">
        <v>3760</v>
      </c>
      <c r="Q2838" s="59" t="str">
        <f>MID(Tabla1[[#This Row],[Aplicación]],14,1)</f>
        <v>6</v>
      </c>
      <c r="R2838" s="35" t="s">
        <v>299</v>
      </c>
      <c r="S2838" s="59" t="str">
        <f>MID(Tabla1[[#This Row],[Aplicación]],6,2)</f>
        <v>04</v>
      </c>
      <c r="T2838" s="35" t="str">
        <f>VLOOKUP(Tabla1[[#This Row],[AREA]],Hoja1!A:B,2,FALSE)</f>
        <v>04. Planificación y recursos</v>
      </c>
      <c r="U2838" s="56" t="str">
        <f>MID(Tabla1[[#This Row],[Aplicación]],9,4)</f>
        <v>9204</v>
      </c>
      <c r="V2838" s="35" t="str">
        <f>VLOOKUP(Tabla1[[#This Row],[PROGRAMA]],Hoja1!A:B,2,FALSE)</f>
        <v>9204. Tecnologías de la información y comunicación</v>
      </c>
      <c r="W2838" s="56" t="str">
        <f>MID(Tabla1[[#This Row],[Aplicación]],14,2)</f>
        <v>64</v>
      </c>
      <c r="X2838" s="56" t="str">
        <f>MID(Tabla1[[#This Row],[Aplicación]],14,6)</f>
        <v>641</v>
      </c>
    </row>
    <row r="2839" spans="1:24" x14ac:dyDescent="0.25">
      <c r="A2839" s="62">
        <v>220230018972</v>
      </c>
      <c r="B2839" s="44" t="s">
        <v>1514</v>
      </c>
      <c r="C2839" s="64">
        <v>45056</v>
      </c>
      <c r="D2839" s="62">
        <v>22023002764</v>
      </c>
      <c r="E2839" s="44" t="s">
        <v>2019</v>
      </c>
      <c r="F2839" s="65">
        <v>45333.59</v>
      </c>
      <c r="G2839" s="44" t="s">
        <v>4491</v>
      </c>
      <c r="H2839" s="44" t="s">
        <v>4492</v>
      </c>
      <c r="I2839" s="62" t="s">
        <v>1517</v>
      </c>
      <c r="J2839" s="44" t="s">
        <v>4493</v>
      </c>
      <c r="K2839" s="44" t="s">
        <v>512</v>
      </c>
      <c r="L2839" s="44" t="s">
        <v>520</v>
      </c>
      <c r="M2839" s="44" t="s">
        <v>838</v>
      </c>
      <c r="N2839" s="44" t="s">
        <v>839</v>
      </c>
      <c r="O2839" s="45" t="s">
        <v>373</v>
      </c>
      <c r="P2839" s="45" t="s">
        <v>3760</v>
      </c>
      <c r="Q2839" s="59" t="str">
        <f>MID(Tabla1[[#This Row],[Aplicación]],14,1)</f>
        <v>2</v>
      </c>
      <c r="R2839" s="35" t="s">
        <v>298</v>
      </c>
      <c r="S2839" s="59" t="str">
        <f>MID(Tabla1[[#This Row],[Aplicación]],6,2)</f>
        <v>11</v>
      </c>
      <c r="T2839" s="35" t="str">
        <f>VLOOKUP(Tabla1[[#This Row],[AREA]],Hoja1!A:B,2,FALSE)</f>
        <v>11. Salud pública y seguridad ciudadana</v>
      </c>
      <c r="U2839" s="56" t="str">
        <f>MID(Tabla1[[#This Row],[Aplicación]],9,4)</f>
        <v>1361</v>
      </c>
      <c r="V2839" s="35" t="str">
        <f>VLOOKUP(Tabla1[[#This Row],[PROGRAMA]],Hoja1!A:B,2,FALSE)</f>
        <v>1361. Prevención y extinción de incencios</v>
      </c>
      <c r="W2839" s="56" t="str">
        <f>MID(Tabla1[[#This Row],[Aplicación]],14,2)</f>
        <v>21</v>
      </c>
      <c r="X2839" s="56" t="str">
        <f>MID(Tabla1[[#This Row],[Aplicación]],14,6)</f>
        <v>214</v>
      </c>
    </row>
    <row r="2840" spans="1:24" x14ac:dyDescent="0.25">
      <c r="A2840" s="62">
        <v>220230016017</v>
      </c>
      <c r="B2840" s="44" t="s">
        <v>507</v>
      </c>
      <c r="C2840" s="64">
        <v>45042</v>
      </c>
      <c r="D2840" s="62">
        <v>22023004132</v>
      </c>
      <c r="E2840" s="44" t="s">
        <v>1285</v>
      </c>
      <c r="F2840" s="65">
        <v>168.8</v>
      </c>
      <c r="G2840" s="44" t="s">
        <v>406</v>
      </c>
      <c r="H2840" s="44" t="s">
        <v>4494</v>
      </c>
      <c r="I2840" s="62" t="s">
        <v>511</v>
      </c>
      <c r="J2840" s="44" t="s">
        <v>519</v>
      </c>
      <c r="K2840" s="44" t="s">
        <v>519</v>
      </c>
      <c r="L2840" s="44" t="s">
        <v>520</v>
      </c>
      <c r="M2840" s="44" t="s">
        <v>976</v>
      </c>
      <c r="N2840" s="44" t="s">
        <v>839</v>
      </c>
      <c r="O2840" s="45" t="s">
        <v>383</v>
      </c>
      <c r="P2840" s="45" t="s">
        <v>3760</v>
      </c>
      <c r="Q2840" s="59" t="str">
        <f>MID(Tabla1[[#This Row],[Aplicación]],14,1)</f>
        <v>2</v>
      </c>
      <c r="R2840" s="35" t="s">
        <v>298</v>
      </c>
      <c r="S2840" s="59" t="str">
        <f>MID(Tabla1[[#This Row],[Aplicación]],6,2)</f>
        <v>11</v>
      </c>
      <c r="T2840" s="35" t="str">
        <f>VLOOKUP(Tabla1[[#This Row],[AREA]],Hoja1!A:B,2,FALSE)</f>
        <v>11. Salud pública y seguridad ciudadana</v>
      </c>
      <c r="U2840" s="56" t="str">
        <f>MID(Tabla1[[#This Row],[Aplicación]],9,4)</f>
        <v>1361</v>
      </c>
      <c r="V2840" s="35" t="str">
        <f>VLOOKUP(Tabla1[[#This Row],[PROGRAMA]],Hoja1!A:B,2,FALSE)</f>
        <v>1361. Prevención y extinción de incencios</v>
      </c>
      <c r="W2840" s="56" t="str">
        <f>MID(Tabla1[[#This Row],[Aplicación]],14,2)</f>
        <v>22</v>
      </c>
      <c r="X2840" s="56" t="str">
        <f>MID(Tabla1[[#This Row],[Aplicación]],14,6)</f>
        <v>22199</v>
      </c>
    </row>
    <row r="2841" spans="1:24" x14ac:dyDescent="0.25">
      <c r="A2841" s="62">
        <v>220230015945</v>
      </c>
      <c r="B2841" s="44" t="s">
        <v>507</v>
      </c>
      <c r="C2841" s="64">
        <v>45042</v>
      </c>
      <c r="D2841" s="62">
        <v>22023003919</v>
      </c>
      <c r="E2841" s="44" t="s">
        <v>1303</v>
      </c>
      <c r="F2841" s="65">
        <v>2112.66</v>
      </c>
      <c r="G2841" s="44" t="s">
        <v>4495</v>
      </c>
      <c r="H2841" s="44" t="s">
        <v>4496</v>
      </c>
      <c r="I2841" s="62" t="s">
        <v>511</v>
      </c>
      <c r="J2841" s="44" t="s">
        <v>519</v>
      </c>
      <c r="K2841" s="44" t="s">
        <v>519</v>
      </c>
      <c r="L2841" s="44" t="s">
        <v>552</v>
      </c>
      <c r="M2841" s="44" t="s">
        <v>976</v>
      </c>
      <c r="N2841" s="44" t="s">
        <v>839</v>
      </c>
      <c r="O2841" s="45" t="s">
        <v>383</v>
      </c>
      <c r="P2841" s="45" t="s">
        <v>3760</v>
      </c>
      <c r="Q2841" s="59" t="str">
        <f>MID(Tabla1[[#This Row],[Aplicación]],14,1)</f>
        <v>2</v>
      </c>
      <c r="R2841" s="35" t="s">
        <v>298</v>
      </c>
      <c r="S2841" s="59" t="str">
        <f>MID(Tabla1[[#This Row],[Aplicación]],6,2)</f>
        <v>11</v>
      </c>
      <c r="T2841" s="35" t="str">
        <f>VLOOKUP(Tabla1[[#This Row],[AREA]],Hoja1!A:B,2,FALSE)</f>
        <v>11. Salud pública y seguridad ciudadana</v>
      </c>
      <c r="U2841" s="56" t="str">
        <f>MID(Tabla1[[#This Row],[Aplicación]],9,4)</f>
        <v>1321</v>
      </c>
      <c r="V2841" s="35" t="str">
        <f>VLOOKUP(Tabla1[[#This Row],[PROGRAMA]],Hoja1!A:B,2,FALSE)</f>
        <v>1321. Policía municipal</v>
      </c>
      <c r="W2841" s="56" t="str">
        <f>MID(Tabla1[[#This Row],[Aplicación]],14,2)</f>
        <v>22</v>
      </c>
      <c r="X2841" s="56" t="str">
        <f>MID(Tabla1[[#This Row],[Aplicación]],14,6)</f>
        <v>22699</v>
      </c>
    </row>
    <row r="2842" spans="1:24" x14ac:dyDescent="0.25">
      <c r="A2842" s="62">
        <v>220230020245</v>
      </c>
      <c r="B2842" s="44" t="s">
        <v>1514</v>
      </c>
      <c r="C2842" s="64">
        <v>45057</v>
      </c>
      <c r="D2842" s="62">
        <v>22023002013</v>
      </c>
      <c r="E2842" s="44" t="s">
        <v>4365</v>
      </c>
      <c r="F2842" s="65">
        <v>1500</v>
      </c>
      <c r="G2842" s="44" t="s">
        <v>4429</v>
      </c>
      <c r="H2842" s="44" t="s">
        <v>4497</v>
      </c>
      <c r="I2842" s="62" t="s">
        <v>1517</v>
      </c>
      <c r="J2842" s="44" t="s">
        <v>4431</v>
      </c>
      <c r="K2842" s="44" t="s">
        <v>768</v>
      </c>
      <c r="L2842" s="44" t="s">
        <v>552</v>
      </c>
      <c r="M2842" s="44" t="s">
        <v>514</v>
      </c>
      <c r="N2842" s="44" t="s">
        <v>515</v>
      </c>
      <c r="O2842" s="45" t="s">
        <v>382</v>
      </c>
      <c r="P2842" s="45" t="s">
        <v>3760</v>
      </c>
      <c r="Q2842" s="59">
        <v>6</v>
      </c>
      <c r="R2842" s="35" t="s">
        <v>299</v>
      </c>
      <c r="S2842" s="59" t="str">
        <f>MID(Tabla1[[#This Row],[Aplicación]],6,2)</f>
        <v>06</v>
      </c>
      <c r="T2842" s="35" t="str">
        <f>VLOOKUP(Tabla1[[#This Row],[AREA]],Hoja1!A:B,2,FALSE)</f>
        <v>06. Educación, infancia, juventud e igualdad</v>
      </c>
      <c r="U2842" s="56" t="str">
        <f>MID(Tabla1[[#This Row],[Aplicación]],9,4)</f>
        <v>0 33</v>
      </c>
      <c r="V2842" s="59">
        <v>3321</v>
      </c>
      <c r="W2842" s="59">
        <v>62</v>
      </c>
      <c r="X2842" s="59">
        <v>629</v>
      </c>
    </row>
    <row r="2843" spans="1:24" x14ac:dyDescent="0.25">
      <c r="A2843" s="62">
        <v>220230020055</v>
      </c>
      <c r="B2843" s="44" t="s">
        <v>507</v>
      </c>
      <c r="C2843" s="64">
        <v>45057</v>
      </c>
      <c r="D2843" s="62">
        <v>22023003606</v>
      </c>
      <c r="E2843" s="44" t="s">
        <v>524</v>
      </c>
      <c r="F2843" s="65">
        <v>4234.68</v>
      </c>
      <c r="G2843" s="44" t="s">
        <v>67</v>
      </c>
      <c r="H2843" s="44" t="s">
        <v>4498</v>
      </c>
      <c r="I2843" s="62" t="s">
        <v>511</v>
      </c>
      <c r="J2843" s="44" t="s">
        <v>953</v>
      </c>
      <c r="K2843" s="44" t="s">
        <v>519</v>
      </c>
      <c r="L2843" s="44" t="s">
        <v>520</v>
      </c>
      <c r="M2843" s="44" t="s">
        <v>514</v>
      </c>
      <c r="N2843" s="44" t="s">
        <v>515</v>
      </c>
      <c r="O2843" s="45" t="s">
        <v>382</v>
      </c>
      <c r="P2843" s="45" t="s">
        <v>3760</v>
      </c>
      <c r="Q2843" s="59" t="str">
        <f>MID(Tabla1[[#This Row],[Aplicación]],14,1)</f>
        <v>6</v>
      </c>
      <c r="R2843" s="35" t="s">
        <v>299</v>
      </c>
      <c r="S2843" s="59" t="str">
        <f>MID(Tabla1[[#This Row],[Aplicación]],6,2)</f>
        <v>02</v>
      </c>
      <c r="T2843" s="35" t="str">
        <f>VLOOKUP(Tabla1[[#This Row],[AREA]],Hoja1!A:B,2,FALSE)</f>
        <v>02. Planeamiento urbanístico y vivienda</v>
      </c>
      <c r="U2843" s="56" t="str">
        <f>MID(Tabla1[[#This Row],[Aplicación]],9,4)</f>
        <v>1511</v>
      </c>
      <c r="V2843" s="35" t="str">
        <f>VLOOKUP(Tabla1[[#This Row],[PROGRAMA]],Hoja1!A:B,2,FALSE)</f>
        <v>1511. Planficación y gestión del urbanismo</v>
      </c>
      <c r="W2843" s="56" t="str">
        <f>MID(Tabla1[[#This Row],[Aplicación]],14,2)</f>
        <v>61</v>
      </c>
      <c r="X2843" s="56" t="str">
        <f>MID(Tabla1[[#This Row],[Aplicación]],14,6)</f>
        <v>619</v>
      </c>
    </row>
    <row r="2844" spans="1:24" x14ac:dyDescent="0.25">
      <c r="A2844" s="62">
        <v>220230013727</v>
      </c>
      <c r="B2844" s="44" t="s">
        <v>507</v>
      </c>
      <c r="C2844" s="64">
        <v>45027</v>
      </c>
      <c r="D2844" s="62">
        <v>22023003199</v>
      </c>
      <c r="E2844" s="44" t="s">
        <v>1290</v>
      </c>
      <c r="F2844" s="65">
        <v>8772.5</v>
      </c>
      <c r="G2844" s="44" t="s">
        <v>2424</v>
      </c>
      <c r="H2844" s="44" t="s">
        <v>4499</v>
      </c>
      <c r="I2844" s="62" t="s">
        <v>511</v>
      </c>
      <c r="J2844" s="44" t="s">
        <v>519</v>
      </c>
      <c r="K2844" s="44" t="s">
        <v>519</v>
      </c>
      <c r="L2844" s="44" t="s">
        <v>552</v>
      </c>
      <c r="M2844" s="44" t="s">
        <v>976</v>
      </c>
      <c r="N2844" s="44" t="s">
        <v>839</v>
      </c>
      <c r="O2844" s="45" t="s">
        <v>383</v>
      </c>
      <c r="P2844" s="45" t="s">
        <v>3760</v>
      </c>
      <c r="Q2844" s="59" t="str">
        <f>MID(Tabla1[[#This Row],[Aplicación]],14,1)</f>
        <v>2</v>
      </c>
      <c r="R2844" s="35" t="s">
        <v>298</v>
      </c>
      <c r="S2844" s="59" t="str">
        <f>MID(Tabla1[[#This Row],[Aplicación]],6,2)</f>
        <v>11</v>
      </c>
      <c r="T2844" s="35" t="str">
        <f>VLOOKUP(Tabla1[[#This Row],[AREA]],Hoja1!A:B,2,FALSE)</f>
        <v>11. Salud pública y seguridad ciudadana</v>
      </c>
      <c r="U2844" s="56" t="str">
        <f>MID(Tabla1[[#This Row],[Aplicación]],9,4)</f>
        <v>1621</v>
      </c>
      <c r="V2844" s="35" t="str">
        <f>VLOOKUP(Tabla1[[#This Row],[PROGRAMA]],Hoja1!A:B,2,FALSE)</f>
        <v>1621. Servicio de limpieza</v>
      </c>
      <c r="W2844" s="56" t="str">
        <f>MID(Tabla1[[#This Row],[Aplicación]],14,2)</f>
        <v>21</v>
      </c>
      <c r="X2844" s="56" t="str">
        <f>MID(Tabla1[[#This Row],[Aplicación]],14,6)</f>
        <v>214</v>
      </c>
    </row>
    <row r="2845" spans="1:24" x14ac:dyDescent="0.25">
      <c r="A2845" s="62">
        <v>220230026396</v>
      </c>
      <c r="B2845" s="44" t="s">
        <v>1514</v>
      </c>
      <c r="C2845" s="64">
        <v>45077</v>
      </c>
      <c r="D2845" s="62">
        <v>22023003833</v>
      </c>
      <c r="E2845" s="44" t="s">
        <v>1502</v>
      </c>
      <c r="F2845" s="65">
        <v>2370.09</v>
      </c>
      <c r="G2845" s="44" t="s">
        <v>48</v>
      </c>
      <c r="H2845" s="44" t="s">
        <v>4500</v>
      </c>
      <c r="I2845" s="62" t="s">
        <v>1517</v>
      </c>
      <c r="J2845" s="44" t="s">
        <v>519</v>
      </c>
      <c r="K2845" s="44" t="s">
        <v>519</v>
      </c>
      <c r="L2845" s="44" t="s">
        <v>552</v>
      </c>
      <c r="M2845" s="44" t="s">
        <v>514</v>
      </c>
      <c r="N2845" s="44" t="s">
        <v>515</v>
      </c>
      <c r="O2845" s="45" t="s">
        <v>382</v>
      </c>
      <c r="P2845" s="45" t="s">
        <v>3760</v>
      </c>
      <c r="Q2845" s="59" t="str">
        <f>MID(Tabla1[[#This Row],[Aplicación]],14,1)</f>
        <v>2</v>
      </c>
      <c r="R2845" s="35" t="s">
        <v>298</v>
      </c>
      <c r="S2845" s="59" t="str">
        <f>MID(Tabla1[[#This Row],[Aplicación]],6,2)</f>
        <v>10</v>
      </c>
      <c r="T2845" s="35" t="str">
        <f>VLOOKUP(Tabla1[[#This Row],[AREA]],Hoja1!A:B,2,FALSE)</f>
        <v>10. Servicios sociales y mediación comunitaria</v>
      </c>
      <c r="U2845" s="56" t="str">
        <f>MID(Tabla1[[#This Row],[Aplicación]],9,4)</f>
        <v>2412</v>
      </c>
      <c r="V2845" s="35" t="str">
        <f>VLOOKUP(Tabla1[[#This Row],[PROGRAMA]],Hoja1!A:B,2,FALSE)</f>
        <v>2412. Formación para el empleo</v>
      </c>
      <c r="W2845" s="56" t="str">
        <f>MID(Tabla1[[#This Row],[Aplicación]],14,2)</f>
        <v>22</v>
      </c>
      <c r="X2845" s="56" t="str">
        <f>MID(Tabla1[[#This Row],[Aplicación]],14,6)</f>
        <v>22199</v>
      </c>
    </row>
    <row r="2846" spans="1:24" x14ac:dyDescent="0.25">
      <c r="A2846" s="62">
        <v>220230026454</v>
      </c>
      <c r="B2846" s="44" t="s">
        <v>1514</v>
      </c>
      <c r="C2846" s="64">
        <v>45077</v>
      </c>
      <c r="D2846" s="62">
        <v>22023002182</v>
      </c>
      <c r="E2846" s="44" t="s">
        <v>2785</v>
      </c>
      <c r="F2846" s="65">
        <v>263.89999999999998</v>
      </c>
      <c r="G2846" s="44" t="s">
        <v>98</v>
      </c>
      <c r="H2846" s="44" t="s">
        <v>4501</v>
      </c>
      <c r="I2846" s="62" t="s">
        <v>1517</v>
      </c>
      <c r="J2846" s="44" t="s">
        <v>519</v>
      </c>
      <c r="K2846" s="44" t="s">
        <v>519</v>
      </c>
      <c r="L2846" s="44" t="s">
        <v>552</v>
      </c>
      <c r="M2846" s="44" t="s">
        <v>514</v>
      </c>
      <c r="N2846" s="44" t="s">
        <v>515</v>
      </c>
      <c r="O2846" s="45" t="s">
        <v>382</v>
      </c>
      <c r="P2846" s="45" t="s">
        <v>3760</v>
      </c>
      <c r="Q2846" s="59" t="str">
        <f>MID(Tabla1[[#This Row],[Aplicación]],14,1)</f>
        <v>2</v>
      </c>
      <c r="R2846" s="35" t="s">
        <v>298</v>
      </c>
      <c r="S2846" s="59" t="str">
        <f>MID(Tabla1[[#This Row],[Aplicación]],6,2)</f>
        <v>06</v>
      </c>
      <c r="T2846" s="35" t="str">
        <f>VLOOKUP(Tabla1[[#This Row],[AREA]],Hoja1!A:B,2,FALSE)</f>
        <v>06. Educación, infancia, juventud e igualdad</v>
      </c>
      <c r="U2846" s="56" t="str">
        <f>MID(Tabla1[[#This Row],[Aplicación]],9,4)</f>
        <v>3321</v>
      </c>
      <c r="V2846" s="35" t="str">
        <f>VLOOKUP(Tabla1[[#This Row],[PROGRAMA]],Hoja1!A:B,2,FALSE)</f>
        <v>3321. Bibliotecas públicas</v>
      </c>
      <c r="W2846" s="56" t="str">
        <f>MID(Tabla1[[#This Row],[Aplicación]],14,2)</f>
        <v>21</v>
      </c>
      <c r="X2846" s="56" t="str">
        <f>MID(Tabla1[[#This Row],[Aplicación]],14,6)</f>
        <v>212</v>
      </c>
    </row>
    <row r="2847" spans="1:24" x14ac:dyDescent="0.25">
      <c r="A2847" s="62">
        <v>220230026603</v>
      </c>
      <c r="B2847" s="44" t="s">
        <v>1514</v>
      </c>
      <c r="C2847" s="64">
        <v>45077</v>
      </c>
      <c r="D2847" s="62">
        <v>22023001343</v>
      </c>
      <c r="E2847" s="44" t="s">
        <v>1506</v>
      </c>
      <c r="F2847" s="65">
        <v>107.4</v>
      </c>
      <c r="G2847" s="44" t="s">
        <v>98</v>
      </c>
      <c r="H2847" s="44" t="s">
        <v>4502</v>
      </c>
      <c r="I2847" s="62" t="s">
        <v>1517</v>
      </c>
      <c r="J2847" s="44" t="s">
        <v>519</v>
      </c>
      <c r="K2847" s="44" t="s">
        <v>519</v>
      </c>
      <c r="L2847" s="44" t="s">
        <v>552</v>
      </c>
      <c r="M2847" s="44" t="s">
        <v>514</v>
      </c>
      <c r="N2847" s="44" t="s">
        <v>604</v>
      </c>
      <c r="O2847" s="45" t="s">
        <v>382</v>
      </c>
      <c r="P2847" s="45" t="s">
        <v>3760</v>
      </c>
      <c r="Q2847" s="59" t="str">
        <f>MID(Tabla1[[#This Row],[Aplicación]],14,1)</f>
        <v>2</v>
      </c>
      <c r="R2847" s="35" t="s">
        <v>298</v>
      </c>
      <c r="S2847" s="59" t="str">
        <f>MID(Tabla1[[#This Row],[Aplicación]],6,2)</f>
        <v>03</v>
      </c>
      <c r="T2847" s="35" t="str">
        <f>VLOOKUP(Tabla1[[#This Row],[AREA]],Hoja1!A:B,2,FALSE)</f>
        <v>03. Participación ciudadana y deportes</v>
      </c>
      <c r="U2847" s="56" t="str">
        <f>MID(Tabla1[[#This Row],[Aplicación]],9,4)</f>
        <v>9241</v>
      </c>
      <c r="V2847" s="35" t="str">
        <f>VLOOKUP(Tabla1[[#This Row],[PROGRAMA]],Hoja1!A:B,2,FALSE)</f>
        <v>9241. Participación ciudadana</v>
      </c>
      <c r="W2847" s="56" t="str">
        <f>MID(Tabla1[[#This Row],[Aplicación]],14,2)</f>
        <v>21</v>
      </c>
      <c r="X2847" s="56" t="str">
        <f>MID(Tabla1[[#This Row],[Aplicación]],14,6)</f>
        <v>212</v>
      </c>
    </row>
    <row r="2848" spans="1:24" x14ac:dyDescent="0.25">
      <c r="A2848" s="62">
        <v>220230026605</v>
      </c>
      <c r="B2848" s="44" t="s">
        <v>1514</v>
      </c>
      <c r="C2848" s="64">
        <v>45077</v>
      </c>
      <c r="D2848" s="62">
        <v>22023001344</v>
      </c>
      <c r="E2848" s="44" t="s">
        <v>1150</v>
      </c>
      <c r="F2848" s="65">
        <v>80.709999999999994</v>
      </c>
      <c r="G2848" s="44" t="s">
        <v>98</v>
      </c>
      <c r="H2848" s="44" t="s">
        <v>4503</v>
      </c>
      <c r="I2848" s="62" t="s">
        <v>1517</v>
      </c>
      <c r="J2848" s="44" t="s">
        <v>519</v>
      </c>
      <c r="K2848" s="44" t="s">
        <v>519</v>
      </c>
      <c r="L2848" s="44" t="s">
        <v>552</v>
      </c>
      <c r="M2848" s="44" t="s">
        <v>514</v>
      </c>
      <c r="N2848" s="44" t="s">
        <v>604</v>
      </c>
      <c r="O2848" s="45" t="s">
        <v>382</v>
      </c>
      <c r="P2848" s="45" t="s">
        <v>3760</v>
      </c>
      <c r="Q2848" s="59" t="str">
        <f>MID(Tabla1[[#This Row],[Aplicación]],14,1)</f>
        <v>2</v>
      </c>
      <c r="R2848" s="35" t="s">
        <v>298</v>
      </c>
      <c r="S2848" s="59" t="str">
        <f>MID(Tabla1[[#This Row],[Aplicación]],6,2)</f>
        <v>03</v>
      </c>
      <c r="T2848" s="35" t="str">
        <f>VLOOKUP(Tabla1[[#This Row],[AREA]],Hoja1!A:B,2,FALSE)</f>
        <v>03. Participación ciudadana y deportes</v>
      </c>
      <c r="U2848" s="56" t="str">
        <f>MID(Tabla1[[#This Row],[Aplicación]],9,4)</f>
        <v>9241</v>
      </c>
      <c r="V2848" s="35" t="str">
        <f>VLOOKUP(Tabla1[[#This Row],[PROGRAMA]],Hoja1!A:B,2,FALSE)</f>
        <v>9241. Participación ciudadana</v>
      </c>
      <c r="W2848" s="56" t="str">
        <f>MID(Tabla1[[#This Row],[Aplicación]],14,2)</f>
        <v>21</v>
      </c>
      <c r="X2848" s="56" t="str">
        <f>MID(Tabla1[[#This Row],[Aplicación]],14,6)</f>
        <v>213</v>
      </c>
    </row>
    <row r="2849" spans="1:24" x14ac:dyDescent="0.25">
      <c r="A2849" s="62">
        <v>220230026608</v>
      </c>
      <c r="B2849" s="44" t="s">
        <v>1514</v>
      </c>
      <c r="C2849" s="64">
        <v>45077</v>
      </c>
      <c r="D2849" s="62">
        <v>22023001344</v>
      </c>
      <c r="E2849" s="44" t="s">
        <v>1150</v>
      </c>
      <c r="F2849" s="65">
        <v>43.25</v>
      </c>
      <c r="G2849" s="44" t="s">
        <v>98</v>
      </c>
      <c r="H2849" s="44" t="s">
        <v>4504</v>
      </c>
      <c r="I2849" s="62" t="s">
        <v>1517</v>
      </c>
      <c r="J2849" s="44" t="s">
        <v>519</v>
      </c>
      <c r="K2849" s="44" t="s">
        <v>519</v>
      </c>
      <c r="L2849" s="44" t="s">
        <v>552</v>
      </c>
      <c r="M2849" s="44" t="s">
        <v>514</v>
      </c>
      <c r="N2849" s="44" t="s">
        <v>604</v>
      </c>
      <c r="O2849" s="45" t="s">
        <v>382</v>
      </c>
      <c r="P2849" s="45" t="s">
        <v>3760</v>
      </c>
      <c r="Q2849" s="59" t="str">
        <f>MID(Tabla1[[#This Row],[Aplicación]],14,1)</f>
        <v>2</v>
      </c>
      <c r="R2849" s="35" t="s">
        <v>298</v>
      </c>
      <c r="S2849" s="59" t="str">
        <f>MID(Tabla1[[#This Row],[Aplicación]],6,2)</f>
        <v>03</v>
      </c>
      <c r="T2849" s="35" t="str">
        <f>VLOOKUP(Tabla1[[#This Row],[AREA]],Hoja1!A:B,2,FALSE)</f>
        <v>03. Participación ciudadana y deportes</v>
      </c>
      <c r="U2849" s="56" t="str">
        <f>MID(Tabla1[[#This Row],[Aplicación]],9,4)</f>
        <v>9241</v>
      </c>
      <c r="V2849" s="35" t="str">
        <f>VLOOKUP(Tabla1[[#This Row],[PROGRAMA]],Hoja1!A:B,2,FALSE)</f>
        <v>9241. Participación ciudadana</v>
      </c>
      <c r="W2849" s="56" t="str">
        <f>MID(Tabla1[[#This Row],[Aplicación]],14,2)</f>
        <v>21</v>
      </c>
      <c r="X2849" s="56" t="str">
        <f>MID(Tabla1[[#This Row],[Aplicación]],14,6)</f>
        <v>213</v>
      </c>
    </row>
    <row r="2850" spans="1:24" x14ac:dyDescent="0.25">
      <c r="A2850" s="62">
        <v>220230026628</v>
      </c>
      <c r="B2850" s="44" t="s">
        <v>1514</v>
      </c>
      <c r="C2850" s="64">
        <v>45077</v>
      </c>
      <c r="D2850" s="62">
        <v>22023001343</v>
      </c>
      <c r="E2850" s="44" t="s">
        <v>1506</v>
      </c>
      <c r="F2850" s="65">
        <v>162.66999999999999</v>
      </c>
      <c r="G2850" s="44" t="s">
        <v>98</v>
      </c>
      <c r="H2850" s="44" t="s">
        <v>4505</v>
      </c>
      <c r="I2850" s="62" t="s">
        <v>1517</v>
      </c>
      <c r="J2850" s="44" t="s">
        <v>519</v>
      </c>
      <c r="K2850" s="44" t="s">
        <v>519</v>
      </c>
      <c r="L2850" s="44" t="s">
        <v>552</v>
      </c>
      <c r="M2850" s="44" t="s">
        <v>514</v>
      </c>
      <c r="N2850" s="44" t="s">
        <v>604</v>
      </c>
      <c r="O2850" s="45" t="s">
        <v>382</v>
      </c>
      <c r="P2850" s="45" t="s">
        <v>3760</v>
      </c>
      <c r="Q2850" s="59" t="str">
        <f>MID(Tabla1[[#This Row],[Aplicación]],14,1)</f>
        <v>2</v>
      </c>
      <c r="R2850" s="35" t="s">
        <v>298</v>
      </c>
      <c r="S2850" s="59" t="str">
        <f>MID(Tabla1[[#This Row],[Aplicación]],6,2)</f>
        <v>03</v>
      </c>
      <c r="T2850" s="35" t="str">
        <f>VLOOKUP(Tabla1[[#This Row],[AREA]],Hoja1!A:B,2,FALSE)</f>
        <v>03. Participación ciudadana y deportes</v>
      </c>
      <c r="U2850" s="56" t="str">
        <f>MID(Tabla1[[#This Row],[Aplicación]],9,4)</f>
        <v>9241</v>
      </c>
      <c r="V2850" s="35" t="str">
        <f>VLOOKUP(Tabla1[[#This Row],[PROGRAMA]],Hoja1!A:B,2,FALSE)</f>
        <v>9241. Participación ciudadana</v>
      </c>
      <c r="W2850" s="56" t="str">
        <f>MID(Tabla1[[#This Row],[Aplicación]],14,2)</f>
        <v>21</v>
      </c>
      <c r="X2850" s="56" t="str">
        <f>MID(Tabla1[[#This Row],[Aplicación]],14,6)</f>
        <v>212</v>
      </c>
    </row>
    <row r="2851" spans="1:24" x14ac:dyDescent="0.25">
      <c r="A2851" s="62">
        <v>220230026631</v>
      </c>
      <c r="B2851" s="44" t="s">
        <v>1514</v>
      </c>
      <c r="C2851" s="64">
        <v>45077</v>
      </c>
      <c r="D2851" s="62">
        <v>22023001343</v>
      </c>
      <c r="E2851" s="44" t="s">
        <v>1506</v>
      </c>
      <c r="F2851" s="65">
        <v>3.22</v>
      </c>
      <c r="G2851" s="44" t="s">
        <v>98</v>
      </c>
      <c r="H2851" s="44" t="s">
        <v>4506</v>
      </c>
      <c r="I2851" s="62" t="s">
        <v>1517</v>
      </c>
      <c r="J2851" s="44" t="s">
        <v>519</v>
      </c>
      <c r="K2851" s="44" t="s">
        <v>519</v>
      </c>
      <c r="L2851" s="44" t="s">
        <v>552</v>
      </c>
      <c r="M2851" s="44" t="s">
        <v>514</v>
      </c>
      <c r="N2851" s="44" t="s">
        <v>604</v>
      </c>
      <c r="O2851" s="45" t="s">
        <v>382</v>
      </c>
      <c r="P2851" s="45" t="s">
        <v>3760</v>
      </c>
      <c r="Q2851" s="59" t="str">
        <f>MID(Tabla1[[#This Row],[Aplicación]],14,1)</f>
        <v>2</v>
      </c>
      <c r="R2851" s="35" t="s">
        <v>298</v>
      </c>
      <c r="S2851" s="59" t="str">
        <f>MID(Tabla1[[#This Row],[Aplicación]],6,2)</f>
        <v>03</v>
      </c>
      <c r="T2851" s="35" t="str">
        <f>VLOOKUP(Tabla1[[#This Row],[AREA]],Hoja1!A:B,2,FALSE)</f>
        <v>03. Participación ciudadana y deportes</v>
      </c>
      <c r="U2851" s="56" t="str">
        <f>MID(Tabla1[[#This Row],[Aplicación]],9,4)</f>
        <v>9241</v>
      </c>
      <c r="V2851" s="35" t="str">
        <f>VLOOKUP(Tabla1[[#This Row],[PROGRAMA]],Hoja1!A:B,2,FALSE)</f>
        <v>9241. Participación ciudadana</v>
      </c>
      <c r="W2851" s="56" t="str">
        <f>MID(Tabla1[[#This Row],[Aplicación]],14,2)</f>
        <v>21</v>
      </c>
      <c r="X2851" s="56" t="str">
        <f>MID(Tabla1[[#This Row],[Aplicación]],14,6)</f>
        <v>212</v>
      </c>
    </row>
    <row r="2852" spans="1:24" x14ac:dyDescent="0.25">
      <c r="A2852" s="62">
        <v>220230026635</v>
      </c>
      <c r="B2852" s="44" t="s">
        <v>1514</v>
      </c>
      <c r="C2852" s="64">
        <v>45077</v>
      </c>
      <c r="D2852" s="62">
        <v>22023001343</v>
      </c>
      <c r="E2852" s="44" t="s">
        <v>1506</v>
      </c>
      <c r="F2852" s="65">
        <v>151.79</v>
      </c>
      <c r="G2852" s="44" t="s">
        <v>98</v>
      </c>
      <c r="H2852" s="44" t="s">
        <v>4507</v>
      </c>
      <c r="I2852" s="62" t="s">
        <v>1517</v>
      </c>
      <c r="J2852" s="44" t="s">
        <v>519</v>
      </c>
      <c r="K2852" s="44" t="s">
        <v>519</v>
      </c>
      <c r="L2852" s="44" t="s">
        <v>552</v>
      </c>
      <c r="M2852" s="44" t="s">
        <v>514</v>
      </c>
      <c r="N2852" s="44" t="s">
        <v>604</v>
      </c>
      <c r="O2852" s="45" t="s">
        <v>382</v>
      </c>
      <c r="P2852" s="45" t="s">
        <v>3760</v>
      </c>
      <c r="Q2852" s="59" t="str">
        <f>MID(Tabla1[[#This Row],[Aplicación]],14,1)</f>
        <v>2</v>
      </c>
      <c r="R2852" s="35" t="s">
        <v>298</v>
      </c>
      <c r="S2852" s="59" t="str">
        <f>MID(Tabla1[[#This Row],[Aplicación]],6,2)</f>
        <v>03</v>
      </c>
      <c r="T2852" s="35" t="str">
        <f>VLOOKUP(Tabla1[[#This Row],[AREA]],Hoja1!A:B,2,FALSE)</f>
        <v>03. Participación ciudadana y deportes</v>
      </c>
      <c r="U2852" s="56" t="str">
        <f>MID(Tabla1[[#This Row],[Aplicación]],9,4)</f>
        <v>9241</v>
      </c>
      <c r="V2852" s="35" t="str">
        <f>VLOOKUP(Tabla1[[#This Row],[PROGRAMA]],Hoja1!A:B,2,FALSE)</f>
        <v>9241. Participación ciudadana</v>
      </c>
      <c r="W2852" s="56" t="str">
        <f>MID(Tabla1[[#This Row],[Aplicación]],14,2)</f>
        <v>21</v>
      </c>
      <c r="X2852" s="56" t="str">
        <f>MID(Tabla1[[#This Row],[Aplicación]],14,6)</f>
        <v>212</v>
      </c>
    </row>
    <row r="2853" spans="1:24" x14ac:dyDescent="0.25">
      <c r="A2853" s="62">
        <v>220230026638</v>
      </c>
      <c r="B2853" s="44" t="s">
        <v>1514</v>
      </c>
      <c r="C2853" s="64">
        <v>45077</v>
      </c>
      <c r="D2853" s="62">
        <v>22023001343</v>
      </c>
      <c r="E2853" s="44" t="s">
        <v>1506</v>
      </c>
      <c r="F2853" s="65">
        <v>106.86</v>
      </c>
      <c r="G2853" s="44" t="s">
        <v>98</v>
      </c>
      <c r="H2853" s="44" t="s">
        <v>4508</v>
      </c>
      <c r="I2853" s="62" t="s">
        <v>1517</v>
      </c>
      <c r="J2853" s="44" t="s">
        <v>519</v>
      </c>
      <c r="K2853" s="44" t="s">
        <v>519</v>
      </c>
      <c r="L2853" s="44" t="s">
        <v>552</v>
      </c>
      <c r="M2853" s="44" t="s">
        <v>514</v>
      </c>
      <c r="N2853" s="44" t="s">
        <v>604</v>
      </c>
      <c r="O2853" s="45" t="s">
        <v>382</v>
      </c>
      <c r="P2853" s="45" t="s">
        <v>3760</v>
      </c>
      <c r="Q2853" s="59" t="str">
        <f>MID(Tabla1[[#This Row],[Aplicación]],14,1)</f>
        <v>2</v>
      </c>
      <c r="R2853" s="35" t="s">
        <v>298</v>
      </c>
      <c r="S2853" s="59" t="str">
        <f>MID(Tabla1[[#This Row],[Aplicación]],6,2)</f>
        <v>03</v>
      </c>
      <c r="T2853" s="35" t="str">
        <f>VLOOKUP(Tabla1[[#This Row],[AREA]],Hoja1!A:B,2,FALSE)</f>
        <v>03. Participación ciudadana y deportes</v>
      </c>
      <c r="U2853" s="56" t="str">
        <f>MID(Tabla1[[#This Row],[Aplicación]],9,4)</f>
        <v>9241</v>
      </c>
      <c r="V2853" s="35" t="str">
        <f>VLOOKUP(Tabla1[[#This Row],[PROGRAMA]],Hoja1!A:B,2,FALSE)</f>
        <v>9241. Participación ciudadana</v>
      </c>
      <c r="W2853" s="56" t="str">
        <f>MID(Tabla1[[#This Row],[Aplicación]],14,2)</f>
        <v>21</v>
      </c>
      <c r="X2853" s="56" t="str">
        <f>MID(Tabla1[[#This Row],[Aplicación]],14,6)</f>
        <v>212</v>
      </c>
    </row>
    <row r="2854" spans="1:24" x14ac:dyDescent="0.25">
      <c r="A2854" s="62">
        <v>220230026640</v>
      </c>
      <c r="B2854" s="44" t="s">
        <v>1514</v>
      </c>
      <c r="C2854" s="64">
        <v>45077</v>
      </c>
      <c r="D2854" s="62">
        <v>22023001343</v>
      </c>
      <c r="E2854" s="44" t="s">
        <v>1506</v>
      </c>
      <c r="F2854" s="65">
        <v>22.54</v>
      </c>
      <c r="G2854" s="44" t="s">
        <v>98</v>
      </c>
      <c r="H2854" s="44" t="s">
        <v>4509</v>
      </c>
      <c r="I2854" s="62" t="s">
        <v>1517</v>
      </c>
      <c r="J2854" s="44" t="s">
        <v>519</v>
      </c>
      <c r="K2854" s="44" t="s">
        <v>519</v>
      </c>
      <c r="L2854" s="44" t="s">
        <v>552</v>
      </c>
      <c r="M2854" s="44" t="s">
        <v>514</v>
      </c>
      <c r="N2854" s="44" t="s">
        <v>604</v>
      </c>
      <c r="O2854" s="45" t="s">
        <v>382</v>
      </c>
      <c r="P2854" s="45" t="s">
        <v>3760</v>
      </c>
      <c r="Q2854" s="59" t="str">
        <f>MID(Tabla1[[#This Row],[Aplicación]],14,1)</f>
        <v>2</v>
      </c>
      <c r="R2854" s="35" t="s">
        <v>298</v>
      </c>
      <c r="S2854" s="59" t="str">
        <f>MID(Tabla1[[#This Row],[Aplicación]],6,2)</f>
        <v>03</v>
      </c>
      <c r="T2854" s="35" t="str">
        <f>VLOOKUP(Tabla1[[#This Row],[AREA]],Hoja1!A:B,2,FALSE)</f>
        <v>03. Participación ciudadana y deportes</v>
      </c>
      <c r="U2854" s="56" t="str">
        <f>MID(Tabla1[[#This Row],[Aplicación]],9,4)</f>
        <v>9241</v>
      </c>
      <c r="V2854" s="35" t="str">
        <f>VLOOKUP(Tabla1[[#This Row],[PROGRAMA]],Hoja1!A:B,2,FALSE)</f>
        <v>9241. Participación ciudadana</v>
      </c>
      <c r="W2854" s="56" t="str">
        <f>MID(Tabla1[[#This Row],[Aplicación]],14,2)</f>
        <v>21</v>
      </c>
      <c r="X2854" s="56" t="str">
        <f>MID(Tabla1[[#This Row],[Aplicación]],14,6)</f>
        <v>212</v>
      </c>
    </row>
    <row r="2855" spans="1:24" x14ac:dyDescent="0.25">
      <c r="A2855" s="62">
        <v>220230026642</v>
      </c>
      <c r="B2855" s="44" t="s">
        <v>1514</v>
      </c>
      <c r="C2855" s="64">
        <v>45077</v>
      </c>
      <c r="D2855" s="62">
        <v>22023001344</v>
      </c>
      <c r="E2855" s="44" t="s">
        <v>1150</v>
      </c>
      <c r="F2855" s="65">
        <v>18.91</v>
      </c>
      <c r="G2855" s="44" t="s">
        <v>98</v>
      </c>
      <c r="H2855" s="44" t="s">
        <v>4510</v>
      </c>
      <c r="I2855" s="62" t="s">
        <v>1517</v>
      </c>
      <c r="J2855" s="44" t="s">
        <v>519</v>
      </c>
      <c r="K2855" s="44" t="s">
        <v>519</v>
      </c>
      <c r="L2855" s="44" t="s">
        <v>552</v>
      </c>
      <c r="M2855" s="44" t="s">
        <v>514</v>
      </c>
      <c r="N2855" s="44" t="s">
        <v>604</v>
      </c>
      <c r="O2855" s="45" t="s">
        <v>382</v>
      </c>
      <c r="P2855" s="45" t="s">
        <v>3760</v>
      </c>
      <c r="Q2855" s="59" t="str">
        <f>MID(Tabla1[[#This Row],[Aplicación]],14,1)</f>
        <v>2</v>
      </c>
      <c r="R2855" s="35" t="s">
        <v>298</v>
      </c>
      <c r="S2855" s="59" t="str">
        <f>MID(Tabla1[[#This Row],[Aplicación]],6,2)</f>
        <v>03</v>
      </c>
      <c r="T2855" s="35" t="str">
        <f>VLOOKUP(Tabla1[[#This Row],[AREA]],Hoja1!A:B,2,FALSE)</f>
        <v>03. Participación ciudadana y deportes</v>
      </c>
      <c r="U2855" s="56" t="str">
        <f>MID(Tabla1[[#This Row],[Aplicación]],9,4)</f>
        <v>9241</v>
      </c>
      <c r="V2855" s="35" t="str">
        <f>VLOOKUP(Tabla1[[#This Row],[PROGRAMA]],Hoja1!A:B,2,FALSE)</f>
        <v>9241. Participación ciudadana</v>
      </c>
      <c r="W2855" s="56" t="str">
        <f>MID(Tabla1[[#This Row],[Aplicación]],14,2)</f>
        <v>21</v>
      </c>
      <c r="X2855" s="56" t="str">
        <f>MID(Tabla1[[#This Row],[Aplicación]],14,6)</f>
        <v>213</v>
      </c>
    </row>
    <row r="2856" spans="1:24" x14ac:dyDescent="0.25">
      <c r="A2856" s="62">
        <v>220230026644</v>
      </c>
      <c r="B2856" s="44" t="s">
        <v>1514</v>
      </c>
      <c r="C2856" s="64">
        <v>45077</v>
      </c>
      <c r="D2856" s="62">
        <v>22023001343</v>
      </c>
      <c r="E2856" s="44" t="s">
        <v>1506</v>
      </c>
      <c r="F2856" s="65">
        <v>40.729999999999997</v>
      </c>
      <c r="G2856" s="44" t="s">
        <v>98</v>
      </c>
      <c r="H2856" s="44" t="s">
        <v>4511</v>
      </c>
      <c r="I2856" s="62" t="s">
        <v>1517</v>
      </c>
      <c r="J2856" s="44" t="s">
        <v>519</v>
      </c>
      <c r="K2856" s="44" t="s">
        <v>519</v>
      </c>
      <c r="L2856" s="44" t="s">
        <v>552</v>
      </c>
      <c r="M2856" s="44" t="s">
        <v>514</v>
      </c>
      <c r="N2856" s="44" t="s">
        <v>604</v>
      </c>
      <c r="O2856" s="45" t="s">
        <v>382</v>
      </c>
      <c r="P2856" s="45" t="s">
        <v>3760</v>
      </c>
      <c r="Q2856" s="59" t="str">
        <f>MID(Tabla1[[#This Row],[Aplicación]],14,1)</f>
        <v>2</v>
      </c>
      <c r="R2856" s="35" t="s">
        <v>298</v>
      </c>
      <c r="S2856" s="59" t="str">
        <f>MID(Tabla1[[#This Row],[Aplicación]],6,2)</f>
        <v>03</v>
      </c>
      <c r="T2856" s="35" t="str">
        <f>VLOOKUP(Tabla1[[#This Row],[AREA]],Hoja1!A:B,2,FALSE)</f>
        <v>03. Participación ciudadana y deportes</v>
      </c>
      <c r="U2856" s="56" t="str">
        <f>MID(Tabla1[[#This Row],[Aplicación]],9,4)</f>
        <v>9241</v>
      </c>
      <c r="V2856" s="35" t="str">
        <f>VLOOKUP(Tabla1[[#This Row],[PROGRAMA]],Hoja1!A:B,2,FALSE)</f>
        <v>9241. Participación ciudadana</v>
      </c>
      <c r="W2856" s="56" t="str">
        <f>MID(Tabla1[[#This Row],[Aplicación]],14,2)</f>
        <v>21</v>
      </c>
      <c r="X2856" s="56" t="str">
        <f>MID(Tabla1[[#This Row],[Aplicación]],14,6)</f>
        <v>212</v>
      </c>
    </row>
    <row r="2857" spans="1:24" x14ac:dyDescent="0.25">
      <c r="A2857" s="62">
        <v>220230026673</v>
      </c>
      <c r="B2857" s="44" t="s">
        <v>1514</v>
      </c>
      <c r="C2857" s="64">
        <v>45077</v>
      </c>
      <c r="D2857" s="62">
        <v>22023001343</v>
      </c>
      <c r="E2857" s="44" t="s">
        <v>1506</v>
      </c>
      <c r="F2857" s="65">
        <v>23.28</v>
      </c>
      <c r="G2857" s="44" t="s">
        <v>98</v>
      </c>
      <c r="H2857" s="44" t="s">
        <v>4512</v>
      </c>
      <c r="I2857" s="62" t="s">
        <v>1517</v>
      </c>
      <c r="J2857" s="44" t="s">
        <v>519</v>
      </c>
      <c r="K2857" s="44" t="s">
        <v>519</v>
      </c>
      <c r="L2857" s="44" t="s">
        <v>552</v>
      </c>
      <c r="M2857" s="44" t="s">
        <v>514</v>
      </c>
      <c r="N2857" s="44" t="s">
        <v>604</v>
      </c>
      <c r="O2857" s="45" t="s">
        <v>382</v>
      </c>
      <c r="P2857" s="45" t="s">
        <v>3760</v>
      </c>
      <c r="Q2857" s="59" t="str">
        <f>MID(Tabla1[[#This Row],[Aplicación]],14,1)</f>
        <v>2</v>
      </c>
      <c r="R2857" s="35" t="s">
        <v>298</v>
      </c>
      <c r="S2857" s="59" t="str">
        <f>MID(Tabla1[[#This Row],[Aplicación]],6,2)</f>
        <v>03</v>
      </c>
      <c r="T2857" s="35" t="str">
        <f>VLOOKUP(Tabla1[[#This Row],[AREA]],Hoja1!A:B,2,FALSE)</f>
        <v>03. Participación ciudadana y deportes</v>
      </c>
      <c r="U2857" s="56" t="str">
        <f>MID(Tabla1[[#This Row],[Aplicación]],9,4)</f>
        <v>9241</v>
      </c>
      <c r="V2857" s="35" t="str">
        <f>VLOOKUP(Tabla1[[#This Row],[PROGRAMA]],Hoja1!A:B,2,FALSE)</f>
        <v>9241. Participación ciudadana</v>
      </c>
      <c r="W2857" s="56" t="str">
        <f>MID(Tabla1[[#This Row],[Aplicación]],14,2)</f>
        <v>21</v>
      </c>
      <c r="X2857" s="56" t="str">
        <f>MID(Tabla1[[#This Row],[Aplicación]],14,6)</f>
        <v>212</v>
      </c>
    </row>
    <row r="2858" spans="1:24" x14ac:dyDescent="0.25">
      <c r="A2858" s="62">
        <v>220230026675</v>
      </c>
      <c r="B2858" s="44" t="s">
        <v>1514</v>
      </c>
      <c r="C2858" s="64">
        <v>45077</v>
      </c>
      <c r="D2858" s="62">
        <v>22023001343</v>
      </c>
      <c r="E2858" s="44" t="s">
        <v>1506</v>
      </c>
      <c r="F2858" s="65">
        <v>54.69</v>
      </c>
      <c r="G2858" s="44" t="s">
        <v>98</v>
      </c>
      <c r="H2858" s="44" t="s">
        <v>4513</v>
      </c>
      <c r="I2858" s="62" t="s">
        <v>1517</v>
      </c>
      <c r="J2858" s="44" t="s">
        <v>519</v>
      </c>
      <c r="K2858" s="44" t="s">
        <v>519</v>
      </c>
      <c r="L2858" s="44" t="s">
        <v>552</v>
      </c>
      <c r="M2858" s="44" t="s">
        <v>514</v>
      </c>
      <c r="N2858" s="44" t="s">
        <v>604</v>
      </c>
      <c r="O2858" s="45" t="s">
        <v>382</v>
      </c>
      <c r="P2858" s="45" t="s">
        <v>3760</v>
      </c>
      <c r="Q2858" s="59" t="str">
        <f>MID(Tabla1[[#This Row],[Aplicación]],14,1)</f>
        <v>2</v>
      </c>
      <c r="R2858" s="35" t="s">
        <v>298</v>
      </c>
      <c r="S2858" s="59" t="str">
        <f>MID(Tabla1[[#This Row],[Aplicación]],6,2)</f>
        <v>03</v>
      </c>
      <c r="T2858" s="35" t="str">
        <f>VLOOKUP(Tabla1[[#This Row],[AREA]],Hoja1!A:B,2,FALSE)</f>
        <v>03. Participación ciudadana y deportes</v>
      </c>
      <c r="U2858" s="56" t="str">
        <f>MID(Tabla1[[#This Row],[Aplicación]],9,4)</f>
        <v>9241</v>
      </c>
      <c r="V2858" s="35" t="str">
        <f>VLOOKUP(Tabla1[[#This Row],[PROGRAMA]],Hoja1!A:B,2,FALSE)</f>
        <v>9241. Participación ciudadana</v>
      </c>
      <c r="W2858" s="56" t="str">
        <f>MID(Tabla1[[#This Row],[Aplicación]],14,2)</f>
        <v>21</v>
      </c>
      <c r="X2858" s="56" t="str">
        <f>MID(Tabla1[[#This Row],[Aplicación]],14,6)</f>
        <v>212</v>
      </c>
    </row>
    <row r="2859" spans="1:24" x14ac:dyDescent="0.25">
      <c r="A2859" s="62">
        <v>220230020883</v>
      </c>
      <c r="B2859" s="44" t="s">
        <v>1514</v>
      </c>
      <c r="C2859" s="64">
        <v>45062</v>
      </c>
      <c r="D2859" s="62">
        <v>22023001548</v>
      </c>
      <c r="E2859" s="44" t="s">
        <v>2509</v>
      </c>
      <c r="F2859" s="65">
        <v>218.68</v>
      </c>
      <c r="G2859" s="44" t="s">
        <v>2510</v>
      </c>
      <c r="H2859" s="44" t="s">
        <v>4514</v>
      </c>
      <c r="I2859" s="62" t="s">
        <v>1517</v>
      </c>
      <c r="J2859" s="44" t="s">
        <v>2512</v>
      </c>
      <c r="K2859" s="44" t="s">
        <v>519</v>
      </c>
      <c r="L2859" s="44" t="s">
        <v>552</v>
      </c>
      <c r="M2859" s="44" t="s">
        <v>514</v>
      </c>
      <c r="N2859" s="44" t="s">
        <v>515</v>
      </c>
      <c r="O2859" s="45" t="s">
        <v>382</v>
      </c>
      <c r="P2859" s="45" t="s">
        <v>3760</v>
      </c>
      <c r="Q2859" s="59" t="str">
        <f>MID(Tabla1[[#This Row],[Aplicación]],14,1)</f>
        <v>2</v>
      </c>
      <c r="R2859" s="35" t="s">
        <v>298</v>
      </c>
      <c r="S2859" s="59" t="str">
        <f>MID(Tabla1[[#This Row],[Aplicación]],6,2)</f>
        <v>07</v>
      </c>
      <c r="T2859" s="35" t="str">
        <f>VLOOKUP(Tabla1[[#This Row],[AREA]],Hoja1!A:B,2,FALSE)</f>
        <v>07. Medio ambiente y desarrollo sostenible</v>
      </c>
      <c r="U2859" s="56" t="str">
        <f>MID(Tabla1[[#This Row],[Aplicación]],9,4)</f>
        <v>1711</v>
      </c>
      <c r="V2859" s="35" t="str">
        <f>VLOOKUP(Tabla1[[#This Row],[PROGRAMA]],Hoja1!A:B,2,FALSE)</f>
        <v>1711. Parques y jardines</v>
      </c>
      <c r="W2859" s="56" t="str">
        <f>MID(Tabla1[[#This Row],[Aplicación]],14,2)</f>
        <v>22</v>
      </c>
      <c r="X2859" s="56" t="str">
        <f>MID(Tabla1[[#This Row],[Aplicación]],14,6)</f>
        <v>22106</v>
      </c>
    </row>
    <row r="2860" spans="1:24" x14ac:dyDescent="0.25">
      <c r="A2860" s="62">
        <v>220230026201</v>
      </c>
      <c r="B2860" s="44" t="s">
        <v>1514</v>
      </c>
      <c r="C2860" s="64">
        <v>45077</v>
      </c>
      <c r="D2860" s="62">
        <v>22023001548</v>
      </c>
      <c r="E2860" s="44" t="s">
        <v>2509</v>
      </c>
      <c r="F2860" s="65">
        <v>3.9</v>
      </c>
      <c r="G2860" s="44" t="s">
        <v>2510</v>
      </c>
      <c r="H2860" s="44" t="s">
        <v>4515</v>
      </c>
      <c r="I2860" s="62" t="s">
        <v>1517</v>
      </c>
      <c r="J2860" s="44" t="s">
        <v>2512</v>
      </c>
      <c r="K2860" s="44" t="s">
        <v>519</v>
      </c>
      <c r="L2860" s="44" t="s">
        <v>552</v>
      </c>
      <c r="M2860" s="44" t="s">
        <v>514</v>
      </c>
      <c r="N2860" s="44" t="s">
        <v>515</v>
      </c>
      <c r="O2860" s="45" t="s">
        <v>382</v>
      </c>
      <c r="P2860" s="45" t="s">
        <v>3760</v>
      </c>
      <c r="Q2860" s="59" t="str">
        <f>MID(Tabla1[[#This Row],[Aplicación]],14,1)</f>
        <v>2</v>
      </c>
      <c r="R2860" s="35" t="s">
        <v>298</v>
      </c>
      <c r="S2860" s="59" t="str">
        <f>MID(Tabla1[[#This Row],[Aplicación]],6,2)</f>
        <v>07</v>
      </c>
      <c r="T2860" s="35" t="str">
        <f>VLOOKUP(Tabla1[[#This Row],[AREA]],Hoja1!A:B,2,FALSE)</f>
        <v>07. Medio ambiente y desarrollo sostenible</v>
      </c>
      <c r="U2860" s="56" t="str">
        <f>MID(Tabla1[[#This Row],[Aplicación]],9,4)</f>
        <v>1711</v>
      </c>
      <c r="V2860" s="35" t="str">
        <f>VLOOKUP(Tabla1[[#This Row],[PROGRAMA]],Hoja1!A:B,2,FALSE)</f>
        <v>1711. Parques y jardines</v>
      </c>
      <c r="W2860" s="56" t="str">
        <f>MID(Tabla1[[#This Row],[Aplicación]],14,2)</f>
        <v>22</v>
      </c>
      <c r="X2860" s="56" t="str">
        <f>MID(Tabla1[[#This Row],[Aplicación]],14,6)</f>
        <v>22106</v>
      </c>
    </row>
    <row r="2861" spans="1:24" x14ac:dyDescent="0.25">
      <c r="A2861" s="62">
        <v>220230026201</v>
      </c>
      <c r="B2861" s="44" t="s">
        <v>1514</v>
      </c>
      <c r="C2861" s="64">
        <v>45077</v>
      </c>
      <c r="D2861" s="62">
        <v>22023003931</v>
      </c>
      <c r="E2861" s="44" t="s">
        <v>2509</v>
      </c>
      <c r="F2861" s="65">
        <v>36.1</v>
      </c>
      <c r="G2861" s="44" t="s">
        <v>2510</v>
      </c>
      <c r="H2861" s="44" t="s">
        <v>4515</v>
      </c>
      <c r="I2861" s="62" t="s">
        <v>1517</v>
      </c>
      <c r="J2861" s="44" t="s">
        <v>2512</v>
      </c>
      <c r="K2861" s="44" t="s">
        <v>519</v>
      </c>
      <c r="L2861" s="44" t="s">
        <v>552</v>
      </c>
      <c r="M2861" s="44" t="s">
        <v>514</v>
      </c>
      <c r="N2861" s="44" t="s">
        <v>515</v>
      </c>
      <c r="O2861" s="45" t="s">
        <v>382</v>
      </c>
      <c r="P2861" s="45" t="s">
        <v>3760</v>
      </c>
      <c r="Q2861" s="59" t="str">
        <f>MID(Tabla1[[#This Row],[Aplicación]],14,1)</f>
        <v>2</v>
      </c>
      <c r="R2861" s="35" t="s">
        <v>298</v>
      </c>
      <c r="S2861" s="59" t="str">
        <f>MID(Tabla1[[#This Row],[Aplicación]],6,2)</f>
        <v>07</v>
      </c>
      <c r="T2861" s="35" t="str">
        <f>VLOOKUP(Tabla1[[#This Row],[AREA]],Hoja1!A:B,2,FALSE)</f>
        <v>07. Medio ambiente y desarrollo sostenible</v>
      </c>
      <c r="U2861" s="56" t="str">
        <f>MID(Tabla1[[#This Row],[Aplicación]],9,4)</f>
        <v>1711</v>
      </c>
      <c r="V2861" s="35" t="str">
        <f>VLOOKUP(Tabla1[[#This Row],[PROGRAMA]],Hoja1!A:B,2,FALSE)</f>
        <v>1711. Parques y jardines</v>
      </c>
      <c r="W2861" s="56" t="str">
        <f>MID(Tabla1[[#This Row],[Aplicación]],14,2)</f>
        <v>22</v>
      </c>
      <c r="X2861" s="56" t="str">
        <f>MID(Tabla1[[#This Row],[Aplicación]],14,6)</f>
        <v>22106</v>
      </c>
    </row>
    <row r="2862" spans="1:24" x14ac:dyDescent="0.25">
      <c r="A2862" s="62">
        <v>220230026210</v>
      </c>
      <c r="B2862" s="44" t="s">
        <v>1514</v>
      </c>
      <c r="C2862" s="64">
        <v>45077</v>
      </c>
      <c r="D2862" s="62">
        <v>22023003931</v>
      </c>
      <c r="E2862" s="44" t="s">
        <v>2509</v>
      </c>
      <c r="F2862" s="65">
        <v>198.01</v>
      </c>
      <c r="G2862" s="44" t="s">
        <v>2510</v>
      </c>
      <c r="H2862" s="44" t="s">
        <v>4516</v>
      </c>
      <c r="I2862" s="62" t="s">
        <v>1517</v>
      </c>
      <c r="J2862" s="44" t="s">
        <v>2512</v>
      </c>
      <c r="K2862" s="44" t="s">
        <v>519</v>
      </c>
      <c r="L2862" s="44" t="s">
        <v>552</v>
      </c>
      <c r="M2862" s="44" t="s">
        <v>514</v>
      </c>
      <c r="N2862" s="44" t="s">
        <v>515</v>
      </c>
      <c r="O2862" s="45" t="s">
        <v>382</v>
      </c>
      <c r="P2862" s="45" t="s">
        <v>3760</v>
      </c>
      <c r="Q2862" s="59" t="str">
        <f>MID(Tabla1[[#This Row],[Aplicación]],14,1)</f>
        <v>2</v>
      </c>
      <c r="R2862" s="35" t="s">
        <v>298</v>
      </c>
      <c r="S2862" s="59" t="str">
        <f>MID(Tabla1[[#This Row],[Aplicación]],6,2)</f>
        <v>07</v>
      </c>
      <c r="T2862" s="35" t="str">
        <f>VLOOKUP(Tabla1[[#This Row],[AREA]],Hoja1!A:B,2,FALSE)</f>
        <v>07. Medio ambiente y desarrollo sostenible</v>
      </c>
      <c r="U2862" s="56" t="str">
        <f>MID(Tabla1[[#This Row],[Aplicación]],9,4)</f>
        <v>1711</v>
      </c>
      <c r="V2862" s="35" t="str">
        <f>VLOOKUP(Tabla1[[#This Row],[PROGRAMA]],Hoja1!A:B,2,FALSE)</f>
        <v>1711. Parques y jardines</v>
      </c>
      <c r="W2862" s="56" t="str">
        <f>MID(Tabla1[[#This Row],[Aplicación]],14,2)</f>
        <v>22</v>
      </c>
      <c r="X2862" s="56" t="str">
        <f>MID(Tabla1[[#This Row],[Aplicación]],14,6)</f>
        <v>22106</v>
      </c>
    </row>
    <row r="2863" spans="1:24" x14ac:dyDescent="0.25">
      <c r="A2863" s="62">
        <v>220230026212</v>
      </c>
      <c r="B2863" s="44" t="s">
        <v>1514</v>
      </c>
      <c r="C2863" s="64">
        <v>45077</v>
      </c>
      <c r="D2863" s="62">
        <v>22023003931</v>
      </c>
      <c r="E2863" s="44" t="s">
        <v>2509</v>
      </c>
      <c r="F2863" s="65">
        <v>646.99</v>
      </c>
      <c r="G2863" s="44" t="s">
        <v>2510</v>
      </c>
      <c r="H2863" s="44" t="s">
        <v>4517</v>
      </c>
      <c r="I2863" s="62" t="s">
        <v>1517</v>
      </c>
      <c r="J2863" s="44" t="s">
        <v>2512</v>
      </c>
      <c r="K2863" s="44" t="s">
        <v>519</v>
      </c>
      <c r="L2863" s="44" t="s">
        <v>552</v>
      </c>
      <c r="M2863" s="44" t="s">
        <v>514</v>
      </c>
      <c r="N2863" s="44" t="s">
        <v>515</v>
      </c>
      <c r="O2863" s="45" t="s">
        <v>382</v>
      </c>
      <c r="P2863" s="45" t="s">
        <v>3760</v>
      </c>
      <c r="Q2863" s="59" t="str">
        <f>MID(Tabla1[[#This Row],[Aplicación]],14,1)</f>
        <v>2</v>
      </c>
      <c r="R2863" s="35" t="s">
        <v>298</v>
      </c>
      <c r="S2863" s="59" t="str">
        <f>MID(Tabla1[[#This Row],[Aplicación]],6,2)</f>
        <v>07</v>
      </c>
      <c r="T2863" s="35" t="str">
        <f>VLOOKUP(Tabla1[[#This Row],[AREA]],Hoja1!A:B,2,FALSE)</f>
        <v>07. Medio ambiente y desarrollo sostenible</v>
      </c>
      <c r="U2863" s="56" t="str">
        <f>MID(Tabla1[[#This Row],[Aplicación]],9,4)</f>
        <v>1711</v>
      </c>
      <c r="V2863" s="35" t="str">
        <f>VLOOKUP(Tabla1[[#This Row],[PROGRAMA]],Hoja1!A:B,2,FALSE)</f>
        <v>1711. Parques y jardines</v>
      </c>
      <c r="W2863" s="56" t="str">
        <f>MID(Tabla1[[#This Row],[Aplicación]],14,2)</f>
        <v>22</v>
      </c>
      <c r="X2863" s="56" t="str">
        <f>MID(Tabla1[[#This Row],[Aplicación]],14,6)</f>
        <v>22106</v>
      </c>
    </row>
    <row r="2864" spans="1:24" x14ac:dyDescent="0.25">
      <c r="A2864" s="62">
        <v>220230013972</v>
      </c>
      <c r="B2864" s="44" t="s">
        <v>507</v>
      </c>
      <c r="C2864" s="64">
        <v>45030</v>
      </c>
      <c r="D2864" s="62">
        <v>22023002722</v>
      </c>
      <c r="E2864" s="44" t="s">
        <v>1260</v>
      </c>
      <c r="F2864" s="65">
        <v>1815</v>
      </c>
      <c r="G2864" s="44" t="s">
        <v>3659</v>
      </c>
      <c r="H2864" s="44" t="s">
        <v>2715</v>
      </c>
      <c r="I2864" s="62" t="s">
        <v>511</v>
      </c>
      <c r="J2864" s="44" t="s">
        <v>519</v>
      </c>
      <c r="K2864" s="44" t="s">
        <v>519</v>
      </c>
      <c r="L2864" s="44" t="s">
        <v>520</v>
      </c>
      <c r="M2864" s="44" t="s">
        <v>514</v>
      </c>
      <c r="N2864" s="44" t="s">
        <v>515</v>
      </c>
      <c r="O2864" s="45" t="s">
        <v>382</v>
      </c>
      <c r="P2864" s="45" t="s">
        <v>3760</v>
      </c>
      <c r="Q2864" s="59" t="str">
        <f>MID(Tabla1[[#This Row],[Aplicación]],14,1)</f>
        <v>2</v>
      </c>
      <c r="R2864" s="35" t="s">
        <v>298</v>
      </c>
      <c r="S2864" s="59" t="str">
        <f>MID(Tabla1[[#This Row],[Aplicación]],6,2)</f>
        <v>03</v>
      </c>
      <c r="T2864" s="35" t="str">
        <f>VLOOKUP(Tabla1[[#This Row],[AREA]],Hoja1!A:B,2,FALSE)</f>
        <v>03. Participación ciudadana y deportes</v>
      </c>
      <c r="U2864" s="56" t="str">
        <f>MID(Tabla1[[#This Row],[Aplicación]],9,4)</f>
        <v>9241</v>
      </c>
      <c r="V2864" s="35" t="str">
        <f>VLOOKUP(Tabla1[[#This Row],[PROGRAMA]],Hoja1!A:B,2,FALSE)</f>
        <v>9241. Participación ciudadana</v>
      </c>
      <c r="W2864" s="56" t="str">
        <f>MID(Tabla1[[#This Row],[Aplicación]],14,2)</f>
        <v>22</v>
      </c>
      <c r="X2864" s="56" t="str">
        <f>MID(Tabla1[[#This Row],[Aplicación]],14,6)</f>
        <v>22602</v>
      </c>
    </row>
    <row r="2865" spans="1:24" x14ac:dyDescent="0.25">
      <c r="A2865" s="62">
        <v>220230026328</v>
      </c>
      <c r="B2865" s="44" t="s">
        <v>1514</v>
      </c>
      <c r="C2865" s="64">
        <v>45077</v>
      </c>
      <c r="D2865" s="62">
        <v>22023003832</v>
      </c>
      <c r="E2865" s="44" t="s">
        <v>1502</v>
      </c>
      <c r="F2865" s="65">
        <v>114.87</v>
      </c>
      <c r="G2865" s="44" t="s">
        <v>2510</v>
      </c>
      <c r="H2865" s="44" t="s">
        <v>4518</v>
      </c>
      <c r="I2865" s="62" t="s">
        <v>1517</v>
      </c>
      <c r="J2865" s="44" t="s">
        <v>2512</v>
      </c>
      <c r="K2865" s="44" t="s">
        <v>519</v>
      </c>
      <c r="L2865" s="44" t="s">
        <v>552</v>
      </c>
      <c r="M2865" s="44" t="s">
        <v>514</v>
      </c>
      <c r="N2865" s="44" t="s">
        <v>515</v>
      </c>
      <c r="O2865" s="45" t="s">
        <v>382</v>
      </c>
      <c r="P2865" s="45" t="s">
        <v>3760</v>
      </c>
      <c r="Q2865" s="59" t="str">
        <f>MID(Tabla1[[#This Row],[Aplicación]],14,1)</f>
        <v>2</v>
      </c>
      <c r="R2865" s="35" t="s">
        <v>298</v>
      </c>
      <c r="S2865" s="59" t="str">
        <f>MID(Tabla1[[#This Row],[Aplicación]],6,2)</f>
        <v>10</v>
      </c>
      <c r="T2865" s="35" t="str">
        <f>VLOOKUP(Tabla1[[#This Row],[AREA]],Hoja1!A:B,2,FALSE)</f>
        <v>10. Servicios sociales y mediación comunitaria</v>
      </c>
      <c r="U2865" s="56" t="str">
        <f>MID(Tabla1[[#This Row],[Aplicación]],9,4)</f>
        <v>2412</v>
      </c>
      <c r="V2865" s="35" t="str">
        <f>VLOOKUP(Tabla1[[#This Row],[PROGRAMA]],Hoja1!A:B,2,FALSE)</f>
        <v>2412. Formación para el empleo</v>
      </c>
      <c r="W2865" s="56" t="str">
        <f>MID(Tabla1[[#This Row],[Aplicación]],14,2)</f>
        <v>22</v>
      </c>
      <c r="X2865" s="56" t="str">
        <f>MID(Tabla1[[#This Row],[Aplicación]],14,6)</f>
        <v>22199</v>
      </c>
    </row>
    <row r="2866" spans="1:24" x14ac:dyDescent="0.25">
      <c r="A2866" s="62">
        <v>220230014593</v>
      </c>
      <c r="B2866" s="44" t="s">
        <v>1514</v>
      </c>
      <c r="C2866" s="64">
        <v>45040</v>
      </c>
      <c r="D2866" s="62">
        <v>22023002185</v>
      </c>
      <c r="E2866" s="44" t="s">
        <v>2458</v>
      </c>
      <c r="F2866" s="65">
        <v>16.37</v>
      </c>
      <c r="G2866" s="44" t="s">
        <v>97</v>
      </c>
      <c r="H2866" s="44" t="s">
        <v>4519</v>
      </c>
      <c r="I2866" s="62" t="s">
        <v>1517</v>
      </c>
      <c r="J2866" s="44" t="s">
        <v>519</v>
      </c>
      <c r="K2866" s="44" t="s">
        <v>519</v>
      </c>
      <c r="L2866" s="44" t="s">
        <v>552</v>
      </c>
      <c r="M2866" s="44" t="s">
        <v>514</v>
      </c>
      <c r="N2866" s="44" t="s">
        <v>515</v>
      </c>
      <c r="O2866" s="45" t="s">
        <v>382</v>
      </c>
      <c r="P2866" s="45" t="s">
        <v>3760</v>
      </c>
      <c r="Q2866" s="59" t="str">
        <f>MID(Tabla1[[#This Row],[Aplicación]],14,1)</f>
        <v>2</v>
      </c>
      <c r="R2866" s="35" t="s">
        <v>298</v>
      </c>
      <c r="S2866" s="59" t="str">
        <f>MID(Tabla1[[#This Row],[Aplicación]],6,2)</f>
        <v>06</v>
      </c>
      <c r="T2866" s="35" t="str">
        <f>VLOOKUP(Tabla1[[#This Row],[AREA]],Hoja1!A:B,2,FALSE)</f>
        <v>06. Educación, infancia, juventud e igualdad</v>
      </c>
      <c r="U2866" s="56" t="str">
        <f>MID(Tabla1[[#This Row],[Aplicación]],9,4)</f>
        <v>3231</v>
      </c>
      <c r="V2866" s="35" t="str">
        <f>VLOOKUP(Tabla1[[#This Row],[PROGRAMA]],Hoja1!A:B,2,FALSE)</f>
        <v>3231. Escuelas infantiles</v>
      </c>
      <c r="W2866" s="56" t="str">
        <f>MID(Tabla1[[#This Row],[Aplicación]],14,2)</f>
        <v>21</v>
      </c>
      <c r="X2866" s="56" t="str">
        <f>MID(Tabla1[[#This Row],[Aplicación]],14,6)</f>
        <v>212</v>
      </c>
    </row>
    <row r="2867" spans="1:24" x14ac:dyDescent="0.25">
      <c r="A2867" s="62">
        <v>220230013641</v>
      </c>
      <c r="B2867" s="44" t="s">
        <v>507</v>
      </c>
      <c r="C2867" s="64">
        <v>45026</v>
      </c>
      <c r="D2867" s="62">
        <v>22023003079</v>
      </c>
      <c r="E2867" s="44" t="s">
        <v>1341</v>
      </c>
      <c r="F2867" s="65">
        <v>2420</v>
      </c>
      <c r="G2867" s="44" t="s">
        <v>1835</v>
      </c>
      <c r="H2867" s="44" t="s">
        <v>3339</v>
      </c>
      <c r="I2867" s="62" t="s">
        <v>2168</v>
      </c>
      <c r="J2867" s="44" t="s">
        <v>731</v>
      </c>
      <c r="K2867" s="44" t="s">
        <v>519</v>
      </c>
      <c r="L2867" s="44" t="s">
        <v>520</v>
      </c>
      <c r="M2867" s="44" t="s">
        <v>514</v>
      </c>
      <c r="N2867" s="44" t="s">
        <v>515</v>
      </c>
      <c r="O2867" s="45" t="s">
        <v>382</v>
      </c>
      <c r="P2867" s="45" t="s">
        <v>3760</v>
      </c>
      <c r="Q2867" s="59" t="str">
        <f>MID(Tabla1[[#This Row],[Aplicación]],14,1)</f>
        <v>2</v>
      </c>
      <c r="R2867" s="35" t="s">
        <v>298</v>
      </c>
      <c r="S2867" s="59" t="str">
        <f>MID(Tabla1[[#This Row],[Aplicación]],6,2)</f>
        <v>05</v>
      </c>
      <c r="T2867" s="35" t="str">
        <f>VLOOKUP(Tabla1[[#This Row],[AREA]],Hoja1!A:B,2,FALSE)</f>
        <v>05. Innovación, desarrollo económico, empleo y comercio</v>
      </c>
      <c r="U2867" s="56" t="str">
        <f>MID(Tabla1[[#This Row],[Aplicación]],9,4)</f>
        <v>4331</v>
      </c>
      <c r="V2867" s="35" t="str">
        <f>VLOOKUP(Tabla1[[#This Row],[PROGRAMA]],Hoja1!A:B,2,FALSE)</f>
        <v>4331. Desarrollo empresarial</v>
      </c>
      <c r="W2867" s="56" t="str">
        <f>MID(Tabla1[[#This Row],[Aplicación]],14,2)</f>
        <v>22</v>
      </c>
      <c r="X2867" s="56" t="str">
        <f>MID(Tabla1[[#This Row],[Aplicación]],14,6)</f>
        <v>22602</v>
      </c>
    </row>
    <row r="2868" spans="1:24" x14ac:dyDescent="0.25">
      <c r="A2868" s="62">
        <v>220230015944</v>
      </c>
      <c r="B2868" s="44" t="s">
        <v>507</v>
      </c>
      <c r="C2868" s="64">
        <v>45042</v>
      </c>
      <c r="D2868" s="62">
        <v>22023003915</v>
      </c>
      <c r="E2868" s="44" t="s">
        <v>616</v>
      </c>
      <c r="F2868" s="65">
        <v>787.3</v>
      </c>
      <c r="G2868" s="44" t="s">
        <v>592</v>
      </c>
      <c r="H2868" s="44" t="s">
        <v>4472</v>
      </c>
      <c r="I2868" s="62" t="s">
        <v>511</v>
      </c>
      <c r="J2868" s="44" t="s">
        <v>519</v>
      </c>
      <c r="K2868" s="44" t="s">
        <v>519</v>
      </c>
      <c r="L2868" s="44" t="s">
        <v>520</v>
      </c>
      <c r="M2868" s="44" t="s">
        <v>514</v>
      </c>
      <c r="N2868" s="44" t="s">
        <v>515</v>
      </c>
      <c r="O2868" s="45" t="s">
        <v>371</v>
      </c>
      <c r="P2868" s="45" t="s">
        <v>3760</v>
      </c>
      <c r="Q2868" s="59" t="str">
        <f>MID(Tabla1[[#This Row],[Aplicación]],14,1)</f>
        <v>2</v>
      </c>
      <c r="R2868" s="35" t="s">
        <v>298</v>
      </c>
      <c r="S2868" s="59" t="str">
        <f>MID(Tabla1[[#This Row],[Aplicación]],6,2)</f>
        <v>10</v>
      </c>
      <c r="T2868" s="35" t="str">
        <f>VLOOKUP(Tabla1[[#This Row],[AREA]],Hoja1!A:B,2,FALSE)</f>
        <v>10. Servicios sociales y mediación comunitaria</v>
      </c>
      <c r="U2868" s="56" t="str">
        <f>MID(Tabla1[[#This Row],[Aplicación]],9,4)</f>
        <v>2412</v>
      </c>
      <c r="V2868" s="35" t="str">
        <f>VLOOKUP(Tabla1[[#This Row],[PROGRAMA]],Hoja1!A:B,2,FALSE)</f>
        <v>2412. Formación para el empleo</v>
      </c>
      <c r="W2868" s="56" t="str">
        <f>MID(Tabla1[[#This Row],[Aplicación]],14,2)</f>
        <v>21</v>
      </c>
      <c r="X2868" s="56" t="str">
        <f>MID(Tabla1[[#This Row],[Aplicación]],14,6)</f>
        <v>213</v>
      </c>
    </row>
    <row r="2869" spans="1:24" x14ac:dyDescent="0.25">
      <c r="A2869" s="62">
        <v>220230016057</v>
      </c>
      <c r="B2869" s="44" t="s">
        <v>1514</v>
      </c>
      <c r="C2869" s="64">
        <v>45043</v>
      </c>
      <c r="D2869" s="62">
        <v>22023001607</v>
      </c>
      <c r="E2869" s="44" t="s">
        <v>1603</v>
      </c>
      <c r="F2869" s="65">
        <v>1130.32</v>
      </c>
      <c r="G2869" s="44" t="s">
        <v>97</v>
      </c>
      <c r="H2869" s="44" t="s">
        <v>4520</v>
      </c>
      <c r="I2869" s="62" t="s">
        <v>1517</v>
      </c>
      <c r="J2869" s="44" t="s">
        <v>519</v>
      </c>
      <c r="K2869" s="44" t="s">
        <v>519</v>
      </c>
      <c r="L2869" s="44" t="s">
        <v>552</v>
      </c>
      <c r="M2869" s="44" t="s">
        <v>514</v>
      </c>
      <c r="N2869" s="44" t="s">
        <v>515</v>
      </c>
      <c r="O2869" s="45" t="s">
        <v>382</v>
      </c>
      <c r="P2869" s="45" t="s">
        <v>3760</v>
      </c>
      <c r="Q2869" s="59" t="str">
        <f>MID(Tabla1[[#This Row],[Aplicación]],14,1)</f>
        <v>2</v>
      </c>
      <c r="R2869" s="35" t="s">
        <v>298</v>
      </c>
      <c r="S2869" s="59" t="str">
        <f>MID(Tabla1[[#This Row],[Aplicación]],6,2)</f>
        <v>08</v>
      </c>
      <c r="T2869" s="35" t="str">
        <f>VLOOKUP(Tabla1[[#This Row],[AREA]],Hoja1!A:B,2,FALSE)</f>
        <v>08. Movilidad y espacio urbano</v>
      </c>
      <c r="U2869" s="56" t="str">
        <f>MID(Tabla1[[#This Row],[Aplicación]],9,4)</f>
        <v>1532</v>
      </c>
      <c r="V2869" s="35" t="str">
        <f>VLOOKUP(Tabla1[[#This Row],[PROGRAMA]],Hoja1!A:B,2,FALSE)</f>
        <v>1532. Pavimentación vias públicas y otros servicios urbanísticos</v>
      </c>
      <c r="W2869" s="56" t="str">
        <f>MID(Tabla1[[#This Row],[Aplicación]],14,2)</f>
        <v>21</v>
      </c>
      <c r="X2869" s="56" t="str">
        <f>MID(Tabla1[[#This Row],[Aplicación]],14,6)</f>
        <v>210</v>
      </c>
    </row>
    <row r="2870" spans="1:24" x14ac:dyDescent="0.25">
      <c r="A2870" s="62">
        <v>220230016103</v>
      </c>
      <c r="B2870" s="44" t="s">
        <v>1514</v>
      </c>
      <c r="C2870" s="64">
        <v>45043</v>
      </c>
      <c r="D2870" s="62">
        <v>22023001462</v>
      </c>
      <c r="E2870" s="44" t="s">
        <v>1290</v>
      </c>
      <c r="F2870" s="65">
        <v>1.19</v>
      </c>
      <c r="G2870" s="44" t="s">
        <v>97</v>
      </c>
      <c r="H2870" s="44" t="s">
        <v>4521</v>
      </c>
      <c r="I2870" s="62" t="s">
        <v>1517</v>
      </c>
      <c r="J2870" s="44" t="s">
        <v>519</v>
      </c>
      <c r="K2870" s="44" t="s">
        <v>519</v>
      </c>
      <c r="L2870" s="44" t="s">
        <v>552</v>
      </c>
      <c r="M2870" s="44" t="s">
        <v>514</v>
      </c>
      <c r="N2870" s="44" t="s">
        <v>515</v>
      </c>
      <c r="O2870" s="45" t="s">
        <v>382</v>
      </c>
      <c r="P2870" s="45" t="s">
        <v>3760</v>
      </c>
      <c r="Q2870" s="59" t="str">
        <f>MID(Tabla1[[#This Row],[Aplicación]],14,1)</f>
        <v>2</v>
      </c>
      <c r="R2870" s="35" t="s">
        <v>298</v>
      </c>
      <c r="S2870" s="59" t="str">
        <f>MID(Tabla1[[#This Row],[Aplicación]],6,2)</f>
        <v>11</v>
      </c>
      <c r="T2870" s="35" t="str">
        <f>VLOOKUP(Tabla1[[#This Row],[AREA]],Hoja1!A:B,2,FALSE)</f>
        <v>11. Salud pública y seguridad ciudadana</v>
      </c>
      <c r="U2870" s="56" t="str">
        <f>MID(Tabla1[[#This Row],[Aplicación]],9,4)</f>
        <v>1621</v>
      </c>
      <c r="V2870" s="35" t="str">
        <f>VLOOKUP(Tabla1[[#This Row],[PROGRAMA]],Hoja1!A:B,2,FALSE)</f>
        <v>1621. Servicio de limpieza</v>
      </c>
      <c r="W2870" s="56" t="str">
        <f>MID(Tabla1[[#This Row],[Aplicación]],14,2)</f>
        <v>21</v>
      </c>
      <c r="X2870" s="56" t="str">
        <f>MID(Tabla1[[#This Row],[Aplicación]],14,6)</f>
        <v>214</v>
      </c>
    </row>
    <row r="2871" spans="1:24" x14ac:dyDescent="0.25">
      <c r="A2871" s="62">
        <v>220230016195</v>
      </c>
      <c r="B2871" s="44" t="s">
        <v>1514</v>
      </c>
      <c r="C2871" s="64">
        <v>45043</v>
      </c>
      <c r="D2871" s="62">
        <v>22023002181</v>
      </c>
      <c r="E2871" s="44" t="s">
        <v>1305</v>
      </c>
      <c r="F2871" s="65">
        <v>19.489999999999998</v>
      </c>
      <c r="G2871" s="44" t="s">
        <v>97</v>
      </c>
      <c r="H2871" s="44" t="s">
        <v>4522</v>
      </c>
      <c r="I2871" s="62" t="s">
        <v>1517</v>
      </c>
      <c r="J2871" s="44" t="s">
        <v>519</v>
      </c>
      <c r="K2871" s="44" t="s">
        <v>519</v>
      </c>
      <c r="L2871" s="44" t="s">
        <v>552</v>
      </c>
      <c r="M2871" s="44" t="s">
        <v>514</v>
      </c>
      <c r="N2871" s="44" t="s">
        <v>515</v>
      </c>
      <c r="O2871" s="45" t="s">
        <v>382</v>
      </c>
      <c r="P2871" s="45" t="s">
        <v>3760</v>
      </c>
      <c r="Q2871" s="59" t="str">
        <f>MID(Tabla1[[#This Row],[Aplicación]],14,1)</f>
        <v>2</v>
      </c>
      <c r="R2871" s="35" t="s">
        <v>298</v>
      </c>
      <c r="S2871" s="59" t="str">
        <f>MID(Tabla1[[#This Row],[Aplicación]],6,2)</f>
        <v>06</v>
      </c>
      <c r="T2871" s="35" t="str">
        <f>VLOOKUP(Tabla1[[#This Row],[AREA]],Hoja1!A:B,2,FALSE)</f>
        <v>06. Educación, infancia, juventud e igualdad</v>
      </c>
      <c r="U2871" s="56" t="str">
        <f>MID(Tabla1[[#This Row],[Aplicación]],9,4)</f>
        <v>3232</v>
      </c>
      <c r="V2871" s="35" t="str">
        <f>VLOOKUP(Tabla1[[#This Row],[PROGRAMA]],Hoja1!A:B,2,FALSE)</f>
        <v>3232. Conservación y mantenimiento centros educación infantil y primaria</v>
      </c>
      <c r="W2871" s="56" t="str">
        <f>MID(Tabla1[[#This Row],[Aplicación]],14,2)</f>
        <v>21</v>
      </c>
      <c r="X2871" s="56" t="str">
        <f>MID(Tabla1[[#This Row],[Aplicación]],14,6)</f>
        <v>212</v>
      </c>
    </row>
    <row r="2872" spans="1:24" x14ac:dyDescent="0.25">
      <c r="A2872" s="62">
        <v>220230016258</v>
      </c>
      <c r="B2872" s="44" t="s">
        <v>1514</v>
      </c>
      <c r="C2872" s="64">
        <v>45043</v>
      </c>
      <c r="D2872" s="62">
        <v>22023001608</v>
      </c>
      <c r="E2872" s="44" t="s">
        <v>1728</v>
      </c>
      <c r="F2872" s="65">
        <v>639.84</v>
      </c>
      <c r="G2872" s="44" t="s">
        <v>97</v>
      </c>
      <c r="H2872" s="44" t="s">
        <v>4523</v>
      </c>
      <c r="I2872" s="62" t="s">
        <v>1517</v>
      </c>
      <c r="J2872" s="44" t="s">
        <v>519</v>
      </c>
      <c r="K2872" s="44" t="s">
        <v>519</v>
      </c>
      <c r="L2872" s="44" t="s">
        <v>520</v>
      </c>
      <c r="M2872" s="44" t="s">
        <v>514</v>
      </c>
      <c r="N2872" s="44" t="s">
        <v>515</v>
      </c>
      <c r="O2872" s="45" t="s">
        <v>382</v>
      </c>
      <c r="P2872" s="45" t="s">
        <v>3760</v>
      </c>
      <c r="Q2872" s="59" t="str">
        <f>MID(Tabla1[[#This Row],[Aplicación]],14,1)</f>
        <v>2</v>
      </c>
      <c r="R2872" s="35" t="s">
        <v>298</v>
      </c>
      <c r="S2872" s="59" t="str">
        <f>MID(Tabla1[[#This Row],[Aplicación]],6,2)</f>
        <v>08</v>
      </c>
      <c r="T2872" s="35" t="str">
        <f>VLOOKUP(Tabla1[[#This Row],[AREA]],Hoja1!A:B,2,FALSE)</f>
        <v>08. Movilidad y espacio urbano</v>
      </c>
      <c r="U2872" s="56" t="str">
        <f>MID(Tabla1[[#This Row],[Aplicación]],9,4)</f>
        <v>1532</v>
      </c>
      <c r="V2872" s="35" t="str">
        <f>VLOOKUP(Tabla1[[#This Row],[PROGRAMA]],Hoja1!A:B,2,FALSE)</f>
        <v>1532. Pavimentación vias públicas y otros servicios urbanísticos</v>
      </c>
      <c r="W2872" s="56" t="str">
        <f>MID(Tabla1[[#This Row],[Aplicación]],14,2)</f>
        <v>21</v>
      </c>
      <c r="X2872" s="56" t="str">
        <f>MID(Tabla1[[#This Row],[Aplicación]],14,6)</f>
        <v>214</v>
      </c>
    </row>
    <row r="2873" spans="1:24" x14ac:dyDescent="0.25">
      <c r="A2873" s="62">
        <v>220230016260</v>
      </c>
      <c r="B2873" s="44" t="s">
        <v>1514</v>
      </c>
      <c r="C2873" s="64">
        <v>45043</v>
      </c>
      <c r="D2873" s="62">
        <v>22023001608</v>
      </c>
      <c r="E2873" s="44" t="s">
        <v>1728</v>
      </c>
      <c r="F2873" s="65">
        <v>26.85</v>
      </c>
      <c r="G2873" s="44" t="s">
        <v>97</v>
      </c>
      <c r="H2873" s="44" t="s">
        <v>4524</v>
      </c>
      <c r="I2873" s="62" t="s">
        <v>1517</v>
      </c>
      <c r="J2873" s="44" t="s">
        <v>519</v>
      </c>
      <c r="K2873" s="44" t="s">
        <v>519</v>
      </c>
      <c r="L2873" s="44" t="s">
        <v>520</v>
      </c>
      <c r="M2873" s="44" t="s">
        <v>514</v>
      </c>
      <c r="N2873" s="44" t="s">
        <v>515</v>
      </c>
      <c r="O2873" s="45" t="s">
        <v>382</v>
      </c>
      <c r="P2873" s="45" t="s">
        <v>3760</v>
      </c>
      <c r="Q2873" s="59" t="str">
        <f>MID(Tabla1[[#This Row],[Aplicación]],14,1)</f>
        <v>2</v>
      </c>
      <c r="R2873" s="35" t="s">
        <v>298</v>
      </c>
      <c r="S2873" s="59" t="str">
        <f>MID(Tabla1[[#This Row],[Aplicación]],6,2)</f>
        <v>08</v>
      </c>
      <c r="T2873" s="35" t="str">
        <f>VLOOKUP(Tabla1[[#This Row],[AREA]],Hoja1!A:B,2,FALSE)</f>
        <v>08. Movilidad y espacio urbano</v>
      </c>
      <c r="U2873" s="56" t="str">
        <f>MID(Tabla1[[#This Row],[Aplicación]],9,4)</f>
        <v>1532</v>
      </c>
      <c r="V2873" s="35" t="str">
        <f>VLOOKUP(Tabla1[[#This Row],[PROGRAMA]],Hoja1!A:B,2,FALSE)</f>
        <v>1532. Pavimentación vias públicas y otros servicios urbanísticos</v>
      </c>
      <c r="W2873" s="56" t="str">
        <f>MID(Tabla1[[#This Row],[Aplicación]],14,2)</f>
        <v>21</v>
      </c>
      <c r="X2873" s="56" t="str">
        <f>MID(Tabla1[[#This Row],[Aplicación]],14,6)</f>
        <v>214</v>
      </c>
    </row>
    <row r="2874" spans="1:24" x14ac:dyDescent="0.25">
      <c r="A2874" s="62">
        <v>220230016262</v>
      </c>
      <c r="B2874" s="44" t="s">
        <v>1514</v>
      </c>
      <c r="C2874" s="64">
        <v>45043</v>
      </c>
      <c r="D2874" s="62">
        <v>22023001608</v>
      </c>
      <c r="E2874" s="44" t="s">
        <v>1728</v>
      </c>
      <c r="F2874" s="65">
        <v>51.23</v>
      </c>
      <c r="G2874" s="44" t="s">
        <v>97</v>
      </c>
      <c r="H2874" s="44" t="s">
        <v>4525</v>
      </c>
      <c r="I2874" s="62" t="s">
        <v>1517</v>
      </c>
      <c r="J2874" s="44" t="s">
        <v>519</v>
      </c>
      <c r="K2874" s="44" t="s">
        <v>519</v>
      </c>
      <c r="L2874" s="44" t="s">
        <v>520</v>
      </c>
      <c r="M2874" s="44" t="s">
        <v>514</v>
      </c>
      <c r="N2874" s="44" t="s">
        <v>515</v>
      </c>
      <c r="O2874" s="45" t="s">
        <v>382</v>
      </c>
      <c r="P2874" s="45" t="s">
        <v>3760</v>
      </c>
      <c r="Q2874" s="59" t="str">
        <f>MID(Tabla1[[#This Row],[Aplicación]],14,1)</f>
        <v>2</v>
      </c>
      <c r="R2874" s="35" t="s">
        <v>298</v>
      </c>
      <c r="S2874" s="59" t="str">
        <f>MID(Tabla1[[#This Row],[Aplicación]],6,2)</f>
        <v>08</v>
      </c>
      <c r="T2874" s="35" t="str">
        <f>VLOOKUP(Tabla1[[#This Row],[AREA]],Hoja1!A:B,2,FALSE)</f>
        <v>08. Movilidad y espacio urbano</v>
      </c>
      <c r="U2874" s="56" t="str">
        <f>MID(Tabla1[[#This Row],[Aplicación]],9,4)</f>
        <v>1532</v>
      </c>
      <c r="V2874" s="35" t="str">
        <f>VLOOKUP(Tabla1[[#This Row],[PROGRAMA]],Hoja1!A:B,2,FALSE)</f>
        <v>1532. Pavimentación vias públicas y otros servicios urbanísticos</v>
      </c>
      <c r="W2874" s="56" t="str">
        <f>MID(Tabla1[[#This Row],[Aplicación]],14,2)</f>
        <v>21</v>
      </c>
      <c r="X2874" s="56" t="str">
        <f>MID(Tabla1[[#This Row],[Aplicación]],14,6)</f>
        <v>214</v>
      </c>
    </row>
    <row r="2875" spans="1:24" x14ac:dyDescent="0.25">
      <c r="A2875" s="62">
        <v>220230018797</v>
      </c>
      <c r="B2875" s="44" t="s">
        <v>1514</v>
      </c>
      <c r="C2875" s="64">
        <v>45055</v>
      </c>
      <c r="D2875" s="62">
        <v>22023002310</v>
      </c>
      <c r="E2875" s="44" t="s">
        <v>709</v>
      </c>
      <c r="F2875" s="65">
        <v>147573.65</v>
      </c>
      <c r="G2875" s="44" t="s">
        <v>3764</v>
      </c>
      <c r="H2875" s="44" t="s">
        <v>4526</v>
      </c>
      <c r="I2875" s="62" t="s">
        <v>1517</v>
      </c>
      <c r="J2875" s="44" t="s">
        <v>512</v>
      </c>
      <c r="K2875" s="44" t="s">
        <v>512</v>
      </c>
      <c r="L2875" s="44" t="s">
        <v>520</v>
      </c>
      <c r="M2875" s="44" t="s">
        <v>514</v>
      </c>
      <c r="N2875" s="44" t="s">
        <v>515</v>
      </c>
      <c r="O2875" s="45" t="s">
        <v>371</v>
      </c>
      <c r="P2875" s="45" t="s">
        <v>3760</v>
      </c>
      <c r="Q2875" s="59" t="str">
        <f>MID(Tabla1[[#This Row],[Aplicación]],14,1)</f>
        <v>2</v>
      </c>
      <c r="R2875" s="35" t="s">
        <v>298</v>
      </c>
      <c r="S2875" s="59" t="str">
        <f>MID(Tabla1[[#This Row],[Aplicación]],6,2)</f>
        <v>07</v>
      </c>
      <c r="T2875" s="35" t="str">
        <f>VLOOKUP(Tabla1[[#This Row],[AREA]],Hoja1!A:B,2,FALSE)</f>
        <v>07. Medio ambiente y desarrollo sostenible</v>
      </c>
      <c r="U2875" s="56" t="str">
        <f>MID(Tabla1[[#This Row],[Aplicación]],9,4)</f>
        <v>1711</v>
      </c>
      <c r="V2875" s="35" t="str">
        <f>VLOOKUP(Tabla1[[#This Row],[PROGRAMA]],Hoja1!A:B,2,FALSE)</f>
        <v>1711. Parques y jardines</v>
      </c>
      <c r="W2875" s="56" t="str">
        <f>MID(Tabla1[[#This Row],[Aplicación]],14,2)</f>
        <v>22</v>
      </c>
      <c r="X2875" s="56" t="str">
        <f>MID(Tabla1[[#This Row],[Aplicación]],14,6)</f>
        <v>22799</v>
      </c>
    </row>
    <row r="2876" spans="1:24" x14ac:dyDescent="0.25">
      <c r="A2876" s="62">
        <v>220230020538</v>
      </c>
      <c r="B2876" s="44" t="s">
        <v>507</v>
      </c>
      <c r="C2876" s="64">
        <v>45058</v>
      </c>
      <c r="D2876" s="62">
        <v>22023004428</v>
      </c>
      <c r="E2876" s="44" t="s">
        <v>1303</v>
      </c>
      <c r="F2876" s="65">
        <v>274.43</v>
      </c>
      <c r="G2876" s="44" t="s">
        <v>4495</v>
      </c>
      <c r="H2876" s="44" t="s">
        <v>4527</v>
      </c>
      <c r="I2876" s="62" t="s">
        <v>511</v>
      </c>
      <c r="J2876" s="44" t="s">
        <v>519</v>
      </c>
      <c r="K2876" s="44" t="s">
        <v>519</v>
      </c>
      <c r="L2876" s="44" t="s">
        <v>552</v>
      </c>
      <c r="M2876" s="44" t="s">
        <v>976</v>
      </c>
      <c r="N2876" s="44" t="s">
        <v>839</v>
      </c>
      <c r="O2876" s="45" t="s">
        <v>383</v>
      </c>
      <c r="P2876" s="45" t="s">
        <v>3760</v>
      </c>
      <c r="Q2876" s="59" t="str">
        <f>MID(Tabla1[[#This Row],[Aplicación]],14,1)</f>
        <v>2</v>
      </c>
      <c r="R2876" s="35" t="s">
        <v>298</v>
      </c>
      <c r="S2876" s="59" t="str">
        <f>MID(Tabla1[[#This Row],[Aplicación]],6,2)</f>
        <v>11</v>
      </c>
      <c r="T2876" s="35" t="str">
        <f>VLOOKUP(Tabla1[[#This Row],[AREA]],Hoja1!A:B,2,FALSE)</f>
        <v>11. Salud pública y seguridad ciudadana</v>
      </c>
      <c r="U2876" s="56" t="str">
        <f>MID(Tabla1[[#This Row],[Aplicación]],9,4)</f>
        <v>1321</v>
      </c>
      <c r="V2876" s="35" t="str">
        <f>VLOOKUP(Tabla1[[#This Row],[PROGRAMA]],Hoja1!A:B,2,FALSE)</f>
        <v>1321. Policía municipal</v>
      </c>
      <c r="W2876" s="56" t="str">
        <f>MID(Tabla1[[#This Row],[Aplicación]],14,2)</f>
        <v>22</v>
      </c>
      <c r="X2876" s="56" t="str">
        <f>MID(Tabla1[[#This Row],[Aplicación]],14,6)</f>
        <v>22699</v>
      </c>
    </row>
    <row r="2877" spans="1:24" x14ac:dyDescent="0.25">
      <c r="A2877" s="62">
        <v>220230016807</v>
      </c>
      <c r="B2877" s="44" t="s">
        <v>507</v>
      </c>
      <c r="C2877" s="64">
        <v>45044</v>
      </c>
      <c r="D2877" s="62">
        <v>22023003209</v>
      </c>
      <c r="E2877" s="44" t="s">
        <v>2555</v>
      </c>
      <c r="F2877" s="65">
        <v>47000</v>
      </c>
      <c r="G2877" s="44" t="s">
        <v>2556</v>
      </c>
      <c r="H2877" s="44" t="s">
        <v>4528</v>
      </c>
      <c r="I2877" s="62" t="s">
        <v>511</v>
      </c>
      <c r="J2877" s="44" t="s">
        <v>1487</v>
      </c>
      <c r="K2877" s="44" t="s">
        <v>519</v>
      </c>
      <c r="L2877" s="44" t="s">
        <v>520</v>
      </c>
      <c r="M2877" s="44" t="s">
        <v>514</v>
      </c>
      <c r="N2877" s="44" t="s">
        <v>515</v>
      </c>
      <c r="O2877" s="45" t="s">
        <v>371</v>
      </c>
      <c r="P2877" s="45" t="s">
        <v>3760</v>
      </c>
      <c r="Q2877" s="59" t="str">
        <f>MID(Tabla1[[#This Row],[Aplicación]],14,1)</f>
        <v>2</v>
      </c>
      <c r="R2877" s="35" t="s">
        <v>298</v>
      </c>
      <c r="S2877" s="59" t="str">
        <f>MID(Tabla1[[#This Row],[Aplicación]],6,2)</f>
        <v>06</v>
      </c>
      <c r="T2877" s="35" t="str">
        <f>VLOOKUP(Tabla1[[#This Row],[AREA]],Hoja1!A:B,2,FALSE)</f>
        <v>06. Educación, infancia, juventud e igualdad</v>
      </c>
      <c r="U2877" s="56" t="str">
        <f>MID(Tabla1[[#This Row],[Aplicación]],9,4)</f>
        <v>2315</v>
      </c>
      <c r="V2877" s="35" t="str">
        <f>VLOOKUP(Tabla1[[#This Row],[PROGRAMA]],Hoja1!A:B,2,FALSE)</f>
        <v>2315. Políticas de Igualdad e infancia</v>
      </c>
      <c r="W2877" s="56" t="str">
        <f>MID(Tabla1[[#This Row],[Aplicación]],14,2)</f>
        <v>22</v>
      </c>
      <c r="X2877" s="56" t="str">
        <f>MID(Tabla1[[#This Row],[Aplicación]],14,6)</f>
        <v>22619</v>
      </c>
    </row>
    <row r="2878" spans="1:24" x14ac:dyDescent="0.25">
      <c r="A2878" s="62">
        <v>220230015975</v>
      </c>
      <c r="B2878" s="44" t="s">
        <v>507</v>
      </c>
      <c r="C2878" s="64">
        <v>45042</v>
      </c>
      <c r="D2878" s="62">
        <v>22023004062</v>
      </c>
      <c r="E2878" s="44" t="s">
        <v>1191</v>
      </c>
      <c r="F2878" s="65">
        <v>484</v>
      </c>
      <c r="G2878" s="44" t="s">
        <v>418</v>
      </c>
      <c r="H2878" s="44" t="s">
        <v>4529</v>
      </c>
      <c r="I2878" s="62" t="s">
        <v>511</v>
      </c>
      <c r="J2878" s="44" t="s">
        <v>519</v>
      </c>
      <c r="K2878" s="44" t="s">
        <v>519</v>
      </c>
      <c r="L2878" s="44" t="s">
        <v>520</v>
      </c>
      <c r="M2878" s="44" t="s">
        <v>976</v>
      </c>
      <c r="N2878" s="44" t="s">
        <v>839</v>
      </c>
      <c r="O2878" s="45" t="s">
        <v>383</v>
      </c>
      <c r="P2878" s="45" t="s">
        <v>3760</v>
      </c>
      <c r="Q2878" s="59" t="str">
        <f>MID(Tabla1[[#This Row],[Aplicación]],14,1)</f>
        <v>2</v>
      </c>
      <c r="R2878" s="35" t="s">
        <v>298</v>
      </c>
      <c r="S2878" s="59" t="str">
        <f>MID(Tabla1[[#This Row],[Aplicación]],6,2)</f>
        <v>06</v>
      </c>
      <c r="T2878" s="35" t="str">
        <f>VLOOKUP(Tabla1[[#This Row],[AREA]],Hoja1!A:B,2,FALSE)</f>
        <v>06. Educación, infancia, juventud e igualdad</v>
      </c>
      <c r="U2878" s="56" t="str">
        <f>MID(Tabla1[[#This Row],[Aplicación]],9,4)</f>
        <v>2315</v>
      </c>
      <c r="V2878" s="35" t="str">
        <f>VLOOKUP(Tabla1[[#This Row],[PROGRAMA]],Hoja1!A:B,2,FALSE)</f>
        <v>2315. Políticas de Igualdad e infancia</v>
      </c>
      <c r="W2878" s="56" t="str">
        <f>MID(Tabla1[[#This Row],[Aplicación]],14,2)</f>
        <v>22</v>
      </c>
      <c r="X2878" s="56" t="str">
        <f>MID(Tabla1[[#This Row],[Aplicación]],14,6)</f>
        <v>22611</v>
      </c>
    </row>
    <row r="2879" spans="1:24" x14ac:dyDescent="0.25">
      <c r="A2879" s="62">
        <v>220230013637</v>
      </c>
      <c r="B2879" s="44" t="s">
        <v>507</v>
      </c>
      <c r="C2879" s="64">
        <v>45026</v>
      </c>
      <c r="D2879" s="62">
        <v>22023003755</v>
      </c>
      <c r="E2879" s="44" t="s">
        <v>4000</v>
      </c>
      <c r="F2879" s="65">
        <v>720</v>
      </c>
      <c r="G2879" s="44" t="s">
        <v>1835</v>
      </c>
      <c r="H2879" s="44" t="s">
        <v>4530</v>
      </c>
      <c r="I2879" s="62" t="s">
        <v>511</v>
      </c>
      <c r="J2879" s="44" t="s">
        <v>731</v>
      </c>
      <c r="K2879" s="44" t="s">
        <v>519</v>
      </c>
      <c r="L2879" s="44" t="s">
        <v>520</v>
      </c>
      <c r="M2879" s="44" t="s">
        <v>514</v>
      </c>
      <c r="N2879" s="44" t="s">
        <v>515</v>
      </c>
      <c r="O2879" s="45" t="s">
        <v>382</v>
      </c>
      <c r="P2879" s="45" t="s">
        <v>3760</v>
      </c>
      <c r="Q2879" s="59" t="str">
        <f>MID(Tabla1[[#This Row],[Aplicación]],14,1)</f>
        <v>2</v>
      </c>
      <c r="R2879" s="35" t="s">
        <v>298</v>
      </c>
      <c r="S2879" s="59" t="str">
        <f>MID(Tabla1[[#This Row],[Aplicación]],6,2)</f>
        <v>04</v>
      </c>
      <c r="T2879" s="35" t="str">
        <f>VLOOKUP(Tabla1[[#This Row],[AREA]],Hoja1!A:B,2,FALSE)</f>
        <v>04. Planificación y recursos</v>
      </c>
      <c r="U2879" s="56" t="str">
        <f>MID(Tabla1[[#This Row],[Aplicación]],9,4)</f>
        <v>9231</v>
      </c>
      <c r="V2879" s="35" t="str">
        <f>VLOOKUP(Tabla1[[#This Row],[PROGRAMA]],Hoja1!A:B,2,FALSE)</f>
        <v>9231. Información, registro y gestión del padrón</v>
      </c>
      <c r="W2879" s="56" t="str">
        <f>MID(Tabla1[[#This Row],[Aplicación]],14,2)</f>
        <v>22</v>
      </c>
      <c r="X2879" s="56" t="str">
        <f>MID(Tabla1[[#This Row],[Aplicación]],14,6)</f>
        <v>22705</v>
      </c>
    </row>
    <row r="2880" spans="1:24" x14ac:dyDescent="0.25">
      <c r="A2880" s="62">
        <v>220230024864</v>
      </c>
      <c r="B2880" s="44" t="s">
        <v>507</v>
      </c>
      <c r="C2880" s="64">
        <v>45070</v>
      </c>
      <c r="D2880" s="62">
        <v>22023004666</v>
      </c>
      <c r="E2880" s="44" t="s">
        <v>1479</v>
      </c>
      <c r="F2880" s="65">
        <v>300</v>
      </c>
      <c r="G2880" s="44" t="s">
        <v>418</v>
      </c>
      <c r="H2880" s="44" t="s">
        <v>4531</v>
      </c>
      <c r="I2880" s="62" t="s">
        <v>511</v>
      </c>
      <c r="J2880" s="44" t="s">
        <v>519</v>
      </c>
      <c r="K2880" s="44" t="s">
        <v>519</v>
      </c>
      <c r="L2880" s="44" t="s">
        <v>520</v>
      </c>
      <c r="M2880" s="44" t="s">
        <v>976</v>
      </c>
      <c r="N2880" s="44" t="s">
        <v>839</v>
      </c>
      <c r="O2880" s="45" t="s">
        <v>383</v>
      </c>
      <c r="P2880" s="45" t="s">
        <v>3760</v>
      </c>
      <c r="Q2880" s="59" t="str">
        <f>MID(Tabla1[[#This Row],[Aplicación]],14,1)</f>
        <v>2</v>
      </c>
      <c r="R2880" s="35" t="s">
        <v>298</v>
      </c>
      <c r="S2880" s="59" t="str">
        <f>MID(Tabla1[[#This Row],[Aplicación]],6,2)</f>
        <v>03</v>
      </c>
      <c r="T2880" s="35" t="str">
        <f>VLOOKUP(Tabla1[[#This Row],[AREA]],Hoja1!A:B,2,FALSE)</f>
        <v>03. Participación ciudadana y deportes</v>
      </c>
      <c r="U2880" s="56" t="str">
        <f>MID(Tabla1[[#This Row],[Aplicación]],9,4)</f>
        <v>9241</v>
      </c>
      <c r="V2880" s="35" t="str">
        <f>VLOOKUP(Tabla1[[#This Row],[PROGRAMA]],Hoja1!A:B,2,FALSE)</f>
        <v>9241. Participación ciudadana</v>
      </c>
      <c r="W2880" s="56" t="str">
        <f>MID(Tabla1[[#This Row],[Aplicación]],14,2)</f>
        <v>22</v>
      </c>
      <c r="X2880" s="56" t="str">
        <f>MID(Tabla1[[#This Row],[Aplicación]],14,6)</f>
        <v>22609</v>
      </c>
    </row>
    <row r="2881" spans="1:24" x14ac:dyDescent="0.25">
      <c r="A2881" s="62">
        <v>220230013380</v>
      </c>
      <c r="B2881" s="44" t="s">
        <v>507</v>
      </c>
      <c r="C2881" s="64">
        <v>45020</v>
      </c>
      <c r="D2881" s="62">
        <v>22023003664</v>
      </c>
      <c r="E2881" s="44" t="s">
        <v>1234</v>
      </c>
      <c r="F2881" s="65">
        <v>1000</v>
      </c>
      <c r="G2881" s="44" t="s">
        <v>500</v>
      </c>
      <c r="H2881" s="44" t="s">
        <v>4532</v>
      </c>
      <c r="I2881" s="62" t="s">
        <v>511</v>
      </c>
      <c r="J2881" s="44" t="s">
        <v>519</v>
      </c>
      <c r="K2881" s="44" t="s">
        <v>519</v>
      </c>
      <c r="L2881" s="44" t="s">
        <v>520</v>
      </c>
      <c r="M2881" s="44" t="s">
        <v>976</v>
      </c>
      <c r="N2881" s="44" t="s">
        <v>839</v>
      </c>
      <c r="O2881" s="45" t="s">
        <v>383</v>
      </c>
      <c r="P2881" s="45" t="s">
        <v>3760</v>
      </c>
      <c r="Q2881" s="59" t="str">
        <f>MID(Tabla1[[#This Row],[Aplicación]],14,1)</f>
        <v>2</v>
      </c>
      <c r="R2881" s="35" t="s">
        <v>298</v>
      </c>
      <c r="S2881" s="59" t="str">
        <f>MID(Tabla1[[#This Row],[Aplicación]],6,2)</f>
        <v>10</v>
      </c>
      <c r="T2881" s="35" t="str">
        <f>VLOOKUP(Tabla1[[#This Row],[AREA]],Hoja1!A:B,2,FALSE)</f>
        <v>10. Servicios sociales y mediación comunitaria</v>
      </c>
      <c r="U2881" s="56" t="str">
        <f>MID(Tabla1[[#This Row],[Aplicación]],9,4)</f>
        <v>2316</v>
      </c>
      <c r="V2881" s="35" t="str">
        <f>VLOOKUP(Tabla1[[#This Row],[PROGRAMA]],Hoja1!A:B,2,FALSE)</f>
        <v>2316. Mediación comunitaria</v>
      </c>
      <c r="W2881" s="56" t="str">
        <f>MID(Tabla1[[#This Row],[Aplicación]],14,2)</f>
        <v>22</v>
      </c>
      <c r="X2881" s="56" t="str">
        <f>MID(Tabla1[[#This Row],[Aplicación]],14,6)</f>
        <v>22616</v>
      </c>
    </row>
    <row r="2882" spans="1:24" x14ac:dyDescent="0.25">
      <c r="A2882" s="62">
        <v>220230013744</v>
      </c>
      <c r="B2882" s="44" t="s">
        <v>507</v>
      </c>
      <c r="C2882" s="64">
        <v>45027</v>
      </c>
      <c r="D2882" s="62">
        <v>22023003796</v>
      </c>
      <c r="E2882" s="44" t="s">
        <v>1479</v>
      </c>
      <c r="F2882" s="65">
        <v>605</v>
      </c>
      <c r="G2882" s="44" t="s">
        <v>500</v>
      </c>
      <c r="H2882" s="44" t="s">
        <v>2949</v>
      </c>
      <c r="I2882" s="62" t="s">
        <v>511</v>
      </c>
      <c r="J2882" s="44" t="s">
        <v>519</v>
      </c>
      <c r="K2882" s="44" t="s">
        <v>519</v>
      </c>
      <c r="L2882" s="44" t="s">
        <v>520</v>
      </c>
      <c r="M2882" s="44" t="s">
        <v>976</v>
      </c>
      <c r="N2882" s="44" t="s">
        <v>839</v>
      </c>
      <c r="O2882" s="45" t="s">
        <v>383</v>
      </c>
      <c r="P2882" s="45" t="s">
        <v>3760</v>
      </c>
      <c r="Q2882" s="59" t="str">
        <f>MID(Tabla1[[#This Row],[Aplicación]],14,1)</f>
        <v>2</v>
      </c>
      <c r="R2882" s="35" t="s">
        <v>298</v>
      </c>
      <c r="S2882" s="59" t="str">
        <f>MID(Tabla1[[#This Row],[Aplicación]],6,2)</f>
        <v>03</v>
      </c>
      <c r="T2882" s="35" t="str">
        <f>VLOOKUP(Tabla1[[#This Row],[AREA]],Hoja1!A:B,2,FALSE)</f>
        <v>03. Participación ciudadana y deportes</v>
      </c>
      <c r="U2882" s="56" t="str">
        <f>MID(Tabla1[[#This Row],[Aplicación]],9,4)</f>
        <v>9241</v>
      </c>
      <c r="V2882" s="35" t="str">
        <f>VLOOKUP(Tabla1[[#This Row],[PROGRAMA]],Hoja1!A:B,2,FALSE)</f>
        <v>9241. Participación ciudadana</v>
      </c>
      <c r="W2882" s="56" t="str">
        <f>MID(Tabla1[[#This Row],[Aplicación]],14,2)</f>
        <v>22</v>
      </c>
      <c r="X2882" s="56" t="str">
        <f>MID(Tabla1[[#This Row],[Aplicación]],14,6)</f>
        <v>22609</v>
      </c>
    </row>
    <row r="2883" spans="1:24" x14ac:dyDescent="0.25">
      <c r="A2883" s="62">
        <v>220230018164</v>
      </c>
      <c r="B2883" s="44" t="s">
        <v>507</v>
      </c>
      <c r="C2883" s="64">
        <v>45054</v>
      </c>
      <c r="D2883" s="62">
        <v>22023003664</v>
      </c>
      <c r="E2883" s="44" t="s">
        <v>1234</v>
      </c>
      <c r="F2883" s="65">
        <v>500</v>
      </c>
      <c r="G2883" s="44" t="s">
        <v>500</v>
      </c>
      <c r="H2883" s="44" t="s">
        <v>4533</v>
      </c>
      <c r="I2883" s="62" t="s">
        <v>511</v>
      </c>
      <c r="J2883" s="44" t="s">
        <v>519</v>
      </c>
      <c r="K2883" s="44" t="s">
        <v>519</v>
      </c>
      <c r="L2883" s="44" t="s">
        <v>520</v>
      </c>
      <c r="M2883" s="44" t="s">
        <v>976</v>
      </c>
      <c r="N2883" s="44" t="s">
        <v>839</v>
      </c>
      <c r="O2883" s="45" t="s">
        <v>383</v>
      </c>
      <c r="P2883" s="45" t="s">
        <v>3760</v>
      </c>
      <c r="Q2883" s="59" t="str">
        <f>MID(Tabla1[[#This Row],[Aplicación]],14,1)</f>
        <v>2</v>
      </c>
      <c r="R2883" s="35" t="s">
        <v>298</v>
      </c>
      <c r="S2883" s="59" t="str">
        <f>MID(Tabla1[[#This Row],[Aplicación]],6,2)</f>
        <v>10</v>
      </c>
      <c r="T2883" s="35" t="str">
        <f>VLOOKUP(Tabla1[[#This Row],[AREA]],Hoja1!A:B,2,FALSE)</f>
        <v>10. Servicios sociales y mediación comunitaria</v>
      </c>
      <c r="U2883" s="56" t="str">
        <f>MID(Tabla1[[#This Row],[Aplicación]],9,4)</f>
        <v>2316</v>
      </c>
      <c r="V2883" s="35" t="str">
        <f>VLOOKUP(Tabla1[[#This Row],[PROGRAMA]],Hoja1!A:B,2,FALSE)</f>
        <v>2316. Mediación comunitaria</v>
      </c>
      <c r="W2883" s="56" t="str">
        <f>MID(Tabla1[[#This Row],[Aplicación]],14,2)</f>
        <v>22</v>
      </c>
      <c r="X2883" s="56" t="str">
        <f>MID(Tabla1[[#This Row],[Aplicación]],14,6)</f>
        <v>22616</v>
      </c>
    </row>
    <row r="2884" spans="1:24" x14ac:dyDescent="0.25">
      <c r="A2884" s="62">
        <v>220230018174</v>
      </c>
      <c r="B2884" s="44" t="s">
        <v>507</v>
      </c>
      <c r="C2884" s="64">
        <v>45054</v>
      </c>
      <c r="D2884" s="62">
        <v>22023004309</v>
      </c>
      <c r="E2884" s="44" t="s">
        <v>1403</v>
      </c>
      <c r="F2884" s="65">
        <v>324.16000000000003</v>
      </c>
      <c r="G2884" s="44" t="s">
        <v>4534</v>
      </c>
      <c r="H2884" s="44" t="s">
        <v>4535</v>
      </c>
      <c r="I2884" s="62" t="s">
        <v>511</v>
      </c>
      <c r="J2884" s="44" t="s">
        <v>545</v>
      </c>
      <c r="K2884" s="44" t="s">
        <v>545</v>
      </c>
      <c r="L2884" s="44" t="s">
        <v>520</v>
      </c>
      <c r="M2884" s="44" t="s">
        <v>976</v>
      </c>
      <c r="N2884" s="44" t="s">
        <v>839</v>
      </c>
      <c r="O2884" s="45" t="s">
        <v>383</v>
      </c>
      <c r="P2884" s="45" t="s">
        <v>3760</v>
      </c>
      <c r="Q2884" s="59" t="str">
        <f>MID(Tabla1[[#This Row],[Aplicación]],14,1)</f>
        <v>2</v>
      </c>
      <c r="R2884" s="35" t="s">
        <v>298</v>
      </c>
      <c r="S2884" s="59" t="str">
        <f>MID(Tabla1[[#This Row],[Aplicación]],6,2)</f>
        <v>07</v>
      </c>
      <c r="T2884" s="35" t="str">
        <f>VLOOKUP(Tabla1[[#This Row],[AREA]],Hoja1!A:B,2,FALSE)</f>
        <v>07. Medio ambiente y desarrollo sostenible</v>
      </c>
      <c r="U2884" s="56" t="str">
        <f>MID(Tabla1[[#This Row],[Aplicación]],9,4)</f>
        <v>1721</v>
      </c>
      <c r="V2884" s="35" t="str">
        <f>VLOOKUP(Tabla1[[#This Row],[PROGRAMA]],Hoja1!A:B,2,FALSE)</f>
        <v>1721. Protección del medio ambiente</v>
      </c>
      <c r="W2884" s="56" t="str">
        <f>MID(Tabla1[[#This Row],[Aplicación]],14,2)</f>
        <v>21</v>
      </c>
      <c r="X2884" s="56" t="str">
        <f>MID(Tabla1[[#This Row],[Aplicación]],14,6)</f>
        <v>213</v>
      </c>
    </row>
    <row r="2885" spans="1:24" x14ac:dyDescent="0.25">
      <c r="A2885" s="62">
        <v>220230015952</v>
      </c>
      <c r="B2885" s="44" t="s">
        <v>507</v>
      </c>
      <c r="C2885" s="64">
        <v>45042</v>
      </c>
      <c r="D2885" s="62">
        <v>22023003946</v>
      </c>
      <c r="E2885" s="44" t="s">
        <v>1260</v>
      </c>
      <c r="F2885" s="65">
        <v>983.25</v>
      </c>
      <c r="G2885" s="44" t="s">
        <v>112</v>
      </c>
      <c r="H2885" s="44" t="s">
        <v>4536</v>
      </c>
      <c r="I2885" s="62" t="s">
        <v>511</v>
      </c>
      <c r="J2885" s="44" t="s">
        <v>519</v>
      </c>
      <c r="K2885" s="44" t="s">
        <v>519</v>
      </c>
      <c r="L2885" s="44" t="s">
        <v>552</v>
      </c>
      <c r="M2885" s="44" t="s">
        <v>976</v>
      </c>
      <c r="N2885" s="44" t="s">
        <v>839</v>
      </c>
      <c r="O2885" s="45" t="s">
        <v>383</v>
      </c>
      <c r="P2885" s="45" t="s">
        <v>3760</v>
      </c>
      <c r="Q2885" s="59" t="str">
        <f>MID(Tabla1[[#This Row],[Aplicación]],14,1)</f>
        <v>2</v>
      </c>
      <c r="R2885" s="35" t="s">
        <v>298</v>
      </c>
      <c r="S2885" s="59" t="str">
        <f>MID(Tabla1[[#This Row],[Aplicación]],6,2)</f>
        <v>03</v>
      </c>
      <c r="T2885" s="35" t="str">
        <f>VLOOKUP(Tabla1[[#This Row],[AREA]],Hoja1!A:B,2,FALSE)</f>
        <v>03. Participación ciudadana y deportes</v>
      </c>
      <c r="U2885" s="56" t="str">
        <f>MID(Tabla1[[#This Row],[Aplicación]],9,4)</f>
        <v>9241</v>
      </c>
      <c r="V2885" s="35" t="str">
        <f>VLOOKUP(Tabla1[[#This Row],[PROGRAMA]],Hoja1!A:B,2,FALSE)</f>
        <v>9241. Participación ciudadana</v>
      </c>
      <c r="W2885" s="56" t="str">
        <f>MID(Tabla1[[#This Row],[Aplicación]],14,2)</f>
        <v>22</v>
      </c>
      <c r="X2885" s="56" t="str">
        <f>MID(Tabla1[[#This Row],[Aplicación]],14,6)</f>
        <v>22602</v>
      </c>
    </row>
    <row r="2886" spans="1:24" x14ac:dyDescent="0.25">
      <c r="A2886" s="62">
        <v>220230020470</v>
      </c>
      <c r="B2886" s="44" t="s">
        <v>507</v>
      </c>
      <c r="C2886" s="64">
        <v>45057</v>
      </c>
      <c r="D2886" s="62">
        <v>22023004095</v>
      </c>
      <c r="E2886" s="44" t="s">
        <v>1191</v>
      </c>
      <c r="F2886" s="65">
        <v>840</v>
      </c>
      <c r="G2886" s="44" t="s">
        <v>112</v>
      </c>
      <c r="H2886" s="44" t="s">
        <v>4537</v>
      </c>
      <c r="I2886" s="62" t="s">
        <v>511</v>
      </c>
      <c r="J2886" s="44" t="s">
        <v>519</v>
      </c>
      <c r="K2886" s="44" t="s">
        <v>519</v>
      </c>
      <c r="L2886" s="44" t="s">
        <v>552</v>
      </c>
      <c r="M2886" s="44" t="s">
        <v>976</v>
      </c>
      <c r="N2886" s="44" t="s">
        <v>839</v>
      </c>
      <c r="O2886" s="45" t="s">
        <v>383</v>
      </c>
      <c r="P2886" s="45" t="s">
        <v>3760</v>
      </c>
      <c r="Q2886" s="59" t="str">
        <f>MID(Tabla1[[#This Row],[Aplicación]],14,1)</f>
        <v>2</v>
      </c>
      <c r="R2886" s="35" t="s">
        <v>298</v>
      </c>
      <c r="S2886" s="59" t="str">
        <f>MID(Tabla1[[#This Row],[Aplicación]],6,2)</f>
        <v>06</v>
      </c>
      <c r="T2886" s="35" t="str">
        <f>VLOOKUP(Tabla1[[#This Row],[AREA]],Hoja1!A:B,2,FALSE)</f>
        <v>06. Educación, infancia, juventud e igualdad</v>
      </c>
      <c r="U2886" s="56" t="str">
        <f>MID(Tabla1[[#This Row],[Aplicación]],9,4)</f>
        <v>2315</v>
      </c>
      <c r="V2886" s="35" t="str">
        <f>VLOOKUP(Tabla1[[#This Row],[PROGRAMA]],Hoja1!A:B,2,FALSE)</f>
        <v>2315. Políticas de Igualdad e infancia</v>
      </c>
      <c r="W2886" s="56" t="str">
        <f>MID(Tabla1[[#This Row],[Aplicación]],14,2)</f>
        <v>22</v>
      </c>
      <c r="X2886" s="56" t="str">
        <f>MID(Tabla1[[#This Row],[Aplicación]],14,6)</f>
        <v>22611</v>
      </c>
    </row>
    <row r="2887" spans="1:24" x14ac:dyDescent="0.25">
      <c r="A2887" s="62">
        <v>220230016002</v>
      </c>
      <c r="B2887" s="44" t="s">
        <v>507</v>
      </c>
      <c r="C2887" s="64">
        <v>45042</v>
      </c>
      <c r="D2887" s="62">
        <v>22023004095</v>
      </c>
      <c r="E2887" s="44" t="s">
        <v>1191</v>
      </c>
      <c r="F2887" s="65">
        <v>391</v>
      </c>
      <c r="G2887" s="44" t="s">
        <v>112</v>
      </c>
      <c r="H2887" s="44" t="s">
        <v>4538</v>
      </c>
      <c r="I2887" s="62" t="s">
        <v>511</v>
      </c>
      <c r="J2887" s="44" t="s">
        <v>519</v>
      </c>
      <c r="K2887" s="44" t="s">
        <v>519</v>
      </c>
      <c r="L2887" s="44" t="s">
        <v>552</v>
      </c>
      <c r="M2887" s="44" t="s">
        <v>976</v>
      </c>
      <c r="N2887" s="44" t="s">
        <v>839</v>
      </c>
      <c r="O2887" s="45" t="s">
        <v>383</v>
      </c>
      <c r="P2887" s="45" t="s">
        <v>3760</v>
      </c>
      <c r="Q2887" s="59" t="str">
        <f>MID(Tabla1[[#This Row],[Aplicación]],14,1)</f>
        <v>2</v>
      </c>
      <c r="R2887" s="35" t="s">
        <v>298</v>
      </c>
      <c r="S2887" s="59" t="str">
        <f>MID(Tabla1[[#This Row],[Aplicación]],6,2)</f>
        <v>06</v>
      </c>
      <c r="T2887" s="35" t="str">
        <f>VLOOKUP(Tabla1[[#This Row],[AREA]],Hoja1!A:B,2,FALSE)</f>
        <v>06. Educación, infancia, juventud e igualdad</v>
      </c>
      <c r="U2887" s="56" t="str">
        <f>MID(Tabla1[[#This Row],[Aplicación]],9,4)</f>
        <v>2315</v>
      </c>
      <c r="V2887" s="35" t="str">
        <f>VLOOKUP(Tabla1[[#This Row],[PROGRAMA]],Hoja1!A:B,2,FALSE)</f>
        <v>2315. Políticas de Igualdad e infancia</v>
      </c>
      <c r="W2887" s="56" t="str">
        <f>MID(Tabla1[[#This Row],[Aplicación]],14,2)</f>
        <v>22</v>
      </c>
      <c r="X2887" s="56" t="str">
        <f>MID(Tabla1[[#This Row],[Aplicación]],14,6)</f>
        <v>22611</v>
      </c>
    </row>
    <row r="2888" spans="1:24" x14ac:dyDescent="0.25">
      <c r="A2888" s="62">
        <v>220230015096</v>
      </c>
      <c r="B2888" s="44" t="s">
        <v>507</v>
      </c>
      <c r="C2888" s="64">
        <v>45041</v>
      </c>
      <c r="D2888" s="62">
        <v>22023003854</v>
      </c>
      <c r="E2888" s="44" t="s">
        <v>2053</v>
      </c>
      <c r="F2888" s="65">
        <v>259.18</v>
      </c>
      <c r="G2888" s="44" t="s">
        <v>112</v>
      </c>
      <c r="H2888" s="44" t="s">
        <v>4539</v>
      </c>
      <c r="I2888" s="62" t="s">
        <v>511</v>
      </c>
      <c r="J2888" s="44" t="s">
        <v>519</v>
      </c>
      <c r="K2888" s="44" t="s">
        <v>519</v>
      </c>
      <c r="L2888" s="44" t="s">
        <v>520</v>
      </c>
      <c r="M2888" s="44" t="s">
        <v>976</v>
      </c>
      <c r="N2888" s="44" t="s">
        <v>839</v>
      </c>
      <c r="O2888" s="45" t="s">
        <v>383</v>
      </c>
      <c r="P2888" s="45" t="s">
        <v>3760</v>
      </c>
      <c r="Q2888" s="59" t="str">
        <f>MID(Tabla1[[#This Row],[Aplicación]],14,1)</f>
        <v>2</v>
      </c>
      <c r="R2888" s="35" t="s">
        <v>298</v>
      </c>
      <c r="S2888" s="59" t="str">
        <f>MID(Tabla1[[#This Row],[Aplicación]],6,2)</f>
        <v>08</v>
      </c>
      <c r="T2888" s="35" t="str">
        <f>VLOOKUP(Tabla1[[#This Row],[AREA]],Hoja1!A:B,2,FALSE)</f>
        <v>08. Movilidad y espacio urbano</v>
      </c>
      <c r="U2888" s="56" t="str">
        <f>MID(Tabla1[[#This Row],[Aplicación]],9,4)</f>
        <v>1301</v>
      </c>
      <c r="V2888" s="35" t="str">
        <f>VLOOKUP(Tabla1[[#This Row],[PROGRAMA]],Hoja1!A:B,2,FALSE)</f>
        <v>1301. Dirección del área de seguridad</v>
      </c>
      <c r="W2888" s="56" t="str">
        <f>MID(Tabla1[[#This Row],[Aplicación]],14,2)</f>
        <v>22</v>
      </c>
      <c r="X2888" s="56" t="str">
        <f>MID(Tabla1[[#This Row],[Aplicación]],14,6)</f>
        <v>22706</v>
      </c>
    </row>
    <row r="2889" spans="1:24" x14ac:dyDescent="0.25">
      <c r="A2889" s="62">
        <v>220230013735</v>
      </c>
      <c r="B2889" s="44" t="s">
        <v>507</v>
      </c>
      <c r="C2889" s="64">
        <v>45027</v>
      </c>
      <c r="D2889" s="62">
        <v>22023003778</v>
      </c>
      <c r="E2889" s="44" t="s">
        <v>1234</v>
      </c>
      <c r="F2889" s="65">
        <v>255</v>
      </c>
      <c r="G2889" s="44" t="s">
        <v>112</v>
      </c>
      <c r="H2889" s="44" t="s">
        <v>4540</v>
      </c>
      <c r="I2889" s="62" t="s">
        <v>511</v>
      </c>
      <c r="J2889" s="44" t="s">
        <v>519</v>
      </c>
      <c r="K2889" s="44" t="s">
        <v>519</v>
      </c>
      <c r="L2889" s="44" t="s">
        <v>552</v>
      </c>
      <c r="M2889" s="44" t="s">
        <v>976</v>
      </c>
      <c r="N2889" s="44" t="s">
        <v>839</v>
      </c>
      <c r="O2889" s="45" t="s">
        <v>383</v>
      </c>
      <c r="P2889" s="45" t="s">
        <v>3760</v>
      </c>
      <c r="Q2889" s="59" t="str">
        <f>MID(Tabla1[[#This Row],[Aplicación]],14,1)</f>
        <v>2</v>
      </c>
      <c r="R2889" s="35" t="s">
        <v>298</v>
      </c>
      <c r="S2889" s="59" t="str">
        <f>MID(Tabla1[[#This Row],[Aplicación]],6,2)</f>
        <v>10</v>
      </c>
      <c r="T2889" s="35" t="str">
        <f>VLOOKUP(Tabla1[[#This Row],[AREA]],Hoja1!A:B,2,FALSE)</f>
        <v>10. Servicios sociales y mediación comunitaria</v>
      </c>
      <c r="U2889" s="56" t="str">
        <f>MID(Tabla1[[#This Row],[Aplicación]],9,4)</f>
        <v>2316</v>
      </c>
      <c r="V2889" s="35" t="str">
        <f>VLOOKUP(Tabla1[[#This Row],[PROGRAMA]],Hoja1!A:B,2,FALSE)</f>
        <v>2316. Mediación comunitaria</v>
      </c>
      <c r="W2889" s="56" t="str">
        <f>MID(Tabla1[[#This Row],[Aplicación]],14,2)</f>
        <v>22</v>
      </c>
      <c r="X2889" s="56" t="str">
        <f>MID(Tabla1[[#This Row],[Aplicación]],14,6)</f>
        <v>22616</v>
      </c>
    </row>
    <row r="2890" spans="1:24" x14ac:dyDescent="0.25">
      <c r="A2890" s="62">
        <v>220230016003</v>
      </c>
      <c r="B2890" s="44" t="s">
        <v>507</v>
      </c>
      <c r="C2890" s="64">
        <v>45042</v>
      </c>
      <c r="D2890" s="62">
        <v>22023004101</v>
      </c>
      <c r="E2890" s="44" t="s">
        <v>1490</v>
      </c>
      <c r="F2890" s="65">
        <v>221.43</v>
      </c>
      <c r="G2890" s="44" t="s">
        <v>112</v>
      </c>
      <c r="H2890" s="44" t="s">
        <v>4541</v>
      </c>
      <c r="I2890" s="62" t="s">
        <v>511</v>
      </c>
      <c r="J2890" s="44" t="s">
        <v>519</v>
      </c>
      <c r="K2890" s="44" t="s">
        <v>519</v>
      </c>
      <c r="L2890" s="44" t="s">
        <v>552</v>
      </c>
      <c r="M2890" s="44" t="s">
        <v>976</v>
      </c>
      <c r="N2890" s="44" t="s">
        <v>839</v>
      </c>
      <c r="O2890" s="45" t="s">
        <v>383</v>
      </c>
      <c r="P2890" s="45" t="s">
        <v>3760</v>
      </c>
      <c r="Q2890" s="59" t="str">
        <f>MID(Tabla1[[#This Row],[Aplicación]],14,1)</f>
        <v>2</v>
      </c>
      <c r="R2890" s="35" t="s">
        <v>298</v>
      </c>
      <c r="S2890" s="59" t="str">
        <f>MID(Tabla1[[#This Row],[Aplicación]],6,2)</f>
        <v>06</v>
      </c>
      <c r="T2890" s="35" t="str">
        <f>VLOOKUP(Tabla1[[#This Row],[AREA]],Hoja1!A:B,2,FALSE)</f>
        <v>06. Educación, infancia, juventud e igualdad</v>
      </c>
      <c r="U2890" s="56" t="str">
        <f>MID(Tabla1[[#This Row],[Aplicación]],9,4)</f>
        <v>2314</v>
      </c>
      <c r="V2890" s="35" t="str">
        <f>VLOOKUP(Tabla1[[#This Row],[PROGRAMA]],Hoja1!A:B,2,FALSE)</f>
        <v>2314. Centro de programas juveniles</v>
      </c>
      <c r="W2890" s="56" t="str">
        <f>MID(Tabla1[[#This Row],[Aplicación]],14,2)</f>
        <v>22</v>
      </c>
      <c r="X2890" s="56" t="str">
        <f>MID(Tabla1[[#This Row],[Aplicación]],14,6)</f>
        <v>22613</v>
      </c>
    </row>
    <row r="2891" spans="1:24" x14ac:dyDescent="0.25">
      <c r="A2891" s="62">
        <v>220230016853</v>
      </c>
      <c r="B2891" s="44" t="s">
        <v>507</v>
      </c>
      <c r="C2891" s="64">
        <v>45048</v>
      </c>
      <c r="D2891" s="62">
        <v>22023004193</v>
      </c>
      <c r="E2891" s="44" t="s">
        <v>1907</v>
      </c>
      <c r="F2891" s="65">
        <v>180</v>
      </c>
      <c r="G2891" s="44" t="s">
        <v>112</v>
      </c>
      <c r="H2891" s="44" t="s">
        <v>4542</v>
      </c>
      <c r="I2891" s="62" t="s">
        <v>511</v>
      </c>
      <c r="J2891" s="44" t="s">
        <v>519</v>
      </c>
      <c r="K2891" s="44" t="s">
        <v>519</v>
      </c>
      <c r="L2891" s="44" t="s">
        <v>520</v>
      </c>
      <c r="M2891" s="44" t="s">
        <v>976</v>
      </c>
      <c r="N2891" s="44" t="s">
        <v>839</v>
      </c>
      <c r="O2891" s="45" t="s">
        <v>383</v>
      </c>
      <c r="P2891" s="45" t="s">
        <v>3760</v>
      </c>
      <c r="Q2891" s="59" t="str">
        <f>MID(Tabla1[[#This Row],[Aplicación]],14,1)</f>
        <v>2</v>
      </c>
      <c r="R2891" s="35" t="s">
        <v>298</v>
      </c>
      <c r="S2891" s="59" t="str">
        <f>MID(Tabla1[[#This Row],[Aplicación]],6,2)</f>
        <v>10</v>
      </c>
      <c r="T2891" s="35" t="str">
        <f>VLOOKUP(Tabla1[[#This Row],[AREA]],Hoja1!A:B,2,FALSE)</f>
        <v>10. Servicios sociales y mediación comunitaria</v>
      </c>
      <c r="U2891" s="56" t="str">
        <f>MID(Tabla1[[#This Row],[Aplicación]],9,4)</f>
        <v>2313</v>
      </c>
      <c r="V2891" s="35" t="str">
        <f>VLOOKUP(Tabla1[[#This Row],[PROGRAMA]],Hoja1!A:B,2,FALSE)</f>
        <v>2313. Dirección del área de servicios sociales</v>
      </c>
      <c r="W2891" s="56" t="str">
        <f>MID(Tabla1[[#This Row],[Aplicación]],14,2)</f>
        <v>22</v>
      </c>
      <c r="X2891" s="56" t="str">
        <f>MID(Tabla1[[#This Row],[Aplicación]],14,6)</f>
        <v>22699</v>
      </c>
    </row>
    <row r="2892" spans="1:24" x14ac:dyDescent="0.25">
      <c r="A2892" s="62">
        <v>220230015104</v>
      </c>
      <c r="B2892" s="44" t="s">
        <v>507</v>
      </c>
      <c r="C2892" s="64">
        <v>45041</v>
      </c>
      <c r="D2892" s="62">
        <v>22023003842</v>
      </c>
      <c r="E2892" s="44" t="s">
        <v>4385</v>
      </c>
      <c r="F2892" s="65">
        <v>14.57</v>
      </c>
      <c r="G2892" s="44" t="s">
        <v>2432</v>
      </c>
      <c r="H2892" s="44" t="s">
        <v>4543</v>
      </c>
      <c r="I2892" s="62" t="s">
        <v>511</v>
      </c>
      <c r="J2892" s="44" t="s">
        <v>519</v>
      </c>
      <c r="K2892" s="44" t="s">
        <v>519</v>
      </c>
      <c r="L2892" s="44" t="s">
        <v>552</v>
      </c>
      <c r="M2892" s="44" t="s">
        <v>514</v>
      </c>
      <c r="N2892" s="44" t="s">
        <v>515</v>
      </c>
      <c r="O2892" s="45" t="s">
        <v>382</v>
      </c>
      <c r="P2892" s="45" t="s">
        <v>3760</v>
      </c>
      <c r="Q2892" s="59" t="str">
        <f>MID(Tabla1[[#This Row],[Aplicación]],14,1)</f>
        <v>2</v>
      </c>
      <c r="R2892" s="35" t="s">
        <v>298</v>
      </c>
      <c r="S2892" s="59" t="str">
        <f>MID(Tabla1[[#This Row],[Aplicación]],6,2)</f>
        <v>01</v>
      </c>
      <c r="T2892" s="35" t="str">
        <f>VLOOKUP(Tabla1[[#This Row],[AREA]],Hoja1!A:B,2,FALSE)</f>
        <v>01. Alcaldía</v>
      </c>
      <c r="U2892" s="56" t="str">
        <f>MID(Tabla1[[#This Row],[Aplicación]],9,4)</f>
        <v>9206</v>
      </c>
      <c r="V2892" s="35" t="str">
        <f>VLOOKUP(Tabla1[[#This Row],[PROGRAMA]],Hoja1!A:B,2,FALSE)</f>
        <v>9206. Archivo municipal</v>
      </c>
      <c r="W2892" s="56" t="str">
        <f>MID(Tabla1[[#This Row],[Aplicación]],14,2)</f>
        <v>22</v>
      </c>
      <c r="X2892" s="56" t="str">
        <f>MID(Tabla1[[#This Row],[Aplicación]],14,6)</f>
        <v>22199</v>
      </c>
    </row>
    <row r="2893" spans="1:24" x14ac:dyDescent="0.25">
      <c r="A2893" s="62">
        <v>220230020801</v>
      </c>
      <c r="B2893" s="44" t="s">
        <v>507</v>
      </c>
      <c r="C2893" s="64">
        <v>45062</v>
      </c>
      <c r="D2893" s="62">
        <v>22023004513</v>
      </c>
      <c r="E2893" s="44" t="s">
        <v>1191</v>
      </c>
      <c r="F2893" s="65">
        <v>165</v>
      </c>
      <c r="G2893" s="44" t="s">
        <v>112</v>
      </c>
      <c r="H2893" s="44" t="s">
        <v>4544</v>
      </c>
      <c r="I2893" s="62" t="s">
        <v>511</v>
      </c>
      <c r="J2893" s="44" t="s">
        <v>519</v>
      </c>
      <c r="K2893" s="44" t="s">
        <v>519</v>
      </c>
      <c r="L2893" s="44" t="s">
        <v>552</v>
      </c>
      <c r="M2893" s="44" t="s">
        <v>976</v>
      </c>
      <c r="N2893" s="44" t="s">
        <v>839</v>
      </c>
      <c r="O2893" s="45" t="s">
        <v>383</v>
      </c>
      <c r="P2893" s="45" t="s">
        <v>3760</v>
      </c>
      <c r="Q2893" s="59" t="str">
        <f>MID(Tabla1[[#This Row],[Aplicación]],14,1)</f>
        <v>2</v>
      </c>
      <c r="R2893" s="35" t="s">
        <v>298</v>
      </c>
      <c r="S2893" s="59" t="str">
        <f>MID(Tabla1[[#This Row],[Aplicación]],6,2)</f>
        <v>06</v>
      </c>
      <c r="T2893" s="35" t="str">
        <f>VLOOKUP(Tabla1[[#This Row],[AREA]],Hoja1!A:B,2,FALSE)</f>
        <v>06. Educación, infancia, juventud e igualdad</v>
      </c>
      <c r="U2893" s="56" t="str">
        <f>MID(Tabla1[[#This Row],[Aplicación]],9,4)</f>
        <v>2315</v>
      </c>
      <c r="V2893" s="35" t="str">
        <f>VLOOKUP(Tabla1[[#This Row],[PROGRAMA]],Hoja1!A:B,2,FALSE)</f>
        <v>2315. Políticas de Igualdad e infancia</v>
      </c>
      <c r="W2893" s="56" t="str">
        <f>MID(Tabla1[[#This Row],[Aplicación]],14,2)</f>
        <v>22</v>
      </c>
      <c r="X2893" s="56" t="str">
        <f>MID(Tabla1[[#This Row],[Aplicación]],14,6)</f>
        <v>22611</v>
      </c>
    </row>
    <row r="2894" spans="1:24" x14ac:dyDescent="0.25">
      <c r="A2894" s="62">
        <v>220230025389</v>
      </c>
      <c r="B2894" s="44" t="s">
        <v>507</v>
      </c>
      <c r="C2894" s="64">
        <v>45072</v>
      </c>
      <c r="D2894" s="62">
        <v>22023004679</v>
      </c>
      <c r="E2894" s="44" t="s">
        <v>1191</v>
      </c>
      <c r="F2894" s="65">
        <v>87</v>
      </c>
      <c r="G2894" s="44" t="s">
        <v>112</v>
      </c>
      <c r="H2894" s="44" t="s">
        <v>4545</v>
      </c>
      <c r="I2894" s="62" t="s">
        <v>511</v>
      </c>
      <c r="J2894" s="44" t="s">
        <v>519</v>
      </c>
      <c r="K2894" s="44" t="s">
        <v>519</v>
      </c>
      <c r="L2894" s="44" t="s">
        <v>520</v>
      </c>
      <c r="M2894" s="44" t="s">
        <v>976</v>
      </c>
      <c r="N2894" s="44" t="s">
        <v>839</v>
      </c>
      <c r="O2894" s="45" t="s">
        <v>383</v>
      </c>
      <c r="P2894" s="45" t="s">
        <v>3760</v>
      </c>
      <c r="Q2894" s="59" t="str">
        <f>MID(Tabla1[[#This Row],[Aplicación]],14,1)</f>
        <v>2</v>
      </c>
      <c r="R2894" s="35" t="s">
        <v>298</v>
      </c>
      <c r="S2894" s="59" t="str">
        <f>MID(Tabla1[[#This Row],[Aplicación]],6,2)</f>
        <v>06</v>
      </c>
      <c r="T2894" s="35" t="str">
        <f>VLOOKUP(Tabla1[[#This Row],[AREA]],Hoja1!A:B,2,FALSE)</f>
        <v>06. Educación, infancia, juventud e igualdad</v>
      </c>
      <c r="U2894" s="56" t="str">
        <f>MID(Tabla1[[#This Row],[Aplicación]],9,4)</f>
        <v>2315</v>
      </c>
      <c r="V2894" s="35" t="str">
        <f>VLOOKUP(Tabla1[[#This Row],[PROGRAMA]],Hoja1!A:B,2,FALSE)</f>
        <v>2315. Políticas de Igualdad e infancia</v>
      </c>
      <c r="W2894" s="56" t="str">
        <f>MID(Tabla1[[#This Row],[Aplicación]],14,2)</f>
        <v>22</v>
      </c>
      <c r="X2894" s="56" t="str">
        <f>MID(Tabla1[[#This Row],[Aplicación]],14,6)</f>
        <v>22611</v>
      </c>
    </row>
    <row r="2895" spans="1:24" x14ac:dyDescent="0.25">
      <c r="A2895" s="62">
        <v>220230015944</v>
      </c>
      <c r="B2895" s="44" t="s">
        <v>507</v>
      </c>
      <c r="C2895" s="64">
        <v>45042</v>
      </c>
      <c r="D2895" s="62">
        <v>22023003914</v>
      </c>
      <c r="E2895" s="44" t="s">
        <v>616</v>
      </c>
      <c r="F2895" s="65">
        <v>553.57000000000005</v>
      </c>
      <c r="G2895" s="44" t="s">
        <v>592</v>
      </c>
      <c r="H2895" s="44" t="s">
        <v>4472</v>
      </c>
      <c r="I2895" s="62" t="s">
        <v>511</v>
      </c>
      <c r="J2895" s="44" t="s">
        <v>519</v>
      </c>
      <c r="K2895" s="44" t="s">
        <v>519</v>
      </c>
      <c r="L2895" s="44" t="s">
        <v>520</v>
      </c>
      <c r="M2895" s="44" t="s">
        <v>514</v>
      </c>
      <c r="N2895" s="44" t="s">
        <v>515</v>
      </c>
      <c r="O2895" s="45" t="s">
        <v>371</v>
      </c>
      <c r="P2895" s="45" t="s">
        <v>3760</v>
      </c>
      <c r="Q2895" s="59" t="str">
        <f>MID(Tabla1[[#This Row],[Aplicación]],14,1)</f>
        <v>2</v>
      </c>
      <c r="R2895" s="35" t="s">
        <v>298</v>
      </c>
      <c r="S2895" s="59" t="str">
        <f>MID(Tabla1[[#This Row],[Aplicación]],6,2)</f>
        <v>10</v>
      </c>
      <c r="T2895" s="35" t="str">
        <f>VLOOKUP(Tabla1[[#This Row],[AREA]],Hoja1!A:B,2,FALSE)</f>
        <v>10. Servicios sociales y mediación comunitaria</v>
      </c>
      <c r="U2895" s="56" t="str">
        <f>MID(Tabla1[[#This Row],[Aplicación]],9,4)</f>
        <v>2412</v>
      </c>
      <c r="V2895" s="35" t="str">
        <f>VLOOKUP(Tabla1[[#This Row],[PROGRAMA]],Hoja1!A:B,2,FALSE)</f>
        <v>2412. Formación para el empleo</v>
      </c>
      <c r="W2895" s="56" t="str">
        <f>MID(Tabla1[[#This Row],[Aplicación]],14,2)</f>
        <v>21</v>
      </c>
      <c r="X2895" s="56" t="str">
        <f>MID(Tabla1[[#This Row],[Aplicación]],14,6)</f>
        <v>213</v>
      </c>
    </row>
    <row r="2896" spans="1:24" x14ac:dyDescent="0.25">
      <c r="A2896" s="62">
        <v>220230016001</v>
      </c>
      <c r="B2896" s="44" t="s">
        <v>507</v>
      </c>
      <c r="C2896" s="64">
        <v>45042</v>
      </c>
      <c r="D2896" s="62">
        <v>22023004094</v>
      </c>
      <c r="E2896" s="44" t="s">
        <v>1191</v>
      </c>
      <c r="F2896" s="65">
        <v>71.31</v>
      </c>
      <c r="G2896" s="44" t="s">
        <v>112</v>
      </c>
      <c r="H2896" s="44" t="s">
        <v>4546</v>
      </c>
      <c r="I2896" s="62" t="s">
        <v>511</v>
      </c>
      <c r="J2896" s="44" t="s">
        <v>519</v>
      </c>
      <c r="K2896" s="44" t="s">
        <v>519</v>
      </c>
      <c r="L2896" s="44" t="s">
        <v>552</v>
      </c>
      <c r="M2896" s="44" t="s">
        <v>976</v>
      </c>
      <c r="N2896" s="44" t="s">
        <v>839</v>
      </c>
      <c r="O2896" s="45" t="s">
        <v>383</v>
      </c>
      <c r="P2896" s="45" t="s">
        <v>3760</v>
      </c>
      <c r="Q2896" s="59" t="str">
        <f>MID(Tabla1[[#This Row],[Aplicación]],14,1)</f>
        <v>2</v>
      </c>
      <c r="R2896" s="35" t="s">
        <v>298</v>
      </c>
      <c r="S2896" s="59" t="str">
        <f>MID(Tabla1[[#This Row],[Aplicación]],6,2)</f>
        <v>06</v>
      </c>
      <c r="T2896" s="35" t="str">
        <f>VLOOKUP(Tabla1[[#This Row],[AREA]],Hoja1!A:B,2,FALSE)</f>
        <v>06. Educación, infancia, juventud e igualdad</v>
      </c>
      <c r="U2896" s="56" t="str">
        <f>MID(Tabla1[[#This Row],[Aplicación]],9,4)</f>
        <v>2315</v>
      </c>
      <c r="V2896" s="35" t="str">
        <f>VLOOKUP(Tabla1[[#This Row],[PROGRAMA]],Hoja1!A:B,2,FALSE)</f>
        <v>2315. Políticas de Igualdad e infancia</v>
      </c>
      <c r="W2896" s="56" t="str">
        <f>MID(Tabla1[[#This Row],[Aplicación]],14,2)</f>
        <v>22</v>
      </c>
      <c r="X2896" s="56" t="str">
        <f>MID(Tabla1[[#This Row],[Aplicación]],14,6)</f>
        <v>22611</v>
      </c>
    </row>
    <row r="2897" spans="1:24" x14ac:dyDescent="0.25">
      <c r="A2897" s="62">
        <v>220230015982</v>
      </c>
      <c r="B2897" s="44" t="s">
        <v>507</v>
      </c>
      <c r="C2897" s="64">
        <v>45042</v>
      </c>
      <c r="D2897" s="62">
        <v>22023004026</v>
      </c>
      <c r="E2897" s="44" t="s">
        <v>1532</v>
      </c>
      <c r="F2897" s="65">
        <v>4000</v>
      </c>
      <c r="G2897" s="44" t="s">
        <v>4547</v>
      </c>
      <c r="H2897" s="44" t="s">
        <v>4548</v>
      </c>
      <c r="I2897" s="62" t="s">
        <v>511</v>
      </c>
      <c r="J2897" s="44" t="s">
        <v>573</v>
      </c>
      <c r="K2897" s="44" t="s">
        <v>573</v>
      </c>
      <c r="L2897" s="44" t="s">
        <v>652</v>
      </c>
      <c r="M2897" s="44" t="s">
        <v>976</v>
      </c>
      <c r="N2897" s="44" t="s">
        <v>839</v>
      </c>
      <c r="O2897" s="45" t="s">
        <v>383</v>
      </c>
      <c r="P2897" s="45" t="s">
        <v>3760</v>
      </c>
      <c r="Q2897" s="59" t="str">
        <f>MID(Tabla1[[#This Row],[Aplicación]],14,1)</f>
        <v>2</v>
      </c>
      <c r="R2897" s="35" t="s">
        <v>298</v>
      </c>
      <c r="S2897" s="59" t="str">
        <f>MID(Tabla1[[#This Row],[Aplicación]],6,2)</f>
        <v>09</v>
      </c>
      <c r="T2897" s="35" t="str">
        <f>VLOOKUP(Tabla1[[#This Row],[AREA]],Hoja1!A:B,2,FALSE)</f>
        <v>09. Cultura y turismo</v>
      </c>
      <c r="U2897" s="56" t="str">
        <f>MID(Tabla1[[#This Row],[Aplicación]],9,4)</f>
        <v>3341</v>
      </c>
      <c r="V2897" s="35" t="str">
        <f>VLOOKUP(Tabla1[[#This Row],[PROGRAMA]],Hoja1!A:B,2,FALSE)</f>
        <v>3341. Coordinación de políticas culturales</v>
      </c>
      <c r="W2897" s="56" t="str">
        <f>MID(Tabla1[[#This Row],[Aplicación]],14,2)</f>
        <v>22</v>
      </c>
      <c r="X2897" s="56" t="str">
        <f>MID(Tabla1[[#This Row],[Aplicación]],14,6)</f>
        <v>22699</v>
      </c>
    </row>
    <row r="2898" spans="1:24" x14ac:dyDescent="0.25">
      <c r="A2898" s="62">
        <v>220230022647</v>
      </c>
      <c r="B2898" s="44" t="s">
        <v>507</v>
      </c>
      <c r="C2898" s="64">
        <v>45068</v>
      </c>
      <c r="D2898" s="62">
        <v>22023004642</v>
      </c>
      <c r="E2898" s="44" t="s">
        <v>1532</v>
      </c>
      <c r="F2898" s="65">
        <v>1560</v>
      </c>
      <c r="G2898" s="44" t="s">
        <v>4547</v>
      </c>
      <c r="H2898" s="44" t="s">
        <v>4549</v>
      </c>
      <c r="I2898" s="62" t="s">
        <v>511</v>
      </c>
      <c r="J2898" s="44" t="s">
        <v>573</v>
      </c>
      <c r="K2898" s="44" t="s">
        <v>573</v>
      </c>
      <c r="L2898" s="44" t="s">
        <v>520</v>
      </c>
      <c r="M2898" s="44" t="s">
        <v>976</v>
      </c>
      <c r="N2898" s="44" t="s">
        <v>839</v>
      </c>
      <c r="O2898" s="45" t="s">
        <v>383</v>
      </c>
      <c r="P2898" s="45" t="s">
        <v>3760</v>
      </c>
      <c r="Q2898" s="59" t="str">
        <f>MID(Tabla1[[#This Row],[Aplicación]],14,1)</f>
        <v>2</v>
      </c>
      <c r="R2898" s="35" t="s">
        <v>298</v>
      </c>
      <c r="S2898" s="59" t="str">
        <f>MID(Tabla1[[#This Row],[Aplicación]],6,2)</f>
        <v>09</v>
      </c>
      <c r="T2898" s="35" t="str">
        <f>VLOOKUP(Tabla1[[#This Row],[AREA]],Hoja1!A:B,2,FALSE)</f>
        <v>09. Cultura y turismo</v>
      </c>
      <c r="U2898" s="56" t="str">
        <f>MID(Tabla1[[#This Row],[Aplicación]],9,4)</f>
        <v>3341</v>
      </c>
      <c r="V2898" s="35" t="str">
        <f>VLOOKUP(Tabla1[[#This Row],[PROGRAMA]],Hoja1!A:B,2,FALSE)</f>
        <v>3341. Coordinación de políticas culturales</v>
      </c>
      <c r="W2898" s="56" t="str">
        <f>MID(Tabla1[[#This Row],[Aplicación]],14,2)</f>
        <v>22</v>
      </c>
      <c r="X2898" s="56" t="str">
        <f>MID(Tabla1[[#This Row],[Aplicación]],14,6)</f>
        <v>22699</v>
      </c>
    </row>
    <row r="2899" spans="1:24" x14ac:dyDescent="0.25">
      <c r="A2899" s="62">
        <v>220230022624</v>
      </c>
      <c r="B2899" s="44" t="s">
        <v>507</v>
      </c>
      <c r="C2899" s="64">
        <v>45068</v>
      </c>
      <c r="D2899" s="62">
        <v>22023004485</v>
      </c>
      <c r="E2899" s="44" t="s">
        <v>1390</v>
      </c>
      <c r="F2899" s="65">
        <v>2308.6799999999998</v>
      </c>
      <c r="G2899" s="44" t="s">
        <v>4550</v>
      </c>
      <c r="H2899" s="44" t="s">
        <v>4551</v>
      </c>
      <c r="I2899" s="62" t="s">
        <v>511</v>
      </c>
      <c r="J2899" s="44" t="s">
        <v>3012</v>
      </c>
      <c r="K2899" s="44" t="s">
        <v>512</v>
      </c>
      <c r="L2899" s="44" t="s">
        <v>520</v>
      </c>
      <c r="M2899" s="44" t="s">
        <v>976</v>
      </c>
      <c r="N2899" s="44" t="s">
        <v>839</v>
      </c>
      <c r="O2899" s="45" t="s">
        <v>383</v>
      </c>
      <c r="P2899" s="45" t="s">
        <v>3760</v>
      </c>
      <c r="Q2899" s="59" t="str">
        <f>MID(Tabla1[[#This Row],[Aplicación]],14,1)</f>
        <v>2</v>
      </c>
      <c r="R2899" s="35" t="s">
        <v>298</v>
      </c>
      <c r="S2899" s="59" t="str">
        <f>MID(Tabla1[[#This Row],[Aplicación]],6,2)</f>
        <v>07</v>
      </c>
      <c r="T2899" s="35" t="str">
        <f>VLOOKUP(Tabla1[[#This Row],[AREA]],Hoja1!A:B,2,FALSE)</f>
        <v>07. Medio ambiente y desarrollo sostenible</v>
      </c>
      <c r="U2899" s="56" t="str">
        <f>MID(Tabla1[[#This Row],[Aplicación]],9,4)</f>
        <v>1721</v>
      </c>
      <c r="V2899" s="35" t="str">
        <f>VLOOKUP(Tabla1[[#This Row],[PROGRAMA]],Hoja1!A:B,2,FALSE)</f>
        <v>1721. Protección del medio ambiente</v>
      </c>
      <c r="W2899" s="56" t="str">
        <f>MID(Tabla1[[#This Row],[Aplicación]],14,2)</f>
        <v>22</v>
      </c>
      <c r="X2899" s="56" t="str">
        <f>MID(Tabla1[[#This Row],[Aplicación]],14,6)</f>
        <v>22799</v>
      </c>
    </row>
    <row r="2900" spans="1:24" x14ac:dyDescent="0.25">
      <c r="A2900" s="62">
        <v>220230015961</v>
      </c>
      <c r="B2900" s="44" t="s">
        <v>507</v>
      </c>
      <c r="C2900" s="64">
        <v>45042</v>
      </c>
      <c r="D2900" s="62">
        <v>22023003929</v>
      </c>
      <c r="E2900" s="44" t="s">
        <v>4552</v>
      </c>
      <c r="F2900" s="65">
        <v>3000</v>
      </c>
      <c r="G2900" s="44" t="s">
        <v>79</v>
      </c>
      <c r="H2900" s="44" t="s">
        <v>4553</v>
      </c>
      <c r="I2900" s="62" t="s">
        <v>511</v>
      </c>
      <c r="J2900" s="44" t="s">
        <v>519</v>
      </c>
      <c r="K2900" s="44" t="s">
        <v>519</v>
      </c>
      <c r="L2900" s="44" t="s">
        <v>552</v>
      </c>
      <c r="M2900" s="44" t="s">
        <v>976</v>
      </c>
      <c r="N2900" s="44" t="s">
        <v>839</v>
      </c>
      <c r="O2900" s="45" t="s">
        <v>383</v>
      </c>
      <c r="P2900" s="45" t="s">
        <v>3760</v>
      </c>
      <c r="Q2900" s="59" t="str">
        <f>MID(Tabla1[[#This Row],[Aplicación]],14,1)</f>
        <v>2</v>
      </c>
      <c r="R2900" s="35" t="s">
        <v>298</v>
      </c>
      <c r="S2900" s="59" t="str">
        <f>MID(Tabla1[[#This Row],[Aplicación]],6,2)</f>
        <v>11</v>
      </c>
      <c r="T2900" s="35" t="str">
        <f>VLOOKUP(Tabla1[[#This Row],[AREA]],Hoja1!A:B,2,FALSE)</f>
        <v>11. Salud pública y seguridad ciudadana</v>
      </c>
      <c r="U2900" s="56" t="str">
        <f>MID(Tabla1[[#This Row],[Aplicación]],9,4)</f>
        <v>1631</v>
      </c>
      <c r="V2900" s="35" t="str">
        <f>VLOOKUP(Tabla1[[#This Row],[PROGRAMA]],Hoja1!A:B,2,FALSE)</f>
        <v>1631. Limpieza viaria</v>
      </c>
      <c r="W2900" s="56" t="str">
        <f>MID(Tabla1[[#This Row],[Aplicación]],14,2)</f>
        <v>22</v>
      </c>
      <c r="X2900" s="56" t="str">
        <f>MID(Tabla1[[#This Row],[Aplicación]],14,6)</f>
        <v>22106</v>
      </c>
    </row>
    <row r="2901" spans="1:24" x14ac:dyDescent="0.25">
      <c r="A2901" s="62">
        <v>220230021937</v>
      </c>
      <c r="B2901" s="44" t="s">
        <v>507</v>
      </c>
      <c r="C2901" s="64">
        <v>45064</v>
      </c>
      <c r="D2901" s="62">
        <v>22023004403</v>
      </c>
      <c r="E2901" s="44" t="s">
        <v>1093</v>
      </c>
      <c r="F2901" s="65">
        <v>2500</v>
      </c>
      <c r="G2901" s="44" t="s">
        <v>79</v>
      </c>
      <c r="H2901" s="44" t="s">
        <v>4554</v>
      </c>
      <c r="I2901" s="62" t="s">
        <v>511</v>
      </c>
      <c r="J2901" s="44" t="s">
        <v>519</v>
      </c>
      <c r="K2901" s="44" t="s">
        <v>519</v>
      </c>
      <c r="L2901" s="44" t="s">
        <v>552</v>
      </c>
      <c r="M2901" s="44" t="s">
        <v>976</v>
      </c>
      <c r="N2901" s="44" t="s">
        <v>839</v>
      </c>
      <c r="O2901" s="45" t="s">
        <v>383</v>
      </c>
      <c r="P2901" s="45" t="s">
        <v>3760</v>
      </c>
      <c r="Q2901" s="59" t="str">
        <f>MID(Tabla1[[#This Row],[Aplicación]],14,1)</f>
        <v>2</v>
      </c>
      <c r="R2901" s="35" t="s">
        <v>298</v>
      </c>
      <c r="S2901" s="59" t="str">
        <f>MID(Tabla1[[#This Row],[Aplicación]],6,2)</f>
        <v>11</v>
      </c>
      <c r="T2901" s="35" t="str">
        <f>VLOOKUP(Tabla1[[#This Row],[AREA]],Hoja1!A:B,2,FALSE)</f>
        <v>11. Salud pública y seguridad ciudadana</v>
      </c>
      <c r="U2901" s="56" t="str">
        <f>MID(Tabla1[[#This Row],[Aplicación]],9,4)</f>
        <v>3111</v>
      </c>
      <c r="V2901" s="35" t="str">
        <f>VLOOKUP(Tabla1[[#This Row],[PROGRAMA]],Hoja1!A:B,2,FALSE)</f>
        <v>3111. Protección de la salubridad pública</v>
      </c>
      <c r="W2901" s="56" t="str">
        <f>MID(Tabla1[[#This Row],[Aplicación]],14,2)</f>
        <v>22</v>
      </c>
      <c r="X2901" s="56" t="str">
        <f>MID(Tabla1[[#This Row],[Aplicación]],14,6)</f>
        <v>22106</v>
      </c>
    </row>
    <row r="2902" spans="1:24" x14ac:dyDescent="0.25">
      <c r="A2902" s="62">
        <v>220230020784</v>
      </c>
      <c r="B2902" s="44" t="s">
        <v>507</v>
      </c>
      <c r="C2902" s="64">
        <v>45062</v>
      </c>
      <c r="D2902" s="62">
        <v>22023004386</v>
      </c>
      <c r="E2902" s="44" t="s">
        <v>1318</v>
      </c>
      <c r="F2902" s="65">
        <v>514.25</v>
      </c>
      <c r="G2902" s="44" t="s">
        <v>4555</v>
      </c>
      <c r="H2902" s="44" t="s">
        <v>4556</v>
      </c>
      <c r="I2902" s="62" t="s">
        <v>511</v>
      </c>
      <c r="J2902" s="44" t="s">
        <v>1289</v>
      </c>
      <c r="K2902" s="44" t="s">
        <v>1289</v>
      </c>
      <c r="L2902" s="44" t="s">
        <v>520</v>
      </c>
      <c r="M2902" s="44" t="s">
        <v>976</v>
      </c>
      <c r="N2902" s="44" t="s">
        <v>839</v>
      </c>
      <c r="O2902" s="45" t="s">
        <v>383</v>
      </c>
      <c r="P2902" s="45" t="s">
        <v>3760</v>
      </c>
      <c r="Q2902" s="59" t="str">
        <f>MID(Tabla1[[#This Row],[Aplicación]],14,1)</f>
        <v>2</v>
      </c>
      <c r="R2902" s="35" t="s">
        <v>298</v>
      </c>
      <c r="S2902" s="59" t="str">
        <f>MID(Tabla1[[#This Row],[Aplicación]],6,2)</f>
        <v>05</v>
      </c>
      <c r="T2902" s="35" t="str">
        <f>VLOOKUP(Tabla1[[#This Row],[AREA]],Hoja1!A:B,2,FALSE)</f>
        <v>05. Innovación, desarrollo económico, empleo y comercio</v>
      </c>
      <c r="U2902" s="56" t="str">
        <f>MID(Tabla1[[#This Row],[Aplicación]],9,4)</f>
        <v>4331</v>
      </c>
      <c r="V2902" s="35" t="str">
        <f>VLOOKUP(Tabla1[[#This Row],[PROGRAMA]],Hoja1!A:B,2,FALSE)</f>
        <v>4331. Desarrollo empresarial</v>
      </c>
      <c r="W2902" s="56" t="str">
        <f>MID(Tabla1[[#This Row],[Aplicación]],14,2)</f>
        <v>22</v>
      </c>
      <c r="X2902" s="56" t="str">
        <f>MID(Tabla1[[#This Row],[Aplicación]],14,6)</f>
        <v>22699</v>
      </c>
    </row>
    <row r="2903" spans="1:24" x14ac:dyDescent="0.25">
      <c r="A2903" s="62">
        <v>220230022356</v>
      </c>
      <c r="B2903" s="44" t="s">
        <v>507</v>
      </c>
      <c r="C2903" s="64">
        <v>45065</v>
      </c>
      <c r="D2903" s="62">
        <v>22023004394</v>
      </c>
      <c r="E2903" s="44" t="s">
        <v>4557</v>
      </c>
      <c r="F2903" s="65">
        <v>2178</v>
      </c>
      <c r="G2903" s="44" t="s">
        <v>4558</v>
      </c>
      <c r="H2903" s="44" t="s">
        <v>4559</v>
      </c>
      <c r="I2903" s="62" t="s">
        <v>511</v>
      </c>
      <c r="J2903" s="44" t="s">
        <v>837</v>
      </c>
      <c r="K2903" s="44" t="s">
        <v>837</v>
      </c>
      <c r="L2903" s="44" t="s">
        <v>552</v>
      </c>
      <c r="M2903" s="44" t="s">
        <v>976</v>
      </c>
      <c r="N2903" s="44" t="s">
        <v>839</v>
      </c>
      <c r="O2903" s="45" t="s">
        <v>383</v>
      </c>
      <c r="P2903" s="45" t="s">
        <v>3760</v>
      </c>
      <c r="Q2903" s="59" t="str">
        <f>MID(Tabla1[[#This Row],[Aplicación]],14,1)</f>
        <v>2</v>
      </c>
      <c r="R2903" s="35" t="s">
        <v>298</v>
      </c>
      <c r="S2903" s="59" t="str">
        <f>MID(Tabla1[[#This Row],[Aplicación]],6,2)</f>
        <v>11</v>
      </c>
      <c r="T2903" s="35" t="str">
        <f>VLOOKUP(Tabla1[[#This Row],[AREA]],Hoja1!A:B,2,FALSE)</f>
        <v>11. Salud pública y seguridad ciudadana</v>
      </c>
      <c r="U2903" s="56" t="str">
        <f>MID(Tabla1[[#This Row],[Aplicación]],9,4)</f>
        <v>1321</v>
      </c>
      <c r="V2903" s="35" t="str">
        <f>VLOOKUP(Tabla1[[#This Row],[PROGRAMA]],Hoja1!A:B,2,FALSE)</f>
        <v>1321. Policía municipal</v>
      </c>
      <c r="W2903" s="56" t="str">
        <f>MID(Tabla1[[#This Row],[Aplicación]],14,2)</f>
        <v>20</v>
      </c>
      <c r="X2903" s="56" t="str">
        <f>MID(Tabla1[[#This Row],[Aplicación]],14,6)</f>
        <v>206</v>
      </c>
    </row>
    <row r="2904" spans="1:24" x14ac:dyDescent="0.25">
      <c r="A2904" s="62">
        <v>220230020804</v>
      </c>
      <c r="B2904" s="44" t="s">
        <v>507</v>
      </c>
      <c r="C2904" s="64">
        <v>45062</v>
      </c>
      <c r="D2904" s="62">
        <v>22023004500</v>
      </c>
      <c r="E2904" s="44" t="s">
        <v>1382</v>
      </c>
      <c r="F2904" s="65">
        <v>37.82</v>
      </c>
      <c r="G2904" s="44" t="s">
        <v>505</v>
      </c>
      <c r="H2904" s="44" t="s">
        <v>4560</v>
      </c>
      <c r="I2904" s="62" t="s">
        <v>511</v>
      </c>
      <c r="J2904" s="44" t="s">
        <v>519</v>
      </c>
      <c r="K2904" s="44" t="s">
        <v>519</v>
      </c>
      <c r="L2904" s="44" t="s">
        <v>552</v>
      </c>
      <c r="M2904" s="44" t="s">
        <v>976</v>
      </c>
      <c r="N2904" s="44" t="s">
        <v>839</v>
      </c>
      <c r="O2904" s="45" t="s">
        <v>383</v>
      </c>
      <c r="P2904" s="45" t="s">
        <v>3760</v>
      </c>
      <c r="Q2904" s="59" t="str">
        <f>MID(Tabla1[[#This Row],[Aplicación]],14,1)</f>
        <v>2</v>
      </c>
      <c r="R2904" s="35" t="s">
        <v>298</v>
      </c>
      <c r="S2904" s="59" t="str">
        <f>MID(Tabla1[[#This Row],[Aplicación]],6,2)</f>
        <v>03</v>
      </c>
      <c r="T2904" s="35" t="str">
        <f>VLOOKUP(Tabla1[[#This Row],[AREA]],Hoja1!A:B,2,FALSE)</f>
        <v>03. Participación ciudadana y deportes</v>
      </c>
      <c r="U2904" s="56" t="str">
        <f>MID(Tabla1[[#This Row],[Aplicación]],9,4)</f>
        <v>9241</v>
      </c>
      <c r="V2904" s="35" t="str">
        <f>VLOOKUP(Tabla1[[#This Row],[PROGRAMA]],Hoja1!A:B,2,FALSE)</f>
        <v>9241. Participación ciudadana</v>
      </c>
      <c r="W2904" s="56" t="str">
        <f>MID(Tabla1[[#This Row],[Aplicación]],14,2)</f>
        <v>22</v>
      </c>
      <c r="X2904" s="56" t="str">
        <f>MID(Tabla1[[#This Row],[Aplicación]],14,6)</f>
        <v>22699</v>
      </c>
    </row>
    <row r="2905" spans="1:24" x14ac:dyDescent="0.25">
      <c r="A2905" s="62">
        <v>220230017055</v>
      </c>
      <c r="B2905" s="44" t="s">
        <v>507</v>
      </c>
      <c r="C2905" s="64">
        <v>45048</v>
      </c>
      <c r="D2905" s="62">
        <v>22023003894</v>
      </c>
      <c r="E2905" s="44" t="s">
        <v>4000</v>
      </c>
      <c r="F2905" s="65">
        <v>16032.5</v>
      </c>
      <c r="G2905" s="44" t="s">
        <v>2723</v>
      </c>
      <c r="H2905" s="44" t="s">
        <v>4561</v>
      </c>
      <c r="I2905" s="62" t="s">
        <v>511</v>
      </c>
      <c r="J2905" s="44" t="s">
        <v>519</v>
      </c>
      <c r="K2905" s="44" t="s">
        <v>519</v>
      </c>
      <c r="L2905" s="44" t="s">
        <v>520</v>
      </c>
      <c r="M2905" s="44" t="s">
        <v>976</v>
      </c>
      <c r="N2905" s="44" t="s">
        <v>839</v>
      </c>
      <c r="O2905" s="45" t="s">
        <v>383</v>
      </c>
      <c r="P2905" s="45" t="s">
        <v>3760</v>
      </c>
      <c r="Q2905" s="59" t="str">
        <f>MID(Tabla1[[#This Row],[Aplicación]],14,1)</f>
        <v>2</v>
      </c>
      <c r="R2905" s="35" t="s">
        <v>298</v>
      </c>
      <c r="S2905" s="59" t="str">
        <f>MID(Tabla1[[#This Row],[Aplicación]],6,2)</f>
        <v>04</v>
      </c>
      <c r="T2905" s="35" t="str">
        <f>VLOOKUP(Tabla1[[#This Row],[AREA]],Hoja1!A:B,2,FALSE)</f>
        <v>04. Planificación y recursos</v>
      </c>
      <c r="U2905" s="56" t="str">
        <f>MID(Tabla1[[#This Row],[Aplicación]],9,4)</f>
        <v>9231</v>
      </c>
      <c r="V2905" s="35" t="str">
        <f>VLOOKUP(Tabla1[[#This Row],[PROGRAMA]],Hoja1!A:B,2,FALSE)</f>
        <v>9231. Información, registro y gestión del padrón</v>
      </c>
      <c r="W2905" s="56" t="str">
        <f>MID(Tabla1[[#This Row],[Aplicación]],14,2)</f>
        <v>22</v>
      </c>
      <c r="X2905" s="56" t="str">
        <f>MID(Tabla1[[#This Row],[Aplicación]],14,6)</f>
        <v>22705</v>
      </c>
    </row>
    <row r="2906" spans="1:24" x14ac:dyDescent="0.25">
      <c r="A2906" s="62">
        <v>220230024855</v>
      </c>
      <c r="B2906" s="44" t="s">
        <v>507</v>
      </c>
      <c r="C2906" s="64">
        <v>45070</v>
      </c>
      <c r="D2906" s="62">
        <v>22023004620</v>
      </c>
      <c r="E2906" s="44" t="s">
        <v>3143</v>
      </c>
      <c r="F2906" s="65">
        <v>1149.5</v>
      </c>
      <c r="G2906" s="44" t="s">
        <v>2723</v>
      </c>
      <c r="H2906" s="44" t="s">
        <v>4562</v>
      </c>
      <c r="I2906" s="62" t="s">
        <v>511</v>
      </c>
      <c r="J2906" s="44" t="s">
        <v>519</v>
      </c>
      <c r="K2906" s="44" t="s">
        <v>519</v>
      </c>
      <c r="L2906" s="44" t="s">
        <v>520</v>
      </c>
      <c r="M2906" s="44" t="s">
        <v>976</v>
      </c>
      <c r="N2906" s="44" t="s">
        <v>839</v>
      </c>
      <c r="O2906" s="45" t="s">
        <v>383</v>
      </c>
      <c r="P2906" s="45" t="s">
        <v>3760</v>
      </c>
      <c r="Q2906" s="59" t="str">
        <f>MID(Tabla1[[#This Row],[Aplicación]],14,1)</f>
        <v>2</v>
      </c>
      <c r="R2906" s="35" t="s">
        <v>298</v>
      </c>
      <c r="S2906" s="59" t="str">
        <f>MID(Tabla1[[#This Row],[Aplicación]],6,2)</f>
        <v>10</v>
      </c>
      <c r="T2906" s="35" t="str">
        <f>VLOOKUP(Tabla1[[#This Row],[AREA]],Hoja1!A:B,2,FALSE)</f>
        <v>10. Servicios sociales y mediación comunitaria</v>
      </c>
      <c r="U2906" s="56" t="str">
        <f>MID(Tabla1[[#This Row],[Aplicación]],9,4)</f>
        <v>2312</v>
      </c>
      <c r="V2906" s="35" t="str">
        <f>VLOOKUP(Tabla1[[#This Row],[PROGRAMA]],Hoja1!A:B,2,FALSE)</f>
        <v>2312. Iniciativas sociales</v>
      </c>
      <c r="W2906" s="56" t="str">
        <f>MID(Tabla1[[#This Row],[Aplicación]],14,2)</f>
        <v>22</v>
      </c>
      <c r="X2906" s="56" t="str">
        <f>MID(Tabla1[[#This Row],[Aplicación]],14,6)</f>
        <v>223</v>
      </c>
    </row>
    <row r="2907" spans="1:24" x14ac:dyDescent="0.25">
      <c r="A2907" s="62">
        <v>220230018170</v>
      </c>
      <c r="B2907" s="44" t="s">
        <v>507</v>
      </c>
      <c r="C2907" s="64">
        <v>45054</v>
      </c>
      <c r="D2907" s="62">
        <v>22023004310</v>
      </c>
      <c r="E2907" s="44" t="s">
        <v>4563</v>
      </c>
      <c r="F2907" s="65">
        <v>2497.4</v>
      </c>
      <c r="G2907" s="44" t="s">
        <v>2746</v>
      </c>
      <c r="H2907" s="44" t="s">
        <v>4564</v>
      </c>
      <c r="I2907" s="62" t="s">
        <v>511</v>
      </c>
      <c r="J2907" s="44" t="s">
        <v>519</v>
      </c>
      <c r="K2907" s="44" t="s">
        <v>519</v>
      </c>
      <c r="L2907" s="44" t="s">
        <v>552</v>
      </c>
      <c r="M2907" s="44" t="s">
        <v>976</v>
      </c>
      <c r="N2907" s="44" t="s">
        <v>839</v>
      </c>
      <c r="O2907" s="45" t="s">
        <v>383</v>
      </c>
      <c r="P2907" s="45" t="s">
        <v>3760</v>
      </c>
      <c r="Q2907" s="59" t="str">
        <f>MID(Tabla1[[#This Row],[Aplicación]],14,1)</f>
        <v>6</v>
      </c>
      <c r="R2907" s="35" t="s">
        <v>299</v>
      </c>
      <c r="S2907" s="59" t="str">
        <f>MID(Tabla1[[#This Row],[Aplicación]],6,2)</f>
        <v>11</v>
      </c>
      <c r="T2907" s="35" t="str">
        <f>VLOOKUP(Tabla1[[#This Row],[AREA]],Hoja1!A:B,2,FALSE)</f>
        <v>11. Salud pública y seguridad ciudadana</v>
      </c>
      <c r="U2907" s="56" t="str">
        <f>MID(Tabla1[[#This Row],[Aplicación]],9,4)</f>
        <v>1321</v>
      </c>
      <c r="V2907" s="35" t="str">
        <f>VLOOKUP(Tabla1[[#This Row],[PROGRAMA]],Hoja1!A:B,2,FALSE)</f>
        <v>1321. Policía municipal</v>
      </c>
      <c r="W2907" s="56" t="str">
        <f>MID(Tabla1[[#This Row],[Aplicación]],14,2)</f>
        <v>62</v>
      </c>
      <c r="X2907" s="56" t="str">
        <f>MID(Tabla1[[#This Row],[Aplicación]],14,6)</f>
        <v>623</v>
      </c>
    </row>
    <row r="2908" spans="1:24" x14ac:dyDescent="0.25">
      <c r="A2908" s="62">
        <v>220230015105</v>
      </c>
      <c r="B2908" s="44" t="s">
        <v>507</v>
      </c>
      <c r="C2908" s="64">
        <v>45041</v>
      </c>
      <c r="D2908" s="62">
        <v>22023003846</v>
      </c>
      <c r="E2908" s="44" t="s">
        <v>4385</v>
      </c>
      <c r="F2908" s="65">
        <v>102.98</v>
      </c>
      <c r="G2908" s="44" t="s">
        <v>2436</v>
      </c>
      <c r="H2908" s="44" t="s">
        <v>4565</v>
      </c>
      <c r="I2908" s="62" t="s">
        <v>511</v>
      </c>
      <c r="J2908" s="44" t="s">
        <v>2438</v>
      </c>
      <c r="K2908" s="44" t="s">
        <v>1359</v>
      </c>
      <c r="L2908" s="44" t="s">
        <v>552</v>
      </c>
      <c r="M2908" s="44" t="s">
        <v>514</v>
      </c>
      <c r="N2908" s="44" t="s">
        <v>515</v>
      </c>
      <c r="O2908" s="45" t="s">
        <v>382</v>
      </c>
      <c r="P2908" s="45" t="s">
        <v>3760</v>
      </c>
      <c r="Q2908" s="59" t="str">
        <f>MID(Tabla1[[#This Row],[Aplicación]],14,1)</f>
        <v>2</v>
      </c>
      <c r="R2908" s="35" t="s">
        <v>298</v>
      </c>
      <c r="S2908" s="59" t="str">
        <f>MID(Tabla1[[#This Row],[Aplicación]],6,2)</f>
        <v>01</v>
      </c>
      <c r="T2908" s="35" t="str">
        <f>VLOOKUP(Tabla1[[#This Row],[AREA]],Hoja1!A:B,2,FALSE)</f>
        <v>01. Alcaldía</v>
      </c>
      <c r="U2908" s="56" t="str">
        <f>MID(Tabla1[[#This Row],[Aplicación]],9,4)</f>
        <v>9206</v>
      </c>
      <c r="V2908" s="35" t="str">
        <f>VLOOKUP(Tabla1[[#This Row],[PROGRAMA]],Hoja1!A:B,2,FALSE)</f>
        <v>9206. Archivo municipal</v>
      </c>
      <c r="W2908" s="56" t="str">
        <f>MID(Tabla1[[#This Row],[Aplicación]],14,2)</f>
        <v>22</v>
      </c>
      <c r="X2908" s="56" t="str">
        <f>MID(Tabla1[[#This Row],[Aplicación]],14,6)</f>
        <v>22199</v>
      </c>
    </row>
    <row r="2909" spans="1:24" x14ac:dyDescent="0.25">
      <c r="A2909" s="62">
        <v>220230018160</v>
      </c>
      <c r="B2909" s="44" t="s">
        <v>507</v>
      </c>
      <c r="C2909" s="64">
        <v>45054</v>
      </c>
      <c r="D2909" s="62">
        <v>22023004339</v>
      </c>
      <c r="E2909" s="44" t="s">
        <v>2393</v>
      </c>
      <c r="F2909" s="65">
        <v>27.55</v>
      </c>
      <c r="G2909" s="44" t="s">
        <v>2746</v>
      </c>
      <c r="H2909" s="44" t="s">
        <v>4566</v>
      </c>
      <c r="I2909" s="62" t="s">
        <v>511</v>
      </c>
      <c r="J2909" s="44" t="s">
        <v>519</v>
      </c>
      <c r="K2909" s="44" t="s">
        <v>519</v>
      </c>
      <c r="L2909" s="44" t="s">
        <v>552</v>
      </c>
      <c r="M2909" s="44" t="s">
        <v>976</v>
      </c>
      <c r="N2909" s="44" t="s">
        <v>839</v>
      </c>
      <c r="O2909" s="45" t="s">
        <v>383</v>
      </c>
      <c r="P2909" s="45" t="s">
        <v>3760</v>
      </c>
      <c r="Q2909" s="59" t="str">
        <f>MID(Tabla1[[#This Row],[Aplicación]],14,1)</f>
        <v>2</v>
      </c>
      <c r="R2909" s="35" t="s">
        <v>298</v>
      </c>
      <c r="S2909" s="59" t="str">
        <f>MID(Tabla1[[#This Row],[Aplicación]],6,2)</f>
        <v>06</v>
      </c>
      <c r="T2909" s="35" t="str">
        <f>VLOOKUP(Tabla1[[#This Row],[AREA]],Hoja1!A:B,2,FALSE)</f>
        <v>06. Educación, infancia, juventud e igualdad</v>
      </c>
      <c r="U2909" s="56" t="str">
        <f>MID(Tabla1[[#This Row],[Aplicación]],9,4)</f>
        <v>3321</v>
      </c>
      <c r="V2909" s="35" t="str">
        <f>VLOOKUP(Tabla1[[#This Row],[PROGRAMA]],Hoja1!A:B,2,FALSE)</f>
        <v>3321. Bibliotecas públicas</v>
      </c>
      <c r="W2909" s="56" t="str">
        <f>MID(Tabla1[[#This Row],[Aplicación]],14,2)</f>
        <v>22</v>
      </c>
      <c r="X2909" s="56" t="str">
        <f>MID(Tabla1[[#This Row],[Aplicación]],14,6)</f>
        <v>22699</v>
      </c>
    </row>
    <row r="2910" spans="1:24" x14ac:dyDescent="0.25">
      <c r="A2910" s="62">
        <v>220230013729</v>
      </c>
      <c r="B2910" s="44" t="s">
        <v>507</v>
      </c>
      <c r="C2910" s="64">
        <v>45027</v>
      </c>
      <c r="D2910" s="62">
        <v>22023003663</v>
      </c>
      <c r="E2910" s="44" t="s">
        <v>835</v>
      </c>
      <c r="F2910" s="65">
        <v>18137.900000000001</v>
      </c>
      <c r="G2910" s="44" t="s">
        <v>4567</v>
      </c>
      <c r="H2910" s="44" t="s">
        <v>4568</v>
      </c>
      <c r="I2910" s="62" t="s">
        <v>511</v>
      </c>
      <c r="J2910" s="44" t="s">
        <v>4569</v>
      </c>
      <c r="K2910" s="44" t="s">
        <v>2323</v>
      </c>
      <c r="L2910" s="44" t="s">
        <v>520</v>
      </c>
      <c r="M2910" s="44" t="s">
        <v>976</v>
      </c>
      <c r="N2910" s="44" t="s">
        <v>839</v>
      </c>
      <c r="O2910" s="45" t="s">
        <v>383</v>
      </c>
      <c r="P2910" s="45" t="s">
        <v>3760</v>
      </c>
      <c r="Q2910" s="59" t="str">
        <f>MID(Tabla1[[#This Row],[Aplicación]],14,1)</f>
        <v>2</v>
      </c>
      <c r="R2910" s="35" t="s">
        <v>298</v>
      </c>
      <c r="S2910" s="59" t="str">
        <f>MID(Tabla1[[#This Row],[Aplicación]],6,2)</f>
        <v>05</v>
      </c>
      <c r="T2910" s="35" t="str">
        <f>VLOOKUP(Tabla1[[#This Row],[AREA]],Hoja1!A:B,2,FALSE)</f>
        <v>05. Innovación, desarrollo económico, empleo y comercio</v>
      </c>
      <c r="U2910" s="56" t="str">
        <f>MID(Tabla1[[#This Row],[Aplicación]],9,4)</f>
        <v>4331</v>
      </c>
      <c r="V2910" s="35" t="str">
        <f>VLOOKUP(Tabla1[[#This Row],[PROGRAMA]],Hoja1!A:B,2,FALSE)</f>
        <v>4331. Desarrollo empresarial</v>
      </c>
      <c r="W2910" s="56" t="str">
        <f>MID(Tabla1[[#This Row],[Aplicación]],14,2)</f>
        <v>22</v>
      </c>
      <c r="X2910" s="56" t="str">
        <f>MID(Tabla1[[#This Row],[Aplicación]],14,6)</f>
        <v>22799</v>
      </c>
    </row>
    <row r="2911" spans="1:24" x14ac:dyDescent="0.25">
      <c r="A2911" s="62">
        <v>220230021931</v>
      </c>
      <c r="B2911" s="44" t="s">
        <v>507</v>
      </c>
      <c r="C2911" s="64">
        <v>45064</v>
      </c>
      <c r="D2911" s="62">
        <v>22023004499</v>
      </c>
      <c r="E2911" s="44" t="s">
        <v>1506</v>
      </c>
      <c r="F2911" s="65">
        <v>332.75</v>
      </c>
      <c r="G2911" s="44" t="s">
        <v>2752</v>
      </c>
      <c r="H2911" s="44" t="s">
        <v>4570</v>
      </c>
      <c r="I2911" s="62" t="s">
        <v>511</v>
      </c>
      <c r="J2911" s="44" t="s">
        <v>1405</v>
      </c>
      <c r="K2911" s="44" t="s">
        <v>519</v>
      </c>
      <c r="L2911" s="44" t="s">
        <v>552</v>
      </c>
      <c r="M2911" s="44" t="s">
        <v>976</v>
      </c>
      <c r="N2911" s="44" t="s">
        <v>839</v>
      </c>
      <c r="O2911" s="45" t="s">
        <v>383</v>
      </c>
      <c r="P2911" s="45" t="s">
        <v>3760</v>
      </c>
      <c r="Q2911" s="59" t="str">
        <f>MID(Tabla1[[#This Row],[Aplicación]],14,1)</f>
        <v>2</v>
      </c>
      <c r="R2911" s="35" t="s">
        <v>298</v>
      </c>
      <c r="S2911" s="59" t="str">
        <f>MID(Tabla1[[#This Row],[Aplicación]],6,2)</f>
        <v>03</v>
      </c>
      <c r="T2911" s="35" t="str">
        <f>VLOOKUP(Tabla1[[#This Row],[AREA]],Hoja1!A:B,2,FALSE)</f>
        <v>03. Participación ciudadana y deportes</v>
      </c>
      <c r="U2911" s="56" t="str">
        <f>MID(Tabla1[[#This Row],[Aplicación]],9,4)</f>
        <v>9241</v>
      </c>
      <c r="V2911" s="35" t="str">
        <f>VLOOKUP(Tabla1[[#This Row],[PROGRAMA]],Hoja1!A:B,2,FALSE)</f>
        <v>9241. Participación ciudadana</v>
      </c>
      <c r="W2911" s="56" t="str">
        <f>MID(Tabla1[[#This Row],[Aplicación]],14,2)</f>
        <v>21</v>
      </c>
      <c r="X2911" s="56" t="str">
        <f>MID(Tabla1[[#This Row],[Aplicación]],14,6)</f>
        <v>212</v>
      </c>
    </row>
    <row r="2912" spans="1:24" x14ac:dyDescent="0.25">
      <c r="A2912" s="62">
        <v>220230015088</v>
      </c>
      <c r="B2912" s="44" t="s">
        <v>507</v>
      </c>
      <c r="C2912" s="64">
        <v>45041</v>
      </c>
      <c r="D2912" s="62">
        <v>22023003845</v>
      </c>
      <c r="E2912" s="44" t="s">
        <v>1506</v>
      </c>
      <c r="F2912" s="65">
        <v>145.19999999999999</v>
      </c>
      <c r="G2912" s="44" t="s">
        <v>2752</v>
      </c>
      <c r="H2912" s="44" t="s">
        <v>4571</v>
      </c>
      <c r="I2912" s="62" t="s">
        <v>511</v>
      </c>
      <c r="J2912" s="44" t="s">
        <v>1405</v>
      </c>
      <c r="K2912" s="44" t="s">
        <v>519</v>
      </c>
      <c r="L2912" s="44" t="s">
        <v>552</v>
      </c>
      <c r="M2912" s="44" t="s">
        <v>976</v>
      </c>
      <c r="N2912" s="44" t="s">
        <v>839</v>
      </c>
      <c r="O2912" s="45" t="s">
        <v>383</v>
      </c>
      <c r="P2912" s="45" t="s">
        <v>3760</v>
      </c>
      <c r="Q2912" s="59" t="str">
        <f>MID(Tabla1[[#This Row],[Aplicación]],14,1)</f>
        <v>2</v>
      </c>
      <c r="R2912" s="35" t="s">
        <v>298</v>
      </c>
      <c r="S2912" s="59" t="str">
        <f>MID(Tabla1[[#This Row],[Aplicación]],6,2)</f>
        <v>03</v>
      </c>
      <c r="T2912" s="35" t="str">
        <f>VLOOKUP(Tabla1[[#This Row],[AREA]],Hoja1!A:B,2,FALSE)</f>
        <v>03. Participación ciudadana y deportes</v>
      </c>
      <c r="U2912" s="56" t="str">
        <f>MID(Tabla1[[#This Row],[Aplicación]],9,4)</f>
        <v>9241</v>
      </c>
      <c r="V2912" s="35" t="str">
        <f>VLOOKUP(Tabla1[[#This Row],[PROGRAMA]],Hoja1!A:B,2,FALSE)</f>
        <v>9241. Participación ciudadana</v>
      </c>
      <c r="W2912" s="56" t="str">
        <f>MID(Tabla1[[#This Row],[Aplicación]],14,2)</f>
        <v>21</v>
      </c>
      <c r="X2912" s="56" t="str">
        <f>MID(Tabla1[[#This Row],[Aplicación]],14,6)</f>
        <v>212</v>
      </c>
    </row>
    <row r="2913" spans="1:24" x14ac:dyDescent="0.25">
      <c r="A2913" s="62">
        <v>220230026398</v>
      </c>
      <c r="B2913" s="44" t="s">
        <v>1514</v>
      </c>
      <c r="C2913" s="64">
        <v>45077</v>
      </c>
      <c r="D2913" s="62">
        <v>22023003833</v>
      </c>
      <c r="E2913" s="44" t="s">
        <v>1502</v>
      </c>
      <c r="F2913" s="65">
        <v>356.37</v>
      </c>
      <c r="G2913" s="44" t="s">
        <v>48</v>
      </c>
      <c r="H2913" s="44" t="s">
        <v>4572</v>
      </c>
      <c r="I2913" s="62" t="s">
        <v>1517</v>
      </c>
      <c r="J2913" s="44" t="s">
        <v>519</v>
      </c>
      <c r="K2913" s="44" t="s">
        <v>519</v>
      </c>
      <c r="L2913" s="44" t="s">
        <v>552</v>
      </c>
      <c r="M2913" s="44" t="s">
        <v>514</v>
      </c>
      <c r="N2913" s="44" t="s">
        <v>515</v>
      </c>
      <c r="O2913" s="45" t="s">
        <v>382</v>
      </c>
      <c r="P2913" s="45" t="s">
        <v>3760</v>
      </c>
      <c r="Q2913" s="59" t="str">
        <f>MID(Tabla1[[#This Row],[Aplicación]],14,1)</f>
        <v>2</v>
      </c>
      <c r="R2913" s="35" t="s">
        <v>298</v>
      </c>
      <c r="S2913" s="59" t="str">
        <f>MID(Tabla1[[#This Row],[Aplicación]],6,2)</f>
        <v>10</v>
      </c>
      <c r="T2913" s="35" t="str">
        <f>VLOOKUP(Tabla1[[#This Row],[AREA]],Hoja1!A:B,2,FALSE)</f>
        <v>10. Servicios sociales y mediación comunitaria</v>
      </c>
      <c r="U2913" s="56" t="str">
        <f>MID(Tabla1[[#This Row],[Aplicación]],9,4)</f>
        <v>2412</v>
      </c>
      <c r="V2913" s="35" t="str">
        <f>VLOOKUP(Tabla1[[#This Row],[PROGRAMA]],Hoja1!A:B,2,FALSE)</f>
        <v>2412. Formación para el empleo</v>
      </c>
      <c r="W2913" s="56" t="str">
        <f>MID(Tabla1[[#This Row],[Aplicación]],14,2)</f>
        <v>22</v>
      </c>
      <c r="X2913" s="56" t="str">
        <f>MID(Tabla1[[#This Row],[Aplicación]],14,6)</f>
        <v>22199</v>
      </c>
    </row>
    <row r="2914" spans="1:24" x14ac:dyDescent="0.25">
      <c r="A2914" s="62">
        <v>220230015944</v>
      </c>
      <c r="B2914" s="44" t="s">
        <v>507</v>
      </c>
      <c r="C2914" s="64">
        <v>45042</v>
      </c>
      <c r="D2914" s="62">
        <v>22023003369</v>
      </c>
      <c r="E2914" s="44" t="s">
        <v>616</v>
      </c>
      <c r="F2914" s="65">
        <v>516.66</v>
      </c>
      <c r="G2914" s="44" t="s">
        <v>592</v>
      </c>
      <c r="H2914" s="44" t="s">
        <v>4472</v>
      </c>
      <c r="I2914" s="62" t="s">
        <v>511</v>
      </c>
      <c r="J2914" s="44" t="s">
        <v>519</v>
      </c>
      <c r="K2914" s="44" t="s">
        <v>519</v>
      </c>
      <c r="L2914" s="44" t="s">
        <v>520</v>
      </c>
      <c r="M2914" s="44" t="s">
        <v>514</v>
      </c>
      <c r="N2914" s="44" t="s">
        <v>515</v>
      </c>
      <c r="O2914" s="45" t="s">
        <v>371</v>
      </c>
      <c r="P2914" s="45" t="s">
        <v>3760</v>
      </c>
      <c r="Q2914" s="59" t="str">
        <f>MID(Tabla1[[#This Row],[Aplicación]],14,1)</f>
        <v>2</v>
      </c>
      <c r="R2914" s="35" t="s">
        <v>298</v>
      </c>
      <c r="S2914" s="59" t="str">
        <f>MID(Tabla1[[#This Row],[Aplicación]],6,2)</f>
        <v>10</v>
      </c>
      <c r="T2914" s="35" t="str">
        <f>VLOOKUP(Tabla1[[#This Row],[AREA]],Hoja1!A:B,2,FALSE)</f>
        <v>10. Servicios sociales y mediación comunitaria</v>
      </c>
      <c r="U2914" s="56" t="str">
        <f>MID(Tabla1[[#This Row],[Aplicación]],9,4)</f>
        <v>2412</v>
      </c>
      <c r="V2914" s="35" t="str">
        <f>VLOOKUP(Tabla1[[#This Row],[PROGRAMA]],Hoja1!A:B,2,FALSE)</f>
        <v>2412. Formación para el empleo</v>
      </c>
      <c r="W2914" s="56" t="str">
        <f>MID(Tabla1[[#This Row],[Aplicación]],14,2)</f>
        <v>21</v>
      </c>
      <c r="X2914" s="56" t="str">
        <f>MID(Tabla1[[#This Row],[Aplicación]],14,6)</f>
        <v>213</v>
      </c>
    </row>
    <row r="2915" spans="1:24" x14ac:dyDescent="0.25">
      <c r="A2915" s="62">
        <v>220230026551</v>
      </c>
      <c r="B2915" s="44" t="s">
        <v>1514</v>
      </c>
      <c r="C2915" s="64">
        <v>45077</v>
      </c>
      <c r="D2915" s="62">
        <v>22023004206</v>
      </c>
      <c r="E2915" s="44" t="s">
        <v>1305</v>
      </c>
      <c r="F2915" s="65">
        <v>272.77999999999997</v>
      </c>
      <c r="G2915" s="44" t="s">
        <v>48</v>
      </c>
      <c r="H2915" s="44" t="s">
        <v>4573</v>
      </c>
      <c r="I2915" s="62" t="s">
        <v>1517</v>
      </c>
      <c r="J2915" s="44" t="s">
        <v>519</v>
      </c>
      <c r="K2915" s="44" t="s">
        <v>519</v>
      </c>
      <c r="L2915" s="44" t="s">
        <v>552</v>
      </c>
      <c r="M2915" s="44" t="s">
        <v>514</v>
      </c>
      <c r="N2915" s="44" t="s">
        <v>515</v>
      </c>
      <c r="O2915" s="45" t="s">
        <v>382</v>
      </c>
      <c r="P2915" s="45" t="s">
        <v>3760</v>
      </c>
      <c r="Q2915" s="59" t="str">
        <f>MID(Tabla1[[#This Row],[Aplicación]],14,1)</f>
        <v>2</v>
      </c>
      <c r="R2915" s="35" t="s">
        <v>298</v>
      </c>
      <c r="S2915" s="59" t="str">
        <f>MID(Tabla1[[#This Row],[Aplicación]],6,2)</f>
        <v>06</v>
      </c>
      <c r="T2915" s="35" t="str">
        <f>VLOOKUP(Tabla1[[#This Row],[AREA]],Hoja1!A:B,2,FALSE)</f>
        <v>06. Educación, infancia, juventud e igualdad</v>
      </c>
      <c r="U2915" s="56" t="str">
        <f>MID(Tabla1[[#This Row],[Aplicación]],9,4)</f>
        <v>3232</v>
      </c>
      <c r="V2915" s="35" t="str">
        <f>VLOOKUP(Tabla1[[#This Row],[PROGRAMA]],Hoja1!A:B,2,FALSE)</f>
        <v>3232. Conservación y mantenimiento centros educación infantil y primaria</v>
      </c>
      <c r="W2915" s="56" t="str">
        <f>MID(Tabla1[[#This Row],[Aplicación]],14,2)</f>
        <v>21</v>
      </c>
      <c r="X2915" s="56" t="str">
        <f>MID(Tabla1[[#This Row],[Aplicación]],14,6)</f>
        <v>212</v>
      </c>
    </row>
    <row r="2916" spans="1:24" x14ac:dyDescent="0.25">
      <c r="A2916" s="62">
        <v>220230015960</v>
      </c>
      <c r="B2916" s="44" t="s">
        <v>507</v>
      </c>
      <c r="C2916" s="64">
        <v>45042</v>
      </c>
      <c r="D2916" s="62">
        <v>22023003922</v>
      </c>
      <c r="E2916" s="44" t="s">
        <v>2785</v>
      </c>
      <c r="F2916" s="65">
        <v>6639.05</v>
      </c>
      <c r="G2916" s="44" t="s">
        <v>986</v>
      </c>
      <c r="H2916" s="44" t="s">
        <v>4574</v>
      </c>
      <c r="I2916" s="62" t="s">
        <v>511</v>
      </c>
      <c r="J2916" s="44" t="s">
        <v>988</v>
      </c>
      <c r="K2916" s="44" t="s">
        <v>519</v>
      </c>
      <c r="L2916" s="44" t="s">
        <v>520</v>
      </c>
      <c r="M2916" s="44" t="s">
        <v>976</v>
      </c>
      <c r="N2916" s="44" t="s">
        <v>839</v>
      </c>
      <c r="O2916" s="45" t="s">
        <v>383</v>
      </c>
      <c r="P2916" s="45" t="s">
        <v>3760</v>
      </c>
      <c r="Q2916" s="59" t="str">
        <f>MID(Tabla1[[#This Row],[Aplicación]],14,1)</f>
        <v>2</v>
      </c>
      <c r="R2916" s="35" t="s">
        <v>298</v>
      </c>
      <c r="S2916" s="59" t="str">
        <f>MID(Tabla1[[#This Row],[Aplicación]],6,2)</f>
        <v>06</v>
      </c>
      <c r="T2916" s="35" t="str">
        <f>VLOOKUP(Tabla1[[#This Row],[AREA]],Hoja1!A:B,2,FALSE)</f>
        <v>06. Educación, infancia, juventud e igualdad</v>
      </c>
      <c r="U2916" s="56" t="str">
        <f>MID(Tabla1[[#This Row],[Aplicación]],9,4)</f>
        <v>3321</v>
      </c>
      <c r="V2916" s="35" t="str">
        <f>VLOOKUP(Tabla1[[#This Row],[PROGRAMA]],Hoja1!A:B,2,FALSE)</f>
        <v>3321. Bibliotecas públicas</v>
      </c>
      <c r="W2916" s="56" t="str">
        <f>MID(Tabla1[[#This Row],[Aplicación]],14,2)</f>
        <v>21</v>
      </c>
      <c r="X2916" s="56" t="str">
        <f>MID(Tabla1[[#This Row],[Aplicación]],14,6)</f>
        <v>212</v>
      </c>
    </row>
    <row r="2917" spans="1:24" x14ac:dyDescent="0.25">
      <c r="A2917" s="62">
        <v>220230015352</v>
      </c>
      <c r="B2917" s="44" t="s">
        <v>507</v>
      </c>
      <c r="C2917" s="64">
        <v>45041</v>
      </c>
      <c r="D2917" s="62">
        <v>22023003883</v>
      </c>
      <c r="E2917" s="44" t="s">
        <v>613</v>
      </c>
      <c r="F2917" s="65">
        <v>114.93</v>
      </c>
      <c r="G2917" s="44" t="s">
        <v>2769</v>
      </c>
      <c r="H2917" s="44" t="s">
        <v>4575</v>
      </c>
      <c r="I2917" s="62" t="s">
        <v>511</v>
      </c>
      <c r="J2917" s="44" t="s">
        <v>1487</v>
      </c>
      <c r="K2917" s="44" t="s">
        <v>519</v>
      </c>
      <c r="L2917" s="44" t="s">
        <v>520</v>
      </c>
      <c r="M2917" s="44" t="s">
        <v>976</v>
      </c>
      <c r="N2917" s="44" t="s">
        <v>839</v>
      </c>
      <c r="O2917" s="45" t="s">
        <v>383</v>
      </c>
      <c r="P2917" s="45" t="s">
        <v>3760</v>
      </c>
      <c r="Q2917" s="59" t="str">
        <f>MID(Tabla1[[#This Row],[Aplicación]],14,1)</f>
        <v>2</v>
      </c>
      <c r="R2917" s="35" t="s">
        <v>298</v>
      </c>
      <c r="S2917" s="59" t="str">
        <f>MID(Tabla1[[#This Row],[Aplicación]],6,2)</f>
        <v>10</v>
      </c>
      <c r="T2917" s="35" t="str">
        <f>VLOOKUP(Tabla1[[#This Row],[AREA]],Hoja1!A:B,2,FALSE)</f>
        <v>10. Servicios sociales y mediación comunitaria</v>
      </c>
      <c r="U2917" s="56" t="str">
        <f>MID(Tabla1[[#This Row],[Aplicación]],9,4)</f>
        <v>2312</v>
      </c>
      <c r="V2917" s="35" t="str">
        <f>VLOOKUP(Tabla1[[#This Row],[PROGRAMA]],Hoja1!A:B,2,FALSE)</f>
        <v>2312. Iniciativas sociales</v>
      </c>
      <c r="W2917" s="56" t="str">
        <f>MID(Tabla1[[#This Row],[Aplicación]],14,2)</f>
        <v>21</v>
      </c>
      <c r="X2917" s="56" t="str">
        <f>MID(Tabla1[[#This Row],[Aplicación]],14,6)</f>
        <v>213</v>
      </c>
    </row>
    <row r="2918" spans="1:24" x14ac:dyDescent="0.25">
      <c r="A2918" s="62">
        <v>220230020481</v>
      </c>
      <c r="B2918" s="44" t="s">
        <v>507</v>
      </c>
      <c r="C2918" s="64">
        <v>45057</v>
      </c>
      <c r="D2918" s="62">
        <v>22023004468</v>
      </c>
      <c r="E2918" s="44" t="s">
        <v>2046</v>
      </c>
      <c r="F2918" s="65">
        <v>2750</v>
      </c>
      <c r="G2918" s="44" t="s">
        <v>4576</v>
      </c>
      <c r="H2918" s="44" t="s">
        <v>4577</v>
      </c>
      <c r="I2918" s="62" t="s">
        <v>511</v>
      </c>
      <c r="J2918" s="44" t="s">
        <v>519</v>
      </c>
      <c r="K2918" s="44" t="s">
        <v>519</v>
      </c>
      <c r="L2918" s="44" t="s">
        <v>552</v>
      </c>
      <c r="M2918" s="44" t="s">
        <v>976</v>
      </c>
      <c r="N2918" s="44" t="s">
        <v>839</v>
      </c>
      <c r="O2918" s="45" t="s">
        <v>383</v>
      </c>
      <c r="P2918" s="45" t="s">
        <v>3760</v>
      </c>
      <c r="Q2918" s="59" t="str">
        <f>MID(Tabla1[[#This Row],[Aplicación]],14,1)</f>
        <v>2</v>
      </c>
      <c r="R2918" s="35" t="s">
        <v>298</v>
      </c>
      <c r="S2918" s="59" t="str">
        <f>MID(Tabla1[[#This Row],[Aplicación]],6,2)</f>
        <v>06</v>
      </c>
      <c r="T2918" s="35" t="str">
        <f>VLOOKUP(Tabla1[[#This Row],[AREA]],Hoja1!A:B,2,FALSE)</f>
        <v>06. Educación, infancia, juventud e igualdad</v>
      </c>
      <c r="U2918" s="56" t="str">
        <f>MID(Tabla1[[#This Row],[Aplicación]],9,4)</f>
        <v>3321</v>
      </c>
      <c r="V2918" s="35" t="str">
        <f>VLOOKUP(Tabla1[[#This Row],[PROGRAMA]],Hoja1!A:B,2,FALSE)</f>
        <v>3321. Bibliotecas públicas</v>
      </c>
      <c r="W2918" s="56" t="str">
        <f>MID(Tabla1[[#This Row],[Aplicación]],14,2)</f>
        <v>22</v>
      </c>
      <c r="X2918" s="56" t="str">
        <f>MID(Tabla1[[#This Row],[Aplicación]],14,6)</f>
        <v>22199</v>
      </c>
    </row>
    <row r="2919" spans="1:24" x14ac:dyDescent="0.25">
      <c r="A2919" s="62">
        <v>220230025387</v>
      </c>
      <c r="B2919" s="44" t="s">
        <v>507</v>
      </c>
      <c r="C2919" s="64">
        <v>45072</v>
      </c>
      <c r="D2919" s="62">
        <v>22023003052</v>
      </c>
      <c r="E2919" s="44" t="s">
        <v>1191</v>
      </c>
      <c r="F2919" s="65">
        <v>181.5</v>
      </c>
      <c r="G2919" s="44" t="s">
        <v>336</v>
      </c>
      <c r="H2919" s="44" t="s">
        <v>4578</v>
      </c>
      <c r="I2919" s="62" t="s">
        <v>511</v>
      </c>
      <c r="J2919" s="44" t="s">
        <v>519</v>
      </c>
      <c r="K2919" s="44" t="s">
        <v>519</v>
      </c>
      <c r="L2919" s="44" t="s">
        <v>520</v>
      </c>
      <c r="M2919" s="44" t="s">
        <v>976</v>
      </c>
      <c r="N2919" s="44" t="s">
        <v>839</v>
      </c>
      <c r="O2919" s="45" t="s">
        <v>383</v>
      </c>
      <c r="P2919" s="45" t="s">
        <v>3760</v>
      </c>
      <c r="Q2919" s="59" t="str">
        <f>MID(Tabla1[[#This Row],[Aplicación]],14,1)</f>
        <v>2</v>
      </c>
      <c r="R2919" s="35" t="s">
        <v>298</v>
      </c>
      <c r="S2919" s="59" t="str">
        <f>MID(Tabla1[[#This Row],[Aplicación]],6,2)</f>
        <v>06</v>
      </c>
      <c r="T2919" s="35" t="str">
        <f>VLOOKUP(Tabla1[[#This Row],[AREA]],Hoja1!A:B,2,FALSE)</f>
        <v>06. Educación, infancia, juventud e igualdad</v>
      </c>
      <c r="U2919" s="56" t="str">
        <f>MID(Tabla1[[#This Row],[Aplicación]],9,4)</f>
        <v>2315</v>
      </c>
      <c r="V2919" s="35" t="str">
        <f>VLOOKUP(Tabla1[[#This Row],[PROGRAMA]],Hoja1!A:B,2,FALSE)</f>
        <v>2315. Políticas de Igualdad e infancia</v>
      </c>
      <c r="W2919" s="56" t="str">
        <f>MID(Tabla1[[#This Row],[Aplicación]],14,2)</f>
        <v>22</v>
      </c>
      <c r="X2919" s="56" t="str">
        <f>MID(Tabla1[[#This Row],[Aplicación]],14,6)</f>
        <v>22611</v>
      </c>
    </row>
    <row r="2920" spans="1:24" x14ac:dyDescent="0.25">
      <c r="A2920" s="62">
        <v>220230016019</v>
      </c>
      <c r="B2920" s="44" t="s">
        <v>507</v>
      </c>
      <c r="C2920" s="64">
        <v>45042</v>
      </c>
      <c r="D2920" s="62">
        <v>22023004140</v>
      </c>
      <c r="E2920" s="44" t="s">
        <v>739</v>
      </c>
      <c r="F2920" s="65">
        <v>1635.92</v>
      </c>
      <c r="G2920" s="44" t="s">
        <v>4579</v>
      </c>
      <c r="H2920" s="44" t="s">
        <v>4580</v>
      </c>
      <c r="I2920" s="62" t="s">
        <v>511</v>
      </c>
      <c r="J2920" s="44" t="s">
        <v>4581</v>
      </c>
      <c r="K2920" s="44" t="s">
        <v>4582</v>
      </c>
      <c r="L2920" s="44" t="s">
        <v>520</v>
      </c>
      <c r="M2920" s="44" t="s">
        <v>976</v>
      </c>
      <c r="N2920" s="44" t="s">
        <v>839</v>
      </c>
      <c r="O2920" s="45" t="s">
        <v>383</v>
      </c>
      <c r="P2920" s="45" t="s">
        <v>3760</v>
      </c>
      <c r="Q2920" s="59" t="str">
        <f>MID(Tabla1[[#This Row],[Aplicación]],14,1)</f>
        <v>2</v>
      </c>
      <c r="R2920" s="35" t="s">
        <v>298</v>
      </c>
      <c r="S2920" s="59" t="str">
        <f>MID(Tabla1[[#This Row],[Aplicación]],6,2)</f>
        <v>02</v>
      </c>
      <c r="T2920" s="35" t="str">
        <f>VLOOKUP(Tabla1[[#This Row],[AREA]],Hoja1!A:B,2,FALSE)</f>
        <v>02. Planeamiento urbanístico y vivienda</v>
      </c>
      <c r="U2920" s="56" t="str">
        <f>MID(Tabla1[[#This Row],[Aplicación]],9,4)</f>
        <v>9332</v>
      </c>
      <c r="V2920" s="35" t="str">
        <f>VLOOKUP(Tabla1[[#This Row],[PROGRAMA]],Hoja1!A:B,2,FALSE)</f>
        <v>9332. Mantenimiento de edificios e instalaciones municipales</v>
      </c>
      <c r="W2920" s="56" t="str">
        <f>MID(Tabla1[[#This Row],[Aplicación]],14,2)</f>
        <v>22</v>
      </c>
      <c r="X2920" s="56" t="str">
        <f>MID(Tabla1[[#This Row],[Aplicación]],14,6)</f>
        <v>22700</v>
      </c>
    </row>
    <row r="2921" spans="1:24" x14ac:dyDescent="0.25">
      <c r="A2921" s="62">
        <v>220230017050</v>
      </c>
      <c r="B2921" s="44" t="s">
        <v>507</v>
      </c>
      <c r="C2921" s="64">
        <v>45048</v>
      </c>
      <c r="D2921" s="62">
        <v>22023003154</v>
      </c>
      <c r="E2921" s="44" t="s">
        <v>1544</v>
      </c>
      <c r="F2921" s="65">
        <v>1080</v>
      </c>
      <c r="G2921" s="44" t="s">
        <v>4583</v>
      </c>
      <c r="H2921" s="44" t="s">
        <v>4584</v>
      </c>
      <c r="I2921" s="62" t="s">
        <v>511</v>
      </c>
      <c r="J2921" s="44" t="s">
        <v>1359</v>
      </c>
      <c r="K2921" s="44" t="s">
        <v>1359</v>
      </c>
      <c r="L2921" s="44" t="s">
        <v>520</v>
      </c>
      <c r="M2921" s="44" t="s">
        <v>976</v>
      </c>
      <c r="N2921" s="44" t="s">
        <v>839</v>
      </c>
      <c r="O2921" s="45" t="s">
        <v>383</v>
      </c>
      <c r="P2921" s="45" t="s">
        <v>3760</v>
      </c>
      <c r="Q2921" s="59" t="str">
        <f>MID(Tabla1[[#This Row],[Aplicación]],14,1)</f>
        <v>2</v>
      </c>
      <c r="R2921" s="35" t="s">
        <v>298</v>
      </c>
      <c r="S2921" s="59" t="str">
        <f>MID(Tabla1[[#This Row],[Aplicación]],6,2)</f>
        <v>10</v>
      </c>
      <c r="T2921" s="35" t="str">
        <f>VLOOKUP(Tabla1[[#This Row],[AREA]],Hoja1!A:B,2,FALSE)</f>
        <v>10. Servicios sociales y mediación comunitaria</v>
      </c>
      <c r="U2921" s="56" t="str">
        <f>MID(Tabla1[[#This Row],[Aplicación]],9,4)</f>
        <v>2412</v>
      </c>
      <c r="V2921" s="35" t="str">
        <f>VLOOKUP(Tabla1[[#This Row],[PROGRAMA]],Hoja1!A:B,2,FALSE)</f>
        <v>2412. Formación para el empleo</v>
      </c>
      <c r="W2921" s="56" t="str">
        <f>MID(Tabla1[[#This Row],[Aplicación]],14,2)</f>
        <v>22</v>
      </c>
      <c r="X2921" s="56" t="str">
        <f>MID(Tabla1[[#This Row],[Aplicación]],14,6)</f>
        <v>22799</v>
      </c>
    </row>
    <row r="2922" spans="1:24" x14ac:dyDescent="0.25">
      <c r="A2922" s="62">
        <v>220230015362</v>
      </c>
      <c r="B2922" s="44" t="s">
        <v>507</v>
      </c>
      <c r="C2922" s="64">
        <v>45041</v>
      </c>
      <c r="D2922" s="62">
        <v>22023003900</v>
      </c>
      <c r="E2922" s="44" t="s">
        <v>944</v>
      </c>
      <c r="F2922" s="65">
        <v>2500</v>
      </c>
      <c r="G2922" s="44" t="s">
        <v>437</v>
      </c>
      <c r="H2922" s="44" t="s">
        <v>4585</v>
      </c>
      <c r="I2922" s="62" t="s">
        <v>511</v>
      </c>
      <c r="J2922" s="44" t="s">
        <v>519</v>
      </c>
      <c r="K2922" s="44" t="s">
        <v>519</v>
      </c>
      <c r="L2922" s="44" t="s">
        <v>552</v>
      </c>
      <c r="M2922" s="44" t="s">
        <v>976</v>
      </c>
      <c r="N2922" s="44" t="s">
        <v>839</v>
      </c>
      <c r="O2922" s="45" t="s">
        <v>383</v>
      </c>
      <c r="P2922" s="45" t="s">
        <v>3760</v>
      </c>
      <c r="Q2922" s="59" t="str">
        <f>MID(Tabla1[[#This Row],[Aplicación]],14,1)</f>
        <v>2</v>
      </c>
      <c r="R2922" s="35" t="s">
        <v>298</v>
      </c>
      <c r="S2922" s="59" t="str">
        <f>MID(Tabla1[[#This Row],[Aplicación]],6,2)</f>
        <v>04</v>
      </c>
      <c r="T2922" s="35" t="str">
        <f>VLOOKUP(Tabla1[[#This Row],[AREA]],Hoja1!A:B,2,FALSE)</f>
        <v>04. Planificación y recursos</v>
      </c>
      <c r="U2922" s="56" t="str">
        <f>MID(Tabla1[[#This Row],[Aplicación]],9,4)</f>
        <v>9231</v>
      </c>
      <c r="V2922" s="35" t="str">
        <f>VLOOKUP(Tabla1[[#This Row],[PROGRAMA]],Hoja1!A:B,2,FALSE)</f>
        <v>9231. Información, registro y gestión del padrón</v>
      </c>
      <c r="W2922" s="56" t="str">
        <f>MID(Tabla1[[#This Row],[Aplicación]],14,2)</f>
        <v>22</v>
      </c>
      <c r="X2922" s="56" t="str">
        <f>MID(Tabla1[[#This Row],[Aplicación]],14,6)</f>
        <v>22799</v>
      </c>
    </row>
    <row r="2923" spans="1:24" x14ac:dyDescent="0.25">
      <c r="A2923" s="62">
        <v>220230018143</v>
      </c>
      <c r="B2923" s="44" t="s">
        <v>507</v>
      </c>
      <c r="C2923" s="64">
        <v>45054</v>
      </c>
      <c r="D2923" s="62">
        <v>22023003928</v>
      </c>
      <c r="E2923" s="44" t="s">
        <v>2850</v>
      </c>
      <c r="F2923" s="65">
        <v>1235.4100000000001</v>
      </c>
      <c r="G2923" s="44" t="s">
        <v>437</v>
      </c>
      <c r="H2923" s="44" t="s">
        <v>4586</v>
      </c>
      <c r="I2923" s="62" t="s">
        <v>511</v>
      </c>
      <c r="J2923" s="44" t="s">
        <v>519</v>
      </c>
      <c r="K2923" s="44" t="s">
        <v>519</v>
      </c>
      <c r="L2923" s="44" t="s">
        <v>552</v>
      </c>
      <c r="M2923" s="44" t="s">
        <v>976</v>
      </c>
      <c r="N2923" s="44" t="s">
        <v>839</v>
      </c>
      <c r="O2923" s="45" t="s">
        <v>383</v>
      </c>
      <c r="P2923" s="45" t="s">
        <v>3760</v>
      </c>
      <c r="Q2923" s="59" t="str">
        <f>MID(Tabla1[[#This Row],[Aplicación]],14,1)</f>
        <v>2</v>
      </c>
      <c r="R2923" s="35" t="s">
        <v>298</v>
      </c>
      <c r="S2923" s="59" t="str">
        <f>MID(Tabla1[[#This Row],[Aplicación]],6,2)</f>
        <v>01</v>
      </c>
      <c r="T2923" s="35" t="str">
        <f>VLOOKUP(Tabla1[[#This Row],[AREA]],Hoja1!A:B,2,FALSE)</f>
        <v>01. Alcaldía</v>
      </c>
      <c r="U2923" s="56" t="str">
        <f>MID(Tabla1[[#This Row],[Aplicación]],9,4)</f>
        <v>9203</v>
      </c>
      <c r="V2923" s="35" t="str">
        <f>VLOOKUP(Tabla1[[#This Row],[PROGRAMA]],Hoja1!A:B,2,FALSE)</f>
        <v>9203. Unidad de régimen interior</v>
      </c>
      <c r="W2923" s="56" t="str">
        <f>MID(Tabla1[[#This Row],[Aplicación]],14,2)</f>
        <v>22</v>
      </c>
      <c r="X2923" s="56" t="str">
        <f>MID(Tabla1[[#This Row],[Aplicación]],14,6)</f>
        <v>22699</v>
      </c>
    </row>
    <row r="2924" spans="1:24" x14ac:dyDescent="0.25">
      <c r="A2924" s="62">
        <v>220230013728</v>
      </c>
      <c r="B2924" s="44" t="s">
        <v>507</v>
      </c>
      <c r="C2924" s="64">
        <v>45027</v>
      </c>
      <c r="D2924" s="62">
        <v>22023003578</v>
      </c>
      <c r="E2924" s="44" t="s">
        <v>2850</v>
      </c>
      <c r="F2924" s="65">
        <v>1214.8399999999999</v>
      </c>
      <c r="G2924" s="44" t="s">
        <v>437</v>
      </c>
      <c r="H2924" s="44" t="s">
        <v>4587</v>
      </c>
      <c r="I2924" s="62" t="s">
        <v>511</v>
      </c>
      <c r="J2924" s="44" t="s">
        <v>519</v>
      </c>
      <c r="K2924" s="44" t="s">
        <v>519</v>
      </c>
      <c r="L2924" s="44" t="s">
        <v>552</v>
      </c>
      <c r="M2924" s="44" t="s">
        <v>976</v>
      </c>
      <c r="N2924" s="44" t="s">
        <v>839</v>
      </c>
      <c r="O2924" s="45" t="s">
        <v>383</v>
      </c>
      <c r="P2924" s="45" t="s">
        <v>3760</v>
      </c>
      <c r="Q2924" s="59" t="str">
        <f>MID(Tabla1[[#This Row],[Aplicación]],14,1)</f>
        <v>2</v>
      </c>
      <c r="R2924" s="35" t="s">
        <v>298</v>
      </c>
      <c r="S2924" s="59" t="str">
        <f>MID(Tabla1[[#This Row],[Aplicación]],6,2)</f>
        <v>01</v>
      </c>
      <c r="T2924" s="35" t="str">
        <f>VLOOKUP(Tabla1[[#This Row],[AREA]],Hoja1!A:B,2,FALSE)</f>
        <v>01. Alcaldía</v>
      </c>
      <c r="U2924" s="56" t="str">
        <f>MID(Tabla1[[#This Row],[Aplicación]],9,4)</f>
        <v>9203</v>
      </c>
      <c r="V2924" s="35" t="str">
        <f>VLOOKUP(Tabla1[[#This Row],[PROGRAMA]],Hoja1!A:B,2,FALSE)</f>
        <v>9203. Unidad de régimen interior</v>
      </c>
      <c r="W2924" s="56" t="str">
        <f>MID(Tabla1[[#This Row],[Aplicación]],14,2)</f>
        <v>22</v>
      </c>
      <c r="X2924" s="56" t="str">
        <f>MID(Tabla1[[#This Row],[Aplicación]],14,6)</f>
        <v>22699</v>
      </c>
    </row>
    <row r="2925" spans="1:24" x14ac:dyDescent="0.25">
      <c r="A2925" s="62">
        <v>220230016859</v>
      </c>
      <c r="B2925" s="44" t="s">
        <v>507</v>
      </c>
      <c r="C2925" s="64">
        <v>45048</v>
      </c>
      <c r="D2925" s="62">
        <v>22023004270</v>
      </c>
      <c r="E2925" s="44" t="s">
        <v>1382</v>
      </c>
      <c r="F2925" s="65">
        <v>280.72000000000003</v>
      </c>
      <c r="G2925" s="44" t="s">
        <v>437</v>
      </c>
      <c r="H2925" s="44" t="s">
        <v>4588</v>
      </c>
      <c r="I2925" s="62" t="s">
        <v>511</v>
      </c>
      <c r="J2925" s="44" t="s">
        <v>519</v>
      </c>
      <c r="K2925" s="44" t="s">
        <v>519</v>
      </c>
      <c r="L2925" s="44" t="s">
        <v>520</v>
      </c>
      <c r="M2925" s="44" t="s">
        <v>976</v>
      </c>
      <c r="N2925" s="44" t="s">
        <v>839</v>
      </c>
      <c r="O2925" s="45" t="s">
        <v>383</v>
      </c>
      <c r="P2925" s="45" t="s">
        <v>3760</v>
      </c>
      <c r="Q2925" s="59" t="str">
        <f>MID(Tabla1[[#This Row],[Aplicación]],14,1)</f>
        <v>2</v>
      </c>
      <c r="R2925" s="35" t="s">
        <v>298</v>
      </c>
      <c r="S2925" s="59" t="str">
        <f>MID(Tabla1[[#This Row],[Aplicación]],6,2)</f>
        <v>03</v>
      </c>
      <c r="T2925" s="35" t="str">
        <f>VLOOKUP(Tabla1[[#This Row],[AREA]],Hoja1!A:B,2,FALSE)</f>
        <v>03. Participación ciudadana y deportes</v>
      </c>
      <c r="U2925" s="56" t="str">
        <f>MID(Tabla1[[#This Row],[Aplicación]],9,4)</f>
        <v>9241</v>
      </c>
      <c r="V2925" s="35" t="str">
        <f>VLOOKUP(Tabla1[[#This Row],[PROGRAMA]],Hoja1!A:B,2,FALSE)</f>
        <v>9241. Participación ciudadana</v>
      </c>
      <c r="W2925" s="56" t="str">
        <f>MID(Tabla1[[#This Row],[Aplicación]],14,2)</f>
        <v>22</v>
      </c>
      <c r="X2925" s="56" t="str">
        <f>MID(Tabla1[[#This Row],[Aplicación]],14,6)</f>
        <v>22699</v>
      </c>
    </row>
    <row r="2926" spans="1:24" x14ac:dyDescent="0.25">
      <c r="A2926" s="62">
        <v>220230015990</v>
      </c>
      <c r="B2926" s="44" t="s">
        <v>507</v>
      </c>
      <c r="C2926" s="64">
        <v>45042</v>
      </c>
      <c r="D2926" s="62">
        <v>22023004110</v>
      </c>
      <c r="E2926" s="44" t="s">
        <v>1506</v>
      </c>
      <c r="F2926" s="65">
        <v>553.30999999999995</v>
      </c>
      <c r="G2926" s="44" t="s">
        <v>2436</v>
      </c>
      <c r="H2926" s="44" t="s">
        <v>4589</v>
      </c>
      <c r="I2926" s="62" t="s">
        <v>511</v>
      </c>
      <c r="J2926" s="44" t="s">
        <v>2438</v>
      </c>
      <c r="K2926" s="44" t="s">
        <v>1359</v>
      </c>
      <c r="L2926" s="44" t="s">
        <v>552</v>
      </c>
      <c r="M2926" s="44" t="s">
        <v>514</v>
      </c>
      <c r="N2926" s="44" t="s">
        <v>515</v>
      </c>
      <c r="O2926" s="45" t="s">
        <v>382</v>
      </c>
      <c r="P2926" s="45" t="s">
        <v>3760</v>
      </c>
      <c r="Q2926" s="59" t="str">
        <f>MID(Tabla1[[#This Row],[Aplicación]],14,1)</f>
        <v>2</v>
      </c>
      <c r="R2926" s="35" t="s">
        <v>298</v>
      </c>
      <c r="S2926" s="59" t="str">
        <f>MID(Tabla1[[#This Row],[Aplicación]],6,2)</f>
        <v>03</v>
      </c>
      <c r="T2926" s="35" t="str">
        <f>VLOOKUP(Tabla1[[#This Row],[AREA]],Hoja1!A:B,2,FALSE)</f>
        <v>03. Participación ciudadana y deportes</v>
      </c>
      <c r="U2926" s="56" t="str">
        <f>MID(Tabla1[[#This Row],[Aplicación]],9,4)</f>
        <v>9241</v>
      </c>
      <c r="V2926" s="35" t="str">
        <f>VLOOKUP(Tabla1[[#This Row],[PROGRAMA]],Hoja1!A:B,2,FALSE)</f>
        <v>9241. Participación ciudadana</v>
      </c>
      <c r="W2926" s="56" t="str">
        <f>MID(Tabla1[[#This Row],[Aplicación]],14,2)</f>
        <v>21</v>
      </c>
      <c r="X2926" s="56" t="str">
        <f>MID(Tabla1[[#This Row],[Aplicación]],14,6)</f>
        <v>212</v>
      </c>
    </row>
    <row r="2927" spans="1:24" x14ac:dyDescent="0.25">
      <c r="A2927" s="62">
        <v>220230020477</v>
      </c>
      <c r="B2927" s="44" t="s">
        <v>507</v>
      </c>
      <c r="C2927" s="64">
        <v>45057</v>
      </c>
      <c r="D2927" s="62">
        <v>22023004444</v>
      </c>
      <c r="E2927" s="44" t="s">
        <v>1382</v>
      </c>
      <c r="F2927" s="65">
        <v>119.19</v>
      </c>
      <c r="G2927" s="44" t="s">
        <v>437</v>
      </c>
      <c r="H2927" s="44" t="s">
        <v>4590</v>
      </c>
      <c r="I2927" s="62" t="s">
        <v>511</v>
      </c>
      <c r="J2927" s="44" t="s">
        <v>519</v>
      </c>
      <c r="K2927" s="44" t="s">
        <v>519</v>
      </c>
      <c r="L2927" s="44" t="s">
        <v>552</v>
      </c>
      <c r="M2927" s="44" t="s">
        <v>976</v>
      </c>
      <c r="N2927" s="44" t="s">
        <v>839</v>
      </c>
      <c r="O2927" s="45" t="s">
        <v>383</v>
      </c>
      <c r="P2927" s="45" t="s">
        <v>3760</v>
      </c>
      <c r="Q2927" s="59" t="str">
        <f>MID(Tabla1[[#This Row],[Aplicación]],14,1)</f>
        <v>2</v>
      </c>
      <c r="R2927" s="35" t="s">
        <v>298</v>
      </c>
      <c r="S2927" s="59" t="str">
        <f>MID(Tabla1[[#This Row],[Aplicación]],6,2)</f>
        <v>03</v>
      </c>
      <c r="T2927" s="35" t="str">
        <f>VLOOKUP(Tabla1[[#This Row],[AREA]],Hoja1!A:B,2,FALSE)</f>
        <v>03. Participación ciudadana y deportes</v>
      </c>
      <c r="U2927" s="56" t="str">
        <f>MID(Tabla1[[#This Row],[Aplicación]],9,4)</f>
        <v>9241</v>
      </c>
      <c r="V2927" s="35" t="str">
        <f>VLOOKUP(Tabla1[[#This Row],[PROGRAMA]],Hoja1!A:B,2,FALSE)</f>
        <v>9241. Participación ciudadana</v>
      </c>
      <c r="W2927" s="56" t="str">
        <f>MID(Tabla1[[#This Row],[Aplicación]],14,2)</f>
        <v>22</v>
      </c>
      <c r="X2927" s="56" t="str">
        <f>MID(Tabla1[[#This Row],[Aplicación]],14,6)</f>
        <v>22699</v>
      </c>
    </row>
    <row r="2928" spans="1:24" x14ac:dyDescent="0.25">
      <c r="A2928" s="62">
        <v>220230016856</v>
      </c>
      <c r="B2928" s="44" t="s">
        <v>507</v>
      </c>
      <c r="C2928" s="64">
        <v>45048</v>
      </c>
      <c r="D2928" s="62">
        <v>22023004209</v>
      </c>
      <c r="E2928" s="44" t="s">
        <v>1510</v>
      </c>
      <c r="F2928" s="65">
        <v>109.94</v>
      </c>
      <c r="G2928" s="44" t="s">
        <v>2436</v>
      </c>
      <c r="H2928" s="44" t="s">
        <v>4591</v>
      </c>
      <c r="I2928" s="62" t="s">
        <v>511</v>
      </c>
      <c r="J2928" s="44" t="s">
        <v>2438</v>
      </c>
      <c r="K2928" s="44" t="s">
        <v>1359</v>
      </c>
      <c r="L2928" s="44" t="s">
        <v>552</v>
      </c>
      <c r="M2928" s="44" t="s">
        <v>514</v>
      </c>
      <c r="N2928" s="44" t="s">
        <v>515</v>
      </c>
      <c r="O2928" s="45" t="s">
        <v>382</v>
      </c>
      <c r="P2928" s="45" t="s">
        <v>3760</v>
      </c>
      <c r="Q2928" s="59" t="str">
        <f>MID(Tabla1[[#This Row],[Aplicación]],14,1)</f>
        <v>2</v>
      </c>
      <c r="R2928" s="35" t="s">
        <v>298</v>
      </c>
      <c r="S2928" s="59" t="str">
        <f>MID(Tabla1[[#This Row],[Aplicación]],6,2)</f>
        <v>10</v>
      </c>
      <c r="T2928" s="35" t="str">
        <f>VLOOKUP(Tabla1[[#This Row],[AREA]],Hoja1!A:B,2,FALSE)</f>
        <v>10. Servicios sociales y mediación comunitaria</v>
      </c>
      <c r="U2928" s="56" t="str">
        <f>MID(Tabla1[[#This Row],[Aplicación]],9,4)</f>
        <v>2311</v>
      </c>
      <c r="V2928" s="35" t="str">
        <f>VLOOKUP(Tabla1[[#This Row],[PROGRAMA]],Hoja1!A:B,2,FALSE)</f>
        <v>2311. Intervención social</v>
      </c>
      <c r="W2928" s="56" t="str">
        <f>MID(Tabla1[[#This Row],[Aplicación]],14,2)</f>
        <v>21</v>
      </c>
      <c r="X2928" s="56" t="str">
        <f>MID(Tabla1[[#This Row],[Aplicación]],14,6)</f>
        <v>212</v>
      </c>
    </row>
    <row r="2929" spans="1:24" x14ac:dyDescent="0.25">
      <c r="A2929" s="62">
        <v>220230016009</v>
      </c>
      <c r="B2929" s="44" t="s">
        <v>507</v>
      </c>
      <c r="C2929" s="64">
        <v>45042</v>
      </c>
      <c r="D2929" s="62">
        <v>22023004123</v>
      </c>
      <c r="E2929" s="44" t="s">
        <v>1752</v>
      </c>
      <c r="F2929" s="65">
        <v>102.85</v>
      </c>
      <c r="G2929" s="44" t="s">
        <v>437</v>
      </c>
      <c r="H2929" s="44" t="s">
        <v>4592</v>
      </c>
      <c r="I2929" s="62" t="s">
        <v>511</v>
      </c>
      <c r="J2929" s="44" t="s">
        <v>519</v>
      </c>
      <c r="K2929" s="44" t="s">
        <v>519</v>
      </c>
      <c r="L2929" s="44" t="s">
        <v>552</v>
      </c>
      <c r="M2929" s="44" t="s">
        <v>976</v>
      </c>
      <c r="N2929" s="44" t="s">
        <v>839</v>
      </c>
      <c r="O2929" s="45" t="s">
        <v>383</v>
      </c>
      <c r="P2929" s="45" t="s">
        <v>3760</v>
      </c>
      <c r="Q2929" s="59" t="str">
        <f>MID(Tabla1[[#This Row],[Aplicación]],14,1)</f>
        <v>2</v>
      </c>
      <c r="R2929" s="35" t="s">
        <v>298</v>
      </c>
      <c r="S2929" s="59" t="str">
        <f>MID(Tabla1[[#This Row],[Aplicación]],6,2)</f>
        <v>10</v>
      </c>
      <c r="T2929" s="35" t="str">
        <f>VLOOKUP(Tabla1[[#This Row],[AREA]],Hoja1!A:B,2,FALSE)</f>
        <v>10. Servicios sociales y mediación comunitaria</v>
      </c>
      <c r="U2929" s="56" t="str">
        <f>MID(Tabla1[[#This Row],[Aplicación]],9,4)</f>
        <v>2312</v>
      </c>
      <c r="V2929" s="35" t="str">
        <f>VLOOKUP(Tabla1[[#This Row],[PROGRAMA]],Hoja1!A:B,2,FALSE)</f>
        <v>2312. Iniciativas sociales</v>
      </c>
      <c r="W2929" s="56" t="str">
        <f>MID(Tabla1[[#This Row],[Aplicación]],14,2)</f>
        <v>22</v>
      </c>
      <c r="X2929" s="56" t="str">
        <f>MID(Tabla1[[#This Row],[Aplicación]],14,6)</f>
        <v>22199</v>
      </c>
    </row>
    <row r="2930" spans="1:24" x14ac:dyDescent="0.25">
      <c r="A2930" s="62">
        <v>220230015355</v>
      </c>
      <c r="B2930" s="44" t="s">
        <v>507</v>
      </c>
      <c r="C2930" s="64">
        <v>45041</v>
      </c>
      <c r="D2930" s="62">
        <v>22023003892</v>
      </c>
      <c r="E2930" s="44" t="s">
        <v>1191</v>
      </c>
      <c r="F2930" s="65">
        <v>75.02</v>
      </c>
      <c r="G2930" s="44" t="s">
        <v>437</v>
      </c>
      <c r="H2930" s="44" t="s">
        <v>4593</v>
      </c>
      <c r="I2930" s="62" t="s">
        <v>511</v>
      </c>
      <c r="J2930" s="44" t="s">
        <v>519</v>
      </c>
      <c r="K2930" s="44" t="s">
        <v>519</v>
      </c>
      <c r="L2930" s="44" t="s">
        <v>552</v>
      </c>
      <c r="M2930" s="44" t="s">
        <v>976</v>
      </c>
      <c r="N2930" s="44" t="s">
        <v>839</v>
      </c>
      <c r="O2930" s="45" t="s">
        <v>383</v>
      </c>
      <c r="P2930" s="45" t="s">
        <v>3760</v>
      </c>
      <c r="Q2930" s="59" t="str">
        <f>MID(Tabla1[[#This Row],[Aplicación]],14,1)</f>
        <v>2</v>
      </c>
      <c r="R2930" s="35" t="s">
        <v>298</v>
      </c>
      <c r="S2930" s="59" t="str">
        <f>MID(Tabla1[[#This Row],[Aplicación]],6,2)</f>
        <v>06</v>
      </c>
      <c r="T2930" s="35" t="str">
        <f>VLOOKUP(Tabla1[[#This Row],[AREA]],Hoja1!A:B,2,FALSE)</f>
        <v>06. Educación, infancia, juventud e igualdad</v>
      </c>
      <c r="U2930" s="56" t="str">
        <f>MID(Tabla1[[#This Row],[Aplicación]],9,4)</f>
        <v>2315</v>
      </c>
      <c r="V2930" s="35" t="str">
        <f>VLOOKUP(Tabla1[[#This Row],[PROGRAMA]],Hoja1!A:B,2,FALSE)</f>
        <v>2315. Políticas de Igualdad e infancia</v>
      </c>
      <c r="W2930" s="56" t="str">
        <f>MID(Tabla1[[#This Row],[Aplicación]],14,2)</f>
        <v>22</v>
      </c>
      <c r="X2930" s="56" t="str">
        <f>MID(Tabla1[[#This Row],[Aplicación]],14,6)</f>
        <v>22611</v>
      </c>
    </row>
    <row r="2931" spans="1:24" x14ac:dyDescent="0.25">
      <c r="A2931" s="62">
        <v>220230018150</v>
      </c>
      <c r="B2931" s="44" t="s">
        <v>507</v>
      </c>
      <c r="C2931" s="64">
        <v>45054</v>
      </c>
      <c r="D2931" s="62">
        <v>22023004177</v>
      </c>
      <c r="E2931" s="44" t="s">
        <v>4594</v>
      </c>
      <c r="F2931" s="65">
        <v>1247.5</v>
      </c>
      <c r="G2931" s="44" t="s">
        <v>4595</v>
      </c>
      <c r="H2931" s="44" t="s">
        <v>4596</v>
      </c>
      <c r="I2931" s="62" t="s">
        <v>511</v>
      </c>
      <c r="J2931" s="44" t="s">
        <v>1637</v>
      </c>
      <c r="K2931" s="44" t="s">
        <v>1637</v>
      </c>
      <c r="L2931" s="44" t="s">
        <v>552</v>
      </c>
      <c r="M2931" s="44" t="s">
        <v>976</v>
      </c>
      <c r="N2931" s="44" t="s">
        <v>839</v>
      </c>
      <c r="O2931" s="45" t="s">
        <v>383</v>
      </c>
      <c r="P2931" s="45" t="s">
        <v>3760</v>
      </c>
      <c r="Q2931" s="59" t="str">
        <f>MID(Tabla1[[#This Row],[Aplicación]],14,1)</f>
        <v>2</v>
      </c>
      <c r="R2931" s="35" t="s">
        <v>298</v>
      </c>
      <c r="S2931" s="59" t="str">
        <f>MID(Tabla1[[#This Row],[Aplicación]],6,2)</f>
        <v>01</v>
      </c>
      <c r="T2931" s="35" t="str">
        <f>VLOOKUP(Tabla1[[#This Row],[AREA]],Hoja1!A:B,2,FALSE)</f>
        <v>01. Alcaldía</v>
      </c>
      <c r="U2931" s="56" t="str">
        <f>MID(Tabla1[[#This Row],[Aplicación]],9,4)</f>
        <v>9203</v>
      </c>
      <c r="V2931" s="35" t="str">
        <f>VLOOKUP(Tabla1[[#This Row],[PROGRAMA]],Hoja1!A:B,2,FALSE)</f>
        <v>9203. Unidad de régimen interior</v>
      </c>
      <c r="W2931" s="56" t="str">
        <f>MID(Tabla1[[#This Row],[Aplicación]],14,2)</f>
        <v>22</v>
      </c>
      <c r="X2931" s="56" t="str">
        <f>MID(Tabla1[[#This Row],[Aplicación]],14,6)</f>
        <v>22602</v>
      </c>
    </row>
    <row r="2932" spans="1:24" x14ac:dyDescent="0.25">
      <c r="A2932" s="62">
        <v>220230015938</v>
      </c>
      <c r="B2932" s="44" t="s">
        <v>507</v>
      </c>
      <c r="C2932" s="64">
        <v>45042</v>
      </c>
      <c r="D2932" s="62">
        <v>22023004103</v>
      </c>
      <c r="E2932" s="44" t="s">
        <v>1272</v>
      </c>
      <c r="F2932" s="65">
        <v>6050</v>
      </c>
      <c r="G2932" s="44" t="s">
        <v>4597</v>
      </c>
      <c r="H2932" s="44" t="s">
        <v>4598</v>
      </c>
      <c r="I2932" s="62" t="s">
        <v>511</v>
      </c>
      <c r="J2932" s="44" t="s">
        <v>4599</v>
      </c>
      <c r="K2932" s="44" t="s">
        <v>519</v>
      </c>
      <c r="L2932" s="44" t="s">
        <v>527</v>
      </c>
      <c r="M2932" s="44" t="s">
        <v>976</v>
      </c>
      <c r="N2932" s="44" t="s">
        <v>839</v>
      </c>
      <c r="O2932" s="45" t="s">
        <v>383</v>
      </c>
      <c r="P2932" s="45" t="s">
        <v>3760</v>
      </c>
      <c r="Q2932" s="59" t="str">
        <f>MID(Tabla1[[#This Row],[Aplicación]],14,1)</f>
        <v>6</v>
      </c>
      <c r="R2932" s="35" t="s">
        <v>299</v>
      </c>
      <c r="S2932" s="59" t="str">
        <f>MID(Tabla1[[#This Row],[Aplicación]],6,2)</f>
        <v>02</v>
      </c>
      <c r="T2932" s="35" t="str">
        <f>VLOOKUP(Tabla1[[#This Row],[AREA]],Hoja1!A:B,2,FALSE)</f>
        <v>02. Planeamiento urbanístico y vivienda</v>
      </c>
      <c r="U2932" s="56" t="str">
        <f>MID(Tabla1[[#This Row],[Aplicación]],9,4)</f>
        <v>9332</v>
      </c>
      <c r="V2932" s="35" t="str">
        <f>VLOOKUP(Tabla1[[#This Row],[PROGRAMA]],Hoja1!A:B,2,FALSE)</f>
        <v>9332. Mantenimiento de edificios e instalaciones municipales</v>
      </c>
      <c r="W2932" s="56" t="str">
        <f>MID(Tabla1[[#This Row],[Aplicación]],14,2)</f>
        <v>63</v>
      </c>
      <c r="X2932" s="56" t="str">
        <f>MID(Tabla1[[#This Row],[Aplicación]],14,6)</f>
        <v>632</v>
      </c>
    </row>
    <row r="2933" spans="1:24" x14ac:dyDescent="0.25">
      <c r="A2933" s="62">
        <v>220230015983</v>
      </c>
      <c r="B2933" s="44" t="s">
        <v>507</v>
      </c>
      <c r="C2933" s="64">
        <v>45042</v>
      </c>
      <c r="D2933" s="62">
        <v>22023004027</v>
      </c>
      <c r="E2933" s="44" t="s">
        <v>931</v>
      </c>
      <c r="F2933" s="65">
        <v>4235</v>
      </c>
      <c r="G2933" s="44" t="s">
        <v>4600</v>
      </c>
      <c r="H2933" s="44" t="s">
        <v>4601</v>
      </c>
      <c r="I2933" s="62" t="s">
        <v>511</v>
      </c>
      <c r="J2933" s="44" t="s">
        <v>1152</v>
      </c>
      <c r="K2933" s="44" t="s">
        <v>771</v>
      </c>
      <c r="L2933" s="44" t="s">
        <v>652</v>
      </c>
      <c r="M2933" s="44" t="s">
        <v>976</v>
      </c>
      <c r="N2933" s="44" t="s">
        <v>839</v>
      </c>
      <c r="O2933" s="45" t="s">
        <v>383</v>
      </c>
      <c r="P2933" s="45" t="s">
        <v>3760</v>
      </c>
      <c r="Q2933" s="59" t="str">
        <f>MID(Tabla1[[#This Row],[Aplicación]],14,1)</f>
        <v>2</v>
      </c>
      <c r="R2933" s="35" t="s">
        <v>298</v>
      </c>
      <c r="S2933" s="59" t="str">
        <f>MID(Tabla1[[#This Row],[Aplicación]],6,2)</f>
        <v>09</v>
      </c>
      <c r="T2933" s="35" t="str">
        <f>VLOOKUP(Tabla1[[#This Row],[AREA]],Hoja1!A:B,2,FALSE)</f>
        <v>09. Cultura y turismo</v>
      </c>
      <c r="U2933" s="56" t="str">
        <f>MID(Tabla1[[#This Row],[Aplicación]],9,4)</f>
        <v>3341</v>
      </c>
      <c r="V2933" s="35" t="str">
        <f>VLOOKUP(Tabla1[[#This Row],[PROGRAMA]],Hoja1!A:B,2,FALSE)</f>
        <v>3341. Coordinación de políticas culturales</v>
      </c>
      <c r="W2933" s="56" t="str">
        <f>MID(Tabla1[[#This Row],[Aplicación]],14,2)</f>
        <v>22</v>
      </c>
      <c r="X2933" s="56" t="str">
        <f>MID(Tabla1[[#This Row],[Aplicación]],14,6)</f>
        <v>22799</v>
      </c>
    </row>
    <row r="2934" spans="1:24" x14ac:dyDescent="0.25">
      <c r="A2934" s="62">
        <v>220230020530</v>
      </c>
      <c r="B2934" s="44" t="s">
        <v>507</v>
      </c>
      <c r="C2934" s="64">
        <v>45058</v>
      </c>
      <c r="D2934" s="62">
        <v>22023004362</v>
      </c>
      <c r="E2934" s="44" t="s">
        <v>1072</v>
      </c>
      <c r="F2934" s="65">
        <v>1207.3399999999999</v>
      </c>
      <c r="G2934" s="44" t="s">
        <v>4602</v>
      </c>
      <c r="H2934" s="44" t="s">
        <v>4603</v>
      </c>
      <c r="I2934" s="62" t="s">
        <v>511</v>
      </c>
      <c r="J2934" s="44" t="s">
        <v>4604</v>
      </c>
      <c r="K2934" s="44" t="s">
        <v>858</v>
      </c>
      <c r="L2934" s="44" t="s">
        <v>552</v>
      </c>
      <c r="M2934" s="44" t="s">
        <v>976</v>
      </c>
      <c r="N2934" s="44" t="s">
        <v>839</v>
      </c>
      <c r="O2934" s="45" t="s">
        <v>383</v>
      </c>
      <c r="P2934" s="45" t="s">
        <v>3760</v>
      </c>
      <c r="Q2934" s="59" t="str">
        <f>MID(Tabla1[[#This Row],[Aplicación]],14,1)</f>
        <v>2</v>
      </c>
      <c r="R2934" s="35" t="s">
        <v>298</v>
      </c>
      <c r="S2934" s="59" t="str">
        <f>MID(Tabla1[[#This Row],[Aplicación]],6,2)</f>
        <v>07</v>
      </c>
      <c r="T2934" s="35" t="str">
        <f>VLOOKUP(Tabla1[[#This Row],[AREA]],Hoja1!A:B,2,FALSE)</f>
        <v>07. Medio ambiente y desarrollo sostenible</v>
      </c>
      <c r="U2934" s="56" t="str">
        <f>MID(Tabla1[[#This Row],[Aplicación]],9,4)</f>
        <v>1721</v>
      </c>
      <c r="V2934" s="35" t="str">
        <f>VLOOKUP(Tabla1[[#This Row],[PROGRAMA]],Hoja1!A:B,2,FALSE)</f>
        <v>1721. Protección del medio ambiente</v>
      </c>
      <c r="W2934" s="56" t="str">
        <f>MID(Tabla1[[#This Row],[Aplicación]],14,2)</f>
        <v>22</v>
      </c>
      <c r="X2934" s="56" t="str">
        <f>MID(Tabla1[[#This Row],[Aplicación]],14,6)</f>
        <v>22199</v>
      </c>
    </row>
    <row r="2935" spans="1:24" x14ac:dyDescent="0.25">
      <c r="A2935" s="62">
        <v>220230018162</v>
      </c>
      <c r="B2935" s="44" t="s">
        <v>507</v>
      </c>
      <c r="C2935" s="64">
        <v>45054</v>
      </c>
      <c r="D2935" s="62">
        <v>22023004370</v>
      </c>
      <c r="E2935" s="44" t="s">
        <v>1234</v>
      </c>
      <c r="F2935" s="65">
        <v>2090</v>
      </c>
      <c r="G2935" s="44" t="s">
        <v>4023</v>
      </c>
      <c r="H2935" s="44" t="s">
        <v>4605</v>
      </c>
      <c r="I2935" s="62" t="s">
        <v>511</v>
      </c>
      <c r="J2935" s="44" t="s">
        <v>519</v>
      </c>
      <c r="K2935" s="44" t="s">
        <v>519</v>
      </c>
      <c r="L2935" s="44" t="s">
        <v>520</v>
      </c>
      <c r="M2935" s="44" t="s">
        <v>976</v>
      </c>
      <c r="N2935" s="44" t="s">
        <v>839</v>
      </c>
      <c r="O2935" s="45" t="s">
        <v>383</v>
      </c>
      <c r="P2935" s="45" t="s">
        <v>3760</v>
      </c>
      <c r="Q2935" s="59" t="str">
        <f>MID(Tabla1[[#This Row],[Aplicación]],14,1)</f>
        <v>2</v>
      </c>
      <c r="R2935" s="35" t="s">
        <v>298</v>
      </c>
      <c r="S2935" s="59" t="str">
        <f>MID(Tabla1[[#This Row],[Aplicación]],6,2)</f>
        <v>10</v>
      </c>
      <c r="T2935" s="35" t="str">
        <f>VLOOKUP(Tabla1[[#This Row],[AREA]],Hoja1!A:B,2,FALSE)</f>
        <v>10. Servicios sociales y mediación comunitaria</v>
      </c>
      <c r="U2935" s="56" t="str">
        <f>MID(Tabla1[[#This Row],[Aplicación]],9,4)</f>
        <v>2316</v>
      </c>
      <c r="V2935" s="35" t="str">
        <f>VLOOKUP(Tabla1[[#This Row],[PROGRAMA]],Hoja1!A:B,2,FALSE)</f>
        <v>2316. Mediación comunitaria</v>
      </c>
      <c r="W2935" s="56" t="str">
        <f>MID(Tabla1[[#This Row],[Aplicación]],14,2)</f>
        <v>22</v>
      </c>
      <c r="X2935" s="56" t="str">
        <f>MID(Tabla1[[#This Row],[Aplicación]],14,6)</f>
        <v>22616</v>
      </c>
    </row>
    <row r="2936" spans="1:24" x14ac:dyDescent="0.25">
      <c r="A2936" s="62">
        <v>220230013642</v>
      </c>
      <c r="B2936" s="44" t="s">
        <v>507</v>
      </c>
      <c r="C2936" s="64">
        <v>45026</v>
      </c>
      <c r="D2936" s="62">
        <v>22023003079</v>
      </c>
      <c r="E2936" s="44" t="s">
        <v>1341</v>
      </c>
      <c r="F2936" s="65">
        <v>2420</v>
      </c>
      <c r="G2936" s="44" t="s">
        <v>2727</v>
      </c>
      <c r="H2936" s="44" t="s">
        <v>3339</v>
      </c>
      <c r="I2936" s="62" t="s">
        <v>2168</v>
      </c>
      <c r="J2936" s="44" t="s">
        <v>519</v>
      </c>
      <c r="K2936" s="44" t="s">
        <v>519</v>
      </c>
      <c r="L2936" s="44" t="s">
        <v>520</v>
      </c>
      <c r="M2936" s="44" t="s">
        <v>514</v>
      </c>
      <c r="N2936" s="44" t="s">
        <v>515</v>
      </c>
      <c r="O2936" s="45" t="s">
        <v>382</v>
      </c>
      <c r="P2936" s="45" t="s">
        <v>3760</v>
      </c>
      <c r="Q2936" s="59" t="str">
        <f>MID(Tabla1[[#This Row],[Aplicación]],14,1)</f>
        <v>2</v>
      </c>
      <c r="R2936" s="35" t="s">
        <v>298</v>
      </c>
      <c r="S2936" s="59" t="str">
        <f>MID(Tabla1[[#This Row],[Aplicación]],6,2)</f>
        <v>05</v>
      </c>
      <c r="T2936" s="35" t="str">
        <f>VLOOKUP(Tabla1[[#This Row],[AREA]],Hoja1!A:B,2,FALSE)</f>
        <v>05. Innovación, desarrollo económico, empleo y comercio</v>
      </c>
      <c r="U2936" s="56" t="str">
        <f>MID(Tabla1[[#This Row],[Aplicación]],9,4)</f>
        <v>4331</v>
      </c>
      <c r="V2936" s="35" t="str">
        <f>VLOOKUP(Tabla1[[#This Row],[PROGRAMA]],Hoja1!A:B,2,FALSE)</f>
        <v>4331. Desarrollo empresarial</v>
      </c>
      <c r="W2936" s="56" t="str">
        <f>MID(Tabla1[[#This Row],[Aplicación]],14,2)</f>
        <v>22</v>
      </c>
      <c r="X2936" s="56" t="str">
        <f>MID(Tabla1[[#This Row],[Aplicación]],14,6)</f>
        <v>22602</v>
      </c>
    </row>
    <row r="2937" spans="1:24" x14ac:dyDescent="0.25">
      <c r="A2937" s="62">
        <v>220230026633</v>
      </c>
      <c r="B2937" s="44" t="s">
        <v>1514</v>
      </c>
      <c r="C2937" s="64">
        <v>45077</v>
      </c>
      <c r="D2937" s="62">
        <v>22023003827</v>
      </c>
      <c r="E2937" s="44" t="s">
        <v>1510</v>
      </c>
      <c r="F2937" s="65">
        <v>171.77</v>
      </c>
      <c r="G2937" s="44" t="s">
        <v>48</v>
      </c>
      <c r="H2937" s="44" t="s">
        <v>4606</v>
      </c>
      <c r="I2937" s="62" t="s">
        <v>1517</v>
      </c>
      <c r="J2937" s="44" t="s">
        <v>519</v>
      </c>
      <c r="K2937" s="44" t="s">
        <v>519</v>
      </c>
      <c r="L2937" s="44" t="s">
        <v>552</v>
      </c>
      <c r="M2937" s="44" t="s">
        <v>514</v>
      </c>
      <c r="N2937" s="44" t="s">
        <v>515</v>
      </c>
      <c r="O2937" s="45" t="s">
        <v>382</v>
      </c>
      <c r="P2937" s="45" t="s">
        <v>3760</v>
      </c>
      <c r="Q2937" s="59" t="str">
        <f>MID(Tabla1[[#This Row],[Aplicación]],14,1)</f>
        <v>2</v>
      </c>
      <c r="R2937" s="35" t="s">
        <v>298</v>
      </c>
      <c r="S2937" s="59" t="str">
        <f>MID(Tabla1[[#This Row],[Aplicación]],6,2)</f>
        <v>10</v>
      </c>
      <c r="T2937" s="35" t="str">
        <f>VLOOKUP(Tabla1[[#This Row],[AREA]],Hoja1!A:B,2,FALSE)</f>
        <v>10. Servicios sociales y mediación comunitaria</v>
      </c>
      <c r="U2937" s="56" t="str">
        <f>MID(Tabla1[[#This Row],[Aplicación]],9,4)</f>
        <v>2311</v>
      </c>
      <c r="V2937" s="35" t="str">
        <f>VLOOKUP(Tabla1[[#This Row],[PROGRAMA]],Hoja1!A:B,2,FALSE)</f>
        <v>2311. Intervención social</v>
      </c>
      <c r="W2937" s="56" t="str">
        <f>MID(Tabla1[[#This Row],[Aplicación]],14,2)</f>
        <v>21</v>
      </c>
      <c r="X2937" s="56" t="str">
        <f>MID(Tabla1[[#This Row],[Aplicación]],14,6)</f>
        <v>212</v>
      </c>
    </row>
    <row r="2938" spans="1:24" x14ac:dyDescent="0.25">
      <c r="A2938" s="62">
        <v>220230013652</v>
      </c>
      <c r="B2938" s="44" t="s">
        <v>1514</v>
      </c>
      <c r="C2938" s="64">
        <v>45026</v>
      </c>
      <c r="D2938" s="62">
        <v>22022008449</v>
      </c>
      <c r="E2938" s="44" t="s">
        <v>4608</v>
      </c>
      <c r="F2938" s="65">
        <v>46143.45</v>
      </c>
      <c r="G2938" s="44" t="s">
        <v>4609</v>
      </c>
      <c r="H2938" s="44" t="s">
        <v>4610</v>
      </c>
      <c r="I2938" s="62" t="s">
        <v>1517</v>
      </c>
      <c r="J2938" s="44" t="s">
        <v>3863</v>
      </c>
      <c r="K2938" s="44" t="s">
        <v>3863</v>
      </c>
      <c r="L2938" s="44" t="s">
        <v>552</v>
      </c>
      <c r="M2938" s="44" t="s">
        <v>514</v>
      </c>
      <c r="N2938" s="44" t="s">
        <v>515</v>
      </c>
      <c r="O2938" s="45" t="s">
        <v>371</v>
      </c>
      <c r="P2938" s="45" t="s">
        <v>3760</v>
      </c>
      <c r="Q2938" s="59" t="str">
        <f>MID(Tabla1[[#This Row],[Aplicación]],14,1)</f>
        <v>6</v>
      </c>
      <c r="R2938" s="35" t="s">
        <v>299</v>
      </c>
      <c r="S2938" s="59" t="str">
        <f>MID(Tabla1[[#This Row],[Aplicación]],6,2)</f>
        <v>03</v>
      </c>
      <c r="T2938" s="35" t="str">
        <f>VLOOKUP(Tabla1[[#This Row],[AREA]],Hoja1!A:B,2,FALSE)</f>
        <v>03. Participación ciudadana y deportes</v>
      </c>
      <c r="U2938" s="56" t="str">
        <f>MID(Tabla1[[#This Row],[Aplicación]],9,4)</f>
        <v>9241</v>
      </c>
      <c r="V2938" s="35" t="str">
        <f>VLOOKUP(Tabla1[[#This Row],[PROGRAMA]],Hoja1!A:B,2,FALSE)</f>
        <v>9241. Participación ciudadana</v>
      </c>
      <c r="W2938" s="56" t="str">
        <f>MID(Tabla1[[#This Row],[Aplicación]],14,2)</f>
        <v>63</v>
      </c>
      <c r="X2938" s="56" t="str">
        <f>MID(Tabla1[[#This Row],[Aplicación]],14,6)</f>
        <v>635</v>
      </c>
    </row>
    <row r="2939" spans="1:24" x14ac:dyDescent="0.25">
      <c r="A2939" s="62">
        <v>220230018493</v>
      </c>
      <c r="B2939" s="44" t="s">
        <v>1514</v>
      </c>
      <c r="C2939" s="64">
        <v>45055</v>
      </c>
      <c r="D2939" s="62">
        <v>22023002053</v>
      </c>
      <c r="E2939" s="44" t="s">
        <v>2107</v>
      </c>
      <c r="F2939" s="65">
        <v>186.79</v>
      </c>
      <c r="G2939" s="44" t="s">
        <v>97</v>
      </c>
      <c r="H2939" s="44" t="s">
        <v>4611</v>
      </c>
      <c r="I2939" s="62" t="s">
        <v>1517</v>
      </c>
      <c r="J2939" s="44" t="s">
        <v>519</v>
      </c>
      <c r="K2939" s="44" t="s">
        <v>519</v>
      </c>
      <c r="L2939" s="44" t="s">
        <v>520</v>
      </c>
      <c r="M2939" s="44" t="s">
        <v>514</v>
      </c>
      <c r="N2939" s="44" t="s">
        <v>515</v>
      </c>
      <c r="O2939" s="45" t="s">
        <v>382</v>
      </c>
      <c r="P2939" s="45" t="s">
        <v>3760</v>
      </c>
      <c r="Q2939" s="59" t="str">
        <f>MID(Tabla1[[#This Row],[Aplicación]],14,1)</f>
        <v>2</v>
      </c>
      <c r="R2939" s="35" t="s">
        <v>298</v>
      </c>
      <c r="S2939" s="59" t="str">
        <f>MID(Tabla1[[#This Row],[Aplicación]],6,2)</f>
        <v>07</v>
      </c>
      <c r="T2939" s="35" t="str">
        <f>VLOOKUP(Tabla1[[#This Row],[AREA]],Hoja1!A:B,2,FALSE)</f>
        <v>07. Medio ambiente y desarrollo sostenible</v>
      </c>
      <c r="U2939" s="56" t="str">
        <f>MID(Tabla1[[#This Row],[Aplicación]],9,4)</f>
        <v>1711</v>
      </c>
      <c r="V2939" s="35" t="str">
        <f>VLOOKUP(Tabla1[[#This Row],[PROGRAMA]],Hoja1!A:B,2,FALSE)</f>
        <v>1711. Parques y jardines</v>
      </c>
      <c r="W2939" s="56" t="str">
        <f>MID(Tabla1[[#This Row],[Aplicación]],14,2)</f>
        <v>21</v>
      </c>
      <c r="X2939" s="56" t="str">
        <f>MID(Tabla1[[#This Row],[Aplicación]],14,6)</f>
        <v>213</v>
      </c>
    </row>
    <row r="2940" spans="1:24" x14ac:dyDescent="0.25">
      <c r="A2940" s="62">
        <v>220230018586</v>
      </c>
      <c r="B2940" s="44" t="s">
        <v>1514</v>
      </c>
      <c r="C2940" s="64">
        <v>45055</v>
      </c>
      <c r="D2940" s="62">
        <v>22023001343</v>
      </c>
      <c r="E2940" s="44" t="s">
        <v>1506</v>
      </c>
      <c r="F2940" s="65">
        <v>424.54</v>
      </c>
      <c r="G2940" s="44" t="s">
        <v>97</v>
      </c>
      <c r="H2940" s="44" t="s">
        <v>4612</v>
      </c>
      <c r="I2940" s="62" t="s">
        <v>1517</v>
      </c>
      <c r="J2940" s="44" t="s">
        <v>519</v>
      </c>
      <c r="K2940" s="44" t="s">
        <v>519</v>
      </c>
      <c r="L2940" s="44" t="s">
        <v>552</v>
      </c>
      <c r="M2940" s="44" t="s">
        <v>514</v>
      </c>
      <c r="N2940" s="44" t="s">
        <v>604</v>
      </c>
      <c r="O2940" s="45" t="s">
        <v>382</v>
      </c>
      <c r="P2940" s="45" t="s">
        <v>3760</v>
      </c>
      <c r="Q2940" s="59" t="str">
        <f>MID(Tabla1[[#This Row],[Aplicación]],14,1)</f>
        <v>2</v>
      </c>
      <c r="R2940" s="35" t="s">
        <v>298</v>
      </c>
      <c r="S2940" s="59" t="str">
        <f>MID(Tabla1[[#This Row],[Aplicación]],6,2)</f>
        <v>03</v>
      </c>
      <c r="T2940" s="35" t="str">
        <f>VLOOKUP(Tabla1[[#This Row],[AREA]],Hoja1!A:B,2,FALSE)</f>
        <v>03. Participación ciudadana y deportes</v>
      </c>
      <c r="U2940" s="56" t="str">
        <f>MID(Tabla1[[#This Row],[Aplicación]],9,4)</f>
        <v>9241</v>
      </c>
      <c r="V2940" s="35" t="str">
        <f>VLOOKUP(Tabla1[[#This Row],[PROGRAMA]],Hoja1!A:B,2,FALSE)</f>
        <v>9241. Participación ciudadana</v>
      </c>
      <c r="W2940" s="56" t="str">
        <f>MID(Tabla1[[#This Row],[Aplicación]],14,2)</f>
        <v>21</v>
      </c>
      <c r="X2940" s="56" t="str">
        <f>MID(Tabla1[[#This Row],[Aplicación]],14,6)</f>
        <v>212</v>
      </c>
    </row>
    <row r="2941" spans="1:24" x14ac:dyDescent="0.25">
      <c r="A2941" s="62">
        <v>220230020126</v>
      </c>
      <c r="B2941" s="44" t="s">
        <v>1514</v>
      </c>
      <c r="C2941" s="64">
        <v>45057</v>
      </c>
      <c r="D2941" s="62">
        <v>22023001466</v>
      </c>
      <c r="E2941" s="44" t="s">
        <v>2624</v>
      </c>
      <c r="F2941" s="65">
        <v>24.13</v>
      </c>
      <c r="G2941" s="44" t="s">
        <v>97</v>
      </c>
      <c r="H2941" s="44" t="s">
        <v>4613</v>
      </c>
      <c r="I2941" s="62" t="s">
        <v>1517</v>
      </c>
      <c r="J2941" s="44" t="s">
        <v>519</v>
      </c>
      <c r="K2941" s="44" t="s">
        <v>519</v>
      </c>
      <c r="L2941" s="44" t="s">
        <v>552</v>
      </c>
      <c r="M2941" s="44" t="s">
        <v>514</v>
      </c>
      <c r="N2941" s="44" t="s">
        <v>515</v>
      </c>
      <c r="O2941" s="45" t="s">
        <v>382</v>
      </c>
      <c r="P2941" s="45" t="s">
        <v>3760</v>
      </c>
      <c r="Q2941" s="59" t="str">
        <f>MID(Tabla1[[#This Row],[Aplicación]],14,1)</f>
        <v>2</v>
      </c>
      <c r="R2941" s="35" t="s">
        <v>298</v>
      </c>
      <c r="S2941" s="59" t="str">
        <f>MID(Tabla1[[#This Row],[Aplicación]],6,2)</f>
        <v>11</v>
      </c>
      <c r="T2941" s="35" t="str">
        <f>VLOOKUP(Tabla1[[#This Row],[AREA]],Hoja1!A:B,2,FALSE)</f>
        <v>11. Salud pública y seguridad ciudadana</v>
      </c>
      <c r="U2941" s="56" t="str">
        <f>MID(Tabla1[[#This Row],[Aplicación]],9,4)</f>
        <v>1621</v>
      </c>
      <c r="V2941" s="35" t="str">
        <f>VLOOKUP(Tabla1[[#This Row],[PROGRAMA]],Hoja1!A:B,2,FALSE)</f>
        <v>1621. Servicio de limpieza</v>
      </c>
      <c r="W2941" s="56" t="str">
        <f>MID(Tabla1[[#This Row],[Aplicación]],14,2)</f>
        <v>22</v>
      </c>
      <c r="X2941" s="56" t="str">
        <f>MID(Tabla1[[#This Row],[Aplicación]],14,6)</f>
        <v>22199</v>
      </c>
    </row>
    <row r="2942" spans="1:24" x14ac:dyDescent="0.25">
      <c r="A2942" s="62">
        <v>220230020893</v>
      </c>
      <c r="B2942" s="44" t="s">
        <v>1514</v>
      </c>
      <c r="C2942" s="64">
        <v>45062</v>
      </c>
      <c r="D2942" s="62">
        <v>22023001478</v>
      </c>
      <c r="E2942" s="44" t="s">
        <v>1502</v>
      </c>
      <c r="F2942" s="65">
        <v>2.4900000000000002</v>
      </c>
      <c r="G2942" s="44" t="s">
        <v>97</v>
      </c>
      <c r="H2942" s="44" t="s">
        <v>4614</v>
      </c>
      <c r="I2942" s="62" t="s">
        <v>1517</v>
      </c>
      <c r="J2942" s="44" t="s">
        <v>519</v>
      </c>
      <c r="K2942" s="44" t="s">
        <v>519</v>
      </c>
      <c r="L2942" s="44" t="s">
        <v>552</v>
      </c>
      <c r="M2942" s="44" t="s">
        <v>514</v>
      </c>
      <c r="N2942" s="44" t="s">
        <v>515</v>
      </c>
      <c r="O2942" s="45" t="s">
        <v>382</v>
      </c>
      <c r="P2942" s="45" t="s">
        <v>3760</v>
      </c>
      <c r="Q2942" s="59" t="str">
        <f>MID(Tabla1[[#This Row],[Aplicación]],14,1)</f>
        <v>2</v>
      </c>
      <c r="R2942" s="35" t="s">
        <v>298</v>
      </c>
      <c r="S2942" s="59" t="str">
        <f>MID(Tabla1[[#This Row],[Aplicación]],6,2)</f>
        <v>10</v>
      </c>
      <c r="T2942" s="35" t="str">
        <f>VLOOKUP(Tabla1[[#This Row],[AREA]],Hoja1!A:B,2,FALSE)</f>
        <v>10. Servicios sociales y mediación comunitaria</v>
      </c>
      <c r="U2942" s="56" t="str">
        <f>MID(Tabla1[[#This Row],[Aplicación]],9,4)</f>
        <v>2412</v>
      </c>
      <c r="V2942" s="35" t="str">
        <f>VLOOKUP(Tabla1[[#This Row],[PROGRAMA]],Hoja1!A:B,2,FALSE)</f>
        <v>2412. Formación para el empleo</v>
      </c>
      <c r="W2942" s="56" t="str">
        <f>MID(Tabla1[[#This Row],[Aplicación]],14,2)</f>
        <v>22</v>
      </c>
      <c r="X2942" s="56" t="str">
        <f>MID(Tabla1[[#This Row],[Aplicación]],14,6)</f>
        <v>22199</v>
      </c>
    </row>
    <row r="2943" spans="1:24" x14ac:dyDescent="0.25">
      <c r="A2943" s="62">
        <v>220230026179</v>
      </c>
      <c r="B2943" s="44" t="s">
        <v>1514</v>
      </c>
      <c r="C2943" s="64">
        <v>45077</v>
      </c>
      <c r="D2943" s="62">
        <v>22023001563</v>
      </c>
      <c r="E2943" s="44" t="s">
        <v>741</v>
      </c>
      <c r="F2943" s="65">
        <v>711.89</v>
      </c>
      <c r="G2943" s="44" t="s">
        <v>97</v>
      </c>
      <c r="H2943" s="44" t="s">
        <v>4615</v>
      </c>
      <c r="I2943" s="62" t="s">
        <v>1517</v>
      </c>
      <c r="J2943" s="44" t="s">
        <v>519</v>
      </c>
      <c r="K2943" s="44" t="s">
        <v>519</v>
      </c>
      <c r="L2943" s="44" t="s">
        <v>552</v>
      </c>
      <c r="M2943" s="44" t="s">
        <v>514</v>
      </c>
      <c r="N2943" s="44" t="s">
        <v>515</v>
      </c>
      <c r="O2943" s="45" t="s">
        <v>382</v>
      </c>
      <c r="P2943" s="45" t="s">
        <v>3760</v>
      </c>
      <c r="Q2943" s="59" t="str">
        <f>MID(Tabla1[[#This Row],[Aplicación]],14,1)</f>
        <v>6</v>
      </c>
      <c r="R2943" s="35" t="s">
        <v>299</v>
      </c>
      <c r="S2943" s="59" t="str">
        <f>MID(Tabla1[[#This Row],[Aplicación]],6,2)</f>
        <v>07</v>
      </c>
      <c r="T2943" s="35" t="str">
        <f>VLOOKUP(Tabla1[[#This Row],[AREA]],Hoja1!A:B,2,FALSE)</f>
        <v>07. Medio ambiente y desarrollo sostenible</v>
      </c>
      <c r="U2943" s="56" t="str">
        <f>MID(Tabla1[[#This Row],[Aplicación]],9,4)</f>
        <v>1711</v>
      </c>
      <c r="V2943" s="35" t="str">
        <f>VLOOKUP(Tabla1[[#This Row],[PROGRAMA]],Hoja1!A:B,2,FALSE)</f>
        <v>1711. Parques y jardines</v>
      </c>
      <c r="W2943" s="56" t="str">
        <f>MID(Tabla1[[#This Row],[Aplicación]],14,2)</f>
        <v>61</v>
      </c>
      <c r="X2943" s="56" t="str">
        <f>MID(Tabla1[[#This Row],[Aplicación]],14,6)</f>
        <v>619</v>
      </c>
    </row>
    <row r="2944" spans="1:24" x14ac:dyDescent="0.25">
      <c r="A2944" s="62">
        <v>220230026179</v>
      </c>
      <c r="B2944" s="44" t="s">
        <v>1514</v>
      </c>
      <c r="C2944" s="64">
        <v>45077</v>
      </c>
      <c r="D2944" s="62">
        <v>22023003934</v>
      </c>
      <c r="E2944" s="44" t="s">
        <v>741</v>
      </c>
      <c r="F2944" s="65">
        <v>1747.01</v>
      </c>
      <c r="G2944" s="44" t="s">
        <v>97</v>
      </c>
      <c r="H2944" s="44" t="s">
        <v>4615</v>
      </c>
      <c r="I2944" s="62" t="s">
        <v>1517</v>
      </c>
      <c r="J2944" s="44" t="s">
        <v>519</v>
      </c>
      <c r="K2944" s="44" t="s">
        <v>519</v>
      </c>
      <c r="L2944" s="44" t="s">
        <v>552</v>
      </c>
      <c r="M2944" s="44" t="s">
        <v>514</v>
      </c>
      <c r="N2944" s="44" t="s">
        <v>515</v>
      </c>
      <c r="O2944" s="45" t="s">
        <v>382</v>
      </c>
      <c r="P2944" s="45" t="s">
        <v>3760</v>
      </c>
      <c r="Q2944" s="59" t="str">
        <f>MID(Tabla1[[#This Row],[Aplicación]],14,1)</f>
        <v>6</v>
      </c>
      <c r="R2944" s="35" t="s">
        <v>299</v>
      </c>
      <c r="S2944" s="59" t="str">
        <f>MID(Tabla1[[#This Row],[Aplicación]],6,2)</f>
        <v>07</v>
      </c>
      <c r="T2944" s="35" t="str">
        <f>VLOOKUP(Tabla1[[#This Row],[AREA]],Hoja1!A:B,2,FALSE)</f>
        <v>07. Medio ambiente y desarrollo sostenible</v>
      </c>
      <c r="U2944" s="56" t="str">
        <f>MID(Tabla1[[#This Row],[Aplicación]],9,4)</f>
        <v>1711</v>
      </c>
      <c r="V2944" s="35" t="str">
        <f>VLOOKUP(Tabla1[[#This Row],[PROGRAMA]],Hoja1!A:B,2,FALSE)</f>
        <v>1711. Parques y jardines</v>
      </c>
      <c r="W2944" s="56" t="str">
        <f>MID(Tabla1[[#This Row],[Aplicación]],14,2)</f>
        <v>61</v>
      </c>
      <c r="X2944" s="56" t="str">
        <f>MID(Tabla1[[#This Row],[Aplicación]],14,6)</f>
        <v>619</v>
      </c>
    </row>
    <row r="2945" spans="1:24" x14ac:dyDescent="0.25">
      <c r="A2945" s="62">
        <v>220230026191</v>
      </c>
      <c r="B2945" s="44" t="s">
        <v>1514</v>
      </c>
      <c r="C2945" s="64">
        <v>45077</v>
      </c>
      <c r="D2945" s="62">
        <v>22023003934</v>
      </c>
      <c r="E2945" s="44" t="s">
        <v>741</v>
      </c>
      <c r="F2945" s="65">
        <v>1815.33</v>
      </c>
      <c r="G2945" s="44" t="s">
        <v>97</v>
      </c>
      <c r="H2945" s="44" t="s">
        <v>4616</v>
      </c>
      <c r="I2945" s="62" t="s">
        <v>1517</v>
      </c>
      <c r="J2945" s="44" t="s">
        <v>519</v>
      </c>
      <c r="K2945" s="44" t="s">
        <v>519</v>
      </c>
      <c r="L2945" s="44" t="s">
        <v>552</v>
      </c>
      <c r="M2945" s="44" t="s">
        <v>514</v>
      </c>
      <c r="N2945" s="44" t="s">
        <v>515</v>
      </c>
      <c r="O2945" s="45" t="s">
        <v>382</v>
      </c>
      <c r="P2945" s="45" t="s">
        <v>3760</v>
      </c>
      <c r="Q2945" s="59" t="str">
        <f>MID(Tabla1[[#This Row],[Aplicación]],14,1)</f>
        <v>6</v>
      </c>
      <c r="R2945" s="35" t="s">
        <v>299</v>
      </c>
      <c r="S2945" s="59" t="str">
        <f>MID(Tabla1[[#This Row],[Aplicación]],6,2)</f>
        <v>07</v>
      </c>
      <c r="T2945" s="35" t="str">
        <f>VLOOKUP(Tabla1[[#This Row],[AREA]],Hoja1!A:B,2,FALSE)</f>
        <v>07. Medio ambiente y desarrollo sostenible</v>
      </c>
      <c r="U2945" s="56" t="str">
        <f>MID(Tabla1[[#This Row],[Aplicación]],9,4)</f>
        <v>1711</v>
      </c>
      <c r="V2945" s="35" t="str">
        <f>VLOOKUP(Tabla1[[#This Row],[PROGRAMA]],Hoja1!A:B,2,FALSE)</f>
        <v>1711. Parques y jardines</v>
      </c>
      <c r="W2945" s="56" t="str">
        <f>MID(Tabla1[[#This Row],[Aplicación]],14,2)</f>
        <v>61</v>
      </c>
      <c r="X2945" s="56" t="str">
        <f>MID(Tabla1[[#This Row],[Aplicación]],14,6)</f>
        <v>619</v>
      </c>
    </row>
    <row r="2946" spans="1:24" x14ac:dyDescent="0.25">
      <c r="A2946" s="62">
        <v>220230026197</v>
      </c>
      <c r="B2946" s="44" t="s">
        <v>1514</v>
      </c>
      <c r="C2946" s="64">
        <v>45077</v>
      </c>
      <c r="D2946" s="62">
        <v>22023003934</v>
      </c>
      <c r="E2946" s="44" t="s">
        <v>741</v>
      </c>
      <c r="F2946" s="65">
        <v>2665.45</v>
      </c>
      <c r="G2946" s="44" t="s">
        <v>97</v>
      </c>
      <c r="H2946" s="44" t="s">
        <v>4617</v>
      </c>
      <c r="I2946" s="62" t="s">
        <v>1517</v>
      </c>
      <c r="J2946" s="44" t="s">
        <v>519</v>
      </c>
      <c r="K2946" s="44" t="s">
        <v>519</v>
      </c>
      <c r="L2946" s="44" t="s">
        <v>552</v>
      </c>
      <c r="M2946" s="44" t="s">
        <v>514</v>
      </c>
      <c r="N2946" s="44" t="s">
        <v>515</v>
      </c>
      <c r="O2946" s="45" t="s">
        <v>382</v>
      </c>
      <c r="P2946" s="45" t="s">
        <v>3760</v>
      </c>
      <c r="Q2946" s="59" t="str">
        <f>MID(Tabla1[[#This Row],[Aplicación]],14,1)</f>
        <v>6</v>
      </c>
      <c r="R2946" s="35" t="s">
        <v>299</v>
      </c>
      <c r="S2946" s="59" t="str">
        <f>MID(Tabla1[[#This Row],[Aplicación]],6,2)</f>
        <v>07</v>
      </c>
      <c r="T2946" s="35" t="str">
        <f>VLOOKUP(Tabla1[[#This Row],[AREA]],Hoja1!A:B,2,FALSE)</f>
        <v>07. Medio ambiente y desarrollo sostenible</v>
      </c>
      <c r="U2946" s="56" t="str">
        <f>MID(Tabla1[[#This Row],[Aplicación]],9,4)</f>
        <v>1711</v>
      </c>
      <c r="V2946" s="35" t="str">
        <f>VLOOKUP(Tabla1[[#This Row],[PROGRAMA]],Hoja1!A:B,2,FALSE)</f>
        <v>1711. Parques y jardines</v>
      </c>
      <c r="W2946" s="56" t="str">
        <f>MID(Tabla1[[#This Row],[Aplicación]],14,2)</f>
        <v>61</v>
      </c>
      <c r="X2946" s="56" t="str">
        <f>MID(Tabla1[[#This Row],[Aplicación]],14,6)</f>
        <v>619</v>
      </c>
    </row>
    <row r="2947" spans="1:24" x14ac:dyDescent="0.25">
      <c r="A2947" s="62">
        <v>220230026322</v>
      </c>
      <c r="B2947" s="44" t="s">
        <v>1514</v>
      </c>
      <c r="C2947" s="64">
        <v>45077</v>
      </c>
      <c r="D2947" s="62">
        <v>22023003832</v>
      </c>
      <c r="E2947" s="44" t="s">
        <v>1502</v>
      </c>
      <c r="F2947" s="65">
        <v>353.82</v>
      </c>
      <c r="G2947" s="44" t="s">
        <v>97</v>
      </c>
      <c r="H2947" s="44" t="s">
        <v>4618</v>
      </c>
      <c r="I2947" s="62" t="s">
        <v>1517</v>
      </c>
      <c r="J2947" s="44" t="s">
        <v>519</v>
      </c>
      <c r="K2947" s="44" t="s">
        <v>519</v>
      </c>
      <c r="L2947" s="44" t="s">
        <v>552</v>
      </c>
      <c r="M2947" s="44" t="s">
        <v>514</v>
      </c>
      <c r="N2947" s="44" t="s">
        <v>515</v>
      </c>
      <c r="O2947" s="45" t="s">
        <v>382</v>
      </c>
      <c r="P2947" s="45" t="s">
        <v>3760</v>
      </c>
      <c r="Q2947" s="59" t="str">
        <f>MID(Tabla1[[#This Row],[Aplicación]],14,1)</f>
        <v>2</v>
      </c>
      <c r="R2947" s="35" t="s">
        <v>298</v>
      </c>
      <c r="S2947" s="59" t="str">
        <f>MID(Tabla1[[#This Row],[Aplicación]],6,2)</f>
        <v>10</v>
      </c>
      <c r="T2947" s="35" t="str">
        <f>VLOOKUP(Tabla1[[#This Row],[AREA]],Hoja1!A:B,2,FALSE)</f>
        <v>10. Servicios sociales y mediación comunitaria</v>
      </c>
      <c r="U2947" s="56" t="str">
        <f>MID(Tabla1[[#This Row],[Aplicación]],9,4)</f>
        <v>2412</v>
      </c>
      <c r="V2947" s="35" t="str">
        <f>VLOOKUP(Tabla1[[#This Row],[PROGRAMA]],Hoja1!A:B,2,FALSE)</f>
        <v>2412. Formación para el empleo</v>
      </c>
      <c r="W2947" s="56" t="str">
        <f>MID(Tabla1[[#This Row],[Aplicación]],14,2)</f>
        <v>22</v>
      </c>
      <c r="X2947" s="56" t="str">
        <f>MID(Tabla1[[#This Row],[Aplicación]],14,6)</f>
        <v>22199</v>
      </c>
    </row>
    <row r="2948" spans="1:24" x14ac:dyDescent="0.25">
      <c r="A2948" s="62">
        <v>220230026324</v>
      </c>
      <c r="B2948" s="44" t="s">
        <v>1514</v>
      </c>
      <c r="C2948" s="64">
        <v>45077</v>
      </c>
      <c r="D2948" s="62">
        <v>22023003832</v>
      </c>
      <c r="E2948" s="44" t="s">
        <v>1502</v>
      </c>
      <c r="F2948" s="65">
        <v>133.38</v>
      </c>
      <c r="G2948" s="44" t="s">
        <v>97</v>
      </c>
      <c r="H2948" s="44" t="s">
        <v>4619</v>
      </c>
      <c r="I2948" s="62" t="s">
        <v>1517</v>
      </c>
      <c r="J2948" s="44" t="s">
        <v>519</v>
      </c>
      <c r="K2948" s="44" t="s">
        <v>519</v>
      </c>
      <c r="L2948" s="44" t="s">
        <v>552</v>
      </c>
      <c r="M2948" s="44" t="s">
        <v>514</v>
      </c>
      <c r="N2948" s="44" t="s">
        <v>515</v>
      </c>
      <c r="O2948" s="45" t="s">
        <v>382</v>
      </c>
      <c r="P2948" s="45" t="s">
        <v>3760</v>
      </c>
      <c r="Q2948" s="59" t="str">
        <f>MID(Tabla1[[#This Row],[Aplicación]],14,1)</f>
        <v>2</v>
      </c>
      <c r="R2948" s="35" t="s">
        <v>298</v>
      </c>
      <c r="S2948" s="59" t="str">
        <f>MID(Tabla1[[#This Row],[Aplicación]],6,2)</f>
        <v>10</v>
      </c>
      <c r="T2948" s="35" t="str">
        <f>VLOOKUP(Tabla1[[#This Row],[AREA]],Hoja1!A:B,2,FALSE)</f>
        <v>10. Servicios sociales y mediación comunitaria</v>
      </c>
      <c r="U2948" s="56" t="str">
        <f>MID(Tabla1[[#This Row],[Aplicación]],9,4)</f>
        <v>2412</v>
      </c>
      <c r="V2948" s="35" t="str">
        <f>VLOOKUP(Tabla1[[#This Row],[PROGRAMA]],Hoja1!A:B,2,FALSE)</f>
        <v>2412. Formación para el empleo</v>
      </c>
      <c r="W2948" s="56" t="str">
        <f>MID(Tabla1[[#This Row],[Aplicación]],14,2)</f>
        <v>22</v>
      </c>
      <c r="X2948" s="56" t="str">
        <f>MID(Tabla1[[#This Row],[Aplicación]],14,6)</f>
        <v>22199</v>
      </c>
    </row>
    <row r="2949" spans="1:24" x14ac:dyDescent="0.25">
      <c r="A2949" s="62">
        <v>220230026326</v>
      </c>
      <c r="B2949" s="44" t="s">
        <v>1514</v>
      </c>
      <c r="C2949" s="64">
        <v>45077</v>
      </c>
      <c r="D2949" s="62">
        <v>22023003832</v>
      </c>
      <c r="E2949" s="44" t="s">
        <v>1502</v>
      </c>
      <c r="F2949" s="65">
        <v>97.16</v>
      </c>
      <c r="G2949" s="44" t="s">
        <v>97</v>
      </c>
      <c r="H2949" s="44" t="s">
        <v>4620</v>
      </c>
      <c r="I2949" s="62" t="s">
        <v>1517</v>
      </c>
      <c r="J2949" s="44" t="s">
        <v>519</v>
      </c>
      <c r="K2949" s="44" t="s">
        <v>519</v>
      </c>
      <c r="L2949" s="44" t="s">
        <v>552</v>
      </c>
      <c r="M2949" s="44" t="s">
        <v>514</v>
      </c>
      <c r="N2949" s="44" t="s">
        <v>515</v>
      </c>
      <c r="O2949" s="45" t="s">
        <v>382</v>
      </c>
      <c r="P2949" s="45" t="s">
        <v>3760</v>
      </c>
      <c r="Q2949" s="59" t="str">
        <f>MID(Tabla1[[#This Row],[Aplicación]],14,1)</f>
        <v>2</v>
      </c>
      <c r="R2949" s="35" t="s">
        <v>298</v>
      </c>
      <c r="S2949" s="59" t="str">
        <f>MID(Tabla1[[#This Row],[Aplicación]],6,2)</f>
        <v>10</v>
      </c>
      <c r="T2949" s="35" t="str">
        <f>VLOOKUP(Tabla1[[#This Row],[AREA]],Hoja1!A:B,2,FALSE)</f>
        <v>10. Servicios sociales y mediación comunitaria</v>
      </c>
      <c r="U2949" s="56" t="str">
        <f>MID(Tabla1[[#This Row],[Aplicación]],9,4)</f>
        <v>2412</v>
      </c>
      <c r="V2949" s="35" t="str">
        <f>VLOOKUP(Tabla1[[#This Row],[PROGRAMA]],Hoja1!A:B,2,FALSE)</f>
        <v>2412. Formación para el empleo</v>
      </c>
      <c r="W2949" s="56" t="str">
        <f>MID(Tabla1[[#This Row],[Aplicación]],14,2)</f>
        <v>22</v>
      </c>
      <c r="X2949" s="56" t="str">
        <f>MID(Tabla1[[#This Row],[Aplicación]],14,6)</f>
        <v>22199</v>
      </c>
    </row>
    <row r="2950" spans="1:24" x14ac:dyDescent="0.25">
      <c r="A2950" s="62">
        <v>220230026359</v>
      </c>
      <c r="B2950" s="44" t="s">
        <v>1514</v>
      </c>
      <c r="C2950" s="64">
        <v>45077</v>
      </c>
      <c r="D2950" s="62">
        <v>22023004206</v>
      </c>
      <c r="E2950" s="44" t="s">
        <v>1305</v>
      </c>
      <c r="F2950" s="65">
        <v>162.71</v>
      </c>
      <c r="G2950" s="44" t="s">
        <v>97</v>
      </c>
      <c r="H2950" s="44" t="s">
        <v>4621</v>
      </c>
      <c r="I2950" s="62" t="s">
        <v>1517</v>
      </c>
      <c r="J2950" s="44" t="s">
        <v>519</v>
      </c>
      <c r="K2950" s="44" t="s">
        <v>519</v>
      </c>
      <c r="L2950" s="44" t="s">
        <v>552</v>
      </c>
      <c r="M2950" s="44" t="s">
        <v>514</v>
      </c>
      <c r="N2950" s="44" t="s">
        <v>515</v>
      </c>
      <c r="O2950" s="45" t="s">
        <v>382</v>
      </c>
      <c r="P2950" s="45" t="s">
        <v>3760</v>
      </c>
      <c r="Q2950" s="59" t="str">
        <f>MID(Tabla1[[#This Row],[Aplicación]],14,1)</f>
        <v>2</v>
      </c>
      <c r="R2950" s="35" t="s">
        <v>298</v>
      </c>
      <c r="S2950" s="59" t="str">
        <f>MID(Tabla1[[#This Row],[Aplicación]],6,2)</f>
        <v>06</v>
      </c>
      <c r="T2950" s="35" t="str">
        <f>VLOOKUP(Tabla1[[#This Row],[AREA]],Hoja1!A:B,2,FALSE)</f>
        <v>06. Educación, infancia, juventud e igualdad</v>
      </c>
      <c r="U2950" s="56" t="str">
        <f>MID(Tabla1[[#This Row],[Aplicación]],9,4)</f>
        <v>3232</v>
      </c>
      <c r="V2950" s="35" t="str">
        <f>VLOOKUP(Tabla1[[#This Row],[PROGRAMA]],Hoja1!A:B,2,FALSE)</f>
        <v>3232. Conservación y mantenimiento centros educación infantil y primaria</v>
      </c>
      <c r="W2950" s="56" t="str">
        <f>MID(Tabla1[[#This Row],[Aplicación]],14,2)</f>
        <v>21</v>
      </c>
      <c r="X2950" s="56" t="str">
        <f>MID(Tabla1[[#This Row],[Aplicación]],14,6)</f>
        <v>212</v>
      </c>
    </row>
    <row r="2951" spans="1:24" x14ac:dyDescent="0.25">
      <c r="A2951" s="62">
        <v>220230026372</v>
      </c>
      <c r="B2951" s="44" t="s">
        <v>1514</v>
      </c>
      <c r="C2951" s="64">
        <v>45077</v>
      </c>
      <c r="D2951" s="62">
        <v>22023003832</v>
      </c>
      <c r="E2951" s="44" t="s">
        <v>1502</v>
      </c>
      <c r="F2951" s="65">
        <v>43.12</v>
      </c>
      <c r="G2951" s="44" t="s">
        <v>97</v>
      </c>
      <c r="H2951" s="44" t="s">
        <v>4622</v>
      </c>
      <c r="I2951" s="62" t="s">
        <v>1517</v>
      </c>
      <c r="J2951" s="44" t="s">
        <v>519</v>
      </c>
      <c r="K2951" s="44" t="s">
        <v>519</v>
      </c>
      <c r="L2951" s="44" t="s">
        <v>552</v>
      </c>
      <c r="M2951" s="44" t="s">
        <v>514</v>
      </c>
      <c r="N2951" s="44" t="s">
        <v>515</v>
      </c>
      <c r="O2951" s="45" t="s">
        <v>382</v>
      </c>
      <c r="P2951" s="45" t="s">
        <v>3760</v>
      </c>
      <c r="Q2951" s="59" t="str">
        <f>MID(Tabla1[[#This Row],[Aplicación]],14,1)</f>
        <v>2</v>
      </c>
      <c r="R2951" s="35" t="s">
        <v>298</v>
      </c>
      <c r="S2951" s="59" t="str">
        <f>MID(Tabla1[[#This Row],[Aplicación]],6,2)</f>
        <v>10</v>
      </c>
      <c r="T2951" s="35" t="str">
        <f>VLOOKUP(Tabla1[[#This Row],[AREA]],Hoja1!A:B,2,FALSE)</f>
        <v>10. Servicios sociales y mediación comunitaria</v>
      </c>
      <c r="U2951" s="56" t="str">
        <f>MID(Tabla1[[#This Row],[Aplicación]],9,4)</f>
        <v>2412</v>
      </c>
      <c r="V2951" s="35" t="str">
        <f>VLOOKUP(Tabla1[[#This Row],[PROGRAMA]],Hoja1!A:B,2,FALSE)</f>
        <v>2412. Formación para el empleo</v>
      </c>
      <c r="W2951" s="56" t="str">
        <f>MID(Tabla1[[#This Row],[Aplicación]],14,2)</f>
        <v>22</v>
      </c>
      <c r="X2951" s="56" t="str">
        <f>MID(Tabla1[[#This Row],[Aplicación]],14,6)</f>
        <v>22199</v>
      </c>
    </row>
    <row r="2952" spans="1:24" x14ac:dyDescent="0.25">
      <c r="A2952" s="62">
        <v>220230026374</v>
      </c>
      <c r="B2952" s="44" t="s">
        <v>1514</v>
      </c>
      <c r="C2952" s="64">
        <v>45077</v>
      </c>
      <c r="D2952" s="62">
        <v>22023003832</v>
      </c>
      <c r="E2952" s="44" t="s">
        <v>1502</v>
      </c>
      <c r="F2952" s="65">
        <v>51.81</v>
      </c>
      <c r="G2952" s="44" t="s">
        <v>97</v>
      </c>
      <c r="H2952" s="44" t="s">
        <v>4623</v>
      </c>
      <c r="I2952" s="62" t="s">
        <v>1517</v>
      </c>
      <c r="J2952" s="44" t="s">
        <v>519</v>
      </c>
      <c r="K2952" s="44" t="s">
        <v>519</v>
      </c>
      <c r="L2952" s="44" t="s">
        <v>552</v>
      </c>
      <c r="M2952" s="44" t="s">
        <v>514</v>
      </c>
      <c r="N2952" s="44" t="s">
        <v>515</v>
      </c>
      <c r="O2952" s="45" t="s">
        <v>382</v>
      </c>
      <c r="P2952" s="45" t="s">
        <v>3760</v>
      </c>
      <c r="Q2952" s="59" t="str">
        <f>MID(Tabla1[[#This Row],[Aplicación]],14,1)</f>
        <v>2</v>
      </c>
      <c r="R2952" s="35" t="s">
        <v>298</v>
      </c>
      <c r="S2952" s="59" t="str">
        <f>MID(Tabla1[[#This Row],[Aplicación]],6,2)</f>
        <v>10</v>
      </c>
      <c r="T2952" s="35" t="str">
        <f>VLOOKUP(Tabla1[[#This Row],[AREA]],Hoja1!A:B,2,FALSE)</f>
        <v>10. Servicios sociales y mediación comunitaria</v>
      </c>
      <c r="U2952" s="56" t="str">
        <f>MID(Tabla1[[#This Row],[Aplicación]],9,4)</f>
        <v>2412</v>
      </c>
      <c r="V2952" s="35" t="str">
        <f>VLOOKUP(Tabla1[[#This Row],[PROGRAMA]],Hoja1!A:B,2,FALSE)</f>
        <v>2412. Formación para el empleo</v>
      </c>
      <c r="W2952" s="56" t="str">
        <f>MID(Tabla1[[#This Row],[Aplicación]],14,2)</f>
        <v>22</v>
      </c>
      <c r="X2952" s="56" t="str">
        <f>MID(Tabla1[[#This Row],[Aplicación]],14,6)</f>
        <v>22199</v>
      </c>
    </row>
    <row r="2953" spans="1:24" x14ac:dyDescent="0.25">
      <c r="A2953" s="62">
        <v>220230026376</v>
      </c>
      <c r="B2953" s="44" t="s">
        <v>1514</v>
      </c>
      <c r="C2953" s="64">
        <v>45077</v>
      </c>
      <c r="D2953" s="62">
        <v>22023003832</v>
      </c>
      <c r="E2953" s="44" t="s">
        <v>1502</v>
      </c>
      <c r="F2953" s="65">
        <v>174.11</v>
      </c>
      <c r="G2953" s="44" t="s">
        <v>97</v>
      </c>
      <c r="H2953" s="44" t="s">
        <v>4624</v>
      </c>
      <c r="I2953" s="62" t="s">
        <v>1517</v>
      </c>
      <c r="J2953" s="44" t="s">
        <v>519</v>
      </c>
      <c r="K2953" s="44" t="s">
        <v>519</v>
      </c>
      <c r="L2953" s="44" t="s">
        <v>552</v>
      </c>
      <c r="M2953" s="44" t="s">
        <v>514</v>
      </c>
      <c r="N2953" s="44" t="s">
        <v>515</v>
      </c>
      <c r="O2953" s="45" t="s">
        <v>382</v>
      </c>
      <c r="P2953" s="45" t="s">
        <v>3760</v>
      </c>
      <c r="Q2953" s="59" t="str">
        <f>MID(Tabla1[[#This Row],[Aplicación]],14,1)</f>
        <v>2</v>
      </c>
      <c r="R2953" s="35" t="s">
        <v>298</v>
      </c>
      <c r="S2953" s="59" t="str">
        <f>MID(Tabla1[[#This Row],[Aplicación]],6,2)</f>
        <v>10</v>
      </c>
      <c r="T2953" s="35" t="str">
        <f>VLOOKUP(Tabla1[[#This Row],[AREA]],Hoja1!A:B,2,FALSE)</f>
        <v>10. Servicios sociales y mediación comunitaria</v>
      </c>
      <c r="U2953" s="56" t="str">
        <f>MID(Tabla1[[#This Row],[Aplicación]],9,4)</f>
        <v>2412</v>
      </c>
      <c r="V2953" s="35" t="str">
        <f>VLOOKUP(Tabla1[[#This Row],[PROGRAMA]],Hoja1!A:B,2,FALSE)</f>
        <v>2412. Formación para el empleo</v>
      </c>
      <c r="W2953" s="56" t="str">
        <f>MID(Tabla1[[#This Row],[Aplicación]],14,2)</f>
        <v>22</v>
      </c>
      <c r="X2953" s="56" t="str">
        <f>MID(Tabla1[[#This Row],[Aplicación]],14,6)</f>
        <v>22199</v>
      </c>
    </row>
    <row r="2954" spans="1:24" x14ac:dyDescent="0.25">
      <c r="A2954" s="62">
        <v>220230026378</v>
      </c>
      <c r="B2954" s="44" t="s">
        <v>1514</v>
      </c>
      <c r="C2954" s="64">
        <v>45077</v>
      </c>
      <c r="D2954" s="62">
        <v>22023003832</v>
      </c>
      <c r="E2954" s="44" t="s">
        <v>1502</v>
      </c>
      <c r="F2954" s="65">
        <v>51.96</v>
      </c>
      <c r="G2954" s="44" t="s">
        <v>97</v>
      </c>
      <c r="H2954" s="44" t="s">
        <v>4625</v>
      </c>
      <c r="I2954" s="62" t="s">
        <v>1517</v>
      </c>
      <c r="J2954" s="44" t="s">
        <v>519</v>
      </c>
      <c r="K2954" s="44" t="s">
        <v>519</v>
      </c>
      <c r="L2954" s="44" t="s">
        <v>552</v>
      </c>
      <c r="M2954" s="44" t="s">
        <v>514</v>
      </c>
      <c r="N2954" s="44" t="s">
        <v>515</v>
      </c>
      <c r="O2954" s="45" t="s">
        <v>382</v>
      </c>
      <c r="P2954" s="45" t="s">
        <v>3760</v>
      </c>
      <c r="Q2954" s="59" t="str">
        <f>MID(Tabla1[[#This Row],[Aplicación]],14,1)</f>
        <v>2</v>
      </c>
      <c r="R2954" s="35" t="s">
        <v>298</v>
      </c>
      <c r="S2954" s="59" t="str">
        <f>MID(Tabla1[[#This Row],[Aplicación]],6,2)</f>
        <v>10</v>
      </c>
      <c r="T2954" s="35" t="str">
        <f>VLOOKUP(Tabla1[[#This Row],[AREA]],Hoja1!A:B,2,FALSE)</f>
        <v>10. Servicios sociales y mediación comunitaria</v>
      </c>
      <c r="U2954" s="56" t="str">
        <f>MID(Tabla1[[#This Row],[Aplicación]],9,4)</f>
        <v>2412</v>
      </c>
      <c r="V2954" s="35" t="str">
        <f>VLOOKUP(Tabla1[[#This Row],[PROGRAMA]],Hoja1!A:B,2,FALSE)</f>
        <v>2412. Formación para el empleo</v>
      </c>
      <c r="W2954" s="56" t="str">
        <f>MID(Tabla1[[#This Row],[Aplicación]],14,2)</f>
        <v>22</v>
      </c>
      <c r="X2954" s="56" t="str">
        <f>MID(Tabla1[[#This Row],[Aplicación]],14,6)</f>
        <v>22199</v>
      </c>
    </row>
    <row r="2955" spans="1:24" x14ac:dyDescent="0.25">
      <c r="A2955" s="62">
        <v>220230026402</v>
      </c>
      <c r="B2955" s="44" t="s">
        <v>1514</v>
      </c>
      <c r="C2955" s="64">
        <v>45077</v>
      </c>
      <c r="D2955" s="62">
        <v>22023001578</v>
      </c>
      <c r="E2955" s="44" t="s">
        <v>2275</v>
      </c>
      <c r="F2955" s="65">
        <v>151.47</v>
      </c>
      <c r="G2955" s="44" t="s">
        <v>97</v>
      </c>
      <c r="H2955" s="44" t="s">
        <v>4626</v>
      </c>
      <c r="I2955" s="62" t="s">
        <v>1517</v>
      </c>
      <c r="J2955" s="44" t="s">
        <v>519</v>
      </c>
      <c r="K2955" s="44" t="s">
        <v>519</v>
      </c>
      <c r="L2955" s="44" t="s">
        <v>552</v>
      </c>
      <c r="M2955" s="44" t="s">
        <v>514</v>
      </c>
      <c r="N2955" s="44" t="s">
        <v>515</v>
      </c>
      <c r="O2955" s="45" t="s">
        <v>382</v>
      </c>
      <c r="P2955" s="45" t="s">
        <v>3760</v>
      </c>
      <c r="Q2955" s="59" t="str">
        <f>MID(Tabla1[[#This Row],[Aplicación]],14,1)</f>
        <v>2</v>
      </c>
      <c r="R2955" s="35" t="s">
        <v>298</v>
      </c>
      <c r="S2955" s="59" t="str">
        <f>MID(Tabla1[[#This Row],[Aplicación]],6,2)</f>
        <v>11</v>
      </c>
      <c r="T2955" s="35" t="str">
        <f>VLOOKUP(Tabla1[[#This Row],[AREA]],Hoja1!A:B,2,FALSE)</f>
        <v>11. Salud pública y seguridad ciudadana</v>
      </c>
      <c r="U2955" s="56" t="str">
        <f>MID(Tabla1[[#This Row],[Aplicación]],9,4)</f>
        <v>3111</v>
      </c>
      <c r="V2955" s="35" t="str">
        <f>VLOOKUP(Tabla1[[#This Row],[PROGRAMA]],Hoja1!A:B,2,FALSE)</f>
        <v>3111. Protección de la salubridad pública</v>
      </c>
      <c r="W2955" s="56" t="str">
        <f>MID(Tabla1[[#This Row],[Aplicación]],14,2)</f>
        <v>22</v>
      </c>
      <c r="X2955" s="56" t="str">
        <f>MID(Tabla1[[#This Row],[Aplicación]],14,6)</f>
        <v>22199</v>
      </c>
    </row>
    <row r="2956" spans="1:24" x14ac:dyDescent="0.25">
      <c r="A2956" s="62">
        <v>220230026452</v>
      </c>
      <c r="B2956" s="44" t="s">
        <v>1514</v>
      </c>
      <c r="C2956" s="64">
        <v>45077</v>
      </c>
      <c r="D2956" s="62">
        <v>22023004206</v>
      </c>
      <c r="E2956" s="44" t="s">
        <v>1305</v>
      </c>
      <c r="F2956" s="65">
        <v>68.12</v>
      </c>
      <c r="G2956" s="44" t="s">
        <v>97</v>
      </c>
      <c r="H2956" s="44" t="s">
        <v>4627</v>
      </c>
      <c r="I2956" s="62" t="s">
        <v>1517</v>
      </c>
      <c r="J2956" s="44" t="s">
        <v>519</v>
      </c>
      <c r="K2956" s="44" t="s">
        <v>519</v>
      </c>
      <c r="L2956" s="44" t="s">
        <v>552</v>
      </c>
      <c r="M2956" s="44" t="s">
        <v>514</v>
      </c>
      <c r="N2956" s="44" t="s">
        <v>515</v>
      </c>
      <c r="O2956" s="45" t="s">
        <v>382</v>
      </c>
      <c r="P2956" s="45" t="s">
        <v>3760</v>
      </c>
      <c r="Q2956" s="59" t="str">
        <f>MID(Tabla1[[#This Row],[Aplicación]],14,1)</f>
        <v>2</v>
      </c>
      <c r="R2956" s="35" t="s">
        <v>298</v>
      </c>
      <c r="S2956" s="59" t="str">
        <f>MID(Tabla1[[#This Row],[Aplicación]],6,2)</f>
        <v>06</v>
      </c>
      <c r="T2956" s="35" t="str">
        <f>VLOOKUP(Tabla1[[#This Row],[AREA]],Hoja1!A:B,2,FALSE)</f>
        <v>06. Educación, infancia, juventud e igualdad</v>
      </c>
      <c r="U2956" s="56" t="str">
        <f>MID(Tabla1[[#This Row],[Aplicación]],9,4)</f>
        <v>3232</v>
      </c>
      <c r="V2956" s="35" t="str">
        <f>VLOOKUP(Tabla1[[#This Row],[PROGRAMA]],Hoja1!A:B,2,FALSE)</f>
        <v>3232. Conservación y mantenimiento centros educación infantil y primaria</v>
      </c>
      <c r="W2956" s="56" t="str">
        <f>MID(Tabla1[[#This Row],[Aplicación]],14,2)</f>
        <v>21</v>
      </c>
      <c r="X2956" s="56" t="str">
        <f>MID(Tabla1[[#This Row],[Aplicación]],14,6)</f>
        <v>212</v>
      </c>
    </row>
    <row r="2957" spans="1:24" x14ac:dyDescent="0.25">
      <c r="A2957" s="62">
        <v>220230026456</v>
      </c>
      <c r="B2957" s="44" t="s">
        <v>1514</v>
      </c>
      <c r="C2957" s="64">
        <v>45077</v>
      </c>
      <c r="D2957" s="62">
        <v>22023004206</v>
      </c>
      <c r="E2957" s="44" t="s">
        <v>1305</v>
      </c>
      <c r="F2957" s="65">
        <v>24.67</v>
      </c>
      <c r="G2957" s="44" t="s">
        <v>97</v>
      </c>
      <c r="H2957" s="44" t="s">
        <v>4628</v>
      </c>
      <c r="I2957" s="62" t="s">
        <v>1517</v>
      </c>
      <c r="J2957" s="44" t="s">
        <v>519</v>
      </c>
      <c r="K2957" s="44" t="s">
        <v>519</v>
      </c>
      <c r="L2957" s="44" t="s">
        <v>552</v>
      </c>
      <c r="M2957" s="44" t="s">
        <v>514</v>
      </c>
      <c r="N2957" s="44" t="s">
        <v>515</v>
      </c>
      <c r="O2957" s="45" t="s">
        <v>382</v>
      </c>
      <c r="P2957" s="45" t="s">
        <v>3760</v>
      </c>
      <c r="Q2957" s="59" t="str">
        <f>MID(Tabla1[[#This Row],[Aplicación]],14,1)</f>
        <v>2</v>
      </c>
      <c r="R2957" s="35" t="s">
        <v>298</v>
      </c>
      <c r="S2957" s="59" t="str">
        <f>MID(Tabla1[[#This Row],[Aplicación]],6,2)</f>
        <v>06</v>
      </c>
      <c r="T2957" s="35" t="str">
        <f>VLOOKUP(Tabla1[[#This Row],[AREA]],Hoja1!A:B,2,FALSE)</f>
        <v>06. Educación, infancia, juventud e igualdad</v>
      </c>
      <c r="U2957" s="56" t="str">
        <f>MID(Tabla1[[#This Row],[Aplicación]],9,4)</f>
        <v>3232</v>
      </c>
      <c r="V2957" s="35" t="str">
        <f>VLOOKUP(Tabla1[[#This Row],[PROGRAMA]],Hoja1!A:B,2,FALSE)</f>
        <v>3232. Conservación y mantenimiento centros educación infantil y primaria</v>
      </c>
      <c r="W2957" s="56" t="str">
        <f>MID(Tabla1[[#This Row],[Aplicación]],14,2)</f>
        <v>21</v>
      </c>
      <c r="X2957" s="56" t="str">
        <f>MID(Tabla1[[#This Row],[Aplicación]],14,6)</f>
        <v>212</v>
      </c>
    </row>
    <row r="2958" spans="1:24" x14ac:dyDescent="0.25">
      <c r="A2958" s="62">
        <v>220230026458</v>
      </c>
      <c r="B2958" s="44" t="s">
        <v>1514</v>
      </c>
      <c r="C2958" s="64">
        <v>45077</v>
      </c>
      <c r="D2958" s="62">
        <v>22023004206</v>
      </c>
      <c r="E2958" s="44" t="s">
        <v>1305</v>
      </c>
      <c r="F2958" s="65">
        <v>34.01</v>
      </c>
      <c r="G2958" s="44" t="s">
        <v>97</v>
      </c>
      <c r="H2958" s="44" t="s">
        <v>4629</v>
      </c>
      <c r="I2958" s="62" t="s">
        <v>1517</v>
      </c>
      <c r="J2958" s="44" t="s">
        <v>519</v>
      </c>
      <c r="K2958" s="44" t="s">
        <v>519</v>
      </c>
      <c r="L2958" s="44" t="s">
        <v>552</v>
      </c>
      <c r="M2958" s="44" t="s">
        <v>514</v>
      </c>
      <c r="N2958" s="44" t="s">
        <v>515</v>
      </c>
      <c r="O2958" s="45" t="s">
        <v>382</v>
      </c>
      <c r="P2958" s="45" t="s">
        <v>3760</v>
      </c>
      <c r="Q2958" s="59" t="str">
        <f>MID(Tabla1[[#This Row],[Aplicación]],14,1)</f>
        <v>2</v>
      </c>
      <c r="R2958" s="35" t="s">
        <v>298</v>
      </c>
      <c r="S2958" s="59" t="str">
        <f>MID(Tabla1[[#This Row],[Aplicación]],6,2)</f>
        <v>06</v>
      </c>
      <c r="T2958" s="35" t="str">
        <f>VLOOKUP(Tabla1[[#This Row],[AREA]],Hoja1!A:B,2,FALSE)</f>
        <v>06. Educación, infancia, juventud e igualdad</v>
      </c>
      <c r="U2958" s="56" t="str">
        <f>MID(Tabla1[[#This Row],[Aplicación]],9,4)</f>
        <v>3232</v>
      </c>
      <c r="V2958" s="35" t="str">
        <f>VLOOKUP(Tabla1[[#This Row],[PROGRAMA]],Hoja1!A:B,2,FALSE)</f>
        <v>3232. Conservación y mantenimiento centros educación infantil y primaria</v>
      </c>
      <c r="W2958" s="56" t="str">
        <f>MID(Tabla1[[#This Row],[Aplicación]],14,2)</f>
        <v>21</v>
      </c>
      <c r="X2958" s="56" t="str">
        <f>MID(Tabla1[[#This Row],[Aplicación]],14,6)</f>
        <v>212</v>
      </c>
    </row>
    <row r="2959" spans="1:24" x14ac:dyDescent="0.25">
      <c r="A2959" s="62">
        <v>220230026460</v>
      </c>
      <c r="B2959" s="44" t="s">
        <v>1514</v>
      </c>
      <c r="C2959" s="64">
        <v>45077</v>
      </c>
      <c r="D2959" s="62">
        <v>22023004206</v>
      </c>
      <c r="E2959" s="44" t="s">
        <v>1305</v>
      </c>
      <c r="F2959" s="65">
        <v>65.61</v>
      </c>
      <c r="G2959" s="44" t="s">
        <v>97</v>
      </c>
      <c r="H2959" s="44" t="s">
        <v>4630</v>
      </c>
      <c r="I2959" s="62" t="s">
        <v>1517</v>
      </c>
      <c r="J2959" s="44" t="s">
        <v>519</v>
      </c>
      <c r="K2959" s="44" t="s">
        <v>519</v>
      </c>
      <c r="L2959" s="44" t="s">
        <v>552</v>
      </c>
      <c r="M2959" s="44" t="s">
        <v>514</v>
      </c>
      <c r="N2959" s="44" t="s">
        <v>515</v>
      </c>
      <c r="O2959" s="45" t="s">
        <v>382</v>
      </c>
      <c r="P2959" s="45" t="s">
        <v>3760</v>
      </c>
      <c r="Q2959" s="59" t="str">
        <f>MID(Tabla1[[#This Row],[Aplicación]],14,1)</f>
        <v>2</v>
      </c>
      <c r="R2959" s="35" t="s">
        <v>298</v>
      </c>
      <c r="S2959" s="59" t="str">
        <f>MID(Tabla1[[#This Row],[Aplicación]],6,2)</f>
        <v>06</v>
      </c>
      <c r="T2959" s="35" t="str">
        <f>VLOOKUP(Tabla1[[#This Row],[AREA]],Hoja1!A:B,2,FALSE)</f>
        <v>06. Educación, infancia, juventud e igualdad</v>
      </c>
      <c r="U2959" s="56" t="str">
        <f>MID(Tabla1[[#This Row],[Aplicación]],9,4)</f>
        <v>3232</v>
      </c>
      <c r="V2959" s="35" t="str">
        <f>VLOOKUP(Tabla1[[#This Row],[PROGRAMA]],Hoja1!A:B,2,FALSE)</f>
        <v>3232. Conservación y mantenimiento centros educación infantil y primaria</v>
      </c>
      <c r="W2959" s="56" t="str">
        <f>MID(Tabla1[[#This Row],[Aplicación]],14,2)</f>
        <v>21</v>
      </c>
      <c r="X2959" s="56" t="str">
        <f>MID(Tabla1[[#This Row],[Aplicación]],14,6)</f>
        <v>212</v>
      </c>
    </row>
    <row r="2960" spans="1:24" x14ac:dyDescent="0.25">
      <c r="A2960" s="62">
        <v>220230026462</v>
      </c>
      <c r="B2960" s="44" t="s">
        <v>1514</v>
      </c>
      <c r="C2960" s="64">
        <v>45077</v>
      </c>
      <c r="D2960" s="62">
        <v>22023002181</v>
      </c>
      <c r="E2960" s="44" t="s">
        <v>1305</v>
      </c>
      <c r="F2960" s="65">
        <v>3.13</v>
      </c>
      <c r="G2960" s="44" t="s">
        <v>97</v>
      </c>
      <c r="H2960" s="44" t="s">
        <v>4631</v>
      </c>
      <c r="I2960" s="62" t="s">
        <v>1517</v>
      </c>
      <c r="J2960" s="44" t="s">
        <v>519</v>
      </c>
      <c r="K2960" s="44" t="s">
        <v>519</v>
      </c>
      <c r="L2960" s="44" t="s">
        <v>552</v>
      </c>
      <c r="M2960" s="44" t="s">
        <v>514</v>
      </c>
      <c r="N2960" s="44" t="s">
        <v>515</v>
      </c>
      <c r="O2960" s="45" t="s">
        <v>382</v>
      </c>
      <c r="P2960" s="45" t="s">
        <v>3760</v>
      </c>
      <c r="Q2960" s="59" t="str">
        <f>MID(Tabla1[[#This Row],[Aplicación]],14,1)</f>
        <v>2</v>
      </c>
      <c r="R2960" s="35" t="s">
        <v>298</v>
      </c>
      <c r="S2960" s="59" t="str">
        <f>MID(Tabla1[[#This Row],[Aplicación]],6,2)</f>
        <v>06</v>
      </c>
      <c r="T2960" s="35" t="str">
        <f>VLOOKUP(Tabla1[[#This Row],[AREA]],Hoja1!A:B,2,FALSE)</f>
        <v>06. Educación, infancia, juventud e igualdad</v>
      </c>
      <c r="U2960" s="56" t="str">
        <f>MID(Tabla1[[#This Row],[Aplicación]],9,4)</f>
        <v>3232</v>
      </c>
      <c r="V2960" s="35" t="str">
        <f>VLOOKUP(Tabla1[[#This Row],[PROGRAMA]],Hoja1!A:B,2,FALSE)</f>
        <v>3232. Conservación y mantenimiento centros educación infantil y primaria</v>
      </c>
      <c r="W2960" s="56" t="str">
        <f>MID(Tabla1[[#This Row],[Aplicación]],14,2)</f>
        <v>21</v>
      </c>
      <c r="X2960" s="56" t="str">
        <f>MID(Tabla1[[#This Row],[Aplicación]],14,6)</f>
        <v>212</v>
      </c>
    </row>
    <row r="2961" spans="1:24" x14ac:dyDescent="0.25">
      <c r="A2961" s="62">
        <v>220230026464</v>
      </c>
      <c r="B2961" s="44" t="s">
        <v>1514</v>
      </c>
      <c r="C2961" s="64">
        <v>45077</v>
      </c>
      <c r="D2961" s="62">
        <v>22023002181</v>
      </c>
      <c r="E2961" s="44" t="s">
        <v>1305</v>
      </c>
      <c r="F2961" s="65">
        <v>4.01</v>
      </c>
      <c r="G2961" s="44" t="s">
        <v>97</v>
      </c>
      <c r="H2961" s="44" t="s">
        <v>4632</v>
      </c>
      <c r="I2961" s="62" t="s">
        <v>1517</v>
      </c>
      <c r="J2961" s="44" t="s">
        <v>519</v>
      </c>
      <c r="K2961" s="44" t="s">
        <v>519</v>
      </c>
      <c r="L2961" s="44" t="s">
        <v>552</v>
      </c>
      <c r="M2961" s="44" t="s">
        <v>514</v>
      </c>
      <c r="N2961" s="44" t="s">
        <v>515</v>
      </c>
      <c r="O2961" s="45" t="s">
        <v>382</v>
      </c>
      <c r="P2961" s="45" t="s">
        <v>3760</v>
      </c>
      <c r="Q2961" s="59" t="str">
        <f>MID(Tabla1[[#This Row],[Aplicación]],14,1)</f>
        <v>2</v>
      </c>
      <c r="R2961" s="35" t="s">
        <v>298</v>
      </c>
      <c r="S2961" s="59" t="str">
        <f>MID(Tabla1[[#This Row],[Aplicación]],6,2)</f>
        <v>06</v>
      </c>
      <c r="T2961" s="35" t="str">
        <f>VLOOKUP(Tabla1[[#This Row],[AREA]],Hoja1!A:B,2,FALSE)</f>
        <v>06. Educación, infancia, juventud e igualdad</v>
      </c>
      <c r="U2961" s="56" t="str">
        <f>MID(Tabla1[[#This Row],[Aplicación]],9,4)</f>
        <v>3232</v>
      </c>
      <c r="V2961" s="35" t="str">
        <f>VLOOKUP(Tabla1[[#This Row],[PROGRAMA]],Hoja1!A:B,2,FALSE)</f>
        <v>3232. Conservación y mantenimiento centros educación infantil y primaria</v>
      </c>
      <c r="W2961" s="56" t="str">
        <f>MID(Tabla1[[#This Row],[Aplicación]],14,2)</f>
        <v>21</v>
      </c>
      <c r="X2961" s="56" t="str">
        <f>MID(Tabla1[[#This Row],[Aplicación]],14,6)</f>
        <v>212</v>
      </c>
    </row>
    <row r="2962" spans="1:24" x14ac:dyDescent="0.25">
      <c r="A2962" s="62">
        <v>220230026677</v>
      </c>
      <c r="B2962" s="44" t="s">
        <v>1514</v>
      </c>
      <c r="C2962" s="64">
        <v>45077</v>
      </c>
      <c r="D2962" s="62">
        <v>22023001466</v>
      </c>
      <c r="E2962" s="44" t="s">
        <v>2624</v>
      </c>
      <c r="F2962" s="65">
        <v>94.53</v>
      </c>
      <c r="G2962" s="44" t="s">
        <v>97</v>
      </c>
      <c r="H2962" s="44" t="s">
        <v>4633</v>
      </c>
      <c r="I2962" s="62" t="s">
        <v>1517</v>
      </c>
      <c r="J2962" s="44" t="s">
        <v>519</v>
      </c>
      <c r="K2962" s="44" t="s">
        <v>519</v>
      </c>
      <c r="L2962" s="44" t="s">
        <v>552</v>
      </c>
      <c r="M2962" s="44" t="s">
        <v>514</v>
      </c>
      <c r="N2962" s="44" t="s">
        <v>515</v>
      </c>
      <c r="O2962" s="45" t="s">
        <v>382</v>
      </c>
      <c r="P2962" s="45" t="s">
        <v>3760</v>
      </c>
      <c r="Q2962" s="59" t="str">
        <f>MID(Tabla1[[#This Row],[Aplicación]],14,1)</f>
        <v>2</v>
      </c>
      <c r="R2962" s="35" t="s">
        <v>298</v>
      </c>
      <c r="S2962" s="59" t="str">
        <f>MID(Tabla1[[#This Row],[Aplicación]],6,2)</f>
        <v>11</v>
      </c>
      <c r="T2962" s="35" t="str">
        <f>VLOOKUP(Tabla1[[#This Row],[AREA]],Hoja1!A:B,2,FALSE)</f>
        <v>11. Salud pública y seguridad ciudadana</v>
      </c>
      <c r="U2962" s="56" t="str">
        <f>MID(Tabla1[[#This Row],[Aplicación]],9,4)</f>
        <v>1621</v>
      </c>
      <c r="V2962" s="35" t="str">
        <f>VLOOKUP(Tabla1[[#This Row],[PROGRAMA]],Hoja1!A:B,2,FALSE)</f>
        <v>1621. Servicio de limpieza</v>
      </c>
      <c r="W2962" s="56" t="str">
        <f>MID(Tabla1[[#This Row],[Aplicación]],14,2)</f>
        <v>22</v>
      </c>
      <c r="X2962" s="56" t="str">
        <f>MID(Tabla1[[#This Row],[Aplicación]],14,6)</f>
        <v>22199</v>
      </c>
    </row>
    <row r="2963" spans="1:24" x14ac:dyDescent="0.25">
      <c r="A2963" s="62">
        <v>220230026719</v>
      </c>
      <c r="B2963" s="44" t="s">
        <v>1514</v>
      </c>
      <c r="C2963" s="64">
        <v>45077</v>
      </c>
      <c r="D2963" s="62">
        <v>22023003832</v>
      </c>
      <c r="E2963" s="44" t="s">
        <v>1502</v>
      </c>
      <c r="F2963" s="65">
        <v>39.31</v>
      </c>
      <c r="G2963" s="44" t="s">
        <v>97</v>
      </c>
      <c r="H2963" s="44" t="s">
        <v>4634</v>
      </c>
      <c r="I2963" s="62" t="s">
        <v>1517</v>
      </c>
      <c r="J2963" s="44" t="s">
        <v>519</v>
      </c>
      <c r="K2963" s="44" t="s">
        <v>519</v>
      </c>
      <c r="L2963" s="44" t="s">
        <v>552</v>
      </c>
      <c r="M2963" s="44" t="s">
        <v>514</v>
      </c>
      <c r="N2963" s="44" t="s">
        <v>515</v>
      </c>
      <c r="O2963" s="45" t="s">
        <v>382</v>
      </c>
      <c r="P2963" s="45" t="s">
        <v>3760</v>
      </c>
      <c r="Q2963" s="59" t="str">
        <f>MID(Tabla1[[#This Row],[Aplicación]],14,1)</f>
        <v>2</v>
      </c>
      <c r="R2963" s="35" t="s">
        <v>298</v>
      </c>
      <c r="S2963" s="59" t="str">
        <f>MID(Tabla1[[#This Row],[Aplicación]],6,2)</f>
        <v>10</v>
      </c>
      <c r="T2963" s="35" t="str">
        <f>VLOOKUP(Tabla1[[#This Row],[AREA]],Hoja1!A:B,2,FALSE)</f>
        <v>10. Servicios sociales y mediación comunitaria</v>
      </c>
      <c r="U2963" s="56" t="str">
        <f>MID(Tabla1[[#This Row],[Aplicación]],9,4)</f>
        <v>2412</v>
      </c>
      <c r="V2963" s="35" t="str">
        <f>VLOOKUP(Tabla1[[#This Row],[PROGRAMA]],Hoja1!A:B,2,FALSE)</f>
        <v>2412. Formación para el empleo</v>
      </c>
      <c r="W2963" s="56" t="str">
        <f>MID(Tabla1[[#This Row],[Aplicación]],14,2)</f>
        <v>22</v>
      </c>
      <c r="X2963" s="56" t="str">
        <f>MID(Tabla1[[#This Row],[Aplicación]],14,6)</f>
        <v>22199</v>
      </c>
    </row>
    <row r="2964" spans="1:24" x14ac:dyDescent="0.25">
      <c r="A2964" s="62">
        <v>220230026721</v>
      </c>
      <c r="B2964" s="44" t="s">
        <v>1514</v>
      </c>
      <c r="C2964" s="64">
        <v>45077</v>
      </c>
      <c r="D2964" s="62">
        <v>22023003832</v>
      </c>
      <c r="E2964" s="44" t="s">
        <v>1502</v>
      </c>
      <c r="F2964" s="65">
        <v>516.9</v>
      </c>
      <c r="G2964" s="44" t="s">
        <v>97</v>
      </c>
      <c r="H2964" s="44" t="s">
        <v>4635</v>
      </c>
      <c r="I2964" s="62" t="s">
        <v>1517</v>
      </c>
      <c r="J2964" s="44" t="s">
        <v>519</v>
      </c>
      <c r="K2964" s="44" t="s">
        <v>519</v>
      </c>
      <c r="L2964" s="44" t="s">
        <v>552</v>
      </c>
      <c r="M2964" s="44" t="s">
        <v>514</v>
      </c>
      <c r="N2964" s="44" t="s">
        <v>515</v>
      </c>
      <c r="O2964" s="45" t="s">
        <v>382</v>
      </c>
      <c r="P2964" s="45" t="s">
        <v>3760</v>
      </c>
      <c r="Q2964" s="59" t="str">
        <f>MID(Tabla1[[#This Row],[Aplicación]],14,1)</f>
        <v>2</v>
      </c>
      <c r="R2964" s="35" t="s">
        <v>298</v>
      </c>
      <c r="S2964" s="59" t="str">
        <f>MID(Tabla1[[#This Row],[Aplicación]],6,2)</f>
        <v>10</v>
      </c>
      <c r="T2964" s="35" t="str">
        <f>VLOOKUP(Tabla1[[#This Row],[AREA]],Hoja1!A:B,2,FALSE)</f>
        <v>10. Servicios sociales y mediación comunitaria</v>
      </c>
      <c r="U2964" s="56" t="str">
        <f>MID(Tabla1[[#This Row],[Aplicación]],9,4)</f>
        <v>2412</v>
      </c>
      <c r="V2964" s="35" t="str">
        <f>VLOOKUP(Tabla1[[#This Row],[PROGRAMA]],Hoja1!A:B,2,FALSE)</f>
        <v>2412. Formación para el empleo</v>
      </c>
      <c r="W2964" s="56" t="str">
        <f>MID(Tabla1[[#This Row],[Aplicación]],14,2)</f>
        <v>22</v>
      </c>
      <c r="X2964" s="56" t="str">
        <f>MID(Tabla1[[#This Row],[Aplicación]],14,6)</f>
        <v>22199</v>
      </c>
    </row>
    <row r="2965" spans="1:24" x14ac:dyDescent="0.25">
      <c r="A2965" s="62">
        <v>220230026723</v>
      </c>
      <c r="B2965" s="44" t="s">
        <v>1514</v>
      </c>
      <c r="C2965" s="64">
        <v>45077</v>
      </c>
      <c r="D2965" s="62">
        <v>22023003925</v>
      </c>
      <c r="E2965" s="44" t="s">
        <v>616</v>
      </c>
      <c r="F2965" s="65">
        <v>43.98</v>
      </c>
      <c r="G2965" s="44" t="s">
        <v>97</v>
      </c>
      <c r="H2965" s="44" t="s">
        <v>4636</v>
      </c>
      <c r="I2965" s="62" t="s">
        <v>1517</v>
      </c>
      <c r="J2965" s="44" t="s">
        <v>519</v>
      </c>
      <c r="K2965" s="44" t="s">
        <v>519</v>
      </c>
      <c r="L2965" s="44" t="s">
        <v>552</v>
      </c>
      <c r="M2965" s="44" t="s">
        <v>514</v>
      </c>
      <c r="N2965" s="44" t="s">
        <v>515</v>
      </c>
      <c r="O2965" s="45" t="s">
        <v>382</v>
      </c>
      <c r="P2965" s="45" t="s">
        <v>3760</v>
      </c>
      <c r="Q2965" s="59" t="str">
        <f>MID(Tabla1[[#This Row],[Aplicación]],14,1)</f>
        <v>2</v>
      </c>
      <c r="R2965" s="35" t="s">
        <v>298</v>
      </c>
      <c r="S2965" s="59" t="str">
        <f>MID(Tabla1[[#This Row],[Aplicación]],6,2)</f>
        <v>10</v>
      </c>
      <c r="T2965" s="35" t="str">
        <f>VLOOKUP(Tabla1[[#This Row],[AREA]],Hoja1!A:B,2,FALSE)</f>
        <v>10. Servicios sociales y mediación comunitaria</v>
      </c>
      <c r="U2965" s="56" t="str">
        <f>MID(Tabla1[[#This Row],[Aplicación]],9,4)</f>
        <v>2412</v>
      </c>
      <c r="V2965" s="35" t="str">
        <f>VLOOKUP(Tabla1[[#This Row],[PROGRAMA]],Hoja1!A:B,2,FALSE)</f>
        <v>2412. Formación para el empleo</v>
      </c>
      <c r="W2965" s="56" t="str">
        <f>MID(Tabla1[[#This Row],[Aplicación]],14,2)</f>
        <v>21</v>
      </c>
      <c r="X2965" s="56" t="str">
        <f>MID(Tabla1[[#This Row],[Aplicación]],14,6)</f>
        <v>213</v>
      </c>
    </row>
    <row r="2966" spans="1:24" x14ac:dyDescent="0.25">
      <c r="A2966" s="62">
        <v>220230016351</v>
      </c>
      <c r="B2966" s="44" t="s">
        <v>1514</v>
      </c>
      <c r="C2966" s="64">
        <v>45043</v>
      </c>
      <c r="D2966" s="62">
        <v>22023001565</v>
      </c>
      <c r="E2966" s="44" t="s">
        <v>741</v>
      </c>
      <c r="F2966" s="65">
        <v>317.2</v>
      </c>
      <c r="G2966" s="44" t="s">
        <v>4637</v>
      </c>
      <c r="H2966" s="44" t="s">
        <v>4638</v>
      </c>
      <c r="I2966" s="62" t="s">
        <v>1517</v>
      </c>
      <c r="J2966" s="44" t="s">
        <v>4639</v>
      </c>
      <c r="K2966" s="44" t="s">
        <v>519</v>
      </c>
      <c r="L2966" s="44" t="s">
        <v>552</v>
      </c>
      <c r="M2966" s="44" t="s">
        <v>514</v>
      </c>
      <c r="N2966" s="44" t="s">
        <v>515</v>
      </c>
      <c r="O2966" s="45" t="s">
        <v>382</v>
      </c>
      <c r="P2966" s="45" t="s">
        <v>3760</v>
      </c>
      <c r="Q2966" s="59" t="str">
        <f>MID(Tabla1[[#This Row],[Aplicación]],14,1)</f>
        <v>6</v>
      </c>
      <c r="R2966" s="35" t="s">
        <v>299</v>
      </c>
      <c r="S2966" s="59" t="str">
        <f>MID(Tabla1[[#This Row],[Aplicación]],6,2)</f>
        <v>07</v>
      </c>
      <c r="T2966" s="35" t="str">
        <f>VLOOKUP(Tabla1[[#This Row],[AREA]],Hoja1!A:B,2,FALSE)</f>
        <v>07. Medio ambiente y desarrollo sostenible</v>
      </c>
      <c r="U2966" s="56" t="str">
        <f>MID(Tabla1[[#This Row],[Aplicación]],9,4)</f>
        <v>1711</v>
      </c>
      <c r="V2966" s="35" t="str">
        <f>VLOOKUP(Tabla1[[#This Row],[PROGRAMA]],Hoja1!A:B,2,FALSE)</f>
        <v>1711. Parques y jardines</v>
      </c>
      <c r="W2966" s="56" t="str">
        <f>MID(Tabla1[[#This Row],[Aplicación]],14,2)</f>
        <v>61</v>
      </c>
      <c r="X2966" s="56" t="str">
        <f>MID(Tabla1[[#This Row],[Aplicación]],14,6)</f>
        <v>619</v>
      </c>
    </row>
    <row r="2967" spans="1:24" x14ac:dyDescent="0.25">
      <c r="A2967" s="62">
        <v>220230026189</v>
      </c>
      <c r="B2967" s="44" t="s">
        <v>1514</v>
      </c>
      <c r="C2967" s="64">
        <v>45077</v>
      </c>
      <c r="D2967" s="62">
        <v>22023003935</v>
      </c>
      <c r="E2967" s="44" t="s">
        <v>741</v>
      </c>
      <c r="F2967" s="65">
        <v>3732.3</v>
      </c>
      <c r="G2967" s="44" t="s">
        <v>4637</v>
      </c>
      <c r="H2967" s="44" t="s">
        <v>4640</v>
      </c>
      <c r="I2967" s="62" t="s">
        <v>1517</v>
      </c>
      <c r="J2967" s="44" t="s">
        <v>4639</v>
      </c>
      <c r="K2967" s="44" t="s">
        <v>519</v>
      </c>
      <c r="L2967" s="44" t="s">
        <v>552</v>
      </c>
      <c r="M2967" s="44" t="s">
        <v>514</v>
      </c>
      <c r="N2967" s="44" t="s">
        <v>515</v>
      </c>
      <c r="O2967" s="45" t="s">
        <v>382</v>
      </c>
      <c r="P2967" s="45" t="s">
        <v>3760</v>
      </c>
      <c r="Q2967" s="59" t="str">
        <f>MID(Tabla1[[#This Row],[Aplicación]],14,1)</f>
        <v>6</v>
      </c>
      <c r="R2967" s="35" t="s">
        <v>299</v>
      </c>
      <c r="S2967" s="59" t="str">
        <f>MID(Tabla1[[#This Row],[Aplicación]],6,2)</f>
        <v>07</v>
      </c>
      <c r="T2967" s="35" t="str">
        <f>VLOOKUP(Tabla1[[#This Row],[AREA]],Hoja1!A:B,2,FALSE)</f>
        <v>07. Medio ambiente y desarrollo sostenible</v>
      </c>
      <c r="U2967" s="56" t="str">
        <f>MID(Tabla1[[#This Row],[Aplicación]],9,4)</f>
        <v>1711</v>
      </c>
      <c r="V2967" s="35" t="str">
        <f>VLOOKUP(Tabla1[[#This Row],[PROGRAMA]],Hoja1!A:B,2,FALSE)</f>
        <v>1711. Parques y jardines</v>
      </c>
      <c r="W2967" s="56" t="str">
        <f>MID(Tabla1[[#This Row],[Aplicación]],14,2)</f>
        <v>61</v>
      </c>
      <c r="X2967" s="56" t="str">
        <f>MID(Tabla1[[#This Row],[Aplicación]],14,6)</f>
        <v>619</v>
      </c>
    </row>
    <row r="2968" spans="1:24" x14ac:dyDescent="0.25">
      <c r="A2968" s="62">
        <v>220230026207</v>
      </c>
      <c r="B2968" s="44" t="s">
        <v>1514</v>
      </c>
      <c r="C2968" s="64">
        <v>45077</v>
      </c>
      <c r="D2968" s="62">
        <v>22023003935</v>
      </c>
      <c r="E2968" s="44" t="s">
        <v>741</v>
      </c>
      <c r="F2968" s="65">
        <v>5272.19</v>
      </c>
      <c r="G2968" s="44" t="s">
        <v>4637</v>
      </c>
      <c r="H2968" s="44" t="s">
        <v>4641</v>
      </c>
      <c r="I2968" s="62" t="s">
        <v>1517</v>
      </c>
      <c r="J2968" s="44" t="s">
        <v>4639</v>
      </c>
      <c r="K2968" s="44" t="s">
        <v>519</v>
      </c>
      <c r="L2968" s="44" t="s">
        <v>552</v>
      </c>
      <c r="M2968" s="44" t="s">
        <v>514</v>
      </c>
      <c r="N2968" s="44" t="s">
        <v>515</v>
      </c>
      <c r="O2968" s="45" t="s">
        <v>382</v>
      </c>
      <c r="P2968" s="45" t="s">
        <v>3760</v>
      </c>
      <c r="Q2968" s="59" t="str">
        <f>MID(Tabla1[[#This Row],[Aplicación]],14,1)</f>
        <v>6</v>
      </c>
      <c r="R2968" s="35" t="s">
        <v>299</v>
      </c>
      <c r="S2968" s="59" t="str">
        <f>MID(Tabla1[[#This Row],[Aplicación]],6,2)</f>
        <v>07</v>
      </c>
      <c r="T2968" s="35" t="str">
        <f>VLOOKUP(Tabla1[[#This Row],[AREA]],Hoja1!A:B,2,FALSE)</f>
        <v>07. Medio ambiente y desarrollo sostenible</v>
      </c>
      <c r="U2968" s="56" t="str">
        <f>MID(Tabla1[[#This Row],[Aplicación]],9,4)</f>
        <v>1711</v>
      </c>
      <c r="V2968" s="35" t="str">
        <f>VLOOKUP(Tabla1[[#This Row],[PROGRAMA]],Hoja1!A:B,2,FALSE)</f>
        <v>1711. Parques y jardines</v>
      </c>
      <c r="W2968" s="56" t="str">
        <f>MID(Tabla1[[#This Row],[Aplicación]],14,2)</f>
        <v>61</v>
      </c>
      <c r="X2968" s="56" t="str">
        <f>MID(Tabla1[[#This Row],[Aplicación]],14,6)</f>
        <v>619</v>
      </c>
    </row>
    <row r="2969" spans="1:24" x14ac:dyDescent="0.25">
      <c r="A2969" s="62">
        <v>220230016294</v>
      </c>
      <c r="B2969" s="44" t="s">
        <v>1514</v>
      </c>
      <c r="C2969" s="64">
        <v>45043</v>
      </c>
      <c r="D2969" s="62">
        <v>22023001542</v>
      </c>
      <c r="E2969" s="44" t="s">
        <v>4642</v>
      </c>
      <c r="F2969" s="65">
        <v>984.64</v>
      </c>
      <c r="G2969" s="44" t="s">
        <v>4643</v>
      </c>
      <c r="H2969" s="44" t="s">
        <v>4644</v>
      </c>
      <c r="I2969" s="62" t="s">
        <v>1517</v>
      </c>
      <c r="J2969" s="44" t="s">
        <v>519</v>
      </c>
      <c r="K2969" s="44" t="s">
        <v>519</v>
      </c>
      <c r="L2969" s="44" t="s">
        <v>520</v>
      </c>
      <c r="M2969" s="44" t="s">
        <v>514</v>
      </c>
      <c r="N2969" s="44" t="s">
        <v>515</v>
      </c>
      <c r="O2969" s="45" t="s">
        <v>382</v>
      </c>
      <c r="P2969" s="45" t="s">
        <v>3760</v>
      </c>
      <c r="Q2969" s="59" t="str">
        <f>MID(Tabla1[[#This Row],[Aplicación]],14,1)</f>
        <v>2</v>
      </c>
      <c r="R2969" s="35" t="s">
        <v>298</v>
      </c>
      <c r="S2969" s="59" t="str">
        <f>MID(Tabla1[[#This Row],[Aplicación]],6,2)</f>
        <v>07</v>
      </c>
      <c r="T2969" s="35" t="str">
        <f>VLOOKUP(Tabla1[[#This Row],[AREA]],Hoja1!A:B,2,FALSE)</f>
        <v>07. Medio ambiente y desarrollo sostenible</v>
      </c>
      <c r="U2969" s="56" t="str">
        <f>MID(Tabla1[[#This Row],[Aplicación]],9,4)</f>
        <v>1711</v>
      </c>
      <c r="V2969" s="35" t="str">
        <f>VLOOKUP(Tabla1[[#This Row],[PROGRAMA]],Hoja1!A:B,2,FALSE)</f>
        <v>1711. Parques y jardines</v>
      </c>
      <c r="W2969" s="56" t="str">
        <f>MID(Tabla1[[#This Row],[Aplicación]],14,2)</f>
        <v>20</v>
      </c>
      <c r="X2969" s="56" t="str">
        <f>MID(Tabla1[[#This Row],[Aplicación]],14,6)</f>
        <v>203</v>
      </c>
    </row>
    <row r="2970" spans="1:24" x14ac:dyDescent="0.25">
      <c r="A2970" s="62">
        <v>220230026236</v>
      </c>
      <c r="B2970" s="44" t="s">
        <v>1514</v>
      </c>
      <c r="C2970" s="64">
        <v>45077</v>
      </c>
      <c r="D2970" s="62">
        <v>22023001542</v>
      </c>
      <c r="E2970" s="44" t="s">
        <v>4642</v>
      </c>
      <c r="F2970" s="65">
        <v>1249.93</v>
      </c>
      <c r="G2970" s="44" t="s">
        <v>4643</v>
      </c>
      <c r="H2970" s="44" t="s">
        <v>4645</v>
      </c>
      <c r="I2970" s="62" t="s">
        <v>1517</v>
      </c>
      <c r="J2970" s="44" t="s">
        <v>519</v>
      </c>
      <c r="K2970" s="44" t="s">
        <v>519</v>
      </c>
      <c r="L2970" s="44" t="s">
        <v>520</v>
      </c>
      <c r="M2970" s="44" t="s">
        <v>514</v>
      </c>
      <c r="N2970" s="44" t="s">
        <v>515</v>
      </c>
      <c r="O2970" s="45" t="s">
        <v>382</v>
      </c>
      <c r="P2970" s="45" t="s">
        <v>3760</v>
      </c>
      <c r="Q2970" s="59" t="str">
        <f>MID(Tabla1[[#This Row],[Aplicación]],14,1)</f>
        <v>2</v>
      </c>
      <c r="R2970" s="35" t="s">
        <v>298</v>
      </c>
      <c r="S2970" s="59" t="str">
        <f>MID(Tabla1[[#This Row],[Aplicación]],6,2)</f>
        <v>07</v>
      </c>
      <c r="T2970" s="35" t="str">
        <f>VLOOKUP(Tabla1[[#This Row],[AREA]],Hoja1!A:B,2,FALSE)</f>
        <v>07. Medio ambiente y desarrollo sostenible</v>
      </c>
      <c r="U2970" s="56" t="str">
        <f>MID(Tabla1[[#This Row],[Aplicación]],9,4)</f>
        <v>1711</v>
      </c>
      <c r="V2970" s="35" t="str">
        <f>VLOOKUP(Tabla1[[#This Row],[PROGRAMA]],Hoja1!A:B,2,FALSE)</f>
        <v>1711. Parques y jardines</v>
      </c>
      <c r="W2970" s="56" t="str">
        <f>MID(Tabla1[[#This Row],[Aplicación]],14,2)</f>
        <v>20</v>
      </c>
      <c r="X2970" s="56" t="str">
        <f>MID(Tabla1[[#This Row],[Aplicación]],14,6)</f>
        <v>203</v>
      </c>
    </row>
    <row r="2971" spans="1:24" x14ac:dyDescent="0.25">
      <c r="A2971" s="62">
        <v>220230016180</v>
      </c>
      <c r="B2971" s="44" t="s">
        <v>1514</v>
      </c>
      <c r="C2971" s="64">
        <v>45043</v>
      </c>
      <c r="D2971" s="62">
        <v>22023002460</v>
      </c>
      <c r="E2971" s="44" t="s">
        <v>1978</v>
      </c>
      <c r="F2971" s="65">
        <v>218.77</v>
      </c>
      <c r="G2971" s="44" t="s">
        <v>1481</v>
      </c>
      <c r="H2971" s="44" t="s">
        <v>4646</v>
      </c>
      <c r="I2971" s="62" t="s">
        <v>1517</v>
      </c>
      <c r="J2971" s="44" t="s">
        <v>837</v>
      </c>
      <c r="K2971" s="44" t="s">
        <v>837</v>
      </c>
      <c r="L2971" s="44" t="s">
        <v>552</v>
      </c>
      <c r="M2971" s="44" t="s">
        <v>514</v>
      </c>
      <c r="N2971" s="44" t="s">
        <v>515</v>
      </c>
      <c r="O2971" s="45" t="s">
        <v>382</v>
      </c>
      <c r="P2971" s="45" t="s">
        <v>3760</v>
      </c>
      <c r="Q2971" s="59" t="str">
        <f>MID(Tabla1[[#This Row],[Aplicación]],14,1)</f>
        <v>2</v>
      </c>
      <c r="R2971" s="35" t="s">
        <v>298</v>
      </c>
      <c r="S2971" s="59" t="str">
        <f>MID(Tabla1[[#This Row],[Aplicación]],6,2)</f>
        <v>05</v>
      </c>
      <c r="T2971" s="35" t="str">
        <f>VLOOKUP(Tabla1[[#This Row],[AREA]],Hoja1!A:B,2,FALSE)</f>
        <v>05. Innovación, desarrollo económico, empleo y comercio</v>
      </c>
      <c r="U2971" s="56" t="str">
        <f>MID(Tabla1[[#This Row],[Aplicación]],9,4)</f>
        <v>4331</v>
      </c>
      <c r="V2971" s="35" t="str">
        <f>VLOOKUP(Tabla1[[#This Row],[PROGRAMA]],Hoja1!A:B,2,FALSE)</f>
        <v>4331. Desarrollo empresarial</v>
      </c>
      <c r="W2971" s="56" t="str">
        <f>MID(Tabla1[[#This Row],[Aplicación]],14,2)</f>
        <v>21</v>
      </c>
      <c r="X2971" s="56" t="str">
        <f>MID(Tabla1[[#This Row],[Aplicación]],14,6)</f>
        <v>212</v>
      </c>
    </row>
    <row r="2972" spans="1:24" x14ac:dyDescent="0.25">
      <c r="A2972" s="62">
        <v>220230017441</v>
      </c>
      <c r="B2972" s="44" t="s">
        <v>1514</v>
      </c>
      <c r="C2972" s="64">
        <v>45049</v>
      </c>
      <c r="D2972" s="62">
        <v>22023001412</v>
      </c>
      <c r="E2972" s="44" t="s">
        <v>1510</v>
      </c>
      <c r="F2972" s="65">
        <v>94.2</v>
      </c>
      <c r="G2972" s="44" t="s">
        <v>1481</v>
      </c>
      <c r="H2972" s="44" t="s">
        <v>4647</v>
      </c>
      <c r="I2972" s="62" t="s">
        <v>1517</v>
      </c>
      <c r="J2972" s="44" t="s">
        <v>837</v>
      </c>
      <c r="K2972" s="44" t="s">
        <v>837</v>
      </c>
      <c r="L2972" s="44" t="s">
        <v>552</v>
      </c>
      <c r="M2972" s="44" t="s">
        <v>514</v>
      </c>
      <c r="N2972" s="44" t="s">
        <v>515</v>
      </c>
      <c r="O2972" s="45" t="s">
        <v>382</v>
      </c>
      <c r="P2972" s="45" t="s">
        <v>3760</v>
      </c>
      <c r="Q2972" s="59" t="str">
        <f>MID(Tabla1[[#This Row],[Aplicación]],14,1)</f>
        <v>2</v>
      </c>
      <c r="R2972" s="35" t="s">
        <v>298</v>
      </c>
      <c r="S2972" s="59" t="str">
        <f>MID(Tabla1[[#This Row],[Aplicación]],6,2)</f>
        <v>10</v>
      </c>
      <c r="T2972" s="35" t="str">
        <f>VLOOKUP(Tabla1[[#This Row],[AREA]],Hoja1!A:B,2,FALSE)</f>
        <v>10. Servicios sociales y mediación comunitaria</v>
      </c>
      <c r="U2972" s="56" t="str">
        <f>MID(Tabla1[[#This Row],[Aplicación]],9,4)</f>
        <v>2311</v>
      </c>
      <c r="V2972" s="35" t="str">
        <f>VLOOKUP(Tabla1[[#This Row],[PROGRAMA]],Hoja1!A:B,2,FALSE)</f>
        <v>2311. Intervención social</v>
      </c>
      <c r="W2972" s="56" t="str">
        <f>MID(Tabla1[[#This Row],[Aplicación]],14,2)</f>
        <v>21</v>
      </c>
      <c r="X2972" s="56" t="str">
        <f>MID(Tabla1[[#This Row],[Aplicación]],14,6)</f>
        <v>212</v>
      </c>
    </row>
    <row r="2973" spans="1:24" x14ac:dyDescent="0.25">
      <c r="A2973" s="62">
        <v>220230018506</v>
      </c>
      <c r="B2973" s="44" t="s">
        <v>1514</v>
      </c>
      <c r="C2973" s="64">
        <v>45055</v>
      </c>
      <c r="D2973" s="62">
        <v>22023001467</v>
      </c>
      <c r="E2973" s="44" t="s">
        <v>1512</v>
      </c>
      <c r="F2973" s="65">
        <v>77.599999999999994</v>
      </c>
      <c r="G2973" s="44" t="s">
        <v>1481</v>
      </c>
      <c r="H2973" s="44" t="s">
        <v>4648</v>
      </c>
      <c r="I2973" s="62" t="s">
        <v>1517</v>
      </c>
      <c r="J2973" s="44" t="s">
        <v>837</v>
      </c>
      <c r="K2973" s="44" t="s">
        <v>837</v>
      </c>
      <c r="L2973" s="44" t="s">
        <v>552</v>
      </c>
      <c r="M2973" s="44" t="s">
        <v>514</v>
      </c>
      <c r="N2973" s="44" t="s">
        <v>515</v>
      </c>
      <c r="O2973" s="45" t="s">
        <v>382</v>
      </c>
      <c r="P2973" s="45" t="s">
        <v>3760</v>
      </c>
      <c r="Q2973" s="59" t="str">
        <f>MID(Tabla1[[#This Row],[Aplicación]],14,1)</f>
        <v>2</v>
      </c>
      <c r="R2973" s="35" t="s">
        <v>298</v>
      </c>
      <c r="S2973" s="59" t="str">
        <f>MID(Tabla1[[#This Row],[Aplicación]],6,2)</f>
        <v>10</v>
      </c>
      <c r="T2973" s="35" t="str">
        <f>VLOOKUP(Tabla1[[#This Row],[AREA]],Hoja1!A:B,2,FALSE)</f>
        <v>10. Servicios sociales y mediación comunitaria</v>
      </c>
      <c r="U2973" s="56" t="str">
        <f>MID(Tabla1[[#This Row],[Aplicación]],9,4)</f>
        <v>2312</v>
      </c>
      <c r="V2973" s="35" t="str">
        <f>VLOOKUP(Tabla1[[#This Row],[PROGRAMA]],Hoja1!A:B,2,FALSE)</f>
        <v>2312. Iniciativas sociales</v>
      </c>
      <c r="W2973" s="56" t="str">
        <f>MID(Tabla1[[#This Row],[Aplicación]],14,2)</f>
        <v>21</v>
      </c>
      <c r="X2973" s="56" t="str">
        <f>MID(Tabla1[[#This Row],[Aplicación]],14,6)</f>
        <v>212</v>
      </c>
    </row>
    <row r="2974" spans="1:24" x14ac:dyDescent="0.25">
      <c r="A2974" s="62">
        <v>220230017281</v>
      </c>
      <c r="B2974" s="44" t="s">
        <v>1249</v>
      </c>
      <c r="C2974" s="64">
        <v>45049</v>
      </c>
      <c r="D2974" s="62">
        <v>22023002886</v>
      </c>
      <c r="E2974" s="44" t="s">
        <v>508</v>
      </c>
      <c r="F2974" s="65">
        <v>691.53</v>
      </c>
      <c r="G2974" s="44" t="s">
        <v>400</v>
      </c>
      <c r="H2974" s="44" t="s">
        <v>4649</v>
      </c>
      <c r="I2974" s="62" t="s">
        <v>1251</v>
      </c>
      <c r="J2974" s="44" t="s">
        <v>519</v>
      </c>
      <c r="K2974" s="44" t="s">
        <v>519</v>
      </c>
      <c r="L2974" s="44" t="s">
        <v>520</v>
      </c>
      <c r="M2974" s="44" t="s">
        <v>514</v>
      </c>
      <c r="N2974" s="44" t="s">
        <v>515</v>
      </c>
      <c r="O2974" s="45" t="s">
        <v>371</v>
      </c>
      <c r="P2974" s="45" t="s">
        <v>3760</v>
      </c>
      <c r="Q2974" s="59" t="str">
        <f>MID(Tabla1[[#This Row],[Aplicación]],14,1)</f>
        <v>2</v>
      </c>
      <c r="R2974" s="35" t="s">
        <v>298</v>
      </c>
      <c r="S2974" s="59" t="str">
        <f>MID(Tabla1[[#This Row],[Aplicación]],6,2)</f>
        <v>08</v>
      </c>
      <c r="T2974" s="35" t="str">
        <f>VLOOKUP(Tabla1[[#This Row],[AREA]],Hoja1!A:B,2,FALSE)</f>
        <v>08. Movilidad y espacio urbano</v>
      </c>
      <c r="U2974" s="56" t="str">
        <f>MID(Tabla1[[#This Row],[Aplicación]],9,4)</f>
        <v>1341</v>
      </c>
      <c r="V2974" s="35" t="str">
        <f>VLOOKUP(Tabla1[[#This Row],[PROGRAMA]],Hoja1!A:B,2,FALSE)</f>
        <v>1341. Movilidad</v>
      </c>
      <c r="W2974" s="56" t="str">
        <f>MID(Tabla1[[#This Row],[Aplicación]],14,2)</f>
        <v>22</v>
      </c>
      <c r="X2974" s="56" t="str">
        <f>MID(Tabla1[[#This Row],[Aplicación]],14,6)</f>
        <v>22799</v>
      </c>
    </row>
    <row r="2975" spans="1:24" x14ac:dyDescent="0.25">
      <c r="A2975" s="62">
        <v>220230026670</v>
      </c>
      <c r="B2975" s="44" t="s">
        <v>1514</v>
      </c>
      <c r="C2975" s="64">
        <v>45077</v>
      </c>
      <c r="D2975" s="62">
        <v>22023001343</v>
      </c>
      <c r="E2975" s="44" t="s">
        <v>1506</v>
      </c>
      <c r="F2975" s="65">
        <v>162.77000000000001</v>
      </c>
      <c r="G2975" s="44" t="s">
        <v>48</v>
      </c>
      <c r="H2975" s="44" t="s">
        <v>4650</v>
      </c>
      <c r="I2975" s="62" t="s">
        <v>1517</v>
      </c>
      <c r="J2975" s="44" t="s">
        <v>519</v>
      </c>
      <c r="K2975" s="44" t="s">
        <v>519</v>
      </c>
      <c r="L2975" s="44" t="s">
        <v>552</v>
      </c>
      <c r="M2975" s="44" t="s">
        <v>514</v>
      </c>
      <c r="N2975" s="44" t="s">
        <v>604</v>
      </c>
      <c r="O2975" s="45" t="s">
        <v>382</v>
      </c>
      <c r="P2975" s="45" t="s">
        <v>3760</v>
      </c>
      <c r="Q2975" s="59" t="str">
        <f>MID(Tabla1[[#This Row],[Aplicación]],14,1)</f>
        <v>2</v>
      </c>
      <c r="R2975" s="35" t="s">
        <v>298</v>
      </c>
      <c r="S2975" s="59" t="str">
        <f>MID(Tabla1[[#This Row],[Aplicación]],6,2)</f>
        <v>03</v>
      </c>
      <c r="T2975" s="35" t="str">
        <f>VLOOKUP(Tabla1[[#This Row],[AREA]],Hoja1!A:B,2,FALSE)</f>
        <v>03. Participación ciudadana y deportes</v>
      </c>
      <c r="U2975" s="56" t="str">
        <f>MID(Tabla1[[#This Row],[Aplicación]],9,4)</f>
        <v>9241</v>
      </c>
      <c r="V2975" s="35" t="str">
        <f>VLOOKUP(Tabla1[[#This Row],[PROGRAMA]],Hoja1!A:B,2,FALSE)</f>
        <v>9241. Participación ciudadana</v>
      </c>
      <c r="W2975" s="56" t="str">
        <f>MID(Tabla1[[#This Row],[Aplicación]],14,2)</f>
        <v>21</v>
      </c>
      <c r="X2975" s="56" t="str">
        <f>MID(Tabla1[[#This Row],[Aplicación]],14,6)</f>
        <v>212</v>
      </c>
    </row>
    <row r="2976" spans="1:24" x14ac:dyDescent="0.25">
      <c r="A2976" s="62">
        <v>220230015994</v>
      </c>
      <c r="B2976" s="44" t="s">
        <v>507</v>
      </c>
      <c r="C2976" s="64">
        <v>45042</v>
      </c>
      <c r="D2976" s="62">
        <v>22023004057</v>
      </c>
      <c r="E2976" s="44" t="s">
        <v>1234</v>
      </c>
      <c r="F2976" s="65">
        <v>660</v>
      </c>
      <c r="G2976" s="44" t="s">
        <v>4023</v>
      </c>
      <c r="H2976" s="44" t="s">
        <v>4651</v>
      </c>
      <c r="I2976" s="62" t="s">
        <v>511</v>
      </c>
      <c r="J2976" s="44" t="s">
        <v>519</v>
      </c>
      <c r="K2976" s="44" t="s">
        <v>519</v>
      </c>
      <c r="L2976" s="44" t="s">
        <v>520</v>
      </c>
      <c r="M2976" s="44" t="s">
        <v>976</v>
      </c>
      <c r="N2976" s="44" t="s">
        <v>839</v>
      </c>
      <c r="O2976" s="45" t="s">
        <v>383</v>
      </c>
      <c r="P2976" s="45" t="s">
        <v>3760</v>
      </c>
      <c r="Q2976" s="59" t="str">
        <f>MID(Tabla1[[#This Row],[Aplicación]],14,1)</f>
        <v>2</v>
      </c>
      <c r="R2976" s="35" t="s">
        <v>298</v>
      </c>
      <c r="S2976" s="59" t="str">
        <f>MID(Tabla1[[#This Row],[Aplicación]],6,2)</f>
        <v>10</v>
      </c>
      <c r="T2976" s="35" t="str">
        <f>VLOOKUP(Tabla1[[#This Row],[AREA]],Hoja1!A:B,2,FALSE)</f>
        <v>10. Servicios sociales y mediación comunitaria</v>
      </c>
      <c r="U2976" s="56" t="str">
        <f>MID(Tabla1[[#This Row],[Aplicación]],9,4)</f>
        <v>2316</v>
      </c>
      <c r="V2976" s="35" t="str">
        <f>VLOOKUP(Tabla1[[#This Row],[PROGRAMA]],Hoja1!A:B,2,FALSE)</f>
        <v>2316. Mediación comunitaria</v>
      </c>
      <c r="W2976" s="56" t="str">
        <f>MID(Tabla1[[#This Row],[Aplicación]],14,2)</f>
        <v>22</v>
      </c>
      <c r="X2976" s="56" t="str">
        <f>MID(Tabla1[[#This Row],[Aplicación]],14,6)</f>
        <v>22616</v>
      </c>
    </row>
    <row r="2977" spans="1:24" x14ac:dyDescent="0.25">
      <c r="A2977" s="62">
        <v>220230022177</v>
      </c>
      <c r="B2977" s="44" t="s">
        <v>1514</v>
      </c>
      <c r="C2977" s="64">
        <v>45064</v>
      </c>
      <c r="D2977" s="62">
        <v>22023004206</v>
      </c>
      <c r="E2977" s="44" t="s">
        <v>1305</v>
      </c>
      <c r="F2977" s="65">
        <v>149.94</v>
      </c>
      <c r="G2977" s="44" t="s">
        <v>48</v>
      </c>
      <c r="H2977" s="44" t="s">
        <v>4652</v>
      </c>
      <c r="I2977" s="62" t="s">
        <v>1517</v>
      </c>
      <c r="J2977" s="44" t="s">
        <v>519</v>
      </c>
      <c r="K2977" s="44" t="s">
        <v>519</v>
      </c>
      <c r="L2977" s="44" t="s">
        <v>552</v>
      </c>
      <c r="M2977" s="44" t="s">
        <v>514</v>
      </c>
      <c r="N2977" s="44" t="s">
        <v>515</v>
      </c>
      <c r="O2977" s="45" t="s">
        <v>382</v>
      </c>
      <c r="P2977" s="45" t="s">
        <v>3760</v>
      </c>
      <c r="Q2977" s="59" t="str">
        <f>MID(Tabla1[[#This Row],[Aplicación]],14,1)</f>
        <v>2</v>
      </c>
      <c r="R2977" s="35" t="s">
        <v>298</v>
      </c>
      <c r="S2977" s="59" t="str">
        <f>MID(Tabla1[[#This Row],[Aplicación]],6,2)</f>
        <v>06</v>
      </c>
      <c r="T2977" s="35" t="str">
        <f>VLOOKUP(Tabla1[[#This Row],[AREA]],Hoja1!A:B,2,FALSE)</f>
        <v>06. Educación, infancia, juventud e igualdad</v>
      </c>
      <c r="U2977" s="56" t="str">
        <f>MID(Tabla1[[#This Row],[Aplicación]],9,4)</f>
        <v>3232</v>
      </c>
      <c r="V2977" s="35" t="str">
        <f>VLOOKUP(Tabla1[[#This Row],[PROGRAMA]],Hoja1!A:B,2,FALSE)</f>
        <v>3232. Conservación y mantenimiento centros educación infantil y primaria</v>
      </c>
      <c r="W2977" s="56" t="str">
        <f>MID(Tabla1[[#This Row],[Aplicación]],14,2)</f>
        <v>21</v>
      </c>
      <c r="X2977" s="56" t="str">
        <f>MID(Tabla1[[#This Row],[Aplicación]],14,6)</f>
        <v>212</v>
      </c>
    </row>
    <row r="2978" spans="1:24" x14ac:dyDescent="0.25">
      <c r="A2978" s="62">
        <v>220230015958</v>
      </c>
      <c r="B2978" s="44" t="s">
        <v>507</v>
      </c>
      <c r="C2978" s="64">
        <v>45042</v>
      </c>
      <c r="D2978" s="62">
        <v>22023003974</v>
      </c>
      <c r="E2978" s="44" t="s">
        <v>1234</v>
      </c>
      <c r="F2978" s="65">
        <v>350</v>
      </c>
      <c r="G2978" s="44" t="s">
        <v>4653</v>
      </c>
      <c r="H2978" s="44" t="s">
        <v>4654</v>
      </c>
      <c r="I2978" s="62" t="s">
        <v>511</v>
      </c>
      <c r="J2978" s="44" t="s">
        <v>519</v>
      </c>
      <c r="K2978" s="44" t="s">
        <v>519</v>
      </c>
      <c r="L2978" s="44" t="s">
        <v>520</v>
      </c>
      <c r="M2978" s="44" t="s">
        <v>976</v>
      </c>
      <c r="N2978" s="44" t="s">
        <v>839</v>
      </c>
      <c r="O2978" s="45" t="s">
        <v>383</v>
      </c>
      <c r="P2978" s="45" t="s">
        <v>3760</v>
      </c>
      <c r="Q2978" s="59" t="str">
        <f>MID(Tabla1[[#This Row],[Aplicación]],14,1)</f>
        <v>2</v>
      </c>
      <c r="R2978" s="35" t="s">
        <v>298</v>
      </c>
      <c r="S2978" s="59" t="str">
        <f>MID(Tabla1[[#This Row],[Aplicación]],6,2)</f>
        <v>10</v>
      </c>
      <c r="T2978" s="35" t="str">
        <f>VLOOKUP(Tabla1[[#This Row],[AREA]],Hoja1!A:B,2,FALSE)</f>
        <v>10. Servicios sociales y mediación comunitaria</v>
      </c>
      <c r="U2978" s="56" t="str">
        <f>MID(Tabla1[[#This Row],[Aplicación]],9,4)</f>
        <v>2316</v>
      </c>
      <c r="V2978" s="35" t="str">
        <f>VLOOKUP(Tabla1[[#This Row],[PROGRAMA]],Hoja1!A:B,2,FALSE)</f>
        <v>2316. Mediación comunitaria</v>
      </c>
      <c r="W2978" s="56" t="str">
        <f>MID(Tabla1[[#This Row],[Aplicación]],14,2)</f>
        <v>22</v>
      </c>
      <c r="X2978" s="56" t="str">
        <f>MID(Tabla1[[#This Row],[Aplicación]],14,6)</f>
        <v>22616</v>
      </c>
    </row>
    <row r="2979" spans="1:24" x14ac:dyDescent="0.25">
      <c r="A2979" s="62">
        <v>220230021934</v>
      </c>
      <c r="B2979" s="44" t="s">
        <v>507</v>
      </c>
      <c r="C2979" s="64">
        <v>45064</v>
      </c>
      <c r="D2979" s="62">
        <v>22023004558</v>
      </c>
      <c r="E2979" s="44" t="s">
        <v>1688</v>
      </c>
      <c r="F2979" s="65">
        <v>465.85</v>
      </c>
      <c r="G2979" s="44" t="s">
        <v>2919</v>
      </c>
      <c r="H2979" s="44" t="s">
        <v>4655</v>
      </c>
      <c r="I2979" s="62" t="s">
        <v>511</v>
      </c>
      <c r="J2979" s="44" t="s">
        <v>519</v>
      </c>
      <c r="K2979" s="44" t="s">
        <v>519</v>
      </c>
      <c r="L2979" s="44" t="s">
        <v>552</v>
      </c>
      <c r="M2979" s="44" t="s">
        <v>976</v>
      </c>
      <c r="N2979" s="44" t="s">
        <v>839</v>
      </c>
      <c r="O2979" s="45" t="s">
        <v>383</v>
      </c>
      <c r="P2979" s="45" t="s">
        <v>3760</v>
      </c>
      <c r="Q2979" s="59" t="str">
        <f>MID(Tabla1[[#This Row],[Aplicación]],14,1)</f>
        <v>2</v>
      </c>
      <c r="R2979" s="35" t="s">
        <v>298</v>
      </c>
      <c r="S2979" s="59" t="str">
        <f>MID(Tabla1[[#This Row],[Aplicación]],6,2)</f>
        <v>06</v>
      </c>
      <c r="T2979" s="35" t="str">
        <f>VLOOKUP(Tabla1[[#This Row],[AREA]],Hoja1!A:B,2,FALSE)</f>
        <v>06. Educación, infancia, juventud e igualdad</v>
      </c>
      <c r="U2979" s="56" t="str">
        <f>MID(Tabla1[[#This Row],[Aplicación]],9,4)</f>
        <v>3261</v>
      </c>
      <c r="V2979" s="35" t="str">
        <f>VLOOKUP(Tabla1[[#This Row],[PROGRAMA]],Hoja1!A:B,2,FALSE)</f>
        <v>3261. Servicios complementarios de educación</v>
      </c>
      <c r="W2979" s="56" t="str">
        <f>MID(Tabla1[[#This Row],[Aplicación]],14,2)</f>
        <v>22</v>
      </c>
      <c r="X2979" s="56" t="str">
        <f>MID(Tabla1[[#This Row],[Aplicación]],14,6)</f>
        <v>22699</v>
      </c>
    </row>
    <row r="2980" spans="1:24" x14ac:dyDescent="0.25">
      <c r="A2980" s="62">
        <v>220230018156</v>
      </c>
      <c r="B2980" s="44" t="s">
        <v>507</v>
      </c>
      <c r="C2980" s="64">
        <v>45054</v>
      </c>
      <c r="D2980" s="62">
        <v>22023004287</v>
      </c>
      <c r="E2980" s="44" t="s">
        <v>2624</v>
      </c>
      <c r="F2980" s="65">
        <v>500</v>
      </c>
      <c r="G2980" s="44" t="s">
        <v>2436</v>
      </c>
      <c r="H2980" s="44" t="s">
        <v>4656</v>
      </c>
      <c r="I2980" s="62" t="s">
        <v>511</v>
      </c>
      <c r="J2980" s="44" t="s">
        <v>2438</v>
      </c>
      <c r="K2980" s="44" t="s">
        <v>1359</v>
      </c>
      <c r="L2980" s="44" t="s">
        <v>552</v>
      </c>
      <c r="M2980" s="44" t="s">
        <v>514</v>
      </c>
      <c r="N2980" s="44" t="s">
        <v>515</v>
      </c>
      <c r="O2980" s="45" t="s">
        <v>382</v>
      </c>
      <c r="P2980" s="45" t="s">
        <v>3760</v>
      </c>
      <c r="Q2980" s="59" t="str">
        <f>MID(Tabla1[[#This Row],[Aplicación]],14,1)</f>
        <v>2</v>
      </c>
      <c r="R2980" s="35" t="s">
        <v>298</v>
      </c>
      <c r="S2980" s="59" t="str">
        <f>MID(Tabla1[[#This Row],[Aplicación]],6,2)</f>
        <v>11</v>
      </c>
      <c r="T2980" s="35" t="str">
        <f>VLOOKUP(Tabla1[[#This Row],[AREA]],Hoja1!A:B,2,FALSE)</f>
        <v>11. Salud pública y seguridad ciudadana</v>
      </c>
      <c r="U2980" s="56" t="str">
        <f>MID(Tabla1[[#This Row],[Aplicación]],9,4)</f>
        <v>1621</v>
      </c>
      <c r="V2980" s="35" t="str">
        <f>VLOOKUP(Tabla1[[#This Row],[PROGRAMA]],Hoja1!A:B,2,FALSE)</f>
        <v>1621. Servicio de limpieza</v>
      </c>
      <c r="W2980" s="56" t="str">
        <f>MID(Tabla1[[#This Row],[Aplicación]],14,2)</f>
        <v>22</v>
      </c>
      <c r="X2980" s="56" t="str">
        <f>MID(Tabla1[[#This Row],[Aplicación]],14,6)</f>
        <v>22199</v>
      </c>
    </row>
    <row r="2981" spans="1:24" x14ac:dyDescent="0.25">
      <c r="A2981" s="62">
        <v>220230018158</v>
      </c>
      <c r="B2981" s="44" t="s">
        <v>507</v>
      </c>
      <c r="C2981" s="64">
        <v>45054</v>
      </c>
      <c r="D2981" s="62">
        <v>22023004306</v>
      </c>
      <c r="E2981" s="44" t="s">
        <v>1305</v>
      </c>
      <c r="F2981" s="65">
        <v>7260</v>
      </c>
      <c r="G2981" s="44" t="s">
        <v>2436</v>
      </c>
      <c r="H2981" s="44" t="s">
        <v>4657</v>
      </c>
      <c r="I2981" s="62" t="s">
        <v>511</v>
      </c>
      <c r="J2981" s="44" t="s">
        <v>2438</v>
      </c>
      <c r="K2981" s="44" t="s">
        <v>1359</v>
      </c>
      <c r="L2981" s="44" t="s">
        <v>552</v>
      </c>
      <c r="M2981" s="44" t="s">
        <v>976</v>
      </c>
      <c r="N2981" s="44" t="s">
        <v>839</v>
      </c>
      <c r="O2981" s="45" t="s">
        <v>383</v>
      </c>
      <c r="P2981" s="45" t="s">
        <v>3760</v>
      </c>
      <c r="Q2981" s="59" t="str">
        <f>MID(Tabla1[[#This Row],[Aplicación]],14,1)</f>
        <v>2</v>
      </c>
      <c r="R2981" s="35" t="s">
        <v>298</v>
      </c>
      <c r="S2981" s="59" t="str">
        <f>MID(Tabla1[[#This Row],[Aplicación]],6,2)</f>
        <v>06</v>
      </c>
      <c r="T2981" s="35" t="str">
        <f>VLOOKUP(Tabla1[[#This Row],[AREA]],Hoja1!A:B,2,FALSE)</f>
        <v>06. Educación, infancia, juventud e igualdad</v>
      </c>
      <c r="U2981" s="56" t="str">
        <f>MID(Tabla1[[#This Row],[Aplicación]],9,4)</f>
        <v>3232</v>
      </c>
      <c r="V2981" s="35" t="str">
        <f>VLOOKUP(Tabla1[[#This Row],[PROGRAMA]],Hoja1!A:B,2,FALSE)</f>
        <v>3232. Conservación y mantenimiento centros educación infantil y primaria</v>
      </c>
      <c r="W2981" s="56" t="str">
        <f>MID(Tabla1[[#This Row],[Aplicación]],14,2)</f>
        <v>21</v>
      </c>
      <c r="X2981" s="56" t="str">
        <f>MID(Tabla1[[#This Row],[Aplicación]],14,6)</f>
        <v>212</v>
      </c>
    </row>
    <row r="2982" spans="1:24" x14ac:dyDescent="0.25">
      <c r="A2982" s="62">
        <v>220230016857</v>
      </c>
      <c r="B2982" s="44" t="s">
        <v>507</v>
      </c>
      <c r="C2982" s="64">
        <v>45048</v>
      </c>
      <c r="D2982" s="62">
        <v>22023004211</v>
      </c>
      <c r="E2982" s="44" t="s">
        <v>967</v>
      </c>
      <c r="F2982" s="65">
        <v>5000</v>
      </c>
      <c r="G2982" s="44" t="s">
        <v>333</v>
      </c>
      <c r="H2982" s="44" t="s">
        <v>4658</v>
      </c>
      <c r="I2982" s="62" t="s">
        <v>511</v>
      </c>
      <c r="J2982" s="44" t="s">
        <v>519</v>
      </c>
      <c r="K2982" s="44" t="s">
        <v>519</v>
      </c>
      <c r="L2982" s="44" t="s">
        <v>520</v>
      </c>
      <c r="M2982" s="44" t="s">
        <v>976</v>
      </c>
      <c r="N2982" s="44" t="s">
        <v>839</v>
      </c>
      <c r="O2982" s="45" t="s">
        <v>383</v>
      </c>
      <c r="P2982" s="45" t="s">
        <v>3760</v>
      </c>
      <c r="Q2982" s="59" t="str">
        <f>MID(Tabla1[[#This Row],[Aplicación]],14,1)</f>
        <v>2</v>
      </c>
      <c r="R2982" s="35" t="s">
        <v>298</v>
      </c>
      <c r="S2982" s="59" t="str">
        <f>MID(Tabla1[[#This Row],[Aplicación]],6,2)</f>
        <v>11</v>
      </c>
      <c r="T2982" s="35" t="str">
        <f>VLOOKUP(Tabla1[[#This Row],[AREA]],Hoja1!A:B,2,FALSE)</f>
        <v>11. Salud pública y seguridad ciudadana</v>
      </c>
      <c r="U2982" s="56" t="str">
        <f>MID(Tabla1[[#This Row],[Aplicación]],9,4)</f>
        <v>1631</v>
      </c>
      <c r="V2982" s="35" t="str">
        <f>VLOOKUP(Tabla1[[#This Row],[PROGRAMA]],Hoja1!A:B,2,FALSE)</f>
        <v>1631. Limpieza viaria</v>
      </c>
      <c r="W2982" s="56" t="str">
        <f>MID(Tabla1[[#This Row],[Aplicación]],14,2)</f>
        <v>22</v>
      </c>
      <c r="X2982" s="56" t="str">
        <f>MID(Tabla1[[#This Row],[Aplicación]],14,6)</f>
        <v>22700</v>
      </c>
    </row>
    <row r="2983" spans="1:24" x14ac:dyDescent="0.25">
      <c r="A2983" s="62">
        <v>220230020791</v>
      </c>
      <c r="B2983" s="44" t="s">
        <v>507</v>
      </c>
      <c r="C2983" s="64">
        <v>45062</v>
      </c>
      <c r="D2983" s="62">
        <v>22023004477</v>
      </c>
      <c r="E2983" s="44" t="s">
        <v>2445</v>
      </c>
      <c r="F2983" s="65">
        <v>4235</v>
      </c>
      <c r="G2983" s="44" t="s">
        <v>411</v>
      </c>
      <c r="H2983" s="44" t="s">
        <v>4659</v>
      </c>
      <c r="I2983" s="62" t="s">
        <v>511</v>
      </c>
      <c r="J2983" s="44" t="s">
        <v>519</v>
      </c>
      <c r="K2983" s="44" t="s">
        <v>519</v>
      </c>
      <c r="L2983" s="44" t="s">
        <v>520</v>
      </c>
      <c r="M2983" s="44" t="s">
        <v>976</v>
      </c>
      <c r="N2983" s="44" t="s">
        <v>839</v>
      </c>
      <c r="O2983" s="45" t="s">
        <v>383</v>
      </c>
      <c r="P2983" s="45" t="s">
        <v>3760</v>
      </c>
      <c r="Q2983" s="59" t="str">
        <f>MID(Tabla1[[#This Row],[Aplicación]],14,1)</f>
        <v>2</v>
      </c>
      <c r="R2983" s="35" t="s">
        <v>298</v>
      </c>
      <c r="S2983" s="59" t="str">
        <f>MID(Tabla1[[#This Row],[Aplicación]],6,2)</f>
        <v>10</v>
      </c>
      <c r="T2983" s="35" t="str">
        <f>VLOOKUP(Tabla1[[#This Row],[AREA]],Hoja1!A:B,2,FALSE)</f>
        <v>10. Servicios sociales y mediación comunitaria</v>
      </c>
      <c r="U2983" s="56" t="str">
        <f>MID(Tabla1[[#This Row],[Aplicación]],9,4)</f>
        <v>2312</v>
      </c>
      <c r="V2983" s="35" t="str">
        <f>VLOOKUP(Tabla1[[#This Row],[PROGRAMA]],Hoja1!A:B,2,FALSE)</f>
        <v>2312. Iniciativas sociales</v>
      </c>
      <c r="W2983" s="56" t="str">
        <f>MID(Tabla1[[#This Row],[Aplicación]],14,2)</f>
        <v>22</v>
      </c>
      <c r="X2983" s="56" t="str">
        <f>MID(Tabla1[[#This Row],[Aplicación]],14,6)</f>
        <v>22706</v>
      </c>
    </row>
    <row r="2984" spans="1:24" x14ac:dyDescent="0.25">
      <c r="A2984" s="62">
        <v>220230015098</v>
      </c>
      <c r="B2984" s="44" t="s">
        <v>507</v>
      </c>
      <c r="C2984" s="64">
        <v>45041</v>
      </c>
      <c r="D2984" s="62">
        <v>22023003841</v>
      </c>
      <c r="E2984" s="44" t="s">
        <v>1191</v>
      </c>
      <c r="F2984" s="65">
        <v>847</v>
      </c>
      <c r="G2984" s="44" t="s">
        <v>3007</v>
      </c>
      <c r="H2984" s="44" t="s">
        <v>4660</v>
      </c>
      <c r="I2984" s="62" t="s">
        <v>511</v>
      </c>
      <c r="J2984" s="44" t="s">
        <v>519</v>
      </c>
      <c r="K2984" s="44" t="s">
        <v>519</v>
      </c>
      <c r="L2984" s="44" t="s">
        <v>520</v>
      </c>
      <c r="M2984" s="44" t="s">
        <v>976</v>
      </c>
      <c r="N2984" s="44" t="s">
        <v>839</v>
      </c>
      <c r="O2984" s="45" t="s">
        <v>383</v>
      </c>
      <c r="P2984" s="45" t="s">
        <v>3760</v>
      </c>
      <c r="Q2984" s="59" t="str">
        <f>MID(Tabla1[[#This Row],[Aplicación]],14,1)</f>
        <v>2</v>
      </c>
      <c r="R2984" s="35" t="s">
        <v>298</v>
      </c>
      <c r="S2984" s="59" t="str">
        <f>MID(Tabla1[[#This Row],[Aplicación]],6,2)</f>
        <v>06</v>
      </c>
      <c r="T2984" s="35" t="str">
        <f>VLOOKUP(Tabla1[[#This Row],[AREA]],Hoja1!A:B,2,FALSE)</f>
        <v>06. Educación, infancia, juventud e igualdad</v>
      </c>
      <c r="U2984" s="56" t="str">
        <f>MID(Tabla1[[#This Row],[Aplicación]],9,4)</f>
        <v>2315</v>
      </c>
      <c r="V2984" s="35" t="str">
        <f>VLOOKUP(Tabla1[[#This Row],[PROGRAMA]],Hoja1!A:B,2,FALSE)</f>
        <v>2315. Políticas de Igualdad e infancia</v>
      </c>
      <c r="W2984" s="56" t="str">
        <f>MID(Tabla1[[#This Row],[Aplicación]],14,2)</f>
        <v>22</v>
      </c>
      <c r="X2984" s="56" t="str">
        <f>MID(Tabla1[[#This Row],[Aplicación]],14,6)</f>
        <v>22611</v>
      </c>
    </row>
    <row r="2985" spans="1:24" x14ac:dyDescent="0.25">
      <c r="A2985" s="62">
        <v>220230018172</v>
      </c>
      <c r="B2985" s="44" t="s">
        <v>507</v>
      </c>
      <c r="C2985" s="64">
        <v>45054</v>
      </c>
      <c r="D2985" s="62">
        <v>22023004369</v>
      </c>
      <c r="E2985" s="44" t="s">
        <v>1453</v>
      </c>
      <c r="F2985" s="65">
        <v>562.83000000000004</v>
      </c>
      <c r="G2985" s="44" t="s">
        <v>3032</v>
      </c>
      <c r="H2985" s="44" t="s">
        <v>4661</v>
      </c>
      <c r="I2985" s="62" t="s">
        <v>511</v>
      </c>
      <c r="J2985" s="44" t="s">
        <v>519</v>
      </c>
      <c r="K2985" s="44" t="s">
        <v>519</v>
      </c>
      <c r="L2985" s="44" t="s">
        <v>552</v>
      </c>
      <c r="M2985" s="44" t="s">
        <v>976</v>
      </c>
      <c r="N2985" s="44" t="s">
        <v>839</v>
      </c>
      <c r="O2985" s="45" t="s">
        <v>383</v>
      </c>
      <c r="P2985" s="45" t="s">
        <v>3760</v>
      </c>
      <c r="Q2985" s="59" t="str">
        <f>MID(Tabla1[[#This Row],[Aplicación]],14,1)</f>
        <v>2</v>
      </c>
      <c r="R2985" s="35" t="s">
        <v>298</v>
      </c>
      <c r="S2985" s="59" t="str">
        <f>MID(Tabla1[[#This Row],[Aplicación]],6,2)</f>
        <v>11</v>
      </c>
      <c r="T2985" s="35" t="str">
        <f>VLOOKUP(Tabla1[[#This Row],[AREA]],Hoja1!A:B,2,FALSE)</f>
        <v>11. Salud pública y seguridad ciudadana</v>
      </c>
      <c r="U2985" s="56" t="str">
        <f>MID(Tabla1[[#This Row],[Aplicación]],9,4)</f>
        <v>3111</v>
      </c>
      <c r="V2985" s="35" t="str">
        <f>VLOOKUP(Tabla1[[#This Row],[PROGRAMA]],Hoja1!A:B,2,FALSE)</f>
        <v>3111. Protección de la salubridad pública</v>
      </c>
      <c r="W2985" s="56" t="str">
        <f>MID(Tabla1[[#This Row],[Aplicación]],14,2)</f>
        <v>22</v>
      </c>
      <c r="X2985" s="56" t="str">
        <f>MID(Tabla1[[#This Row],[Aplicación]],14,6)</f>
        <v>22799</v>
      </c>
    </row>
    <row r="2986" spans="1:24" x14ac:dyDescent="0.25">
      <c r="A2986" s="62">
        <v>220230016834</v>
      </c>
      <c r="B2986" s="44" t="s">
        <v>1337</v>
      </c>
      <c r="C2986" s="64">
        <v>45048</v>
      </c>
      <c r="D2986" s="62">
        <v>22023003695</v>
      </c>
      <c r="E2986" s="44" t="s">
        <v>1453</v>
      </c>
      <c r="F2986" s="65">
        <v>-340.49</v>
      </c>
      <c r="G2986" s="44" t="s">
        <v>3032</v>
      </c>
      <c r="H2986" s="44" t="s">
        <v>3033</v>
      </c>
      <c r="I2986" s="62" t="s">
        <v>511</v>
      </c>
      <c r="J2986" s="44" t="s">
        <v>519</v>
      </c>
      <c r="K2986" s="44" t="s">
        <v>519</v>
      </c>
      <c r="L2986" s="44" t="s">
        <v>552</v>
      </c>
      <c r="M2986" s="44" t="s">
        <v>976</v>
      </c>
      <c r="N2986" s="44" t="s">
        <v>839</v>
      </c>
      <c r="O2986" s="45" t="s">
        <v>383</v>
      </c>
      <c r="P2986" s="45" t="s">
        <v>3760</v>
      </c>
      <c r="Q2986" s="59" t="str">
        <f>MID(Tabla1[[#This Row],[Aplicación]],14,1)</f>
        <v>2</v>
      </c>
      <c r="R2986" s="35" t="s">
        <v>298</v>
      </c>
      <c r="S2986" s="59" t="str">
        <f>MID(Tabla1[[#This Row],[Aplicación]],6,2)</f>
        <v>11</v>
      </c>
      <c r="T2986" s="35" t="str">
        <f>VLOOKUP(Tabla1[[#This Row],[AREA]],Hoja1!A:B,2,FALSE)</f>
        <v>11. Salud pública y seguridad ciudadana</v>
      </c>
      <c r="U2986" s="56" t="str">
        <f>MID(Tabla1[[#This Row],[Aplicación]],9,4)</f>
        <v>3111</v>
      </c>
      <c r="V2986" s="35" t="str">
        <f>VLOOKUP(Tabla1[[#This Row],[PROGRAMA]],Hoja1!A:B,2,FALSE)</f>
        <v>3111. Protección de la salubridad pública</v>
      </c>
      <c r="W2986" s="56" t="str">
        <f>MID(Tabla1[[#This Row],[Aplicación]],14,2)</f>
        <v>22</v>
      </c>
      <c r="X2986" s="56" t="str">
        <f>MID(Tabla1[[#This Row],[Aplicación]],14,6)</f>
        <v>22799</v>
      </c>
    </row>
    <row r="2987" spans="1:24" x14ac:dyDescent="0.25">
      <c r="A2987" s="62">
        <v>220230024856</v>
      </c>
      <c r="B2987" s="44" t="s">
        <v>507</v>
      </c>
      <c r="C2987" s="64">
        <v>45070</v>
      </c>
      <c r="D2987" s="62">
        <v>22023004626</v>
      </c>
      <c r="E2987" s="44" t="s">
        <v>1318</v>
      </c>
      <c r="F2987" s="65">
        <v>242</v>
      </c>
      <c r="G2987" s="44" t="s">
        <v>452</v>
      </c>
      <c r="H2987" s="44" t="s">
        <v>4662</v>
      </c>
      <c r="I2987" s="62" t="s">
        <v>511</v>
      </c>
      <c r="J2987" s="44" t="s">
        <v>519</v>
      </c>
      <c r="K2987" s="44" t="s">
        <v>519</v>
      </c>
      <c r="L2987" s="44" t="s">
        <v>552</v>
      </c>
      <c r="M2987" s="44" t="s">
        <v>976</v>
      </c>
      <c r="N2987" s="44" t="s">
        <v>839</v>
      </c>
      <c r="O2987" s="45" t="s">
        <v>383</v>
      </c>
      <c r="P2987" s="45" t="s">
        <v>3760</v>
      </c>
      <c r="Q2987" s="59" t="str">
        <f>MID(Tabla1[[#This Row],[Aplicación]],14,1)</f>
        <v>2</v>
      </c>
      <c r="R2987" s="35" t="s">
        <v>298</v>
      </c>
      <c r="S2987" s="59" t="str">
        <f>MID(Tabla1[[#This Row],[Aplicación]],6,2)</f>
        <v>05</v>
      </c>
      <c r="T2987" s="35" t="str">
        <f>VLOOKUP(Tabla1[[#This Row],[AREA]],Hoja1!A:B,2,FALSE)</f>
        <v>05. Innovación, desarrollo económico, empleo y comercio</v>
      </c>
      <c r="U2987" s="56" t="str">
        <f>MID(Tabla1[[#This Row],[Aplicación]],9,4)</f>
        <v>4331</v>
      </c>
      <c r="V2987" s="35" t="str">
        <f>VLOOKUP(Tabla1[[#This Row],[PROGRAMA]],Hoja1!A:B,2,FALSE)</f>
        <v>4331. Desarrollo empresarial</v>
      </c>
      <c r="W2987" s="56" t="str">
        <f>MID(Tabla1[[#This Row],[Aplicación]],14,2)</f>
        <v>22</v>
      </c>
      <c r="X2987" s="56" t="str">
        <f>MID(Tabla1[[#This Row],[Aplicación]],14,6)</f>
        <v>22699</v>
      </c>
    </row>
    <row r="2988" spans="1:24" x14ac:dyDescent="0.25">
      <c r="A2988" s="62">
        <v>220230020480</v>
      </c>
      <c r="B2988" s="44" t="s">
        <v>507</v>
      </c>
      <c r="C2988" s="64">
        <v>45057</v>
      </c>
      <c r="D2988" s="62">
        <v>22023004447</v>
      </c>
      <c r="E2988" s="44" t="s">
        <v>1260</v>
      </c>
      <c r="F2988" s="65">
        <v>1354.72</v>
      </c>
      <c r="G2988" s="44" t="s">
        <v>3071</v>
      </c>
      <c r="H2988" s="44" t="s">
        <v>4663</v>
      </c>
      <c r="I2988" s="62" t="s">
        <v>511</v>
      </c>
      <c r="J2988" s="44" t="s">
        <v>519</v>
      </c>
      <c r="K2988" s="44" t="s">
        <v>519</v>
      </c>
      <c r="L2988" s="44" t="s">
        <v>552</v>
      </c>
      <c r="M2988" s="44" t="s">
        <v>976</v>
      </c>
      <c r="N2988" s="44" t="s">
        <v>839</v>
      </c>
      <c r="O2988" s="45" t="s">
        <v>383</v>
      </c>
      <c r="P2988" s="45" t="s">
        <v>3760</v>
      </c>
      <c r="Q2988" s="59" t="str">
        <f>MID(Tabla1[[#This Row],[Aplicación]],14,1)</f>
        <v>2</v>
      </c>
      <c r="R2988" s="35" t="s">
        <v>298</v>
      </c>
      <c r="S2988" s="59" t="str">
        <f>MID(Tabla1[[#This Row],[Aplicación]],6,2)</f>
        <v>03</v>
      </c>
      <c r="T2988" s="35" t="str">
        <f>VLOOKUP(Tabla1[[#This Row],[AREA]],Hoja1!A:B,2,FALSE)</f>
        <v>03. Participación ciudadana y deportes</v>
      </c>
      <c r="U2988" s="56" t="str">
        <f>MID(Tabla1[[#This Row],[Aplicación]],9,4)</f>
        <v>9241</v>
      </c>
      <c r="V2988" s="35" t="str">
        <f>VLOOKUP(Tabla1[[#This Row],[PROGRAMA]],Hoja1!A:B,2,FALSE)</f>
        <v>9241. Participación ciudadana</v>
      </c>
      <c r="W2988" s="56" t="str">
        <f>MID(Tabla1[[#This Row],[Aplicación]],14,2)</f>
        <v>22</v>
      </c>
      <c r="X2988" s="56" t="str">
        <f>MID(Tabla1[[#This Row],[Aplicación]],14,6)</f>
        <v>22602</v>
      </c>
    </row>
    <row r="2989" spans="1:24" x14ac:dyDescent="0.25">
      <c r="A2989" s="62">
        <v>220230018506</v>
      </c>
      <c r="B2989" s="44" t="s">
        <v>1514</v>
      </c>
      <c r="C2989" s="64">
        <v>45055</v>
      </c>
      <c r="D2989" s="62">
        <v>22023001468</v>
      </c>
      <c r="E2989" s="44" t="s">
        <v>1512</v>
      </c>
      <c r="F2989" s="65">
        <v>869.16</v>
      </c>
      <c r="G2989" s="44" t="s">
        <v>1481</v>
      </c>
      <c r="H2989" s="44" t="s">
        <v>4648</v>
      </c>
      <c r="I2989" s="62" t="s">
        <v>1517</v>
      </c>
      <c r="J2989" s="44" t="s">
        <v>837</v>
      </c>
      <c r="K2989" s="44" t="s">
        <v>837</v>
      </c>
      <c r="L2989" s="44" t="s">
        <v>552</v>
      </c>
      <c r="M2989" s="44" t="s">
        <v>514</v>
      </c>
      <c r="N2989" s="44" t="s">
        <v>515</v>
      </c>
      <c r="O2989" s="45" t="s">
        <v>382</v>
      </c>
      <c r="P2989" s="45" t="s">
        <v>3760</v>
      </c>
      <c r="Q2989" s="59" t="str">
        <f>MID(Tabla1[[#This Row],[Aplicación]],14,1)</f>
        <v>2</v>
      </c>
      <c r="R2989" s="35" t="s">
        <v>298</v>
      </c>
      <c r="S2989" s="59" t="str">
        <f>MID(Tabla1[[#This Row],[Aplicación]],6,2)</f>
        <v>10</v>
      </c>
      <c r="T2989" s="35" t="str">
        <f>VLOOKUP(Tabla1[[#This Row],[AREA]],Hoja1!A:B,2,FALSE)</f>
        <v>10. Servicios sociales y mediación comunitaria</v>
      </c>
      <c r="U2989" s="56" t="str">
        <f>MID(Tabla1[[#This Row],[Aplicación]],9,4)</f>
        <v>2312</v>
      </c>
      <c r="V2989" s="35" t="str">
        <f>VLOOKUP(Tabla1[[#This Row],[PROGRAMA]],Hoja1!A:B,2,FALSE)</f>
        <v>2312. Iniciativas sociales</v>
      </c>
      <c r="W2989" s="56" t="str">
        <f>MID(Tabla1[[#This Row],[Aplicación]],14,2)</f>
        <v>21</v>
      </c>
      <c r="X2989" s="56" t="str">
        <f>MID(Tabla1[[#This Row],[Aplicación]],14,6)</f>
        <v>212</v>
      </c>
    </row>
    <row r="2990" spans="1:24" x14ac:dyDescent="0.25">
      <c r="A2990" s="62">
        <v>220230018544</v>
      </c>
      <c r="B2990" s="44" t="s">
        <v>1514</v>
      </c>
      <c r="C2990" s="64">
        <v>45055</v>
      </c>
      <c r="D2990" s="62">
        <v>22023001344</v>
      </c>
      <c r="E2990" s="44" t="s">
        <v>1150</v>
      </c>
      <c r="F2990" s="65">
        <v>49.22</v>
      </c>
      <c r="G2990" s="44" t="s">
        <v>1481</v>
      </c>
      <c r="H2990" s="44" t="s">
        <v>4664</v>
      </c>
      <c r="I2990" s="62" t="s">
        <v>1517</v>
      </c>
      <c r="J2990" s="44" t="s">
        <v>837</v>
      </c>
      <c r="K2990" s="44" t="s">
        <v>837</v>
      </c>
      <c r="L2990" s="44" t="s">
        <v>552</v>
      </c>
      <c r="M2990" s="44" t="s">
        <v>514</v>
      </c>
      <c r="N2990" s="44" t="s">
        <v>604</v>
      </c>
      <c r="O2990" s="45" t="s">
        <v>382</v>
      </c>
      <c r="P2990" s="45" t="s">
        <v>3760</v>
      </c>
      <c r="Q2990" s="59" t="str">
        <f>MID(Tabla1[[#This Row],[Aplicación]],14,1)</f>
        <v>2</v>
      </c>
      <c r="R2990" s="35" t="s">
        <v>298</v>
      </c>
      <c r="S2990" s="59" t="str">
        <f>MID(Tabla1[[#This Row],[Aplicación]],6,2)</f>
        <v>03</v>
      </c>
      <c r="T2990" s="35" t="str">
        <f>VLOOKUP(Tabla1[[#This Row],[AREA]],Hoja1!A:B,2,FALSE)</f>
        <v>03. Participación ciudadana y deportes</v>
      </c>
      <c r="U2990" s="56" t="str">
        <f>MID(Tabla1[[#This Row],[Aplicación]],9,4)</f>
        <v>9241</v>
      </c>
      <c r="V2990" s="35" t="str">
        <f>VLOOKUP(Tabla1[[#This Row],[PROGRAMA]],Hoja1!A:B,2,FALSE)</f>
        <v>9241. Participación ciudadana</v>
      </c>
      <c r="W2990" s="56" t="str">
        <f>MID(Tabla1[[#This Row],[Aplicación]],14,2)</f>
        <v>21</v>
      </c>
      <c r="X2990" s="56" t="str">
        <f>MID(Tabla1[[#This Row],[Aplicación]],14,6)</f>
        <v>213</v>
      </c>
    </row>
    <row r="2991" spans="1:24" x14ac:dyDescent="0.25">
      <c r="A2991" s="62">
        <v>220230020890</v>
      </c>
      <c r="B2991" s="44" t="s">
        <v>1514</v>
      </c>
      <c r="C2991" s="64">
        <v>45062</v>
      </c>
      <c r="D2991" s="62">
        <v>22023001477</v>
      </c>
      <c r="E2991" s="44" t="s">
        <v>1657</v>
      </c>
      <c r="F2991" s="65">
        <v>12.63</v>
      </c>
      <c r="G2991" s="44" t="s">
        <v>1481</v>
      </c>
      <c r="H2991" s="44" t="s">
        <v>4665</v>
      </c>
      <c r="I2991" s="62" t="s">
        <v>1517</v>
      </c>
      <c r="J2991" s="44" t="s">
        <v>837</v>
      </c>
      <c r="K2991" s="44" t="s">
        <v>837</v>
      </c>
      <c r="L2991" s="44" t="s">
        <v>552</v>
      </c>
      <c r="M2991" s="44" t="s">
        <v>514</v>
      </c>
      <c r="N2991" s="44" t="s">
        <v>515</v>
      </c>
      <c r="O2991" s="45" t="s">
        <v>382</v>
      </c>
      <c r="P2991" s="45" t="s">
        <v>3760</v>
      </c>
      <c r="Q2991" s="59" t="str">
        <f>MID(Tabla1[[#This Row],[Aplicación]],14,1)</f>
        <v>2</v>
      </c>
      <c r="R2991" s="35" t="s">
        <v>298</v>
      </c>
      <c r="S2991" s="59" t="str">
        <f>MID(Tabla1[[#This Row],[Aplicación]],6,2)</f>
        <v>10</v>
      </c>
      <c r="T2991" s="35" t="str">
        <f>VLOOKUP(Tabla1[[#This Row],[AREA]],Hoja1!A:B,2,FALSE)</f>
        <v>10. Servicios sociales y mediación comunitaria</v>
      </c>
      <c r="U2991" s="56" t="str">
        <f>MID(Tabla1[[#This Row],[Aplicación]],9,4)</f>
        <v>2412</v>
      </c>
      <c r="V2991" s="35" t="str">
        <f>VLOOKUP(Tabla1[[#This Row],[PROGRAMA]],Hoja1!A:B,2,FALSE)</f>
        <v>2412. Formación para el empleo</v>
      </c>
      <c r="W2991" s="56" t="str">
        <f>MID(Tabla1[[#This Row],[Aplicación]],14,2)</f>
        <v>21</v>
      </c>
      <c r="X2991" s="56" t="str">
        <f>MID(Tabla1[[#This Row],[Aplicación]],14,6)</f>
        <v>212</v>
      </c>
    </row>
    <row r="2992" spans="1:24" x14ac:dyDescent="0.25">
      <c r="A2992" s="62">
        <v>220230021951</v>
      </c>
      <c r="B2992" s="44" t="s">
        <v>1514</v>
      </c>
      <c r="C2992" s="64">
        <v>45064</v>
      </c>
      <c r="D2992" s="62">
        <v>22023001514</v>
      </c>
      <c r="E2992" s="44" t="s">
        <v>1285</v>
      </c>
      <c r="F2992" s="65">
        <v>284.35000000000002</v>
      </c>
      <c r="G2992" s="44" t="s">
        <v>1481</v>
      </c>
      <c r="H2992" s="44" t="s">
        <v>4666</v>
      </c>
      <c r="I2992" s="62" t="s">
        <v>1517</v>
      </c>
      <c r="J2992" s="44" t="s">
        <v>837</v>
      </c>
      <c r="K2992" s="44" t="s">
        <v>837</v>
      </c>
      <c r="L2992" s="44" t="s">
        <v>552</v>
      </c>
      <c r="M2992" s="44" t="s">
        <v>514</v>
      </c>
      <c r="N2992" s="44" t="s">
        <v>515</v>
      </c>
      <c r="O2992" s="45" t="s">
        <v>382</v>
      </c>
      <c r="P2992" s="45" t="s">
        <v>3760</v>
      </c>
      <c r="Q2992" s="59" t="str">
        <f>MID(Tabla1[[#This Row],[Aplicación]],14,1)</f>
        <v>2</v>
      </c>
      <c r="R2992" s="35" t="s">
        <v>298</v>
      </c>
      <c r="S2992" s="59" t="str">
        <f>MID(Tabla1[[#This Row],[Aplicación]],6,2)</f>
        <v>11</v>
      </c>
      <c r="T2992" s="35" t="str">
        <f>VLOOKUP(Tabla1[[#This Row],[AREA]],Hoja1!A:B,2,FALSE)</f>
        <v>11. Salud pública y seguridad ciudadana</v>
      </c>
      <c r="U2992" s="56" t="str">
        <f>MID(Tabla1[[#This Row],[Aplicación]],9,4)</f>
        <v>1361</v>
      </c>
      <c r="V2992" s="35" t="str">
        <f>VLOOKUP(Tabla1[[#This Row],[PROGRAMA]],Hoja1!A:B,2,FALSE)</f>
        <v>1361. Prevención y extinción de incencios</v>
      </c>
      <c r="W2992" s="56" t="str">
        <f>MID(Tabla1[[#This Row],[Aplicación]],14,2)</f>
        <v>22</v>
      </c>
      <c r="X2992" s="56" t="str">
        <f>MID(Tabla1[[#This Row],[Aplicación]],14,6)</f>
        <v>22199</v>
      </c>
    </row>
    <row r="2993" spans="1:24" x14ac:dyDescent="0.25">
      <c r="A2993" s="62">
        <v>220230023213</v>
      </c>
      <c r="B2993" s="44" t="s">
        <v>1514</v>
      </c>
      <c r="C2993" s="64">
        <v>45068</v>
      </c>
      <c r="D2993" s="62">
        <v>22023000273</v>
      </c>
      <c r="E2993" s="44" t="s">
        <v>2310</v>
      </c>
      <c r="F2993" s="65">
        <v>362.21</v>
      </c>
      <c r="G2993" s="44" t="s">
        <v>1481</v>
      </c>
      <c r="H2993" s="44" t="s">
        <v>4667</v>
      </c>
      <c r="I2993" s="62" t="s">
        <v>1517</v>
      </c>
      <c r="J2993" s="44" t="s">
        <v>837</v>
      </c>
      <c r="K2993" s="44" t="s">
        <v>837</v>
      </c>
      <c r="L2993" s="44" t="s">
        <v>552</v>
      </c>
      <c r="M2993" s="44" t="s">
        <v>514</v>
      </c>
      <c r="N2993" s="44" t="s">
        <v>515</v>
      </c>
      <c r="O2993" s="45" t="s">
        <v>382</v>
      </c>
      <c r="P2993" s="45" t="s">
        <v>3760</v>
      </c>
      <c r="Q2993" s="59" t="str">
        <f>MID(Tabla1[[#This Row],[Aplicación]],14,1)</f>
        <v>2</v>
      </c>
      <c r="R2993" s="35" t="s">
        <v>298</v>
      </c>
      <c r="S2993" s="59" t="str">
        <f>MID(Tabla1[[#This Row],[Aplicación]],6,2)</f>
        <v>11</v>
      </c>
      <c r="T2993" s="35" t="str">
        <f>VLOOKUP(Tabla1[[#This Row],[AREA]],Hoja1!A:B,2,FALSE)</f>
        <v>11. Salud pública y seguridad ciudadana</v>
      </c>
      <c r="U2993" s="56" t="str">
        <f>MID(Tabla1[[#This Row],[Aplicación]],9,4)</f>
        <v>1321</v>
      </c>
      <c r="V2993" s="35" t="str">
        <f>VLOOKUP(Tabla1[[#This Row],[PROGRAMA]],Hoja1!A:B,2,FALSE)</f>
        <v>1321. Policía municipal</v>
      </c>
      <c r="W2993" s="56" t="str">
        <f>MID(Tabla1[[#This Row],[Aplicación]],14,2)</f>
        <v>22</v>
      </c>
      <c r="X2993" s="56" t="str">
        <f>MID(Tabla1[[#This Row],[Aplicación]],14,6)</f>
        <v>22199</v>
      </c>
    </row>
    <row r="2994" spans="1:24" x14ac:dyDescent="0.25">
      <c r="A2994" s="62">
        <v>220230026226</v>
      </c>
      <c r="B2994" s="44" t="s">
        <v>1514</v>
      </c>
      <c r="C2994" s="64">
        <v>45077</v>
      </c>
      <c r="D2994" s="62">
        <v>22023001549</v>
      </c>
      <c r="E2994" s="44" t="s">
        <v>1515</v>
      </c>
      <c r="F2994" s="65">
        <v>48.39</v>
      </c>
      <c r="G2994" s="44" t="s">
        <v>1481</v>
      </c>
      <c r="H2994" s="44" t="s">
        <v>4668</v>
      </c>
      <c r="I2994" s="62" t="s">
        <v>1517</v>
      </c>
      <c r="J2994" s="44" t="s">
        <v>837</v>
      </c>
      <c r="K2994" s="44" t="s">
        <v>837</v>
      </c>
      <c r="L2994" s="44" t="s">
        <v>552</v>
      </c>
      <c r="M2994" s="44" t="s">
        <v>514</v>
      </c>
      <c r="N2994" s="44" t="s">
        <v>515</v>
      </c>
      <c r="O2994" s="45" t="s">
        <v>382</v>
      </c>
      <c r="P2994" s="45" t="s">
        <v>3760</v>
      </c>
      <c r="Q2994" s="59" t="str">
        <f>MID(Tabla1[[#This Row],[Aplicación]],14,1)</f>
        <v>2</v>
      </c>
      <c r="R2994" s="35" t="s">
        <v>298</v>
      </c>
      <c r="S2994" s="59" t="str">
        <f>MID(Tabla1[[#This Row],[Aplicación]],6,2)</f>
        <v>07</v>
      </c>
      <c r="T2994" s="35" t="str">
        <f>VLOOKUP(Tabla1[[#This Row],[AREA]],Hoja1!A:B,2,FALSE)</f>
        <v>07. Medio ambiente y desarrollo sostenible</v>
      </c>
      <c r="U2994" s="56" t="str">
        <f>MID(Tabla1[[#This Row],[Aplicación]],9,4)</f>
        <v>1711</v>
      </c>
      <c r="V2994" s="35" t="str">
        <f>VLOOKUP(Tabla1[[#This Row],[PROGRAMA]],Hoja1!A:B,2,FALSE)</f>
        <v>1711. Parques y jardines</v>
      </c>
      <c r="W2994" s="56" t="str">
        <f>MID(Tabla1[[#This Row],[Aplicación]],14,2)</f>
        <v>22</v>
      </c>
      <c r="X2994" s="56" t="str">
        <f>MID(Tabla1[[#This Row],[Aplicación]],14,6)</f>
        <v>22199</v>
      </c>
    </row>
    <row r="2995" spans="1:24" x14ac:dyDescent="0.25">
      <c r="A2995" s="62">
        <v>220230026348</v>
      </c>
      <c r="B2995" s="44" t="s">
        <v>1514</v>
      </c>
      <c r="C2995" s="64">
        <v>45077</v>
      </c>
      <c r="D2995" s="62">
        <v>22023001344</v>
      </c>
      <c r="E2995" s="44" t="s">
        <v>1150</v>
      </c>
      <c r="F2995" s="65">
        <v>1537.87</v>
      </c>
      <c r="G2995" s="44" t="s">
        <v>1481</v>
      </c>
      <c r="H2995" s="44" t="s">
        <v>4669</v>
      </c>
      <c r="I2995" s="62" t="s">
        <v>1517</v>
      </c>
      <c r="J2995" s="44" t="s">
        <v>837</v>
      </c>
      <c r="K2995" s="44" t="s">
        <v>837</v>
      </c>
      <c r="L2995" s="44" t="s">
        <v>552</v>
      </c>
      <c r="M2995" s="44" t="s">
        <v>514</v>
      </c>
      <c r="N2995" s="44" t="s">
        <v>604</v>
      </c>
      <c r="O2995" s="45" t="s">
        <v>382</v>
      </c>
      <c r="P2995" s="45" t="s">
        <v>3760</v>
      </c>
      <c r="Q2995" s="59" t="str">
        <f>MID(Tabla1[[#This Row],[Aplicación]],14,1)</f>
        <v>2</v>
      </c>
      <c r="R2995" s="35" t="s">
        <v>298</v>
      </c>
      <c r="S2995" s="59" t="str">
        <f>MID(Tabla1[[#This Row],[Aplicación]],6,2)</f>
        <v>03</v>
      </c>
      <c r="T2995" s="35" t="str">
        <f>VLOOKUP(Tabla1[[#This Row],[AREA]],Hoja1!A:B,2,FALSE)</f>
        <v>03. Participación ciudadana y deportes</v>
      </c>
      <c r="U2995" s="56" t="str">
        <f>MID(Tabla1[[#This Row],[Aplicación]],9,4)</f>
        <v>9241</v>
      </c>
      <c r="V2995" s="35" t="str">
        <f>VLOOKUP(Tabla1[[#This Row],[PROGRAMA]],Hoja1!A:B,2,FALSE)</f>
        <v>9241. Participación ciudadana</v>
      </c>
      <c r="W2995" s="56" t="str">
        <f>MID(Tabla1[[#This Row],[Aplicación]],14,2)</f>
        <v>21</v>
      </c>
      <c r="X2995" s="56" t="str">
        <f>MID(Tabla1[[#This Row],[Aplicación]],14,6)</f>
        <v>213</v>
      </c>
    </row>
    <row r="2996" spans="1:24" x14ac:dyDescent="0.25">
      <c r="A2996" s="62">
        <v>220230016042</v>
      </c>
      <c r="B2996" s="44" t="s">
        <v>1514</v>
      </c>
      <c r="C2996" s="64">
        <v>45043</v>
      </c>
      <c r="D2996" s="62">
        <v>22023000263</v>
      </c>
      <c r="E2996" s="44" t="s">
        <v>3146</v>
      </c>
      <c r="F2996" s="65">
        <v>348</v>
      </c>
      <c r="G2996" s="44" t="s">
        <v>2343</v>
      </c>
      <c r="H2996" s="44" t="s">
        <v>4670</v>
      </c>
      <c r="I2996" s="62" t="s">
        <v>1517</v>
      </c>
      <c r="J2996" s="44" t="s">
        <v>519</v>
      </c>
      <c r="K2996" s="44" t="s">
        <v>519</v>
      </c>
      <c r="L2996" s="44" t="s">
        <v>520</v>
      </c>
      <c r="M2996" s="44" t="s">
        <v>514</v>
      </c>
      <c r="N2996" s="44" t="s">
        <v>515</v>
      </c>
      <c r="O2996" s="45" t="s">
        <v>382</v>
      </c>
      <c r="P2996" s="45" t="s">
        <v>3760</v>
      </c>
      <c r="Q2996" s="59" t="str">
        <f>MID(Tabla1[[#This Row],[Aplicación]],14,1)</f>
        <v>2</v>
      </c>
      <c r="R2996" s="35" t="s">
        <v>298</v>
      </c>
      <c r="S2996" s="59" t="str">
        <f>MID(Tabla1[[#This Row],[Aplicación]],6,2)</f>
        <v>02</v>
      </c>
      <c r="T2996" s="35" t="str">
        <f>VLOOKUP(Tabla1[[#This Row],[AREA]],Hoja1!A:B,2,FALSE)</f>
        <v>02. Planeamiento urbanístico y vivienda</v>
      </c>
      <c r="U2996" s="56" t="str">
        <f>MID(Tabla1[[#This Row],[Aplicación]],9,4)</f>
        <v>9332</v>
      </c>
      <c r="V2996" s="35" t="str">
        <f>VLOOKUP(Tabla1[[#This Row],[PROGRAMA]],Hoja1!A:B,2,FALSE)</f>
        <v>9332. Mantenimiento de edificios e instalaciones municipales</v>
      </c>
      <c r="W2996" s="56" t="str">
        <f>MID(Tabla1[[#This Row],[Aplicación]],14,2)</f>
        <v>21</v>
      </c>
      <c r="X2996" s="56" t="str">
        <f>MID(Tabla1[[#This Row],[Aplicación]],14,6)</f>
        <v>214</v>
      </c>
    </row>
    <row r="2997" spans="1:24" x14ac:dyDescent="0.25">
      <c r="A2997" s="62">
        <v>220230016091</v>
      </c>
      <c r="B2997" s="44" t="s">
        <v>1514</v>
      </c>
      <c r="C2997" s="64">
        <v>45043</v>
      </c>
      <c r="D2997" s="62">
        <v>22023001459</v>
      </c>
      <c r="E2997" s="44" t="s">
        <v>1290</v>
      </c>
      <c r="F2997" s="65">
        <v>598.84</v>
      </c>
      <c r="G2997" s="44" t="s">
        <v>2343</v>
      </c>
      <c r="H2997" s="44" t="s">
        <v>4671</v>
      </c>
      <c r="I2997" s="62" t="s">
        <v>1517</v>
      </c>
      <c r="J2997" s="44" t="s">
        <v>519</v>
      </c>
      <c r="K2997" s="44" t="s">
        <v>519</v>
      </c>
      <c r="L2997" s="44" t="s">
        <v>520</v>
      </c>
      <c r="M2997" s="44" t="s">
        <v>514</v>
      </c>
      <c r="N2997" s="44" t="s">
        <v>515</v>
      </c>
      <c r="O2997" s="45" t="s">
        <v>382</v>
      </c>
      <c r="P2997" s="45" t="s">
        <v>3760</v>
      </c>
      <c r="Q2997" s="59" t="str">
        <f>MID(Tabla1[[#This Row],[Aplicación]],14,1)</f>
        <v>2</v>
      </c>
      <c r="R2997" s="35" t="s">
        <v>298</v>
      </c>
      <c r="S2997" s="59" t="str">
        <f>MID(Tabla1[[#This Row],[Aplicación]],6,2)</f>
        <v>11</v>
      </c>
      <c r="T2997" s="35" t="str">
        <f>VLOOKUP(Tabla1[[#This Row],[AREA]],Hoja1!A:B,2,FALSE)</f>
        <v>11. Salud pública y seguridad ciudadana</v>
      </c>
      <c r="U2997" s="56" t="str">
        <f>MID(Tabla1[[#This Row],[Aplicación]],9,4)</f>
        <v>1621</v>
      </c>
      <c r="V2997" s="35" t="str">
        <f>VLOOKUP(Tabla1[[#This Row],[PROGRAMA]],Hoja1!A:B,2,FALSE)</f>
        <v>1621. Servicio de limpieza</v>
      </c>
      <c r="W2997" s="56" t="str">
        <f>MID(Tabla1[[#This Row],[Aplicación]],14,2)</f>
        <v>21</v>
      </c>
      <c r="X2997" s="56" t="str">
        <f>MID(Tabla1[[#This Row],[Aplicación]],14,6)</f>
        <v>214</v>
      </c>
    </row>
    <row r="2998" spans="1:24" x14ac:dyDescent="0.25">
      <c r="A2998" s="62">
        <v>220230016093</v>
      </c>
      <c r="B2998" s="44" t="s">
        <v>1514</v>
      </c>
      <c r="C2998" s="64">
        <v>45043</v>
      </c>
      <c r="D2998" s="62">
        <v>22023001459</v>
      </c>
      <c r="E2998" s="44" t="s">
        <v>1290</v>
      </c>
      <c r="F2998" s="65">
        <v>1827.61</v>
      </c>
      <c r="G2998" s="44" t="s">
        <v>2343</v>
      </c>
      <c r="H2998" s="44" t="s">
        <v>4672</v>
      </c>
      <c r="I2998" s="62" t="s">
        <v>1517</v>
      </c>
      <c r="J2998" s="44" t="s">
        <v>519</v>
      </c>
      <c r="K2998" s="44" t="s">
        <v>519</v>
      </c>
      <c r="L2998" s="44" t="s">
        <v>520</v>
      </c>
      <c r="M2998" s="44" t="s">
        <v>514</v>
      </c>
      <c r="N2998" s="44" t="s">
        <v>515</v>
      </c>
      <c r="O2998" s="45" t="s">
        <v>382</v>
      </c>
      <c r="P2998" s="45" t="s">
        <v>3760</v>
      </c>
      <c r="Q2998" s="59" t="str">
        <f>MID(Tabla1[[#This Row],[Aplicación]],14,1)</f>
        <v>2</v>
      </c>
      <c r="R2998" s="35" t="s">
        <v>298</v>
      </c>
      <c r="S2998" s="59" t="str">
        <f>MID(Tabla1[[#This Row],[Aplicación]],6,2)</f>
        <v>11</v>
      </c>
      <c r="T2998" s="35" t="str">
        <f>VLOOKUP(Tabla1[[#This Row],[AREA]],Hoja1!A:B,2,FALSE)</f>
        <v>11. Salud pública y seguridad ciudadana</v>
      </c>
      <c r="U2998" s="56" t="str">
        <f>MID(Tabla1[[#This Row],[Aplicación]],9,4)</f>
        <v>1621</v>
      </c>
      <c r="V2998" s="35" t="str">
        <f>VLOOKUP(Tabla1[[#This Row],[PROGRAMA]],Hoja1!A:B,2,FALSE)</f>
        <v>1621. Servicio de limpieza</v>
      </c>
      <c r="W2998" s="56" t="str">
        <f>MID(Tabla1[[#This Row],[Aplicación]],14,2)</f>
        <v>21</v>
      </c>
      <c r="X2998" s="56" t="str">
        <f>MID(Tabla1[[#This Row],[Aplicación]],14,6)</f>
        <v>214</v>
      </c>
    </row>
    <row r="2999" spans="1:24" x14ac:dyDescent="0.25">
      <c r="A2999" s="62">
        <v>220230016095</v>
      </c>
      <c r="B2999" s="44" t="s">
        <v>1514</v>
      </c>
      <c r="C2999" s="64">
        <v>45043</v>
      </c>
      <c r="D2999" s="62">
        <v>22023001459</v>
      </c>
      <c r="E2999" s="44" t="s">
        <v>1290</v>
      </c>
      <c r="F2999" s="65">
        <v>587.29999999999995</v>
      </c>
      <c r="G2999" s="44" t="s">
        <v>2343</v>
      </c>
      <c r="H2999" s="44" t="s">
        <v>4673</v>
      </c>
      <c r="I2999" s="62" t="s">
        <v>1517</v>
      </c>
      <c r="J2999" s="44" t="s">
        <v>519</v>
      </c>
      <c r="K2999" s="44" t="s">
        <v>519</v>
      </c>
      <c r="L2999" s="44" t="s">
        <v>520</v>
      </c>
      <c r="M2999" s="44" t="s">
        <v>514</v>
      </c>
      <c r="N2999" s="44" t="s">
        <v>515</v>
      </c>
      <c r="O2999" s="45" t="s">
        <v>382</v>
      </c>
      <c r="P2999" s="45" t="s">
        <v>3760</v>
      </c>
      <c r="Q2999" s="59" t="str">
        <f>MID(Tabla1[[#This Row],[Aplicación]],14,1)</f>
        <v>2</v>
      </c>
      <c r="R2999" s="35" t="s">
        <v>298</v>
      </c>
      <c r="S2999" s="59" t="str">
        <f>MID(Tabla1[[#This Row],[Aplicación]],6,2)</f>
        <v>11</v>
      </c>
      <c r="T2999" s="35" t="str">
        <f>VLOOKUP(Tabla1[[#This Row],[AREA]],Hoja1!A:B,2,FALSE)</f>
        <v>11. Salud pública y seguridad ciudadana</v>
      </c>
      <c r="U2999" s="56" t="str">
        <f>MID(Tabla1[[#This Row],[Aplicación]],9,4)</f>
        <v>1621</v>
      </c>
      <c r="V2999" s="35" t="str">
        <f>VLOOKUP(Tabla1[[#This Row],[PROGRAMA]],Hoja1!A:B,2,FALSE)</f>
        <v>1621. Servicio de limpieza</v>
      </c>
      <c r="W2999" s="56" t="str">
        <f>MID(Tabla1[[#This Row],[Aplicación]],14,2)</f>
        <v>21</v>
      </c>
      <c r="X2999" s="56" t="str">
        <f>MID(Tabla1[[#This Row],[Aplicación]],14,6)</f>
        <v>214</v>
      </c>
    </row>
    <row r="3000" spans="1:24" x14ac:dyDescent="0.25">
      <c r="A3000" s="62">
        <v>220230016097</v>
      </c>
      <c r="B3000" s="44" t="s">
        <v>1514</v>
      </c>
      <c r="C3000" s="64">
        <v>45043</v>
      </c>
      <c r="D3000" s="62">
        <v>22023001459</v>
      </c>
      <c r="E3000" s="44" t="s">
        <v>1290</v>
      </c>
      <c r="F3000" s="65">
        <v>1553.72</v>
      </c>
      <c r="G3000" s="44" t="s">
        <v>2343</v>
      </c>
      <c r="H3000" s="44" t="s">
        <v>4674</v>
      </c>
      <c r="I3000" s="62" t="s">
        <v>1517</v>
      </c>
      <c r="J3000" s="44" t="s">
        <v>519</v>
      </c>
      <c r="K3000" s="44" t="s">
        <v>519</v>
      </c>
      <c r="L3000" s="44" t="s">
        <v>520</v>
      </c>
      <c r="M3000" s="44" t="s">
        <v>514</v>
      </c>
      <c r="N3000" s="44" t="s">
        <v>515</v>
      </c>
      <c r="O3000" s="45" t="s">
        <v>382</v>
      </c>
      <c r="P3000" s="45" t="s">
        <v>3760</v>
      </c>
      <c r="Q3000" s="59" t="str">
        <f>MID(Tabla1[[#This Row],[Aplicación]],14,1)</f>
        <v>2</v>
      </c>
      <c r="R3000" s="35" t="s">
        <v>298</v>
      </c>
      <c r="S3000" s="59" t="str">
        <f>MID(Tabla1[[#This Row],[Aplicación]],6,2)</f>
        <v>11</v>
      </c>
      <c r="T3000" s="35" t="str">
        <f>VLOOKUP(Tabla1[[#This Row],[AREA]],Hoja1!A:B,2,FALSE)</f>
        <v>11. Salud pública y seguridad ciudadana</v>
      </c>
      <c r="U3000" s="56" t="str">
        <f>MID(Tabla1[[#This Row],[Aplicación]],9,4)</f>
        <v>1621</v>
      </c>
      <c r="V3000" s="35" t="str">
        <f>VLOOKUP(Tabla1[[#This Row],[PROGRAMA]],Hoja1!A:B,2,FALSE)</f>
        <v>1621. Servicio de limpieza</v>
      </c>
      <c r="W3000" s="56" t="str">
        <f>MID(Tabla1[[#This Row],[Aplicación]],14,2)</f>
        <v>21</v>
      </c>
      <c r="X3000" s="56" t="str">
        <f>MID(Tabla1[[#This Row],[Aplicación]],14,6)</f>
        <v>214</v>
      </c>
    </row>
    <row r="3001" spans="1:24" x14ac:dyDescent="0.25">
      <c r="A3001" s="62">
        <v>220230016099</v>
      </c>
      <c r="B3001" s="44" t="s">
        <v>1514</v>
      </c>
      <c r="C3001" s="64">
        <v>45043</v>
      </c>
      <c r="D3001" s="62">
        <v>22023001459</v>
      </c>
      <c r="E3001" s="44" t="s">
        <v>1290</v>
      </c>
      <c r="F3001" s="65">
        <v>3691.77</v>
      </c>
      <c r="G3001" s="44" t="s">
        <v>2343</v>
      </c>
      <c r="H3001" s="44" t="s">
        <v>4675</v>
      </c>
      <c r="I3001" s="62" t="s">
        <v>1517</v>
      </c>
      <c r="J3001" s="44" t="s">
        <v>519</v>
      </c>
      <c r="K3001" s="44" t="s">
        <v>519</v>
      </c>
      <c r="L3001" s="44" t="s">
        <v>520</v>
      </c>
      <c r="M3001" s="44" t="s">
        <v>514</v>
      </c>
      <c r="N3001" s="44" t="s">
        <v>515</v>
      </c>
      <c r="O3001" s="45" t="s">
        <v>382</v>
      </c>
      <c r="P3001" s="45" t="s">
        <v>3760</v>
      </c>
      <c r="Q3001" s="59" t="str">
        <f>MID(Tabla1[[#This Row],[Aplicación]],14,1)</f>
        <v>2</v>
      </c>
      <c r="R3001" s="35" t="s">
        <v>298</v>
      </c>
      <c r="S3001" s="59" t="str">
        <f>MID(Tabla1[[#This Row],[Aplicación]],6,2)</f>
        <v>11</v>
      </c>
      <c r="T3001" s="35" t="str">
        <f>VLOOKUP(Tabla1[[#This Row],[AREA]],Hoja1!A:B,2,FALSE)</f>
        <v>11. Salud pública y seguridad ciudadana</v>
      </c>
      <c r="U3001" s="56" t="str">
        <f>MID(Tabla1[[#This Row],[Aplicación]],9,4)</f>
        <v>1621</v>
      </c>
      <c r="V3001" s="35" t="str">
        <f>VLOOKUP(Tabla1[[#This Row],[PROGRAMA]],Hoja1!A:B,2,FALSE)</f>
        <v>1621. Servicio de limpieza</v>
      </c>
      <c r="W3001" s="56" t="str">
        <f>MID(Tabla1[[#This Row],[Aplicación]],14,2)</f>
        <v>21</v>
      </c>
      <c r="X3001" s="56" t="str">
        <f>MID(Tabla1[[#This Row],[Aplicación]],14,6)</f>
        <v>214</v>
      </c>
    </row>
    <row r="3002" spans="1:24" x14ac:dyDescent="0.25">
      <c r="A3002" s="62">
        <v>220230016101</v>
      </c>
      <c r="B3002" s="44" t="s">
        <v>1514</v>
      </c>
      <c r="C3002" s="64">
        <v>45043</v>
      </c>
      <c r="D3002" s="62">
        <v>22023001469</v>
      </c>
      <c r="E3002" s="44" t="s">
        <v>1683</v>
      </c>
      <c r="F3002" s="65">
        <v>1952.92</v>
      </c>
      <c r="G3002" s="44" t="s">
        <v>2343</v>
      </c>
      <c r="H3002" s="44" t="s">
        <v>4676</v>
      </c>
      <c r="I3002" s="62" t="s">
        <v>1517</v>
      </c>
      <c r="J3002" s="44" t="s">
        <v>519</v>
      </c>
      <c r="K3002" s="44" t="s">
        <v>519</v>
      </c>
      <c r="L3002" s="44" t="s">
        <v>520</v>
      </c>
      <c r="M3002" s="44" t="s">
        <v>514</v>
      </c>
      <c r="N3002" s="44" t="s">
        <v>515</v>
      </c>
      <c r="O3002" s="45" t="s">
        <v>382</v>
      </c>
      <c r="P3002" s="45" t="s">
        <v>3760</v>
      </c>
      <c r="Q3002" s="59" t="str">
        <f>MID(Tabla1[[#This Row],[Aplicación]],14,1)</f>
        <v>2</v>
      </c>
      <c r="R3002" s="35" t="s">
        <v>298</v>
      </c>
      <c r="S3002" s="59" t="str">
        <f>MID(Tabla1[[#This Row],[Aplicación]],6,2)</f>
        <v>11</v>
      </c>
      <c r="T3002" s="35" t="str">
        <f>VLOOKUP(Tabla1[[#This Row],[AREA]],Hoja1!A:B,2,FALSE)</f>
        <v>11. Salud pública y seguridad ciudadana</v>
      </c>
      <c r="U3002" s="56" t="str">
        <f>MID(Tabla1[[#This Row],[Aplicación]],9,4)</f>
        <v>1631</v>
      </c>
      <c r="V3002" s="35" t="str">
        <f>VLOOKUP(Tabla1[[#This Row],[PROGRAMA]],Hoja1!A:B,2,FALSE)</f>
        <v>1631. Limpieza viaria</v>
      </c>
      <c r="W3002" s="56" t="str">
        <f>MID(Tabla1[[#This Row],[Aplicación]],14,2)</f>
        <v>21</v>
      </c>
      <c r="X3002" s="56" t="str">
        <f>MID(Tabla1[[#This Row],[Aplicación]],14,6)</f>
        <v>214</v>
      </c>
    </row>
    <row r="3003" spans="1:24" x14ac:dyDescent="0.25">
      <c r="A3003" s="62">
        <v>220230016172</v>
      </c>
      <c r="B3003" s="44" t="s">
        <v>1514</v>
      </c>
      <c r="C3003" s="64">
        <v>45043</v>
      </c>
      <c r="D3003" s="62">
        <v>22023001513</v>
      </c>
      <c r="E3003" s="44" t="s">
        <v>2019</v>
      </c>
      <c r="F3003" s="65">
        <v>40.81</v>
      </c>
      <c r="G3003" s="44" t="s">
        <v>2343</v>
      </c>
      <c r="H3003" s="44" t="s">
        <v>4677</v>
      </c>
      <c r="I3003" s="62" t="s">
        <v>1517</v>
      </c>
      <c r="J3003" s="44" t="s">
        <v>519</v>
      </c>
      <c r="K3003" s="44" t="s">
        <v>519</v>
      </c>
      <c r="L3003" s="44" t="s">
        <v>520</v>
      </c>
      <c r="M3003" s="44" t="s">
        <v>514</v>
      </c>
      <c r="N3003" s="44" t="s">
        <v>515</v>
      </c>
      <c r="O3003" s="45" t="s">
        <v>382</v>
      </c>
      <c r="P3003" s="45" t="s">
        <v>3760</v>
      </c>
      <c r="Q3003" s="59" t="str">
        <f>MID(Tabla1[[#This Row],[Aplicación]],14,1)</f>
        <v>2</v>
      </c>
      <c r="R3003" s="35" t="s">
        <v>298</v>
      </c>
      <c r="S3003" s="59" t="str">
        <f>MID(Tabla1[[#This Row],[Aplicación]],6,2)</f>
        <v>11</v>
      </c>
      <c r="T3003" s="35" t="str">
        <f>VLOOKUP(Tabla1[[#This Row],[AREA]],Hoja1!A:B,2,FALSE)</f>
        <v>11. Salud pública y seguridad ciudadana</v>
      </c>
      <c r="U3003" s="56" t="str">
        <f>MID(Tabla1[[#This Row],[Aplicación]],9,4)</f>
        <v>1361</v>
      </c>
      <c r="V3003" s="35" t="str">
        <f>VLOOKUP(Tabla1[[#This Row],[PROGRAMA]],Hoja1!A:B,2,FALSE)</f>
        <v>1361. Prevención y extinción de incencios</v>
      </c>
      <c r="W3003" s="56" t="str">
        <f>MID(Tabla1[[#This Row],[Aplicación]],14,2)</f>
        <v>21</v>
      </c>
      <c r="X3003" s="56" t="str">
        <f>MID(Tabla1[[#This Row],[Aplicación]],14,6)</f>
        <v>214</v>
      </c>
    </row>
    <row r="3004" spans="1:24" x14ac:dyDescent="0.25">
      <c r="A3004" s="62">
        <v>220230026400</v>
      </c>
      <c r="B3004" s="44" t="s">
        <v>1514</v>
      </c>
      <c r="C3004" s="64">
        <v>45077</v>
      </c>
      <c r="D3004" s="62">
        <v>22023003833</v>
      </c>
      <c r="E3004" s="44" t="s">
        <v>1502</v>
      </c>
      <c r="F3004" s="65">
        <v>131.55000000000001</v>
      </c>
      <c r="G3004" s="44" t="s">
        <v>48</v>
      </c>
      <c r="H3004" s="44" t="s">
        <v>4678</v>
      </c>
      <c r="I3004" s="62" t="s">
        <v>1517</v>
      </c>
      <c r="J3004" s="44" t="s">
        <v>519</v>
      </c>
      <c r="K3004" s="44" t="s">
        <v>519</v>
      </c>
      <c r="L3004" s="44" t="s">
        <v>552</v>
      </c>
      <c r="M3004" s="44" t="s">
        <v>514</v>
      </c>
      <c r="N3004" s="44" t="s">
        <v>515</v>
      </c>
      <c r="O3004" s="45" t="s">
        <v>382</v>
      </c>
      <c r="P3004" s="45" t="s">
        <v>3760</v>
      </c>
      <c r="Q3004" s="59" t="str">
        <f>MID(Tabla1[[#This Row],[Aplicación]],14,1)</f>
        <v>2</v>
      </c>
      <c r="R3004" s="35" t="s">
        <v>298</v>
      </c>
      <c r="S3004" s="59" t="str">
        <f>MID(Tabla1[[#This Row],[Aplicación]],6,2)</f>
        <v>10</v>
      </c>
      <c r="T3004" s="35" t="str">
        <f>VLOOKUP(Tabla1[[#This Row],[AREA]],Hoja1!A:B,2,FALSE)</f>
        <v>10. Servicios sociales y mediación comunitaria</v>
      </c>
      <c r="U3004" s="56" t="str">
        <f>MID(Tabla1[[#This Row],[Aplicación]],9,4)</f>
        <v>2412</v>
      </c>
      <c r="V3004" s="35" t="str">
        <f>VLOOKUP(Tabla1[[#This Row],[PROGRAMA]],Hoja1!A:B,2,FALSE)</f>
        <v>2412. Formación para el empleo</v>
      </c>
      <c r="W3004" s="56" t="str">
        <f>MID(Tabla1[[#This Row],[Aplicación]],14,2)</f>
        <v>22</v>
      </c>
      <c r="X3004" s="56" t="str">
        <f>MID(Tabla1[[#This Row],[Aplicación]],14,6)</f>
        <v>22199</v>
      </c>
    </row>
    <row r="3005" spans="1:24" x14ac:dyDescent="0.25">
      <c r="A3005" s="62">
        <v>220230022175</v>
      </c>
      <c r="B3005" s="44" t="s">
        <v>1514</v>
      </c>
      <c r="C3005" s="64">
        <v>45064</v>
      </c>
      <c r="D3005" s="62">
        <v>22023004206</v>
      </c>
      <c r="E3005" s="44" t="s">
        <v>1305</v>
      </c>
      <c r="F3005" s="65">
        <v>91.85</v>
      </c>
      <c r="G3005" s="44" t="s">
        <v>48</v>
      </c>
      <c r="H3005" s="44" t="s">
        <v>4679</v>
      </c>
      <c r="I3005" s="62" t="s">
        <v>1517</v>
      </c>
      <c r="J3005" s="44" t="s">
        <v>519</v>
      </c>
      <c r="K3005" s="44" t="s">
        <v>519</v>
      </c>
      <c r="L3005" s="44" t="s">
        <v>552</v>
      </c>
      <c r="M3005" s="44" t="s">
        <v>514</v>
      </c>
      <c r="N3005" s="44" t="s">
        <v>515</v>
      </c>
      <c r="O3005" s="45" t="s">
        <v>382</v>
      </c>
      <c r="P3005" s="45" t="s">
        <v>3760</v>
      </c>
      <c r="Q3005" s="59" t="str">
        <f>MID(Tabla1[[#This Row],[Aplicación]],14,1)</f>
        <v>2</v>
      </c>
      <c r="R3005" s="35" t="s">
        <v>298</v>
      </c>
      <c r="S3005" s="59" t="str">
        <f>MID(Tabla1[[#This Row],[Aplicación]],6,2)</f>
        <v>06</v>
      </c>
      <c r="T3005" s="35" t="str">
        <f>VLOOKUP(Tabla1[[#This Row],[AREA]],Hoja1!A:B,2,FALSE)</f>
        <v>06. Educación, infancia, juventud e igualdad</v>
      </c>
      <c r="U3005" s="56" t="str">
        <f>MID(Tabla1[[#This Row],[Aplicación]],9,4)</f>
        <v>3232</v>
      </c>
      <c r="V3005" s="35" t="str">
        <f>VLOOKUP(Tabla1[[#This Row],[PROGRAMA]],Hoja1!A:B,2,FALSE)</f>
        <v>3232. Conservación y mantenimiento centros educación infantil y primaria</v>
      </c>
      <c r="W3005" s="56" t="str">
        <f>MID(Tabla1[[#This Row],[Aplicación]],14,2)</f>
        <v>21</v>
      </c>
      <c r="X3005" s="56" t="str">
        <f>MID(Tabla1[[#This Row],[Aplicación]],14,6)</f>
        <v>212</v>
      </c>
    </row>
    <row r="3006" spans="1:24" x14ac:dyDescent="0.25">
      <c r="A3006" s="62">
        <v>220230013367</v>
      </c>
      <c r="B3006" s="44" t="s">
        <v>1514</v>
      </c>
      <c r="C3006" s="64">
        <v>45020</v>
      </c>
      <c r="D3006" s="62">
        <v>22023001970</v>
      </c>
      <c r="E3006" s="44" t="s">
        <v>944</v>
      </c>
      <c r="F3006" s="65">
        <v>14589.28</v>
      </c>
      <c r="G3006" s="44" t="s">
        <v>4680</v>
      </c>
      <c r="H3006" s="44" t="s">
        <v>4681</v>
      </c>
      <c r="I3006" s="62" t="s">
        <v>1517</v>
      </c>
      <c r="J3006" s="44" t="s">
        <v>519</v>
      </c>
      <c r="K3006" s="44" t="s">
        <v>519</v>
      </c>
      <c r="L3006" s="44" t="s">
        <v>520</v>
      </c>
      <c r="M3006" s="44" t="s">
        <v>514</v>
      </c>
      <c r="N3006" s="44" t="s">
        <v>515</v>
      </c>
      <c r="O3006" s="45" t="s">
        <v>371</v>
      </c>
      <c r="P3006" s="45" t="s">
        <v>3760</v>
      </c>
      <c r="Q3006" s="59" t="str">
        <f>MID(Tabla1[[#This Row],[Aplicación]],14,1)</f>
        <v>2</v>
      </c>
      <c r="R3006" s="35" t="s">
        <v>298</v>
      </c>
      <c r="S3006" s="59" t="str">
        <f>MID(Tabla1[[#This Row],[Aplicación]],6,2)</f>
        <v>04</v>
      </c>
      <c r="T3006" s="35" t="str">
        <f>VLOOKUP(Tabla1[[#This Row],[AREA]],Hoja1!A:B,2,FALSE)</f>
        <v>04. Planificación y recursos</v>
      </c>
      <c r="U3006" s="56" t="str">
        <f>MID(Tabla1[[#This Row],[Aplicación]],9,4)</f>
        <v>9231</v>
      </c>
      <c r="V3006" s="35" t="str">
        <f>VLOOKUP(Tabla1[[#This Row],[PROGRAMA]],Hoja1!A:B,2,FALSE)</f>
        <v>9231. Información, registro y gestión del padrón</v>
      </c>
      <c r="W3006" s="56" t="str">
        <f>MID(Tabla1[[#This Row],[Aplicación]],14,2)</f>
        <v>22</v>
      </c>
      <c r="X3006" s="56" t="str">
        <f>MID(Tabla1[[#This Row],[Aplicación]],14,6)</f>
        <v>22799</v>
      </c>
    </row>
    <row r="3007" spans="1:24" x14ac:dyDescent="0.25">
      <c r="A3007" s="62">
        <v>220230018966</v>
      </c>
      <c r="B3007" s="44" t="s">
        <v>507</v>
      </c>
      <c r="C3007" s="64">
        <v>45056</v>
      </c>
      <c r="D3007" s="62">
        <v>22023000538</v>
      </c>
      <c r="E3007" s="44" t="s">
        <v>1029</v>
      </c>
      <c r="F3007" s="65">
        <v>20249.11</v>
      </c>
      <c r="G3007" s="44" t="s">
        <v>1030</v>
      </c>
      <c r="H3007" s="44" t="s">
        <v>4682</v>
      </c>
      <c r="I3007" s="62" t="s">
        <v>511</v>
      </c>
      <c r="J3007" s="44" t="s">
        <v>1032</v>
      </c>
      <c r="K3007" s="44" t="s">
        <v>3453</v>
      </c>
      <c r="L3007" s="44" t="s">
        <v>552</v>
      </c>
      <c r="M3007" s="44" t="s">
        <v>514</v>
      </c>
      <c r="N3007" s="44" t="s">
        <v>604</v>
      </c>
      <c r="O3007" s="45" t="s">
        <v>371</v>
      </c>
      <c r="P3007" s="45" t="s">
        <v>3760</v>
      </c>
      <c r="Q3007" s="59" t="str">
        <f>MID(Tabla1[[#This Row],[Aplicación]],14,1)</f>
        <v>2</v>
      </c>
      <c r="R3007" s="35" t="s">
        <v>298</v>
      </c>
      <c r="S3007" s="59" t="str">
        <f>MID(Tabla1[[#This Row],[Aplicación]],6,2)</f>
        <v>04</v>
      </c>
      <c r="T3007" s="35" t="str">
        <f>VLOOKUP(Tabla1[[#This Row],[AREA]],Hoja1!A:B,2,FALSE)</f>
        <v>04. Planificación y recursos</v>
      </c>
      <c r="U3007" s="56" t="str">
        <f>MID(Tabla1[[#This Row],[Aplicación]],9,4)</f>
        <v>9204</v>
      </c>
      <c r="V3007" s="35" t="str">
        <f>VLOOKUP(Tabla1[[#This Row],[PROGRAMA]],Hoja1!A:B,2,FALSE)</f>
        <v>9204. Tecnologías de la información y comunicación</v>
      </c>
      <c r="W3007" s="56" t="str">
        <f>MID(Tabla1[[#This Row],[Aplicación]],14,2)</f>
        <v>22</v>
      </c>
      <c r="X3007" s="56" t="str">
        <f>MID(Tabla1[[#This Row],[Aplicación]],14,6)</f>
        <v>22002</v>
      </c>
    </row>
    <row r="3008" spans="1:24" x14ac:dyDescent="0.25">
      <c r="A3008" s="62">
        <v>220230025385</v>
      </c>
      <c r="B3008" s="44" t="s">
        <v>507</v>
      </c>
      <c r="C3008" s="64">
        <v>45072</v>
      </c>
      <c r="D3008" s="62">
        <v>22023004588</v>
      </c>
      <c r="E3008" s="44" t="s">
        <v>2725</v>
      </c>
      <c r="F3008" s="65">
        <v>1500</v>
      </c>
      <c r="G3008" s="44" t="s">
        <v>41</v>
      </c>
      <c r="H3008" s="44" t="s">
        <v>4683</v>
      </c>
      <c r="I3008" s="62" t="s">
        <v>511</v>
      </c>
      <c r="J3008" s="44" t="s">
        <v>519</v>
      </c>
      <c r="K3008" s="44" t="s">
        <v>519</v>
      </c>
      <c r="L3008" s="44" t="s">
        <v>552</v>
      </c>
      <c r="M3008" s="44" t="s">
        <v>976</v>
      </c>
      <c r="N3008" s="44" t="s">
        <v>839</v>
      </c>
      <c r="O3008" s="45" t="s">
        <v>383</v>
      </c>
      <c r="P3008" s="45" t="s">
        <v>3760</v>
      </c>
      <c r="Q3008" s="59" t="str">
        <f>MID(Tabla1[[#This Row],[Aplicación]],14,1)</f>
        <v>2</v>
      </c>
      <c r="R3008" s="35" t="s">
        <v>298</v>
      </c>
      <c r="S3008" s="59" t="str">
        <f>MID(Tabla1[[#This Row],[Aplicación]],6,2)</f>
        <v>06</v>
      </c>
      <c r="T3008" s="35" t="str">
        <f>VLOOKUP(Tabla1[[#This Row],[AREA]],Hoja1!A:B,2,FALSE)</f>
        <v>06. Educación, infancia, juventud e igualdad</v>
      </c>
      <c r="U3008" s="56" t="str">
        <f>MID(Tabla1[[#This Row],[Aplicación]],9,4)</f>
        <v>2314</v>
      </c>
      <c r="V3008" s="35" t="str">
        <f>VLOOKUP(Tabla1[[#This Row],[PROGRAMA]],Hoja1!A:B,2,FALSE)</f>
        <v>2314. Centro de programas juveniles</v>
      </c>
      <c r="W3008" s="56" t="str">
        <f>MID(Tabla1[[#This Row],[Aplicación]],14,2)</f>
        <v>22</v>
      </c>
      <c r="X3008" s="56" t="str">
        <f>MID(Tabla1[[#This Row],[Aplicación]],14,6)</f>
        <v>22602</v>
      </c>
    </row>
    <row r="3009" spans="1:24" x14ac:dyDescent="0.25">
      <c r="A3009" s="62">
        <v>220230022645</v>
      </c>
      <c r="B3009" s="44" t="s">
        <v>507</v>
      </c>
      <c r="C3009" s="64">
        <v>45068</v>
      </c>
      <c r="D3009" s="62">
        <v>22023004628</v>
      </c>
      <c r="E3009" s="44" t="s">
        <v>1532</v>
      </c>
      <c r="F3009" s="65">
        <v>302.5</v>
      </c>
      <c r="G3009" s="44" t="s">
        <v>41</v>
      </c>
      <c r="H3009" s="44" t="s">
        <v>4049</v>
      </c>
      <c r="I3009" s="62" t="s">
        <v>511</v>
      </c>
      <c r="J3009" s="44" t="s">
        <v>519</v>
      </c>
      <c r="K3009" s="44" t="s">
        <v>519</v>
      </c>
      <c r="L3009" s="44" t="s">
        <v>552</v>
      </c>
      <c r="M3009" s="44" t="s">
        <v>976</v>
      </c>
      <c r="N3009" s="44" t="s">
        <v>839</v>
      </c>
      <c r="O3009" s="45" t="s">
        <v>383</v>
      </c>
      <c r="P3009" s="45" t="s">
        <v>3760</v>
      </c>
      <c r="Q3009" s="59" t="str">
        <f>MID(Tabla1[[#This Row],[Aplicación]],14,1)</f>
        <v>2</v>
      </c>
      <c r="R3009" s="35" t="s">
        <v>298</v>
      </c>
      <c r="S3009" s="59" t="str">
        <f>MID(Tabla1[[#This Row],[Aplicación]],6,2)</f>
        <v>09</v>
      </c>
      <c r="T3009" s="35" t="str">
        <f>VLOOKUP(Tabla1[[#This Row],[AREA]],Hoja1!A:B,2,FALSE)</f>
        <v>09. Cultura y turismo</v>
      </c>
      <c r="U3009" s="56" t="str">
        <f>MID(Tabla1[[#This Row],[Aplicación]],9,4)</f>
        <v>3341</v>
      </c>
      <c r="V3009" s="35" t="str">
        <f>VLOOKUP(Tabla1[[#This Row],[PROGRAMA]],Hoja1!A:B,2,FALSE)</f>
        <v>3341. Coordinación de políticas culturales</v>
      </c>
      <c r="W3009" s="56" t="str">
        <f>MID(Tabla1[[#This Row],[Aplicación]],14,2)</f>
        <v>22</v>
      </c>
      <c r="X3009" s="56" t="str">
        <f>MID(Tabla1[[#This Row],[Aplicación]],14,6)</f>
        <v>22699</v>
      </c>
    </row>
    <row r="3010" spans="1:24" x14ac:dyDescent="0.25">
      <c r="A3010" s="62">
        <v>220230020472</v>
      </c>
      <c r="B3010" s="44" t="s">
        <v>507</v>
      </c>
      <c r="C3010" s="64">
        <v>45057</v>
      </c>
      <c r="D3010" s="62">
        <v>22023004417</v>
      </c>
      <c r="E3010" s="44" t="s">
        <v>927</v>
      </c>
      <c r="F3010" s="65">
        <v>482</v>
      </c>
      <c r="G3010" s="44" t="s">
        <v>760</v>
      </c>
      <c r="H3010" s="44" t="s">
        <v>4684</v>
      </c>
      <c r="I3010" s="62" t="s">
        <v>511</v>
      </c>
      <c r="J3010" s="44" t="s">
        <v>512</v>
      </c>
      <c r="K3010" s="44" t="s">
        <v>512</v>
      </c>
      <c r="L3010" s="44" t="s">
        <v>520</v>
      </c>
      <c r="M3010" s="44" t="s">
        <v>976</v>
      </c>
      <c r="N3010" s="44" t="s">
        <v>839</v>
      </c>
      <c r="O3010" s="45" t="s">
        <v>383</v>
      </c>
      <c r="P3010" s="45" t="s">
        <v>3760</v>
      </c>
      <c r="Q3010" s="59" t="str">
        <f>MID(Tabla1[[#This Row],[Aplicación]],14,1)</f>
        <v>2</v>
      </c>
      <c r="R3010" s="35" t="s">
        <v>298</v>
      </c>
      <c r="S3010" s="59" t="str">
        <f>MID(Tabla1[[#This Row],[Aplicación]],6,2)</f>
        <v>06</v>
      </c>
      <c r="T3010" s="35" t="str">
        <f>VLOOKUP(Tabla1[[#This Row],[AREA]],Hoja1!A:B,2,FALSE)</f>
        <v>06. Educación, infancia, juventud e igualdad</v>
      </c>
      <c r="U3010" s="56" t="str">
        <f>MID(Tabla1[[#This Row],[Aplicación]],9,4)</f>
        <v>2314</v>
      </c>
      <c r="V3010" s="35" t="str">
        <f>VLOOKUP(Tabla1[[#This Row],[PROGRAMA]],Hoja1!A:B,2,FALSE)</f>
        <v>2314. Centro de programas juveniles</v>
      </c>
      <c r="W3010" s="56" t="str">
        <f>MID(Tabla1[[#This Row],[Aplicación]],14,2)</f>
        <v>22</v>
      </c>
      <c r="X3010" s="56" t="str">
        <f>MID(Tabla1[[#This Row],[Aplicación]],14,6)</f>
        <v>22700</v>
      </c>
    </row>
    <row r="3011" spans="1:24" x14ac:dyDescent="0.25">
      <c r="A3011" s="62">
        <v>220230017420</v>
      </c>
      <c r="B3011" s="44" t="s">
        <v>1249</v>
      </c>
      <c r="C3011" s="64">
        <v>45049</v>
      </c>
      <c r="D3011" s="62">
        <v>22023003913</v>
      </c>
      <c r="E3011" s="44" t="s">
        <v>3132</v>
      </c>
      <c r="F3011" s="65">
        <v>759</v>
      </c>
      <c r="G3011" s="44" t="s">
        <v>4685</v>
      </c>
      <c r="H3011" s="44" t="s">
        <v>4686</v>
      </c>
      <c r="I3011" s="62" t="s">
        <v>1251</v>
      </c>
      <c r="J3011" s="44" t="s">
        <v>1049</v>
      </c>
      <c r="K3011" s="44" t="s">
        <v>519</v>
      </c>
      <c r="L3011" s="44" t="s">
        <v>520</v>
      </c>
      <c r="M3011" s="44" t="s">
        <v>976</v>
      </c>
      <c r="N3011" s="44" t="s">
        <v>839</v>
      </c>
      <c r="O3011" s="45" t="s">
        <v>383</v>
      </c>
      <c r="P3011" s="45" t="s">
        <v>3760</v>
      </c>
      <c r="Q3011" s="59" t="str">
        <f>MID(Tabla1[[#This Row],[Aplicación]],14,1)</f>
        <v>2</v>
      </c>
      <c r="R3011" s="35" t="s">
        <v>298</v>
      </c>
      <c r="S3011" s="59" t="str">
        <f>MID(Tabla1[[#This Row],[Aplicación]],6,2)</f>
        <v>05</v>
      </c>
      <c r="T3011" s="35" t="str">
        <f>VLOOKUP(Tabla1[[#This Row],[AREA]],Hoja1!A:B,2,FALSE)</f>
        <v>05. Innovación, desarrollo económico, empleo y comercio</v>
      </c>
      <c r="U3011" s="56" t="str">
        <f>MID(Tabla1[[#This Row],[Aplicación]],9,4)</f>
        <v>4331</v>
      </c>
      <c r="V3011" s="35" t="str">
        <f>VLOOKUP(Tabla1[[#This Row],[PROGRAMA]],Hoja1!A:B,2,FALSE)</f>
        <v>4331. Desarrollo empresarial</v>
      </c>
      <c r="W3011" s="56" t="str">
        <f>MID(Tabla1[[#This Row],[Aplicación]],14,2)</f>
        <v>22</v>
      </c>
      <c r="X3011" s="56" t="str">
        <f>MID(Tabla1[[#This Row],[Aplicación]],14,6)</f>
        <v>22606</v>
      </c>
    </row>
    <row r="3012" spans="1:24" x14ac:dyDescent="0.25">
      <c r="A3012" s="62">
        <v>220230013575</v>
      </c>
      <c r="B3012" s="44" t="s">
        <v>1249</v>
      </c>
      <c r="C3012" s="64">
        <v>45021</v>
      </c>
      <c r="D3012" s="62">
        <v>22023003615</v>
      </c>
      <c r="E3012" s="44" t="s">
        <v>669</v>
      </c>
      <c r="F3012" s="65">
        <v>200.11</v>
      </c>
      <c r="G3012" s="44" t="s">
        <v>2769</v>
      </c>
      <c r="H3012" s="44" t="s">
        <v>4687</v>
      </c>
      <c r="I3012" s="62" t="s">
        <v>1251</v>
      </c>
      <c r="J3012" s="44" t="s">
        <v>1487</v>
      </c>
      <c r="K3012" s="44" t="s">
        <v>519</v>
      </c>
      <c r="L3012" s="44" t="s">
        <v>520</v>
      </c>
      <c r="M3012" s="44" t="s">
        <v>514</v>
      </c>
      <c r="N3012" s="44" t="s">
        <v>515</v>
      </c>
      <c r="O3012" s="45" t="s">
        <v>371</v>
      </c>
      <c r="P3012" s="45" t="s">
        <v>3760</v>
      </c>
      <c r="Q3012" s="59" t="str">
        <f>MID(Tabla1[[#This Row],[Aplicación]],14,1)</f>
        <v>2</v>
      </c>
      <c r="R3012" s="35" t="s">
        <v>298</v>
      </c>
      <c r="S3012" s="59" t="str">
        <f>MID(Tabla1[[#This Row],[Aplicación]],6,2)</f>
        <v>06</v>
      </c>
      <c r="T3012" s="35" t="str">
        <f>VLOOKUP(Tabla1[[#This Row],[AREA]],Hoja1!A:B,2,FALSE)</f>
        <v>06. Educación, infancia, juventud e igualdad</v>
      </c>
      <c r="U3012" s="56" t="str">
        <f>MID(Tabla1[[#This Row],[Aplicación]],9,4)</f>
        <v>3232</v>
      </c>
      <c r="V3012" s="35" t="str">
        <f>VLOOKUP(Tabla1[[#This Row],[PROGRAMA]],Hoja1!A:B,2,FALSE)</f>
        <v>3232. Conservación y mantenimiento centros educación infantil y primaria</v>
      </c>
      <c r="W3012" s="56" t="str">
        <f>MID(Tabla1[[#This Row],[Aplicación]],14,2)</f>
        <v>21</v>
      </c>
      <c r="X3012" s="56" t="str">
        <f>MID(Tabla1[[#This Row],[Aplicación]],14,6)</f>
        <v>213</v>
      </c>
    </row>
    <row r="3013" spans="1:24" x14ac:dyDescent="0.25">
      <c r="A3013" s="62">
        <v>220230013368</v>
      </c>
      <c r="B3013" s="44" t="s">
        <v>1514</v>
      </c>
      <c r="C3013" s="64">
        <v>45020</v>
      </c>
      <c r="D3013" s="62">
        <v>22023001969</v>
      </c>
      <c r="E3013" s="44" t="s">
        <v>1428</v>
      </c>
      <c r="F3013" s="65">
        <v>1535.72</v>
      </c>
      <c r="G3013" s="44" t="s">
        <v>4680</v>
      </c>
      <c r="H3013" s="44" t="s">
        <v>4688</v>
      </c>
      <c r="I3013" s="62" t="s">
        <v>1517</v>
      </c>
      <c r="J3013" s="44" t="s">
        <v>519</v>
      </c>
      <c r="K3013" s="44" t="s">
        <v>519</v>
      </c>
      <c r="L3013" s="44" t="s">
        <v>520</v>
      </c>
      <c r="M3013" s="44" t="s">
        <v>514</v>
      </c>
      <c r="N3013" s="44" t="s">
        <v>515</v>
      </c>
      <c r="O3013" s="45" t="s">
        <v>371</v>
      </c>
      <c r="P3013" s="45" t="s">
        <v>3760</v>
      </c>
      <c r="Q3013" s="59" t="str">
        <f>MID(Tabla1[[#This Row],[Aplicación]],14,1)</f>
        <v>2</v>
      </c>
      <c r="R3013" s="35" t="s">
        <v>298</v>
      </c>
      <c r="S3013" s="59" t="str">
        <f>MID(Tabla1[[#This Row],[Aplicación]],6,2)</f>
        <v>09</v>
      </c>
      <c r="T3013" s="35" t="str">
        <f>VLOOKUP(Tabla1[[#This Row],[AREA]],Hoja1!A:B,2,FALSE)</f>
        <v>09. Cultura y turismo</v>
      </c>
      <c r="U3013" s="56" t="str">
        <f>MID(Tabla1[[#This Row],[Aplicación]],9,4)</f>
        <v>3301</v>
      </c>
      <c r="V3013" s="35" t="str">
        <f>VLOOKUP(Tabla1[[#This Row],[PROGRAMA]],Hoja1!A:B,2,FALSE)</f>
        <v>3301. Dirección del área de cultura</v>
      </c>
      <c r="W3013" s="56" t="str">
        <f>MID(Tabla1[[#This Row],[Aplicación]],14,2)</f>
        <v>22</v>
      </c>
      <c r="X3013" s="56" t="str">
        <f>MID(Tabla1[[#This Row],[Aplicación]],14,6)</f>
        <v>22799</v>
      </c>
    </row>
    <row r="3014" spans="1:24" x14ac:dyDescent="0.25">
      <c r="A3014" s="62">
        <v>220230018434</v>
      </c>
      <c r="B3014" s="44" t="s">
        <v>1514</v>
      </c>
      <c r="C3014" s="64">
        <v>45055</v>
      </c>
      <c r="D3014" s="62">
        <v>22023001469</v>
      </c>
      <c r="E3014" s="44" t="s">
        <v>1683</v>
      </c>
      <c r="F3014" s="65">
        <v>762.92</v>
      </c>
      <c r="G3014" s="44" t="s">
        <v>2343</v>
      </c>
      <c r="H3014" s="44" t="s">
        <v>4689</v>
      </c>
      <c r="I3014" s="62" t="s">
        <v>1517</v>
      </c>
      <c r="J3014" s="44" t="s">
        <v>519</v>
      </c>
      <c r="K3014" s="44" t="s">
        <v>519</v>
      </c>
      <c r="L3014" s="44" t="s">
        <v>520</v>
      </c>
      <c r="M3014" s="44" t="s">
        <v>514</v>
      </c>
      <c r="N3014" s="44" t="s">
        <v>515</v>
      </c>
      <c r="O3014" s="45" t="s">
        <v>382</v>
      </c>
      <c r="P3014" s="45" t="s">
        <v>3760</v>
      </c>
      <c r="Q3014" s="59" t="str">
        <f>MID(Tabla1[[#This Row],[Aplicación]],14,1)</f>
        <v>2</v>
      </c>
      <c r="R3014" s="35" t="s">
        <v>298</v>
      </c>
      <c r="S3014" s="59" t="str">
        <f>MID(Tabla1[[#This Row],[Aplicación]],6,2)</f>
        <v>11</v>
      </c>
      <c r="T3014" s="35" t="str">
        <f>VLOOKUP(Tabla1[[#This Row],[AREA]],Hoja1!A:B,2,FALSE)</f>
        <v>11. Salud pública y seguridad ciudadana</v>
      </c>
      <c r="U3014" s="56" t="str">
        <f>MID(Tabla1[[#This Row],[Aplicación]],9,4)</f>
        <v>1631</v>
      </c>
      <c r="V3014" s="35" t="str">
        <f>VLOOKUP(Tabla1[[#This Row],[PROGRAMA]],Hoja1!A:B,2,FALSE)</f>
        <v>1631. Limpieza viaria</v>
      </c>
      <c r="W3014" s="56" t="str">
        <f>MID(Tabla1[[#This Row],[Aplicación]],14,2)</f>
        <v>21</v>
      </c>
      <c r="X3014" s="56" t="str">
        <f>MID(Tabla1[[#This Row],[Aplicación]],14,6)</f>
        <v>214</v>
      </c>
    </row>
    <row r="3015" spans="1:24" x14ac:dyDescent="0.25">
      <c r="A3015" s="62">
        <v>220230018436</v>
      </c>
      <c r="B3015" s="44" t="s">
        <v>1514</v>
      </c>
      <c r="C3015" s="64">
        <v>45055</v>
      </c>
      <c r="D3015" s="62">
        <v>22023001469</v>
      </c>
      <c r="E3015" s="44" t="s">
        <v>1683</v>
      </c>
      <c r="F3015" s="65">
        <v>468.08</v>
      </c>
      <c r="G3015" s="44" t="s">
        <v>2343</v>
      </c>
      <c r="H3015" s="44" t="s">
        <v>4690</v>
      </c>
      <c r="I3015" s="62" t="s">
        <v>1517</v>
      </c>
      <c r="J3015" s="44" t="s">
        <v>519</v>
      </c>
      <c r="K3015" s="44" t="s">
        <v>519</v>
      </c>
      <c r="L3015" s="44" t="s">
        <v>520</v>
      </c>
      <c r="M3015" s="44" t="s">
        <v>514</v>
      </c>
      <c r="N3015" s="44" t="s">
        <v>515</v>
      </c>
      <c r="O3015" s="45" t="s">
        <v>382</v>
      </c>
      <c r="P3015" s="45" t="s">
        <v>3760</v>
      </c>
      <c r="Q3015" s="59" t="str">
        <f>MID(Tabla1[[#This Row],[Aplicación]],14,1)</f>
        <v>2</v>
      </c>
      <c r="R3015" s="35" t="s">
        <v>298</v>
      </c>
      <c r="S3015" s="59" t="str">
        <f>MID(Tabla1[[#This Row],[Aplicación]],6,2)</f>
        <v>11</v>
      </c>
      <c r="T3015" s="35" t="str">
        <f>VLOOKUP(Tabla1[[#This Row],[AREA]],Hoja1!A:B,2,FALSE)</f>
        <v>11. Salud pública y seguridad ciudadana</v>
      </c>
      <c r="U3015" s="56" t="str">
        <f>MID(Tabla1[[#This Row],[Aplicación]],9,4)</f>
        <v>1631</v>
      </c>
      <c r="V3015" s="35" t="str">
        <f>VLOOKUP(Tabla1[[#This Row],[PROGRAMA]],Hoja1!A:B,2,FALSE)</f>
        <v>1631. Limpieza viaria</v>
      </c>
      <c r="W3015" s="56" t="str">
        <f>MID(Tabla1[[#This Row],[Aplicación]],14,2)</f>
        <v>21</v>
      </c>
      <c r="X3015" s="56" t="str">
        <f>MID(Tabla1[[#This Row],[Aplicación]],14,6)</f>
        <v>214</v>
      </c>
    </row>
    <row r="3016" spans="1:24" x14ac:dyDescent="0.25">
      <c r="A3016" s="62">
        <v>220230020113</v>
      </c>
      <c r="B3016" s="44" t="s">
        <v>1514</v>
      </c>
      <c r="C3016" s="64">
        <v>45057</v>
      </c>
      <c r="D3016" s="62">
        <v>22023001459</v>
      </c>
      <c r="E3016" s="44" t="s">
        <v>1290</v>
      </c>
      <c r="F3016" s="65">
        <v>1078.57</v>
      </c>
      <c r="G3016" s="44" t="s">
        <v>2343</v>
      </c>
      <c r="H3016" s="44" t="s">
        <v>4691</v>
      </c>
      <c r="I3016" s="62" t="s">
        <v>1517</v>
      </c>
      <c r="J3016" s="44" t="s">
        <v>519</v>
      </c>
      <c r="K3016" s="44" t="s">
        <v>519</v>
      </c>
      <c r="L3016" s="44" t="s">
        <v>520</v>
      </c>
      <c r="M3016" s="44" t="s">
        <v>514</v>
      </c>
      <c r="N3016" s="44" t="s">
        <v>515</v>
      </c>
      <c r="O3016" s="45" t="s">
        <v>382</v>
      </c>
      <c r="P3016" s="45" t="s">
        <v>3760</v>
      </c>
      <c r="Q3016" s="59" t="str">
        <f>MID(Tabla1[[#This Row],[Aplicación]],14,1)</f>
        <v>2</v>
      </c>
      <c r="R3016" s="35" t="s">
        <v>298</v>
      </c>
      <c r="S3016" s="59" t="str">
        <f>MID(Tabla1[[#This Row],[Aplicación]],6,2)</f>
        <v>11</v>
      </c>
      <c r="T3016" s="35" t="str">
        <f>VLOOKUP(Tabla1[[#This Row],[AREA]],Hoja1!A:B,2,FALSE)</f>
        <v>11. Salud pública y seguridad ciudadana</v>
      </c>
      <c r="U3016" s="56" t="str">
        <f>MID(Tabla1[[#This Row],[Aplicación]],9,4)</f>
        <v>1621</v>
      </c>
      <c r="V3016" s="35" t="str">
        <f>VLOOKUP(Tabla1[[#This Row],[PROGRAMA]],Hoja1!A:B,2,FALSE)</f>
        <v>1621. Servicio de limpieza</v>
      </c>
      <c r="W3016" s="56" t="str">
        <f>MID(Tabla1[[#This Row],[Aplicación]],14,2)</f>
        <v>21</v>
      </c>
      <c r="X3016" s="56" t="str">
        <f>MID(Tabla1[[#This Row],[Aplicación]],14,6)</f>
        <v>214</v>
      </c>
    </row>
    <row r="3017" spans="1:24" x14ac:dyDescent="0.25">
      <c r="A3017" s="62">
        <v>220230026341</v>
      </c>
      <c r="B3017" s="44" t="s">
        <v>1514</v>
      </c>
      <c r="C3017" s="64">
        <v>45077</v>
      </c>
      <c r="D3017" s="62">
        <v>22023001459</v>
      </c>
      <c r="E3017" s="44" t="s">
        <v>1290</v>
      </c>
      <c r="F3017" s="65">
        <v>3941.99</v>
      </c>
      <c r="G3017" s="44" t="s">
        <v>2343</v>
      </c>
      <c r="H3017" s="44" t="s">
        <v>4692</v>
      </c>
      <c r="I3017" s="62" t="s">
        <v>1517</v>
      </c>
      <c r="J3017" s="44" t="s">
        <v>519</v>
      </c>
      <c r="K3017" s="44" t="s">
        <v>519</v>
      </c>
      <c r="L3017" s="44" t="s">
        <v>520</v>
      </c>
      <c r="M3017" s="44" t="s">
        <v>514</v>
      </c>
      <c r="N3017" s="44" t="s">
        <v>515</v>
      </c>
      <c r="O3017" s="45" t="s">
        <v>382</v>
      </c>
      <c r="P3017" s="45" t="s">
        <v>3760</v>
      </c>
      <c r="Q3017" s="59" t="str">
        <f>MID(Tabla1[[#This Row],[Aplicación]],14,1)</f>
        <v>2</v>
      </c>
      <c r="R3017" s="35" t="s">
        <v>298</v>
      </c>
      <c r="S3017" s="59" t="str">
        <f>MID(Tabla1[[#This Row],[Aplicación]],6,2)</f>
        <v>11</v>
      </c>
      <c r="T3017" s="35" t="str">
        <f>VLOOKUP(Tabla1[[#This Row],[AREA]],Hoja1!A:B,2,FALSE)</f>
        <v>11. Salud pública y seguridad ciudadana</v>
      </c>
      <c r="U3017" s="56" t="str">
        <f>MID(Tabla1[[#This Row],[Aplicación]],9,4)</f>
        <v>1621</v>
      </c>
      <c r="V3017" s="35" t="str">
        <f>VLOOKUP(Tabla1[[#This Row],[PROGRAMA]],Hoja1!A:B,2,FALSE)</f>
        <v>1621. Servicio de limpieza</v>
      </c>
      <c r="W3017" s="56" t="str">
        <f>MID(Tabla1[[#This Row],[Aplicación]],14,2)</f>
        <v>21</v>
      </c>
      <c r="X3017" s="56" t="str">
        <f>MID(Tabla1[[#This Row],[Aplicación]],14,6)</f>
        <v>214</v>
      </c>
    </row>
    <row r="3018" spans="1:24" x14ac:dyDescent="0.25">
      <c r="A3018" s="62">
        <v>220230026343</v>
      </c>
      <c r="B3018" s="44" t="s">
        <v>1514</v>
      </c>
      <c r="C3018" s="64">
        <v>45077</v>
      </c>
      <c r="D3018" s="62">
        <v>22023001469</v>
      </c>
      <c r="E3018" s="44" t="s">
        <v>1683</v>
      </c>
      <c r="F3018" s="65">
        <v>651.21</v>
      </c>
      <c r="G3018" s="44" t="s">
        <v>2343</v>
      </c>
      <c r="H3018" s="44" t="s">
        <v>4693</v>
      </c>
      <c r="I3018" s="62" t="s">
        <v>1517</v>
      </c>
      <c r="J3018" s="44" t="s">
        <v>519</v>
      </c>
      <c r="K3018" s="44" t="s">
        <v>519</v>
      </c>
      <c r="L3018" s="44" t="s">
        <v>520</v>
      </c>
      <c r="M3018" s="44" t="s">
        <v>514</v>
      </c>
      <c r="N3018" s="44" t="s">
        <v>515</v>
      </c>
      <c r="O3018" s="45" t="s">
        <v>382</v>
      </c>
      <c r="P3018" s="45" t="s">
        <v>3760</v>
      </c>
      <c r="Q3018" s="59" t="str">
        <f>MID(Tabla1[[#This Row],[Aplicación]],14,1)</f>
        <v>2</v>
      </c>
      <c r="R3018" s="35" t="s">
        <v>298</v>
      </c>
      <c r="S3018" s="59" t="str">
        <f>MID(Tabla1[[#This Row],[Aplicación]],6,2)</f>
        <v>11</v>
      </c>
      <c r="T3018" s="35" t="str">
        <f>VLOOKUP(Tabla1[[#This Row],[AREA]],Hoja1!A:B,2,FALSE)</f>
        <v>11. Salud pública y seguridad ciudadana</v>
      </c>
      <c r="U3018" s="56" t="str">
        <f>MID(Tabla1[[#This Row],[Aplicación]],9,4)</f>
        <v>1631</v>
      </c>
      <c r="V3018" s="35" t="str">
        <f>VLOOKUP(Tabla1[[#This Row],[PROGRAMA]],Hoja1!A:B,2,FALSE)</f>
        <v>1631. Limpieza viaria</v>
      </c>
      <c r="W3018" s="56" t="str">
        <f>MID(Tabla1[[#This Row],[Aplicación]],14,2)</f>
        <v>21</v>
      </c>
      <c r="X3018" s="56" t="str">
        <f>MID(Tabla1[[#This Row],[Aplicación]],14,6)</f>
        <v>214</v>
      </c>
    </row>
    <row r="3019" spans="1:24" x14ac:dyDescent="0.25">
      <c r="A3019" s="62">
        <v>220230026346</v>
      </c>
      <c r="B3019" s="44" t="s">
        <v>1514</v>
      </c>
      <c r="C3019" s="64">
        <v>45077</v>
      </c>
      <c r="D3019" s="62">
        <v>22023003924</v>
      </c>
      <c r="E3019" s="44" t="s">
        <v>4694</v>
      </c>
      <c r="F3019" s="65">
        <v>612.64</v>
      </c>
      <c r="G3019" s="44" t="s">
        <v>2343</v>
      </c>
      <c r="H3019" s="44" t="s">
        <v>4695</v>
      </c>
      <c r="I3019" s="62" t="s">
        <v>1517</v>
      </c>
      <c r="J3019" s="44" t="s">
        <v>519</v>
      </c>
      <c r="K3019" s="44" t="s">
        <v>519</v>
      </c>
      <c r="L3019" s="44" t="s">
        <v>552</v>
      </c>
      <c r="M3019" s="44" t="s">
        <v>514</v>
      </c>
      <c r="N3019" s="44" t="s">
        <v>515</v>
      </c>
      <c r="O3019" s="45" t="s">
        <v>382</v>
      </c>
      <c r="P3019" s="45" t="s">
        <v>3760</v>
      </c>
      <c r="Q3019" s="59" t="str">
        <f>MID(Tabla1[[#This Row],[Aplicación]],14,1)</f>
        <v>2</v>
      </c>
      <c r="R3019" s="35" t="s">
        <v>298</v>
      </c>
      <c r="S3019" s="59" t="str">
        <f>MID(Tabla1[[#This Row],[Aplicación]],6,2)</f>
        <v>10</v>
      </c>
      <c r="T3019" s="35" t="str">
        <f>VLOOKUP(Tabla1[[#This Row],[AREA]],Hoja1!A:B,2,FALSE)</f>
        <v>10. Servicios sociales y mediación comunitaria</v>
      </c>
      <c r="U3019" s="56" t="str">
        <f>MID(Tabla1[[#This Row],[Aplicación]],9,4)</f>
        <v>2412</v>
      </c>
      <c r="V3019" s="35" t="str">
        <f>VLOOKUP(Tabla1[[#This Row],[PROGRAMA]],Hoja1!A:B,2,FALSE)</f>
        <v>2412. Formación para el empleo</v>
      </c>
      <c r="W3019" s="56" t="str">
        <f>MID(Tabla1[[#This Row],[Aplicación]],14,2)</f>
        <v>21</v>
      </c>
      <c r="X3019" s="56" t="str">
        <f>MID(Tabla1[[#This Row],[Aplicación]],14,6)</f>
        <v>214</v>
      </c>
    </row>
    <row r="3020" spans="1:24" x14ac:dyDescent="0.25">
      <c r="A3020" s="62">
        <v>220230026353</v>
      </c>
      <c r="B3020" s="44" t="s">
        <v>1514</v>
      </c>
      <c r="C3020" s="64">
        <v>45077</v>
      </c>
      <c r="D3020" s="62">
        <v>22023001459</v>
      </c>
      <c r="E3020" s="44" t="s">
        <v>1290</v>
      </c>
      <c r="F3020" s="65">
        <v>620.54999999999995</v>
      </c>
      <c r="G3020" s="44" t="s">
        <v>2343</v>
      </c>
      <c r="H3020" s="44" t="s">
        <v>4696</v>
      </c>
      <c r="I3020" s="62" t="s">
        <v>1517</v>
      </c>
      <c r="J3020" s="44" t="s">
        <v>519</v>
      </c>
      <c r="K3020" s="44" t="s">
        <v>519</v>
      </c>
      <c r="L3020" s="44" t="s">
        <v>520</v>
      </c>
      <c r="M3020" s="44" t="s">
        <v>514</v>
      </c>
      <c r="N3020" s="44" t="s">
        <v>515</v>
      </c>
      <c r="O3020" s="45" t="s">
        <v>382</v>
      </c>
      <c r="P3020" s="45" t="s">
        <v>3760</v>
      </c>
      <c r="Q3020" s="59" t="str">
        <f>MID(Tabla1[[#This Row],[Aplicación]],14,1)</f>
        <v>2</v>
      </c>
      <c r="R3020" s="35" t="s">
        <v>298</v>
      </c>
      <c r="S3020" s="59" t="str">
        <f>MID(Tabla1[[#This Row],[Aplicación]],6,2)</f>
        <v>11</v>
      </c>
      <c r="T3020" s="35" t="str">
        <f>VLOOKUP(Tabla1[[#This Row],[AREA]],Hoja1!A:B,2,FALSE)</f>
        <v>11. Salud pública y seguridad ciudadana</v>
      </c>
      <c r="U3020" s="56" t="str">
        <f>MID(Tabla1[[#This Row],[Aplicación]],9,4)</f>
        <v>1621</v>
      </c>
      <c r="V3020" s="35" t="str">
        <f>VLOOKUP(Tabla1[[#This Row],[PROGRAMA]],Hoja1!A:B,2,FALSE)</f>
        <v>1621. Servicio de limpieza</v>
      </c>
      <c r="W3020" s="56" t="str">
        <f>MID(Tabla1[[#This Row],[Aplicación]],14,2)</f>
        <v>21</v>
      </c>
      <c r="X3020" s="56" t="str">
        <f>MID(Tabla1[[#This Row],[Aplicación]],14,6)</f>
        <v>214</v>
      </c>
    </row>
    <row r="3021" spans="1:24" x14ac:dyDescent="0.25">
      <c r="A3021" s="62">
        <v>220230015942</v>
      </c>
      <c r="B3021" s="44" t="s">
        <v>507</v>
      </c>
      <c r="C3021" s="64">
        <v>45042</v>
      </c>
      <c r="D3021" s="62">
        <v>22023003912</v>
      </c>
      <c r="E3021" s="44" t="s">
        <v>616</v>
      </c>
      <c r="F3021" s="65">
        <v>176.33</v>
      </c>
      <c r="G3021" s="44" t="s">
        <v>15</v>
      </c>
      <c r="H3021" s="44" t="s">
        <v>4697</v>
      </c>
      <c r="I3021" s="62" t="s">
        <v>511</v>
      </c>
      <c r="J3021" s="44" t="s">
        <v>519</v>
      </c>
      <c r="K3021" s="44" t="s">
        <v>519</v>
      </c>
      <c r="L3021" s="44" t="s">
        <v>520</v>
      </c>
      <c r="M3021" s="44" t="s">
        <v>514</v>
      </c>
      <c r="N3021" s="44" t="s">
        <v>515</v>
      </c>
      <c r="O3021" s="45" t="s">
        <v>371</v>
      </c>
      <c r="P3021" s="45" t="s">
        <v>3760</v>
      </c>
      <c r="Q3021" s="59" t="str">
        <f>MID(Tabla1[[#This Row],[Aplicación]],14,1)</f>
        <v>2</v>
      </c>
      <c r="R3021" s="35" t="s">
        <v>298</v>
      </c>
      <c r="S3021" s="59" t="str">
        <f>MID(Tabla1[[#This Row],[Aplicación]],6,2)</f>
        <v>10</v>
      </c>
      <c r="T3021" s="35" t="str">
        <f>VLOOKUP(Tabla1[[#This Row],[AREA]],Hoja1!A:B,2,FALSE)</f>
        <v>10. Servicios sociales y mediación comunitaria</v>
      </c>
      <c r="U3021" s="56" t="str">
        <f>MID(Tabla1[[#This Row],[Aplicación]],9,4)</f>
        <v>2412</v>
      </c>
      <c r="V3021" s="35" t="str">
        <f>VLOOKUP(Tabla1[[#This Row],[PROGRAMA]],Hoja1!A:B,2,FALSE)</f>
        <v>2412. Formación para el empleo</v>
      </c>
      <c r="W3021" s="56" t="str">
        <f>MID(Tabla1[[#This Row],[Aplicación]],14,2)</f>
        <v>21</v>
      </c>
      <c r="X3021" s="56" t="str">
        <f>MID(Tabla1[[#This Row],[Aplicación]],14,6)</f>
        <v>213</v>
      </c>
    </row>
    <row r="3022" spans="1:24" x14ac:dyDescent="0.25">
      <c r="A3022" s="62">
        <v>220230016300</v>
      </c>
      <c r="B3022" s="44" t="s">
        <v>1249</v>
      </c>
      <c r="C3022" s="64">
        <v>45043</v>
      </c>
      <c r="D3022" s="62">
        <v>22023003672</v>
      </c>
      <c r="E3022" s="44" t="s">
        <v>516</v>
      </c>
      <c r="F3022" s="65">
        <v>28111.67</v>
      </c>
      <c r="G3022" s="44" t="s">
        <v>570</v>
      </c>
      <c r="H3022" s="44" t="s">
        <v>4698</v>
      </c>
      <c r="I3022" s="62" t="s">
        <v>1251</v>
      </c>
      <c r="J3022" s="44" t="s">
        <v>572</v>
      </c>
      <c r="K3022" s="44" t="s">
        <v>573</v>
      </c>
      <c r="L3022" s="44" t="s">
        <v>520</v>
      </c>
      <c r="M3022" s="44" t="s">
        <v>514</v>
      </c>
      <c r="N3022" s="44" t="s">
        <v>515</v>
      </c>
      <c r="O3022" s="45" t="s">
        <v>371</v>
      </c>
      <c r="P3022" s="45" t="s">
        <v>3760</v>
      </c>
      <c r="Q3022" s="59" t="str">
        <f>MID(Tabla1[[#This Row],[Aplicación]],14,1)</f>
        <v>2</v>
      </c>
      <c r="R3022" s="35" t="s">
        <v>298</v>
      </c>
      <c r="S3022" s="59" t="str">
        <f>MID(Tabla1[[#This Row],[Aplicación]],6,2)</f>
        <v>10</v>
      </c>
      <c r="T3022" s="35" t="str">
        <f>VLOOKUP(Tabla1[[#This Row],[AREA]],Hoja1!A:B,2,FALSE)</f>
        <v>10. Servicios sociales y mediación comunitaria</v>
      </c>
      <c r="U3022" s="56" t="str">
        <f>MID(Tabla1[[#This Row],[Aplicación]],9,4)</f>
        <v>2311</v>
      </c>
      <c r="V3022" s="35" t="str">
        <f>VLOOKUP(Tabla1[[#This Row],[PROGRAMA]],Hoja1!A:B,2,FALSE)</f>
        <v>2311. Intervención social</v>
      </c>
      <c r="W3022" s="56" t="str">
        <f>MID(Tabla1[[#This Row],[Aplicación]],14,2)</f>
        <v>22</v>
      </c>
      <c r="X3022" s="56" t="str">
        <f>MID(Tabla1[[#This Row],[Aplicación]],14,6)</f>
        <v>22799</v>
      </c>
    </row>
    <row r="3023" spans="1:24" x14ac:dyDescent="0.25">
      <c r="A3023" s="62">
        <v>220230016851</v>
      </c>
      <c r="B3023" s="44" t="s">
        <v>507</v>
      </c>
      <c r="C3023" s="64">
        <v>45048</v>
      </c>
      <c r="D3023" s="62">
        <v>22023004190</v>
      </c>
      <c r="E3023" s="44" t="s">
        <v>1495</v>
      </c>
      <c r="F3023" s="65">
        <v>363</v>
      </c>
      <c r="G3023" s="44" t="s">
        <v>760</v>
      </c>
      <c r="H3023" s="44" t="s">
        <v>4699</v>
      </c>
      <c r="I3023" s="62" t="s">
        <v>511</v>
      </c>
      <c r="J3023" s="44" t="s">
        <v>512</v>
      </c>
      <c r="K3023" s="44" t="s">
        <v>512</v>
      </c>
      <c r="L3023" s="44" t="s">
        <v>520</v>
      </c>
      <c r="M3023" s="44" t="s">
        <v>976</v>
      </c>
      <c r="N3023" s="44" t="s">
        <v>839</v>
      </c>
      <c r="O3023" s="45" t="s">
        <v>383</v>
      </c>
      <c r="P3023" s="45" t="s">
        <v>3760</v>
      </c>
      <c r="Q3023" s="59" t="str">
        <f>MID(Tabla1[[#This Row],[Aplicación]],14,1)</f>
        <v>2</v>
      </c>
      <c r="R3023" s="35" t="s">
        <v>298</v>
      </c>
      <c r="S3023" s="59" t="str">
        <f>MID(Tabla1[[#This Row],[Aplicación]],6,2)</f>
        <v>10</v>
      </c>
      <c r="T3023" s="35" t="str">
        <f>VLOOKUP(Tabla1[[#This Row],[AREA]],Hoja1!A:B,2,FALSE)</f>
        <v>10. Servicios sociales y mediación comunitaria</v>
      </c>
      <c r="U3023" s="56" t="str">
        <f>MID(Tabla1[[#This Row],[Aplicación]],9,4)</f>
        <v>2312</v>
      </c>
      <c r="V3023" s="35" t="str">
        <f>VLOOKUP(Tabla1[[#This Row],[PROGRAMA]],Hoja1!A:B,2,FALSE)</f>
        <v>2312. Iniciativas sociales</v>
      </c>
      <c r="W3023" s="56" t="str">
        <f>MID(Tabla1[[#This Row],[Aplicación]],14,2)</f>
        <v>22</v>
      </c>
      <c r="X3023" s="56" t="str">
        <f>MID(Tabla1[[#This Row],[Aplicación]],14,6)</f>
        <v>22617</v>
      </c>
    </row>
    <row r="3024" spans="1:24" x14ac:dyDescent="0.25">
      <c r="A3024" s="62">
        <v>220230026504</v>
      </c>
      <c r="B3024" s="44" t="s">
        <v>1514</v>
      </c>
      <c r="C3024" s="64">
        <v>45077</v>
      </c>
      <c r="D3024" s="62">
        <v>22023001459</v>
      </c>
      <c r="E3024" s="44" t="s">
        <v>1290</v>
      </c>
      <c r="F3024" s="65">
        <v>2565.7600000000002</v>
      </c>
      <c r="G3024" s="44" t="s">
        <v>2343</v>
      </c>
      <c r="H3024" s="44" t="s">
        <v>4700</v>
      </c>
      <c r="I3024" s="62" t="s">
        <v>1517</v>
      </c>
      <c r="J3024" s="44" t="s">
        <v>519</v>
      </c>
      <c r="K3024" s="44" t="s">
        <v>519</v>
      </c>
      <c r="L3024" s="44" t="s">
        <v>520</v>
      </c>
      <c r="M3024" s="44" t="s">
        <v>514</v>
      </c>
      <c r="N3024" s="44" t="s">
        <v>515</v>
      </c>
      <c r="O3024" s="45" t="s">
        <v>382</v>
      </c>
      <c r="P3024" s="45" t="s">
        <v>3760</v>
      </c>
      <c r="Q3024" s="59" t="str">
        <f>MID(Tabla1[[#This Row],[Aplicación]],14,1)</f>
        <v>2</v>
      </c>
      <c r="R3024" s="35" t="s">
        <v>298</v>
      </c>
      <c r="S3024" s="59" t="str">
        <f>MID(Tabla1[[#This Row],[Aplicación]],6,2)</f>
        <v>11</v>
      </c>
      <c r="T3024" s="35" t="str">
        <f>VLOOKUP(Tabla1[[#This Row],[AREA]],Hoja1!A:B,2,FALSE)</f>
        <v>11. Salud pública y seguridad ciudadana</v>
      </c>
      <c r="U3024" s="56" t="str">
        <f>MID(Tabla1[[#This Row],[Aplicación]],9,4)</f>
        <v>1621</v>
      </c>
      <c r="V3024" s="35" t="str">
        <f>VLOOKUP(Tabla1[[#This Row],[PROGRAMA]],Hoja1!A:B,2,FALSE)</f>
        <v>1621. Servicio de limpieza</v>
      </c>
      <c r="W3024" s="56" t="str">
        <f>MID(Tabla1[[#This Row],[Aplicación]],14,2)</f>
        <v>21</v>
      </c>
      <c r="X3024" s="56" t="str">
        <f>MID(Tabla1[[#This Row],[Aplicación]],14,6)</f>
        <v>214</v>
      </c>
    </row>
    <row r="3025" spans="1:24" x14ac:dyDescent="0.25">
      <c r="A3025" s="62">
        <v>220230016417</v>
      </c>
      <c r="B3025" s="44" t="s">
        <v>1514</v>
      </c>
      <c r="C3025" s="64">
        <v>45043</v>
      </c>
      <c r="D3025" s="62">
        <v>22023001549</v>
      </c>
      <c r="E3025" s="44" t="s">
        <v>1515</v>
      </c>
      <c r="F3025" s="65">
        <v>50.01</v>
      </c>
      <c r="G3025" s="44" t="s">
        <v>3001</v>
      </c>
      <c r="H3025" s="44" t="s">
        <v>4701</v>
      </c>
      <c r="I3025" s="62" t="s">
        <v>1517</v>
      </c>
      <c r="J3025" s="44" t="s">
        <v>519</v>
      </c>
      <c r="K3025" s="44" t="s">
        <v>519</v>
      </c>
      <c r="L3025" s="44" t="s">
        <v>552</v>
      </c>
      <c r="M3025" s="44" t="s">
        <v>514</v>
      </c>
      <c r="N3025" s="44" t="s">
        <v>515</v>
      </c>
      <c r="O3025" s="45" t="s">
        <v>382</v>
      </c>
      <c r="P3025" s="45" t="s">
        <v>3760</v>
      </c>
      <c r="Q3025" s="59" t="str">
        <f>MID(Tabla1[[#This Row],[Aplicación]],14,1)</f>
        <v>2</v>
      </c>
      <c r="R3025" s="35" t="s">
        <v>298</v>
      </c>
      <c r="S3025" s="59" t="str">
        <f>MID(Tabla1[[#This Row],[Aplicación]],6,2)</f>
        <v>07</v>
      </c>
      <c r="T3025" s="35" t="str">
        <f>VLOOKUP(Tabla1[[#This Row],[AREA]],Hoja1!A:B,2,FALSE)</f>
        <v>07. Medio ambiente y desarrollo sostenible</v>
      </c>
      <c r="U3025" s="56" t="str">
        <f>MID(Tabla1[[#This Row],[Aplicación]],9,4)</f>
        <v>1711</v>
      </c>
      <c r="V3025" s="35" t="str">
        <f>VLOOKUP(Tabla1[[#This Row],[PROGRAMA]],Hoja1!A:B,2,FALSE)</f>
        <v>1711. Parques y jardines</v>
      </c>
      <c r="W3025" s="56" t="str">
        <f>MID(Tabla1[[#This Row],[Aplicación]],14,2)</f>
        <v>22</v>
      </c>
      <c r="X3025" s="56" t="str">
        <f>MID(Tabla1[[#This Row],[Aplicación]],14,6)</f>
        <v>22199</v>
      </c>
    </row>
    <row r="3026" spans="1:24" x14ac:dyDescent="0.25">
      <c r="A3026" s="62">
        <v>220230016301</v>
      </c>
      <c r="B3026" s="44" t="s">
        <v>1249</v>
      </c>
      <c r="C3026" s="64">
        <v>45043</v>
      </c>
      <c r="D3026" s="62">
        <v>22023003674</v>
      </c>
      <c r="E3026" s="44" t="s">
        <v>516</v>
      </c>
      <c r="F3026" s="65">
        <v>6626.77</v>
      </c>
      <c r="G3026" s="44" t="s">
        <v>941</v>
      </c>
      <c r="H3026" s="44" t="s">
        <v>4702</v>
      </c>
      <c r="I3026" s="62" t="s">
        <v>1251</v>
      </c>
      <c r="J3026" s="44" t="s">
        <v>519</v>
      </c>
      <c r="K3026" s="44" t="s">
        <v>519</v>
      </c>
      <c r="L3026" s="44" t="s">
        <v>520</v>
      </c>
      <c r="M3026" s="44" t="s">
        <v>514</v>
      </c>
      <c r="N3026" s="44" t="s">
        <v>515</v>
      </c>
      <c r="O3026" s="45" t="s">
        <v>371</v>
      </c>
      <c r="P3026" s="45" t="s">
        <v>3760</v>
      </c>
      <c r="Q3026" s="59" t="str">
        <f>MID(Tabla1[[#This Row],[Aplicación]],14,1)</f>
        <v>2</v>
      </c>
      <c r="R3026" s="35" t="s">
        <v>298</v>
      </c>
      <c r="S3026" s="59" t="str">
        <f>MID(Tabla1[[#This Row],[Aplicación]],6,2)</f>
        <v>10</v>
      </c>
      <c r="T3026" s="35" t="str">
        <f>VLOOKUP(Tabla1[[#This Row],[AREA]],Hoja1!A:B,2,FALSE)</f>
        <v>10. Servicios sociales y mediación comunitaria</v>
      </c>
      <c r="U3026" s="56" t="str">
        <f>MID(Tabla1[[#This Row],[Aplicación]],9,4)</f>
        <v>2311</v>
      </c>
      <c r="V3026" s="35" t="str">
        <f>VLOOKUP(Tabla1[[#This Row],[PROGRAMA]],Hoja1!A:B,2,FALSE)</f>
        <v>2311. Intervención social</v>
      </c>
      <c r="W3026" s="56" t="str">
        <f>MID(Tabla1[[#This Row],[Aplicación]],14,2)</f>
        <v>22</v>
      </c>
      <c r="X3026" s="56" t="str">
        <f>MID(Tabla1[[#This Row],[Aplicación]],14,6)</f>
        <v>22799</v>
      </c>
    </row>
    <row r="3027" spans="1:24" x14ac:dyDescent="0.25">
      <c r="A3027" s="62">
        <v>220230016301</v>
      </c>
      <c r="B3027" s="44" t="s">
        <v>1249</v>
      </c>
      <c r="C3027" s="64">
        <v>45043</v>
      </c>
      <c r="D3027" s="62">
        <v>22023003673</v>
      </c>
      <c r="E3027" s="44" t="s">
        <v>516</v>
      </c>
      <c r="F3027" s="65">
        <v>1059.26</v>
      </c>
      <c r="G3027" s="44" t="s">
        <v>941</v>
      </c>
      <c r="H3027" s="44" t="s">
        <v>4702</v>
      </c>
      <c r="I3027" s="62" t="s">
        <v>1251</v>
      </c>
      <c r="J3027" s="44" t="s">
        <v>519</v>
      </c>
      <c r="K3027" s="44" t="s">
        <v>519</v>
      </c>
      <c r="L3027" s="44" t="s">
        <v>520</v>
      </c>
      <c r="M3027" s="44" t="s">
        <v>514</v>
      </c>
      <c r="N3027" s="44" t="s">
        <v>515</v>
      </c>
      <c r="O3027" s="45" t="s">
        <v>371</v>
      </c>
      <c r="P3027" s="45" t="s">
        <v>3760</v>
      </c>
      <c r="Q3027" s="59" t="str">
        <f>MID(Tabla1[[#This Row],[Aplicación]],14,1)</f>
        <v>2</v>
      </c>
      <c r="R3027" s="35" t="s">
        <v>298</v>
      </c>
      <c r="S3027" s="59" t="str">
        <f>MID(Tabla1[[#This Row],[Aplicación]],6,2)</f>
        <v>10</v>
      </c>
      <c r="T3027" s="35" t="str">
        <f>VLOOKUP(Tabla1[[#This Row],[AREA]],Hoja1!A:B,2,FALSE)</f>
        <v>10. Servicios sociales y mediación comunitaria</v>
      </c>
      <c r="U3027" s="56" t="str">
        <f>MID(Tabla1[[#This Row],[Aplicación]],9,4)</f>
        <v>2311</v>
      </c>
      <c r="V3027" s="35" t="str">
        <f>VLOOKUP(Tabla1[[#This Row],[PROGRAMA]],Hoja1!A:B,2,FALSE)</f>
        <v>2311. Intervención social</v>
      </c>
      <c r="W3027" s="56" t="str">
        <f>MID(Tabla1[[#This Row],[Aplicación]],14,2)</f>
        <v>22</v>
      </c>
      <c r="X3027" s="56" t="str">
        <f>MID(Tabla1[[#This Row],[Aplicación]],14,6)</f>
        <v>22799</v>
      </c>
    </row>
    <row r="3028" spans="1:24" x14ac:dyDescent="0.25">
      <c r="A3028" s="62">
        <v>220230015084</v>
      </c>
      <c r="B3028" s="44" t="s">
        <v>507</v>
      </c>
      <c r="C3028" s="64">
        <v>45041</v>
      </c>
      <c r="D3028" s="62">
        <v>22023000758</v>
      </c>
      <c r="E3028" s="44" t="s">
        <v>974</v>
      </c>
      <c r="F3028" s="65">
        <v>3702.18</v>
      </c>
      <c r="G3028" s="44" t="s">
        <v>2240</v>
      </c>
      <c r="H3028" s="44" t="s">
        <v>4703</v>
      </c>
      <c r="I3028" s="62" t="s">
        <v>511</v>
      </c>
      <c r="J3028" s="44" t="s">
        <v>2242</v>
      </c>
      <c r="K3028" s="44" t="s">
        <v>519</v>
      </c>
      <c r="L3028" s="44" t="s">
        <v>527</v>
      </c>
      <c r="M3028" s="44" t="s">
        <v>976</v>
      </c>
      <c r="N3028" s="44" t="s">
        <v>839</v>
      </c>
      <c r="O3028" s="45" t="s">
        <v>383</v>
      </c>
      <c r="P3028" s="45" t="s">
        <v>3760</v>
      </c>
      <c r="Q3028" s="59" t="str">
        <f>MID(Tabla1[[#This Row],[Aplicación]],14,1)</f>
        <v>2</v>
      </c>
      <c r="R3028" s="35" t="s">
        <v>298</v>
      </c>
      <c r="S3028" s="59" t="str">
        <f>MID(Tabla1[[#This Row],[Aplicación]],6,2)</f>
        <v>11</v>
      </c>
      <c r="T3028" s="35" t="str">
        <f>VLOOKUP(Tabla1[[#This Row],[AREA]],Hoja1!A:B,2,FALSE)</f>
        <v>11. Salud pública y seguridad ciudadana</v>
      </c>
      <c r="U3028" s="56" t="str">
        <f>MID(Tabla1[[#This Row],[Aplicación]],9,4)</f>
        <v>1621</v>
      </c>
      <c r="V3028" s="35" t="str">
        <f>VLOOKUP(Tabla1[[#This Row],[PROGRAMA]],Hoja1!A:B,2,FALSE)</f>
        <v>1621. Servicio de limpieza</v>
      </c>
      <c r="W3028" s="56" t="str">
        <f>MID(Tabla1[[#This Row],[Aplicación]],14,2)</f>
        <v>21</v>
      </c>
      <c r="X3028" s="56" t="str">
        <f>MID(Tabla1[[#This Row],[Aplicación]],14,6)</f>
        <v>212</v>
      </c>
    </row>
    <row r="3029" spans="1:24" x14ac:dyDescent="0.25">
      <c r="A3029" s="62">
        <v>220230015089</v>
      </c>
      <c r="B3029" s="44" t="s">
        <v>507</v>
      </c>
      <c r="C3029" s="64">
        <v>45041</v>
      </c>
      <c r="D3029" s="62">
        <v>22023003853</v>
      </c>
      <c r="E3029" s="44" t="s">
        <v>1191</v>
      </c>
      <c r="F3029" s="65">
        <v>935</v>
      </c>
      <c r="G3029" s="44" t="s">
        <v>3102</v>
      </c>
      <c r="H3029" s="44" t="s">
        <v>4704</v>
      </c>
      <c r="I3029" s="62" t="s">
        <v>511</v>
      </c>
      <c r="J3029" s="44" t="s">
        <v>519</v>
      </c>
      <c r="K3029" s="44" t="s">
        <v>519</v>
      </c>
      <c r="L3029" s="44" t="s">
        <v>520</v>
      </c>
      <c r="M3029" s="44" t="s">
        <v>976</v>
      </c>
      <c r="N3029" s="44" t="s">
        <v>839</v>
      </c>
      <c r="O3029" s="45" t="s">
        <v>383</v>
      </c>
      <c r="P3029" s="45" t="s">
        <v>3760</v>
      </c>
      <c r="Q3029" s="59" t="str">
        <f>MID(Tabla1[[#This Row],[Aplicación]],14,1)</f>
        <v>2</v>
      </c>
      <c r="R3029" s="35" t="s">
        <v>298</v>
      </c>
      <c r="S3029" s="59" t="str">
        <f>MID(Tabla1[[#This Row],[Aplicación]],6,2)</f>
        <v>06</v>
      </c>
      <c r="T3029" s="35" t="str">
        <f>VLOOKUP(Tabla1[[#This Row],[AREA]],Hoja1!A:B,2,FALSE)</f>
        <v>06. Educación, infancia, juventud e igualdad</v>
      </c>
      <c r="U3029" s="56" t="str">
        <f>MID(Tabla1[[#This Row],[Aplicación]],9,4)</f>
        <v>2315</v>
      </c>
      <c r="V3029" s="35" t="str">
        <f>VLOOKUP(Tabla1[[#This Row],[PROGRAMA]],Hoja1!A:B,2,FALSE)</f>
        <v>2315. Políticas de Igualdad e infancia</v>
      </c>
      <c r="W3029" s="56" t="str">
        <f>MID(Tabla1[[#This Row],[Aplicación]],14,2)</f>
        <v>22</v>
      </c>
      <c r="X3029" s="56" t="str">
        <f>MID(Tabla1[[#This Row],[Aplicación]],14,6)</f>
        <v>22611</v>
      </c>
    </row>
    <row r="3030" spans="1:24" x14ac:dyDescent="0.25">
      <c r="A3030" s="62">
        <v>220230016023</v>
      </c>
      <c r="B3030" s="44" t="s">
        <v>507</v>
      </c>
      <c r="C3030" s="64">
        <v>45042</v>
      </c>
      <c r="D3030" s="62">
        <v>22023004160</v>
      </c>
      <c r="E3030" s="44" t="s">
        <v>1303</v>
      </c>
      <c r="F3030" s="65">
        <v>617.1</v>
      </c>
      <c r="G3030" s="44" t="s">
        <v>4705</v>
      </c>
      <c r="H3030" s="44" t="s">
        <v>4706</v>
      </c>
      <c r="I3030" s="62" t="s">
        <v>511</v>
      </c>
      <c r="J3030" s="44" t="s">
        <v>519</v>
      </c>
      <c r="K3030" s="44" t="s">
        <v>519</v>
      </c>
      <c r="L3030" s="44" t="s">
        <v>552</v>
      </c>
      <c r="M3030" s="44" t="s">
        <v>976</v>
      </c>
      <c r="N3030" s="44" t="s">
        <v>839</v>
      </c>
      <c r="O3030" s="45" t="s">
        <v>383</v>
      </c>
      <c r="P3030" s="45" t="s">
        <v>3760</v>
      </c>
      <c r="Q3030" s="59" t="str">
        <f>MID(Tabla1[[#This Row],[Aplicación]],14,1)</f>
        <v>2</v>
      </c>
      <c r="R3030" s="35" t="s">
        <v>298</v>
      </c>
      <c r="S3030" s="59" t="str">
        <f>MID(Tabla1[[#This Row],[Aplicación]],6,2)</f>
        <v>11</v>
      </c>
      <c r="T3030" s="35" t="str">
        <f>VLOOKUP(Tabla1[[#This Row],[AREA]],Hoja1!A:B,2,FALSE)</f>
        <v>11. Salud pública y seguridad ciudadana</v>
      </c>
      <c r="U3030" s="56" t="str">
        <f>MID(Tabla1[[#This Row],[Aplicación]],9,4)</f>
        <v>1321</v>
      </c>
      <c r="V3030" s="35" t="str">
        <f>VLOOKUP(Tabla1[[#This Row],[PROGRAMA]],Hoja1!A:B,2,FALSE)</f>
        <v>1321. Policía municipal</v>
      </c>
      <c r="W3030" s="56" t="str">
        <f>MID(Tabla1[[#This Row],[Aplicación]],14,2)</f>
        <v>22</v>
      </c>
      <c r="X3030" s="56" t="str">
        <f>MID(Tabla1[[#This Row],[Aplicación]],14,6)</f>
        <v>22699</v>
      </c>
    </row>
    <row r="3031" spans="1:24" x14ac:dyDescent="0.25">
      <c r="A3031" s="62">
        <v>220230016846</v>
      </c>
      <c r="B3031" s="44" t="s">
        <v>507</v>
      </c>
      <c r="C3031" s="64">
        <v>45048</v>
      </c>
      <c r="D3031" s="62">
        <v>22023004153</v>
      </c>
      <c r="E3031" s="44" t="s">
        <v>1495</v>
      </c>
      <c r="F3031" s="65">
        <v>452.73</v>
      </c>
      <c r="G3031" s="44" t="s">
        <v>72</v>
      </c>
      <c r="H3031" s="44" t="s">
        <v>4707</v>
      </c>
      <c r="I3031" s="62" t="s">
        <v>511</v>
      </c>
      <c r="J3031" s="44" t="s">
        <v>519</v>
      </c>
      <c r="K3031" s="44" t="s">
        <v>519</v>
      </c>
      <c r="L3031" s="44" t="s">
        <v>520</v>
      </c>
      <c r="M3031" s="44" t="s">
        <v>976</v>
      </c>
      <c r="N3031" s="44" t="s">
        <v>839</v>
      </c>
      <c r="O3031" s="45" t="s">
        <v>383</v>
      </c>
      <c r="P3031" s="45" t="s">
        <v>3760</v>
      </c>
      <c r="Q3031" s="59" t="str">
        <f>MID(Tabla1[[#This Row],[Aplicación]],14,1)</f>
        <v>2</v>
      </c>
      <c r="R3031" s="35" t="s">
        <v>298</v>
      </c>
      <c r="S3031" s="59" t="str">
        <f>MID(Tabla1[[#This Row],[Aplicación]],6,2)</f>
        <v>10</v>
      </c>
      <c r="T3031" s="35" t="str">
        <f>VLOOKUP(Tabla1[[#This Row],[AREA]],Hoja1!A:B,2,FALSE)</f>
        <v>10. Servicios sociales y mediación comunitaria</v>
      </c>
      <c r="U3031" s="56" t="str">
        <f>MID(Tabla1[[#This Row],[Aplicación]],9,4)</f>
        <v>2312</v>
      </c>
      <c r="V3031" s="35" t="str">
        <f>VLOOKUP(Tabla1[[#This Row],[PROGRAMA]],Hoja1!A:B,2,FALSE)</f>
        <v>2312. Iniciativas sociales</v>
      </c>
      <c r="W3031" s="56" t="str">
        <f>MID(Tabla1[[#This Row],[Aplicación]],14,2)</f>
        <v>22</v>
      </c>
      <c r="X3031" s="56" t="str">
        <f>MID(Tabla1[[#This Row],[Aplicación]],14,6)</f>
        <v>22617</v>
      </c>
    </row>
    <row r="3032" spans="1:24" x14ac:dyDescent="0.25">
      <c r="A3032" s="62">
        <v>220230018970</v>
      </c>
      <c r="B3032" s="44" t="s">
        <v>507</v>
      </c>
      <c r="C3032" s="64">
        <v>45056</v>
      </c>
      <c r="D3032" s="62">
        <v>22023003838</v>
      </c>
      <c r="E3032" s="44" t="s">
        <v>671</v>
      </c>
      <c r="F3032" s="65">
        <v>174.24</v>
      </c>
      <c r="G3032" s="44" t="s">
        <v>3157</v>
      </c>
      <c r="H3032" s="44" t="s">
        <v>4708</v>
      </c>
      <c r="I3032" s="62" t="s">
        <v>511</v>
      </c>
      <c r="J3032" s="44" t="s">
        <v>519</v>
      </c>
      <c r="K3032" s="44" t="s">
        <v>519</v>
      </c>
      <c r="L3032" s="44" t="s">
        <v>520</v>
      </c>
      <c r="M3032" s="44" t="s">
        <v>976</v>
      </c>
      <c r="N3032" s="44" t="s">
        <v>839</v>
      </c>
      <c r="O3032" s="45" t="s">
        <v>383</v>
      </c>
      <c r="P3032" s="45" t="s">
        <v>3760</v>
      </c>
      <c r="Q3032" s="59" t="str">
        <f>MID(Tabla1[[#This Row],[Aplicación]],14,1)</f>
        <v>2</v>
      </c>
      <c r="R3032" s="35" t="s">
        <v>298</v>
      </c>
      <c r="S3032" s="59" t="str">
        <f>MID(Tabla1[[#This Row],[Aplicación]],6,2)</f>
        <v>06</v>
      </c>
      <c r="T3032" s="35" t="str">
        <f>VLOOKUP(Tabla1[[#This Row],[AREA]],Hoja1!A:B,2,FALSE)</f>
        <v>06. Educación, infancia, juventud e igualdad</v>
      </c>
      <c r="U3032" s="56" t="str">
        <f>MID(Tabla1[[#This Row],[Aplicación]],9,4)</f>
        <v>3321</v>
      </c>
      <c r="V3032" s="35" t="str">
        <f>VLOOKUP(Tabla1[[#This Row],[PROGRAMA]],Hoja1!A:B,2,FALSE)</f>
        <v>3321. Bibliotecas públicas</v>
      </c>
      <c r="W3032" s="56" t="str">
        <f>MID(Tabla1[[#This Row],[Aplicación]],14,2)</f>
        <v>21</v>
      </c>
      <c r="X3032" s="56" t="str">
        <f>MID(Tabla1[[#This Row],[Aplicación]],14,6)</f>
        <v>213</v>
      </c>
    </row>
    <row r="3033" spans="1:24" x14ac:dyDescent="0.25">
      <c r="A3033" s="62">
        <v>220230015351</v>
      </c>
      <c r="B3033" s="44" t="s">
        <v>507</v>
      </c>
      <c r="C3033" s="64">
        <v>45041</v>
      </c>
      <c r="D3033" s="62">
        <v>22023003874</v>
      </c>
      <c r="E3033" s="44" t="s">
        <v>673</v>
      </c>
      <c r="F3033" s="65">
        <v>500</v>
      </c>
      <c r="G3033" s="44" t="s">
        <v>46</v>
      </c>
      <c r="H3033" s="44" t="s">
        <v>4709</v>
      </c>
      <c r="I3033" s="62" t="s">
        <v>511</v>
      </c>
      <c r="J3033" s="44" t="s">
        <v>519</v>
      </c>
      <c r="K3033" s="44" t="s">
        <v>519</v>
      </c>
      <c r="L3033" s="44" t="s">
        <v>552</v>
      </c>
      <c r="M3033" s="44" t="s">
        <v>976</v>
      </c>
      <c r="N3033" s="44" t="s">
        <v>839</v>
      </c>
      <c r="O3033" s="45" t="s">
        <v>383</v>
      </c>
      <c r="P3033" s="45" t="s">
        <v>3760</v>
      </c>
      <c r="Q3033" s="59" t="str">
        <f>MID(Tabla1[[#This Row],[Aplicación]],14,1)</f>
        <v>2</v>
      </c>
      <c r="R3033" s="35" t="s">
        <v>298</v>
      </c>
      <c r="S3033" s="59" t="str">
        <f>MID(Tabla1[[#This Row],[Aplicación]],6,2)</f>
        <v>06</v>
      </c>
      <c r="T3033" s="35" t="str">
        <f>VLOOKUP(Tabla1[[#This Row],[AREA]],Hoja1!A:B,2,FALSE)</f>
        <v>06. Educación, infancia, juventud e igualdad</v>
      </c>
      <c r="U3033" s="56" t="str">
        <f>MID(Tabla1[[#This Row],[Aplicación]],9,4)</f>
        <v>2315</v>
      </c>
      <c r="V3033" s="35" t="str">
        <f>VLOOKUP(Tabla1[[#This Row],[PROGRAMA]],Hoja1!A:B,2,FALSE)</f>
        <v>2315. Políticas de Igualdad e infancia</v>
      </c>
      <c r="W3033" s="56" t="str">
        <f>MID(Tabla1[[#This Row],[Aplicación]],14,2)</f>
        <v>21</v>
      </c>
      <c r="X3033" s="56" t="str">
        <f>MID(Tabla1[[#This Row],[Aplicación]],14,6)</f>
        <v>213</v>
      </c>
    </row>
    <row r="3034" spans="1:24" x14ac:dyDescent="0.25">
      <c r="A3034" s="62">
        <v>220230013749</v>
      </c>
      <c r="B3034" s="44" t="s">
        <v>507</v>
      </c>
      <c r="C3034" s="64">
        <v>45027</v>
      </c>
      <c r="D3034" s="62">
        <v>22023003809</v>
      </c>
      <c r="E3034" s="44" t="s">
        <v>1506</v>
      </c>
      <c r="F3034" s="65">
        <v>94.97</v>
      </c>
      <c r="G3034" s="44" t="s">
        <v>46</v>
      </c>
      <c r="H3034" s="44" t="s">
        <v>4710</v>
      </c>
      <c r="I3034" s="62" t="s">
        <v>511</v>
      </c>
      <c r="J3034" s="44" t="s">
        <v>519</v>
      </c>
      <c r="K3034" s="44" t="s">
        <v>519</v>
      </c>
      <c r="L3034" s="44" t="s">
        <v>552</v>
      </c>
      <c r="M3034" s="44" t="s">
        <v>976</v>
      </c>
      <c r="N3034" s="44" t="s">
        <v>839</v>
      </c>
      <c r="O3034" s="45" t="s">
        <v>383</v>
      </c>
      <c r="P3034" s="45" t="s">
        <v>3760</v>
      </c>
      <c r="Q3034" s="59" t="str">
        <f>MID(Tabla1[[#This Row],[Aplicación]],14,1)</f>
        <v>2</v>
      </c>
      <c r="R3034" s="35" t="s">
        <v>298</v>
      </c>
      <c r="S3034" s="59" t="str">
        <f>MID(Tabla1[[#This Row],[Aplicación]],6,2)</f>
        <v>03</v>
      </c>
      <c r="T3034" s="35" t="str">
        <f>VLOOKUP(Tabla1[[#This Row],[AREA]],Hoja1!A:B,2,FALSE)</f>
        <v>03. Participación ciudadana y deportes</v>
      </c>
      <c r="U3034" s="56" t="str">
        <f>MID(Tabla1[[#This Row],[Aplicación]],9,4)</f>
        <v>9241</v>
      </c>
      <c r="V3034" s="35" t="str">
        <f>VLOOKUP(Tabla1[[#This Row],[PROGRAMA]],Hoja1!A:B,2,FALSE)</f>
        <v>9241. Participación ciudadana</v>
      </c>
      <c r="W3034" s="56" t="str">
        <f>MID(Tabla1[[#This Row],[Aplicación]],14,2)</f>
        <v>21</v>
      </c>
      <c r="X3034" s="56" t="str">
        <f>MID(Tabla1[[#This Row],[Aplicación]],14,6)</f>
        <v>212</v>
      </c>
    </row>
    <row r="3035" spans="1:24" x14ac:dyDescent="0.25">
      <c r="A3035" s="62">
        <v>220230018149</v>
      </c>
      <c r="B3035" s="44" t="s">
        <v>507</v>
      </c>
      <c r="C3035" s="64">
        <v>45054</v>
      </c>
      <c r="D3035" s="62">
        <v>22023004176</v>
      </c>
      <c r="E3035" s="44" t="s">
        <v>4594</v>
      </c>
      <c r="F3035" s="65">
        <v>1936</v>
      </c>
      <c r="G3035" s="44" t="s">
        <v>4711</v>
      </c>
      <c r="H3035" s="44" t="s">
        <v>4712</v>
      </c>
      <c r="I3035" s="62" t="s">
        <v>511</v>
      </c>
      <c r="J3035" s="44" t="s">
        <v>519</v>
      </c>
      <c r="K3035" s="44" t="s">
        <v>519</v>
      </c>
      <c r="L3035" s="44" t="s">
        <v>552</v>
      </c>
      <c r="M3035" s="44" t="s">
        <v>976</v>
      </c>
      <c r="N3035" s="44" t="s">
        <v>839</v>
      </c>
      <c r="O3035" s="45" t="s">
        <v>383</v>
      </c>
      <c r="P3035" s="45" t="s">
        <v>3760</v>
      </c>
      <c r="Q3035" s="59" t="str">
        <f>MID(Tabla1[[#This Row],[Aplicación]],14,1)</f>
        <v>2</v>
      </c>
      <c r="R3035" s="35" t="s">
        <v>298</v>
      </c>
      <c r="S3035" s="59" t="str">
        <f>MID(Tabla1[[#This Row],[Aplicación]],6,2)</f>
        <v>01</v>
      </c>
      <c r="T3035" s="35" t="str">
        <f>VLOOKUP(Tabla1[[#This Row],[AREA]],Hoja1!A:B,2,FALSE)</f>
        <v>01. Alcaldía</v>
      </c>
      <c r="U3035" s="56" t="str">
        <f>MID(Tabla1[[#This Row],[Aplicación]],9,4)</f>
        <v>9203</v>
      </c>
      <c r="V3035" s="35" t="str">
        <f>VLOOKUP(Tabla1[[#This Row],[PROGRAMA]],Hoja1!A:B,2,FALSE)</f>
        <v>9203. Unidad de régimen interior</v>
      </c>
      <c r="W3035" s="56" t="str">
        <f>MID(Tabla1[[#This Row],[Aplicación]],14,2)</f>
        <v>22</v>
      </c>
      <c r="X3035" s="56" t="str">
        <f>MID(Tabla1[[#This Row],[Aplicación]],14,6)</f>
        <v>22602</v>
      </c>
    </row>
    <row r="3036" spans="1:24" x14ac:dyDescent="0.25">
      <c r="A3036" s="62">
        <v>220230018166</v>
      </c>
      <c r="B3036" s="44" t="s">
        <v>507</v>
      </c>
      <c r="C3036" s="64">
        <v>45054</v>
      </c>
      <c r="D3036" s="62">
        <v>22023004377</v>
      </c>
      <c r="E3036" s="44" t="s">
        <v>1506</v>
      </c>
      <c r="F3036" s="65">
        <v>51.07</v>
      </c>
      <c r="G3036" s="44" t="s">
        <v>2436</v>
      </c>
      <c r="H3036" s="44" t="s">
        <v>4713</v>
      </c>
      <c r="I3036" s="62" t="s">
        <v>511</v>
      </c>
      <c r="J3036" s="44" t="s">
        <v>2438</v>
      </c>
      <c r="K3036" s="44" t="s">
        <v>1359</v>
      </c>
      <c r="L3036" s="44" t="s">
        <v>552</v>
      </c>
      <c r="M3036" s="44" t="s">
        <v>976</v>
      </c>
      <c r="N3036" s="44" t="s">
        <v>839</v>
      </c>
      <c r="O3036" s="45" t="s">
        <v>383</v>
      </c>
      <c r="P3036" s="45" t="s">
        <v>3760</v>
      </c>
      <c r="Q3036" s="59" t="str">
        <f>MID(Tabla1[[#This Row],[Aplicación]],14,1)</f>
        <v>2</v>
      </c>
      <c r="R3036" s="35" t="s">
        <v>298</v>
      </c>
      <c r="S3036" s="59" t="str">
        <f>MID(Tabla1[[#This Row],[Aplicación]],6,2)</f>
        <v>03</v>
      </c>
      <c r="T3036" s="35" t="str">
        <f>VLOOKUP(Tabla1[[#This Row],[AREA]],Hoja1!A:B,2,FALSE)</f>
        <v>03. Participación ciudadana y deportes</v>
      </c>
      <c r="U3036" s="56" t="str">
        <f>MID(Tabla1[[#This Row],[Aplicación]],9,4)</f>
        <v>9241</v>
      </c>
      <c r="V3036" s="35" t="str">
        <f>VLOOKUP(Tabla1[[#This Row],[PROGRAMA]],Hoja1!A:B,2,FALSE)</f>
        <v>9241. Participación ciudadana</v>
      </c>
      <c r="W3036" s="56" t="str">
        <f>MID(Tabla1[[#This Row],[Aplicación]],14,2)</f>
        <v>21</v>
      </c>
      <c r="X3036" s="56" t="str">
        <f>MID(Tabla1[[#This Row],[Aplicación]],14,6)</f>
        <v>212</v>
      </c>
    </row>
    <row r="3037" spans="1:24" x14ac:dyDescent="0.25">
      <c r="A3037" s="62">
        <v>220230016841</v>
      </c>
      <c r="B3037" s="44" t="s">
        <v>507</v>
      </c>
      <c r="C3037" s="64">
        <v>45048</v>
      </c>
      <c r="D3037" s="62">
        <v>22023004105</v>
      </c>
      <c r="E3037" s="44" t="s">
        <v>931</v>
      </c>
      <c r="F3037" s="65">
        <v>6655</v>
      </c>
      <c r="G3037" s="44" t="s">
        <v>3251</v>
      </c>
      <c r="H3037" s="44" t="s">
        <v>4714</v>
      </c>
      <c r="I3037" s="62" t="s">
        <v>511</v>
      </c>
      <c r="J3037" s="44" t="s">
        <v>1289</v>
      </c>
      <c r="K3037" s="44" t="s">
        <v>1289</v>
      </c>
      <c r="L3037" s="44" t="s">
        <v>520</v>
      </c>
      <c r="M3037" s="44" t="s">
        <v>976</v>
      </c>
      <c r="N3037" s="44" t="s">
        <v>839</v>
      </c>
      <c r="O3037" s="45" t="s">
        <v>383</v>
      </c>
      <c r="P3037" s="45" t="s">
        <v>3760</v>
      </c>
      <c r="Q3037" s="59" t="str">
        <f>MID(Tabla1[[#This Row],[Aplicación]],14,1)</f>
        <v>2</v>
      </c>
      <c r="R3037" s="35" t="s">
        <v>298</v>
      </c>
      <c r="S3037" s="59" t="str">
        <f>MID(Tabla1[[#This Row],[Aplicación]],6,2)</f>
        <v>09</v>
      </c>
      <c r="T3037" s="35" t="str">
        <f>VLOOKUP(Tabla1[[#This Row],[AREA]],Hoja1!A:B,2,FALSE)</f>
        <v>09. Cultura y turismo</v>
      </c>
      <c r="U3037" s="56" t="str">
        <f>MID(Tabla1[[#This Row],[Aplicación]],9,4)</f>
        <v>3341</v>
      </c>
      <c r="V3037" s="35" t="str">
        <f>VLOOKUP(Tabla1[[#This Row],[PROGRAMA]],Hoja1!A:B,2,FALSE)</f>
        <v>3341. Coordinación de políticas culturales</v>
      </c>
      <c r="W3037" s="56" t="str">
        <f>MID(Tabla1[[#This Row],[Aplicación]],14,2)</f>
        <v>22</v>
      </c>
      <c r="X3037" s="56" t="str">
        <f>MID(Tabla1[[#This Row],[Aplicación]],14,6)</f>
        <v>22799</v>
      </c>
    </row>
    <row r="3038" spans="1:24" x14ac:dyDescent="0.25">
      <c r="A3038" s="62">
        <v>220230025395</v>
      </c>
      <c r="B3038" s="44" t="s">
        <v>507</v>
      </c>
      <c r="C3038" s="64">
        <v>45072</v>
      </c>
      <c r="D3038" s="62">
        <v>22023004705</v>
      </c>
      <c r="E3038" s="44" t="s">
        <v>922</v>
      </c>
      <c r="F3038" s="65">
        <v>1441.11</v>
      </c>
      <c r="G3038" s="44" t="s">
        <v>4715</v>
      </c>
      <c r="H3038" s="44" t="s">
        <v>4716</v>
      </c>
      <c r="I3038" s="62" t="s">
        <v>511</v>
      </c>
      <c r="J3038" s="44" t="s">
        <v>1049</v>
      </c>
      <c r="K3038" s="44" t="s">
        <v>519</v>
      </c>
      <c r="L3038" s="44" t="s">
        <v>520</v>
      </c>
      <c r="M3038" s="44" t="s">
        <v>976</v>
      </c>
      <c r="N3038" s="44" t="s">
        <v>839</v>
      </c>
      <c r="O3038" s="45" t="s">
        <v>383</v>
      </c>
      <c r="P3038" s="45" t="s">
        <v>3760</v>
      </c>
      <c r="Q3038" s="59" t="str">
        <f>MID(Tabla1[[#This Row],[Aplicación]],14,1)</f>
        <v>2</v>
      </c>
      <c r="R3038" s="35" t="s">
        <v>298</v>
      </c>
      <c r="S3038" s="59" t="str">
        <f>MID(Tabla1[[#This Row],[Aplicación]],6,2)</f>
        <v>10</v>
      </c>
      <c r="T3038" s="35" t="str">
        <f>VLOOKUP(Tabla1[[#This Row],[AREA]],Hoja1!A:B,2,FALSE)</f>
        <v>10. Servicios sociales y mediación comunitaria</v>
      </c>
      <c r="U3038" s="56" t="str">
        <f>MID(Tabla1[[#This Row],[Aplicación]],9,4)</f>
        <v>2311</v>
      </c>
      <c r="V3038" s="35" t="str">
        <f>VLOOKUP(Tabla1[[#This Row],[PROGRAMA]],Hoja1!A:B,2,FALSE)</f>
        <v>2311. Intervención social</v>
      </c>
      <c r="W3038" s="56" t="str">
        <f>MID(Tabla1[[#This Row],[Aplicación]],14,2)</f>
        <v>22</v>
      </c>
      <c r="X3038" s="56" t="str">
        <f>MID(Tabla1[[#This Row],[Aplicación]],14,6)</f>
        <v>22700</v>
      </c>
    </row>
    <row r="3039" spans="1:24" x14ac:dyDescent="0.25">
      <c r="A3039" s="62">
        <v>220230020544</v>
      </c>
      <c r="B3039" s="44" t="s">
        <v>507</v>
      </c>
      <c r="C3039" s="64">
        <v>45058</v>
      </c>
      <c r="D3039" s="62">
        <v>22023004409</v>
      </c>
      <c r="E3039" s="44" t="s">
        <v>931</v>
      </c>
      <c r="F3039" s="65">
        <v>34.880000000000003</v>
      </c>
      <c r="G3039" s="44" t="s">
        <v>74</v>
      </c>
      <c r="H3039" s="44" t="s">
        <v>4717</v>
      </c>
      <c r="I3039" s="62" t="s">
        <v>511</v>
      </c>
      <c r="J3039" s="44" t="s">
        <v>940</v>
      </c>
      <c r="K3039" s="44" t="s">
        <v>519</v>
      </c>
      <c r="L3039" s="44" t="s">
        <v>520</v>
      </c>
      <c r="M3039" s="44" t="s">
        <v>976</v>
      </c>
      <c r="N3039" s="44" t="s">
        <v>839</v>
      </c>
      <c r="O3039" s="45" t="s">
        <v>383</v>
      </c>
      <c r="P3039" s="45" t="s">
        <v>3760</v>
      </c>
      <c r="Q3039" s="59" t="str">
        <f>MID(Tabla1[[#This Row],[Aplicación]],14,1)</f>
        <v>2</v>
      </c>
      <c r="R3039" s="35" t="s">
        <v>298</v>
      </c>
      <c r="S3039" s="59" t="str">
        <f>MID(Tabla1[[#This Row],[Aplicación]],6,2)</f>
        <v>09</v>
      </c>
      <c r="T3039" s="35" t="str">
        <f>VLOOKUP(Tabla1[[#This Row],[AREA]],Hoja1!A:B,2,FALSE)</f>
        <v>09. Cultura y turismo</v>
      </c>
      <c r="U3039" s="56" t="str">
        <f>MID(Tabla1[[#This Row],[Aplicación]],9,4)</f>
        <v>3341</v>
      </c>
      <c r="V3039" s="35" t="str">
        <f>VLOOKUP(Tabla1[[#This Row],[PROGRAMA]],Hoja1!A:B,2,FALSE)</f>
        <v>3341. Coordinación de políticas culturales</v>
      </c>
      <c r="W3039" s="56" t="str">
        <f>MID(Tabla1[[#This Row],[Aplicación]],14,2)</f>
        <v>22</v>
      </c>
      <c r="X3039" s="56" t="str">
        <f>MID(Tabla1[[#This Row],[Aplicación]],14,6)</f>
        <v>22799</v>
      </c>
    </row>
    <row r="3040" spans="1:24" x14ac:dyDescent="0.25">
      <c r="A3040" s="62">
        <v>220230015966</v>
      </c>
      <c r="B3040" s="44" t="s">
        <v>507</v>
      </c>
      <c r="C3040" s="64">
        <v>45042</v>
      </c>
      <c r="D3040" s="62">
        <v>22023003978</v>
      </c>
      <c r="E3040" s="44" t="s">
        <v>970</v>
      </c>
      <c r="F3040" s="65">
        <v>290.39999999999998</v>
      </c>
      <c r="G3040" s="44" t="s">
        <v>850</v>
      </c>
      <c r="H3040" s="44" t="s">
        <v>4718</v>
      </c>
      <c r="I3040" s="62" t="s">
        <v>511</v>
      </c>
      <c r="J3040" s="44" t="s">
        <v>852</v>
      </c>
      <c r="K3040" s="44" t="s">
        <v>853</v>
      </c>
      <c r="L3040" s="44" t="s">
        <v>520</v>
      </c>
      <c r="M3040" s="44" t="s">
        <v>976</v>
      </c>
      <c r="N3040" s="44" t="s">
        <v>839</v>
      </c>
      <c r="O3040" s="45" t="s">
        <v>383</v>
      </c>
      <c r="P3040" s="45" t="s">
        <v>3760</v>
      </c>
      <c r="Q3040" s="59" t="str">
        <f>MID(Tabla1[[#This Row],[Aplicación]],14,1)</f>
        <v>2</v>
      </c>
      <c r="R3040" s="35" t="s">
        <v>298</v>
      </c>
      <c r="S3040" s="59" t="str">
        <f>MID(Tabla1[[#This Row],[Aplicación]],6,2)</f>
        <v>05</v>
      </c>
      <c r="T3040" s="35" t="str">
        <f>VLOOKUP(Tabla1[[#This Row],[AREA]],Hoja1!A:B,2,FALSE)</f>
        <v>05. Innovación, desarrollo económico, empleo y comercio</v>
      </c>
      <c r="U3040" s="56" t="str">
        <f>MID(Tabla1[[#This Row],[Aplicación]],9,4)</f>
        <v>4331</v>
      </c>
      <c r="V3040" s="35" t="str">
        <f>VLOOKUP(Tabla1[[#This Row],[PROGRAMA]],Hoja1!A:B,2,FALSE)</f>
        <v>4331. Desarrollo empresarial</v>
      </c>
      <c r="W3040" s="56" t="str">
        <f>MID(Tabla1[[#This Row],[Aplicación]],14,2)</f>
        <v>22</v>
      </c>
      <c r="X3040" s="56" t="str">
        <f>MID(Tabla1[[#This Row],[Aplicación]],14,6)</f>
        <v>22700</v>
      </c>
    </row>
    <row r="3041" spans="1:24" x14ac:dyDescent="0.25">
      <c r="A3041" s="62">
        <v>220230016852</v>
      </c>
      <c r="B3041" s="44" t="s">
        <v>507</v>
      </c>
      <c r="C3041" s="64">
        <v>45048</v>
      </c>
      <c r="D3041" s="62">
        <v>22023004191</v>
      </c>
      <c r="E3041" s="44" t="s">
        <v>1495</v>
      </c>
      <c r="F3041" s="65">
        <v>232.32</v>
      </c>
      <c r="G3041" s="44" t="s">
        <v>3325</v>
      </c>
      <c r="H3041" s="44" t="s">
        <v>4719</v>
      </c>
      <c r="I3041" s="62" t="s">
        <v>511</v>
      </c>
      <c r="J3041" s="44" t="s">
        <v>519</v>
      </c>
      <c r="K3041" s="44" t="s">
        <v>519</v>
      </c>
      <c r="L3041" s="44" t="s">
        <v>520</v>
      </c>
      <c r="M3041" s="44" t="s">
        <v>976</v>
      </c>
      <c r="N3041" s="44" t="s">
        <v>839</v>
      </c>
      <c r="O3041" s="45" t="s">
        <v>383</v>
      </c>
      <c r="P3041" s="45" t="s">
        <v>3760</v>
      </c>
      <c r="Q3041" s="59" t="str">
        <f>MID(Tabla1[[#This Row],[Aplicación]],14,1)</f>
        <v>2</v>
      </c>
      <c r="R3041" s="35" t="s">
        <v>298</v>
      </c>
      <c r="S3041" s="59" t="str">
        <f>MID(Tabla1[[#This Row],[Aplicación]],6,2)</f>
        <v>10</v>
      </c>
      <c r="T3041" s="35" t="str">
        <f>VLOOKUP(Tabla1[[#This Row],[AREA]],Hoja1!A:B,2,FALSE)</f>
        <v>10. Servicios sociales y mediación comunitaria</v>
      </c>
      <c r="U3041" s="56" t="str">
        <f>MID(Tabla1[[#This Row],[Aplicación]],9,4)</f>
        <v>2312</v>
      </c>
      <c r="V3041" s="35" t="str">
        <f>VLOOKUP(Tabla1[[#This Row],[PROGRAMA]],Hoja1!A:B,2,FALSE)</f>
        <v>2312. Iniciativas sociales</v>
      </c>
      <c r="W3041" s="56" t="str">
        <f>MID(Tabla1[[#This Row],[Aplicación]],14,2)</f>
        <v>22</v>
      </c>
      <c r="X3041" s="56" t="str">
        <f>MID(Tabla1[[#This Row],[Aplicación]],14,6)</f>
        <v>22617</v>
      </c>
    </row>
    <row r="3042" spans="1:24" x14ac:dyDescent="0.25">
      <c r="A3042" s="62">
        <v>220230016860</v>
      </c>
      <c r="B3042" s="44" t="s">
        <v>507</v>
      </c>
      <c r="C3042" s="64">
        <v>45048</v>
      </c>
      <c r="D3042" s="62">
        <v>22023004289</v>
      </c>
      <c r="E3042" s="44" t="s">
        <v>2310</v>
      </c>
      <c r="F3042" s="65">
        <v>500</v>
      </c>
      <c r="G3042" s="44" t="s">
        <v>3327</v>
      </c>
      <c r="H3042" s="44" t="s">
        <v>4720</v>
      </c>
      <c r="I3042" s="62" t="s">
        <v>511</v>
      </c>
      <c r="J3042" s="44" t="s">
        <v>519</v>
      </c>
      <c r="K3042" s="44" t="s">
        <v>519</v>
      </c>
      <c r="L3042" s="44" t="s">
        <v>552</v>
      </c>
      <c r="M3042" s="44" t="s">
        <v>976</v>
      </c>
      <c r="N3042" s="44" t="s">
        <v>839</v>
      </c>
      <c r="O3042" s="45" t="s">
        <v>383</v>
      </c>
      <c r="P3042" s="45" t="s">
        <v>3760</v>
      </c>
      <c r="Q3042" s="59" t="str">
        <f>MID(Tabla1[[#This Row],[Aplicación]],14,1)</f>
        <v>2</v>
      </c>
      <c r="R3042" s="35" t="s">
        <v>298</v>
      </c>
      <c r="S3042" s="59" t="str">
        <f>MID(Tabla1[[#This Row],[Aplicación]],6,2)</f>
        <v>11</v>
      </c>
      <c r="T3042" s="35" t="str">
        <f>VLOOKUP(Tabla1[[#This Row],[AREA]],Hoja1!A:B,2,FALSE)</f>
        <v>11. Salud pública y seguridad ciudadana</v>
      </c>
      <c r="U3042" s="56" t="str">
        <f>MID(Tabla1[[#This Row],[Aplicación]],9,4)</f>
        <v>1321</v>
      </c>
      <c r="V3042" s="35" t="str">
        <f>VLOOKUP(Tabla1[[#This Row],[PROGRAMA]],Hoja1!A:B,2,FALSE)</f>
        <v>1321. Policía municipal</v>
      </c>
      <c r="W3042" s="56" t="str">
        <f>MID(Tabla1[[#This Row],[Aplicación]],14,2)</f>
        <v>22</v>
      </c>
      <c r="X3042" s="56" t="str">
        <f>MID(Tabla1[[#This Row],[Aplicación]],14,6)</f>
        <v>22199</v>
      </c>
    </row>
    <row r="3043" spans="1:24" x14ac:dyDescent="0.25">
      <c r="A3043" s="62">
        <v>220230020533</v>
      </c>
      <c r="B3043" s="44" t="s">
        <v>507</v>
      </c>
      <c r="C3043" s="64">
        <v>45058</v>
      </c>
      <c r="D3043" s="62">
        <v>22023004460</v>
      </c>
      <c r="E3043" s="44" t="s">
        <v>1798</v>
      </c>
      <c r="F3043" s="65">
        <v>2556.8200000000002</v>
      </c>
      <c r="G3043" s="44" t="s">
        <v>3337</v>
      </c>
      <c r="H3043" s="44" t="s">
        <v>4721</v>
      </c>
      <c r="I3043" s="62" t="s">
        <v>511</v>
      </c>
      <c r="J3043" s="44" t="s">
        <v>1771</v>
      </c>
      <c r="K3043" s="44" t="s">
        <v>519</v>
      </c>
      <c r="L3043" s="44" t="s">
        <v>520</v>
      </c>
      <c r="M3043" s="44" t="s">
        <v>976</v>
      </c>
      <c r="N3043" s="44" t="s">
        <v>839</v>
      </c>
      <c r="O3043" s="45" t="s">
        <v>383</v>
      </c>
      <c r="P3043" s="45" t="s">
        <v>3760</v>
      </c>
      <c r="Q3043" s="59" t="str">
        <f>MID(Tabla1[[#This Row],[Aplicación]],14,1)</f>
        <v>2</v>
      </c>
      <c r="R3043" s="35" t="s">
        <v>298</v>
      </c>
      <c r="S3043" s="59" t="str">
        <f>MID(Tabla1[[#This Row],[Aplicación]],6,2)</f>
        <v>11</v>
      </c>
      <c r="T3043" s="35" t="str">
        <f>VLOOKUP(Tabla1[[#This Row],[AREA]],Hoja1!A:B,2,FALSE)</f>
        <v>11. Salud pública y seguridad ciudadana</v>
      </c>
      <c r="U3043" s="56" t="str">
        <f>MID(Tabla1[[#This Row],[Aplicación]],9,4)</f>
        <v>1631</v>
      </c>
      <c r="V3043" s="35" t="str">
        <f>VLOOKUP(Tabla1[[#This Row],[PROGRAMA]],Hoja1!A:B,2,FALSE)</f>
        <v>1631. Limpieza viaria</v>
      </c>
      <c r="W3043" s="56" t="str">
        <f>MID(Tabla1[[#This Row],[Aplicación]],14,2)</f>
        <v>21</v>
      </c>
      <c r="X3043" s="56" t="str">
        <f>MID(Tabla1[[#This Row],[Aplicación]],14,6)</f>
        <v>212</v>
      </c>
    </row>
    <row r="3044" spans="1:24" x14ac:dyDescent="0.25">
      <c r="A3044" s="62">
        <v>220230018801</v>
      </c>
      <c r="B3044" s="44" t="s">
        <v>507</v>
      </c>
      <c r="C3044" s="64">
        <v>45055</v>
      </c>
      <c r="D3044" s="62">
        <v>22023002559</v>
      </c>
      <c r="E3044" s="44" t="s">
        <v>777</v>
      </c>
      <c r="F3044" s="65">
        <v>9075</v>
      </c>
      <c r="G3044" s="44" t="s">
        <v>349</v>
      </c>
      <c r="H3044" s="44" t="s">
        <v>4722</v>
      </c>
      <c r="I3044" s="62" t="s">
        <v>511</v>
      </c>
      <c r="J3044" s="44" t="s">
        <v>1405</v>
      </c>
      <c r="K3044" s="44" t="s">
        <v>519</v>
      </c>
      <c r="L3044" s="44" t="s">
        <v>520</v>
      </c>
      <c r="M3044" s="44" t="s">
        <v>976</v>
      </c>
      <c r="N3044" s="44" t="s">
        <v>839</v>
      </c>
      <c r="O3044" s="45" t="s">
        <v>383</v>
      </c>
      <c r="P3044" s="45" t="s">
        <v>3760</v>
      </c>
      <c r="Q3044" s="59" t="str">
        <f>MID(Tabla1[[#This Row],[Aplicación]],14,1)</f>
        <v>2</v>
      </c>
      <c r="R3044" s="35" t="s">
        <v>298</v>
      </c>
      <c r="S3044" s="59" t="str">
        <f>MID(Tabla1[[#This Row],[Aplicación]],6,2)</f>
        <v>03</v>
      </c>
      <c r="T3044" s="35" t="str">
        <f>VLOOKUP(Tabla1[[#This Row],[AREA]],Hoja1!A:B,2,FALSE)</f>
        <v>03. Participación ciudadana y deportes</v>
      </c>
      <c r="U3044" s="56" t="str">
        <f>MID(Tabla1[[#This Row],[Aplicación]],9,4)</f>
        <v>9241</v>
      </c>
      <c r="V3044" s="35" t="str">
        <f>VLOOKUP(Tabla1[[#This Row],[PROGRAMA]],Hoja1!A:B,2,FALSE)</f>
        <v>9241. Participación ciudadana</v>
      </c>
      <c r="W3044" s="56" t="str">
        <f>MID(Tabla1[[#This Row],[Aplicación]],14,2)</f>
        <v>22</v>
      </c>
      <c r="X3044" s="56" t="str">
        <f>MID(Tabla1[[#This Row],[Aplicación]],14,6)</f>
        <v>22799</v>
      </c>
    </row>
    <row r="3045" spans="1:24" x14ac:dyDescent="0.25">
      <c r="A3045" s="62">
        <v>220230015949</v>
      </c>
      <c r="B3045" s="44" t="s">
        <v>507</v>
      </c>
      <c r="C3045" s="64">
        <v>45042</v>
      </c>
      <c r="D3045" s="62">
        <v>22023003940</v>
      </c>
      <c r="E3045" s="44" t="s">
        <v>1627</v>
      </c>
      <c r="F3045" s="65">
        <v>121</v>
      </c>
      <c r="G3045" s="44" t="s">
        <v>349</v>
      </c>
      <c r="H3045" s="44" t="s">
        <v>4723</v>
      </c>
      <c r="I3045" s="62" t="s">
        <v>511</v>
      </c>
      <c r="J3045" s="44" t="s">
        <v>1405</v>
      </c>
      <c r="K3045" s="44" t="s">
        <v>519</v>
      </c>
      <c r="L3045" s="44" t="s">
        <v>552</v>
      </c>
      <c r="M3045" s="44" t="s">
        <v>976</v>
      </c>
      <c r="N3045" s="44" t="s">
        <v>839</v>
      </c>
      <c r="O3045" s="45" t="s">
        <v>383</v>
      </c>
      <c r="P3045" s="45" t="s">
        <v>3760</v>
      </c>
      <c r="Q3045" s="59" t="str">
        <f>MID(Tabla1[[#This Row],[Aplicación]],14,1)</f>
        <v>2</v>
      </c>
      <c r="R3045" s="35" t="s">
        <v>298</v>
      </c>
      <c r="S3045" s="59" t="str">
        <f>MID(Tabla1[[#This Row],[Aplicación]],6,2)</f>
        <v>03</v>
      </c>
      <c r="T3045" s="35" t="str">
        <f>VLOOKUP(Tabla1[[#This Row],[AREA]],Hoja1!A:B,2,FALSE)</f>
        <v>03. Participación ciudadana y deportes</v>
      </c>
      <c r="U3045" s="56" t="str">
        <f>MID(Tabla1[[#This Row],[Aplicación]],9,4)</f>
        <v>9241</v>
      </c>
      <c r="V3045" s="35" t="str">
        <f>VLOOKUP(Tabla1[[#This Row],[PROGRAMA]],Hoja1!A:B,2,FALSE)</f>
        <v>9241. Participación ciudadana</v>
      </c>
      <c r="W3045" s="56" t="str">
        <f>MID(Tabla1[[#This Row],[Aplicación]],14,2)</f>
        <v>22</v>
      </c>
      <c r="X3045" s="56" t="str">
        <f>MID(Tabla1[[#This Row],[Aplicación]],14,6)</f>
        <v>22199</v>
      </c>
    </row>
    <row r="3046" spans="1:24" x14ac:dyDescent="0.25">
      <c r="A3046" s="62">
        <v>220230015999</v>
      </c>
      <c r="B3046" s="44" t="s">
        <v>507</v>
      </c>
      <c r="C3046" s="64">
        <v>45042</v>
      </c>
      <c r="D3046" s="62">
        <v>22023004090</v>
      </c>
      <c r="E3046" s="44" t="s">
        <v>1490</v>
      </c>
      <c r="F3046" s="65">
        <v>1000</v>
      </c>
      <c r="G3046" s="44" t="s">
        <v>4724</v>
      </c>
      <c r="H3046" s="44" t="s">
        <v>4725</v>
      </c>
      <c r="I3046" s="62" t="s">
        <v>511</v>
      </c>
      <c r="J3046" s="44" t="s">
        <v>519</v>
      </c>
      <c r="K3046" s="44" t="s">
        <v>519</v>
      </c>
      <c r="L3046" s="44" t="s">
        <v>520</v>
      </c>
      <c r="M3046" s="44" t="s">
        <v>976</v>
      </c>
      <c r="N3046" s="44" t="s">
        <v>839</v>
      </c>
      <c r="O3046" s="45" t="s">
        <v>383</v>
      </c>
      <c r="P3046" s="45" t="s">
        <v>3760</v>
      </c>
      <c r="Q3046" s="59" t="str">
        <f>MID(Tabla1[[#This Row],[Aplicación]],14,1)</f>
        <v>2</v>
      </c>
      <c r="R3046" s="35" t="s">
        <v>298</v>
      </c>
      <c r="S3046" s="59" t="str">
        <f>MID(Tabla1[[#This Row],[Aplicación]],6,2)</f>
        <v>06</v>
      </c>
      <c r="T3046" s="35" t="str">
        <f>VLOOKUP(Tabla1[[#This Row],[AREA]],Hoja1!A:B,2,FALSE)</f>
        <v>06. Educación, infancia, juventud e igualdad</v>
      </c>
      <c r="U3046" s="56" t="str">
        <f>MID(Tabla1[[#This Row],[Aplicación]],9,4)</f>
        <v>2314</v>
      </c>
      <c r="V3046" s="35" t="str">
        <f>VLOOKUP(Tabla1[[#This Row],[PROGRAMA]],Hoja1!A:B,2,FALSE)</f>
        <v>2314. Centro de programas juveniles</v>
      </c>
      <c r="W3046" s="56" t="str">
        <f>MID(Tabla1[[#This Row],[Aplicación]],14,2)</f>
        <v>22</v>
      </c>
      <c r="X3046" s="56" t="str">
        <f>MID(Tabla1[[#This Row],[Aplicación]],14,6)</f>
        <v>22613</v>
      </c>
    </row>
    <row r="3047" spans="1:24" x14ac:dyDescent="0.25">
      <c r="A3047" s="62">
        <v>220230016600</v>
      </c>
      <c r="B3047" s="44" t="s">
        <v>507</v>
      </c>
      <c r="C3047" s="64">
        <v>45043</v>
      </c>
      <c r="D3047" s="62">
        <v>22023002879</v>
      </c>
      <c r="E3047" s="44" t="s">
        <v>3342</v>
      </c>
      <c r="F3047" s="65">
        <v>28221.67</v>
      </c>
      <c r="G3047" s="44" t="s">
        <v>3343</v>
      </c>
      <c r="H3047" s="44" t="s">
        <v>4726</v>
      </c>
      <c r="I3047" s="62" t="s">
        <v>511</v>
      </c>
      <c r="J3047" s="44" t="s">
        <v>837</v>
      </c>
      <c r="K3047" s="44" t="s">
        <v>837</v>
      </c>
      <c r="L3047" s="44" t="s">
        <v>520</v>
      </c>
      <c r="M3047" s="44" t="s">
        <v>514</v>
      </c>
      <c r="N3047" s="44" t="s">
        <v>515</v>
      </c>
      <c r="O3047" s="45" t="s">
        <v>371</v>
      </c>
      <c r="P3047" s="45" t="s">
        <v>3760</v>
      </c>
      <c r="Q3047" s="59" t="str">
        <f>MID(Tabla1[[#This Row],[Aplicación]],14,1)</f>
        <v>2</v>
      </c>
      <c r="R3047" s="35" t="s">
        <v>298</v>
      </c>
      <c r="S3047" s="59" t="str">
        <f>MID(Tabla1[[#This Row],[Aplicación]],6,2)</f>
        <v>07</v>
      </c>
      <c r="T3047" s="35" t="str">
        <f>VLOOKUP(Tabla1[[#This Row],[AREA]],Hoja1!A:B,2,FALSE)</f>
        <v>07. Medio ambiente y desarrollo sostenible</v>
      </c>
      <c r="U3047" s="56" t="str">
        <f>MID(Tabla1[[#This Row],[Aplicación]],9,4)</f>
        <v>1701</v>
      </c>
      <c r="V3047" s="35" t="str">
        <f>VLOOKUP(Tabla1[[#This Row],[PROGRAMA]],Hoja1!A:B,2,FALSE)</f>
        <v>1701. Dirección del área de medio ambiente</v>
      </c>
      <c r="W3047" s="56" t="str">
        <f>MID(Tabla1[[#This Row],[Aplicación]],14,2)</f>
        <v>22</v>
      </c>
      <c r="X3047" s="56" t="str">
        <f>MID(Tabla1[[#This Row],[Aplicación]],14,6)</f>
        <v>22706</v>
      </c>
    </row>
    <row r="3048" spans="1:24" x14ac:dyDescent="0.25">
      <c r="A3048" s="62">
        <v>220230025403</v>
      </c>
      <c r="B3048" s="44" t="s">
        <v>507</v>
      </c>
      <c r="C3048" s="64">
        <v>45072</v>
      </c>
      <c r="D3048" s="62">
        <v>22023004710</v>
      </c>
      <c r="E3048" s="44" t="s">
        <v>1212</v>
      </c>
      <c r="F3048" s="65">
        <v>4191.22</v>
      </c>
      <c r="G3048" s="44" t="s">
        <v>4727</v>
      </c>
      <c r="H3048" s="44" t="s">
        <v>4728</v>
      </c>
      <c r="I3048" s="62" t="s">
        <v>511</v>
      </c>
      <c r="J3048" s="44" t="s">
        <v>4729</v>
      </c>
      <c r="K3048" s="44" t="s">
        <v>4582</v>
      </c>
      <c r="L3048" s="44" t="s">
        <v>552</v>
      </c>
      <c r="M3048" s="44" t="s">
        <v>976</v>
      </c>
      <c r="N3048" s="44" t="s">
        <v>839</v>
      </c>
      <c r="O3048" s="45" t="s">
        <v>383</v>
      </c>
      <c r="P3048" s="45" t="s">
        <v>3760</v>
      </c>
      <c r="Q3048" s="59" t="str">
        <f>MID(Tabla1[[#This Row],[Aplicación]],14,1)</f>
        <v>2</v>
      </c>
      <c r="R3048" s="35" t="s">
        <v>298</v>
      </c>
      <c r="S3048" s="59" t="str">
        <f>MID(Tabla1[[#This Row],[Aplicación]],6,2)</f>
        <v>01</v>
      </c>
      <c r="T3048" s="35" t="str">
        <f>VLOOKUP(Tabla1[[#This Row],[AREA]],Hoja1!A:B,2,FALSE)</f>
        <v>01. Alcaldía</v>
      </c>
      <c r="U3048" s="56" t="str">
        <f>MID(Tabla1[[#This Row],[Aplicación]],9,4)</f>
        <v>9203</v>
      </c>
      <c r="V3048" s="35" t="str">
        <f>VLOOKUP(Tabla1[[#This Row],[PROGRAMA]],Hoja1!A:B,2,FALSE)</f>
        <v>9203. Unidad de régimen interior</v>
      </c>
      <c r="W3048" s="56" t="str">
        <f>MID(Tabla1[[#This Row],[Aplicación]],14,2)</f>
        <v>22</v>
      </c>
      <c r="X3048" s="56" t="str">
        <f>MID(Tabla1[[#This Row],[Aplicación]],14,6)</f>
        <v>22000</v>
      </c>
    </row>
    <row r="3049" spans="1:24" x14ac:dyDescent="0.25">
      <c r="A3049" s="62">
        <v>220230020468</v>
      </c>
      <c r="B3049" s="44" t="s">
        <v>507</v>
      </c>
      <c r="C3049" s="64">
        <v>45057</v>
      </c>
      <c r="D3049" s="62">
        <v>22023004300</v>
      </c>
      <c r="E3049" s="44" t="s">
        <v>1603</v>
      </c>
      <c r="F3049" s="65">
        <v>4066.88</v>
      </c>
      <c r="G3049" s="44" t="s">
        <v>4730</v>
      </c>
      <c r="H3049" s="44" t="s">
        <v>4731</v>
      </c>
      <c r="I3049" s="62" t="s">
        <v>511</v>
      </c>
      <c r="J3049" s="44" t="s">
        <v>4732</v>
      </c>
      <c r="K3049" s="44" t="s">
        <v>4733</v>
      </c>
      <c r="L3049" s="44" t="s">
        <v>552</v>
      </c>
      <c r="M3049" s="44" t="s">
        <v>976</v>
      </c>
      <c r="N3049" s="44" t="s">
        <v>839</v>
      </c>
      <c r="O3049" s="45" t="s">
        <v>383</v>
      </c>
      <c r="P3049" s="45" t="s">
        <v>3760</v>
      </c>
      <c r="Q3049" s="59" t="str">
        <f>MID(Tabla1[[#This Row],[Aplicación]],14,1)</f>
        <v>2</v>
      </c>
      <c r="R3049" s="35" t="s">
        <v>298</v>
      </c>
      <c r="S3049" s="59" t="str">
        <f>MID(Tabla1[[#This Row],[Aplicación]],6,2)</f>
        <v>08</v>
      </c>
      <c r="T3049" s="35" t="str">
        <f>VLOOKUP(Tabla1[[#This Row],[AREA]],Hoja1!A:B,2,FALSE)</f>
        <v>08. Movilidad y espacio urbano</v>
      </c>
      <c r="U3049" s="56" t="str">
        <f>MID(Tabla1[[#This Row],[Aplicación]],9,4)</f>
        <v>1532</v>
      </c>
      <c r="V3049" s="35" t="str">
        <f>VLOOKUP(Tabla1[[#This Row],[PROGRAMA]],Hoja1!A:B,2,FALSE)</f>
        <v>1532. Pavimentación vias públicas y otros servicios urbanísticos</v>
      </c>
      <c r="W3049" s="56" t="str">
        <f>MID(Tabla1[[#This Row],[Aplicación]],14,2)</f>
        <v>21</v>
      </c>
      <c r="X3049" s="56" t="str">
        <f>MID(Tabla1[[#This Row],[Aplicación]],14,6)</f>
        <v>210</v>
      </c>
    </row>
    <row r="3050" spans="1:24" x14ac:dyDescent="0.25">
      <c r="A3050" s="62">
        <v>220230026306</v>
      </c>
      <c r="B3050" s="44" t="s">
        <v>1514</v>
      </c>
      <c r="C3050" s="64">
        <v>45077</v>
      </c>
      <c r="D3050" s="62">
        <v>22023004048</v>
      </c>
      <c r="E3050" s="44" t="s">
        <v>1683</v>
      </c>
      <c r="F3050" s="65">
        <v>3377.35</v>
      </c>
      <c r="G3050" s="44" t="s">
        <v>4734</v>
      </c>
      <c r="H3050" s="44" t="s">
        <v>4735</v>
      </c>
      <c r="I3050" s="62" t="s">
        <v>1517</v>
      </c>
      <c r="J3050" s="44" t="s">
        <v>519</v>
      </c>
      <c r="K3050" s="44" t="s">
        <v>519</v>
      </c>
      <c r="L3050" s="44" t="s">
        <v>552</v>
      </c>
      <c r="M3050" s="44" t="s">
        <v>514</v>
      </c>
      <c r="N3050" s="44" t="s">
        <v>515</v>
      </c>
      <c r="O3050" s="45" t="s">
        <v>382</v>
      </c>
      <c r="P3050" s="45" t="s">
        <v>3760</v>
      </c>
      <c r="Q3050" s="59" t="str">
        <f>MID(Tabla1[[#This Row],[Aplicación]],14,1)</f>
        <v>2</v>
      </c>
      <c r="R3050" s="35" t="s">
        <v>298</v>
      </c>
      <c r="S3050" s="59" t="str">
        <f>MID(Tabla1[[#This Row],[Aplicación]],6,2)</f>
        <v>11</v>
      </c>
      <c r="T3050" s="35" t="str">
        <f>VLOOKUP(Tabla1[[#This Row],[AREA]],Hoja1!A:B,2,FALSE)</f>
        <v>11. Salud pública y seguridad ciudadana</v>
      </c>
      <c r="U3050" s="56" t="str">
        <f>MID(Tabla1[[#This Row],[Aplicación]],9,4)</f>
        <v>1631</v>
      </c>
      <c r="V3050" s="35" t="str">
        <f>VLOOKUP(Tabla1[[#This Row],[PROGRAMA]],Hoja1!A:B,2,FALSE)</f>
        <v>1631. Limpieza viaria</v>
      </c>
      <c r="W3050" s="56" t="str">
        <f>MID(Tabla1[[#This Row],[Aplicación]],14,2)</f>
        <v>21</v>
      </c>
      <c r="X3050" s="56" t="str">
        <f>MID(Tabla1[[#This Row],[Aplicación]],14,6)</f>
        <v>214</v>
      </c>
    </row>
    <row r="3051" spans="1:24" x14ac:dyDescent="0.25">
      <c r="A3051" s="62">
        <v>220230013731</v>
      </c>
      <c r="B3051" s="44" t="s">
        <v>1514</v>
      </c>
      <c r="C3051" s="64">
        <v>45027</v>
      </c>
      <c r="D3051" s="62">
        <v>22022005397</v>
      </c>
      <c r="E3051" s="44" t="s">
        <v>546</v>
      </c>
      <c r="F3051" s="65">
        <v>1386.64</v>
      </c>
      <c r="G3051" s="44" t="s">
        <v>67</v>
      </c>
      <c r="H3051" s="44" t="s">
        <v>4736</v>
      </c>
      <c r="I3051" s="62" t="s">
        <v>1517</v>
      </c>
      <c r="J3051" s="44" t="s">
        <v>953</v>
      </c>
      <c r="K3051" s="44" t="s">
        <v>519</v>
      </c>
      <c r="L3051" s="44" t="s">
        <v>520</v>
      </c>
      <c r="M3051" s="44" t="s">
        <v>514</v>
      </c>
      <c r="N3051" s="44" t="s">
        <v>515</v>
      </c>
      <c r="O3051" s="45" t="s">
        <v>382</v>
      </c>
      <c r="P3051" s="45" t="s">
        <v>3760</v>
      </c>
      <c r="Q3051" s="59" t="str">
        <f>MID(Tabla1[[#This Row],[Aplicación]],14,1)</f>
        <v>6</v>
      </c>
      <c r="R3051" s="35" t="s">
        <v>299</v>
      </c>
      <c r="S3051" s="59" t="str">
        <f>MID(Tabla1[[#This Row],[Aplicación]],6,2)</f>
        <v>08</v>
      </c>
      <c r="T3051" s="35" t="str">
        <f>VLOOKUP(Tabla1[[#This Row],[AREA]],Hoja1!A:B,2,FALSE)</f>
        <v>08. Movilidad y espacio urbano</v>
      </c>
      <c r="U3051" s="56" t="str">
        <f>MID(Tabla1[[#This Row],[Aplicación]],9,4)</f>
        <v>1532</v>
      </c>
      <c r="V3051" s="35" t="str">
        <f>VLOOKUP(Tabla1[[#This Row],[PROGRAMA]],Hoja1!A:B,2,FALSE)</f>
        <v>1532. Pavimentación vias públicas y otros servicios urbanísticos</v>
      </c>
      <c r="W3051" s="56" t="str">
        <f>MID(Tabla1[[#This Row],[Aplicación]],14,2)</f>
        <v>61</v>
      </c>
      <c r="X3051" s="56" t="str">
        <f>MID(Tabla1[[#This Row],[Aplicación]],14,6)</f>
        <v>619</v>
      </c>
    </row>
    <row r="3052" spans="1:24" x14ac:dyDescent="0.25">
      <c r="A3052" s="62">
        <v>220230013731</v>
      </c>
      <c r="B3052" s="44" t="s">
        <v>1514</v>
      </c>
      <c r="C3052" s="64">
        <v>45027</v>
      </c>
      <c r="D3052" s="62">
        <v>22023001963</v>
      </c>
      <c r="E3052" s="44" t="s">
        <v>546</v>
      </c>
      <c r="F3052" s="65">
        <v>18104.97</v>
      </c>
      <c r="G3052" s="44" t="s">
        <v>67</v>
      </c>
      <c r="H3052" s="44" t="s">
        <v>4736</v>
      </c>
      <c r="I3052" s="62" t="s">
        <v>1517</v>
      </c>
      <c r="J3052" s="44" t="s">
        <v>953</v>
      </c>
      <c r="K3052" s="44" t="s">
        <v>519</v>
      </c>
      <c r="L3052" s="44" t="s">
        <v>520</v>
      </c>
      <c r="M3052" s="44" t="s">
        <v>514</v>
      </c>
      <c r="N3052" s="44" t="s">
        <v>515</v>
      </c>
      <c r="O3052" s="45" t="s">
        <v>382</v>
      </c>
      <c r="P3052" s="45" t="s">
        <v>3760</v>
      </c>
      <c r="Q3052" s="59" t="str">
        <f>MID(Tabla1[[#This Row],[Aplicación]],14,1)</f>
        <v>6</v>
      </c>
      <c r="R3052" s="35" t="s">
        <v>299</v>
      </c>
      <c r="S3052" s="59" t="str">
        <f>MID(Tabla1[[#This Row],[Aplicación]],6,2)</f>
        <v>08</v>
      </c>
      <c r="T3052" s="35" t="str">
        <f>VLOOKUP(Tabla1[[#This Row],[AREA]],Hoja1!A:B,2,FALSE)</f>
        <v>08. Movilidad y espacio urbano</v>
      </c>
      <c r="U3052" s="56" t="str">
        <f>MID(Tabla1[[#This Row],[Aplicación]],9,4)</f>
        <v>1532</v>
      </c>
      <c r="V3052" s="35" t="str">
        <f>VLOOKUP(Tabla1[[#This Row],[PROGRAMA]],Hoja1!A:B,2,FALSE)</f>
        <v>1532. Pavimentación vias públicas y otros servicios urbanísticos</v>
      </c>
      <c r="W3052" s="56" t="str">
        <f>MID(Tabla1[[#This Row],[Aplicación]],14,2)</f>
        <v>61</v>
      </c>
      <c r="X3052" s="56" t="str">
        <f>MID(Tabla1[[#This Row],[Aplicación]],14,6)</f>
        <v>619</v>
      </c>
    </row>
    <row r="3053" spans="1:24" x14ac:dyDescent="0.25">
      <c r="A3053" s="62">
        <v>220230018700</v>
      </c>
      <c r="B3053" s="44" t="s">
        <v>1514</v>
      </c>
      <c r="C3053" s="64">
        <v>45055</v>
      </c>
      <c r="D3053" s="62">
        <v>22023001565</v>
      </c>
      <c r="E3053" s="44" t="s">
        <v>741</v>
      </c>
      <c r="F3053" s="65">
        <v>113.85</v>
      </c>
      <c r="G3053" s="44" t="s">
        <v>3016</v>
      </c>
      <c r="H3053" s="44" t="s">
        <v>4737</v>
      </c>
      <c r="I3053" s="62" t="s">
        <v>1517</v>
      </c>
      <c r="J3053" s="44" t="s">
        <v>519</v>
      </c>
      <c r="K3053" s="44" t="s">
        <v>519</v>
      </c>
      <c r="L3053" s="44" t="s">
        <v>552</v>
      </c>
      <c r="M3053" s="44" t="s">
        <v>514</v>
      </c>
      <c r="N3053" s="44" t="s">
        <v>515</v>
      </c>
      <c r="O3053" s="45" t="s">
        <v>382</v>
      </c>
      <c r="P3053" s="45" t="s">
        <v>3760</v>
      </c>
      <c r="Q3053" s="59" t="str">
        <f>MID(Tabla1[[#This Row],[Aplicación]],14,1)</f>
        <v>6</v>
      </c>
      <c r="R3053" s="35" t="s">
        <v>299</v>
      </c>
      <c r="S3053" s="59" t="str">
        <f>MID(Tabla1[[#This Row],[Aplicación]],6,2)</f>
        <v>07</v>
      </c>
      <c r="T3053" s="35" t="str">
        <f>VLOOKUP(Tabla1[[#This Row],[AREA]],Hoja1!A:B,2,FALSE)</f>
        <v>07. Medio ambiente y desarrollo sostenible</v>
      </c>
      <c r="U3053" s="56" t="str">
        <f>MID(Tabla1[[#This Row],[Aplicación]],9,4)</f>
        <v>1711</v>
      </c>
      <c r="V3053" s="35" t="str">
        <f>VLOOKUP(Tabla1[[#This Row],[PROGRAMA]],Hoja1!A:B,2,FALSE)</f>
        <v>1711. Parques y jardines</v>
      </c>
      <c r="W3053" s="56" t="str">
        <f>MID(Tabla1[[#This Row],[Aplicación]],14,2)</f>
        <v>61</v>
      </c>
      <c r="X3053" s="56" t="str">
        <f>MID(Tabla1[[#This Row],[Aplicación]],14,6)</f>
        <v>619</v>
      </c>
    </row>
    <row r="3054" spans="1:24" x14ac:dyDescent="0.25">
      <c r="A3054" s="62">
        <v>220230020986</v>
      </c>
      <c r="B3054" s="44" t="s">
        <v>1514</v>
      </c>
      <c r="C3054" s="64">
        <v>45062</v>
      </c>
      <c r="D3054" s="62">
        <v>22023001565</v>
      </c>
      <c r="E3054" s="44" t="s">
        <v>741</v>
      </c>
      <c r="F3054" s="65">
        <v>247.5</v>
      </c>
      <c r="G3054" s="44" t="s">
        <v>3016</v>
      </c>
      <c r="H3054" s="44" t="s">
        <v>3021</v>
      </c>
      <c r="I3054" s="62" t="s">
        <v>1517</v>
      </c>
      <c r="J3054" s="44" t="s">
        <v>519</v>
      </c>
      <c r="K3054" s="44" t="s">
        <v>519</v>
      </c>
      <c r="L3054" s="44" t="s">
        <v>552</v>
      </c>
      <c r="M3054" s="44" t="s">
        <v>514</v>
      </c>
      <c r="N3054" s="44" t="s">
        <v>515</v>
      </c>
      <c r="O3054" s="45" t="s">
        <v>382</v>
      </c>
      <c r="P3054" s="45" t="s">
        <v>3760</v>
      </c>
      <c r="Q3054" s="59" t="str">
        <f>MID(Tabla1[[#This Row],[Aplicación]],14,1)</f>
        <v>6</v>
      </c>
      <c r="R3054" s="35" t="s">
        <v>299</v>
      </c>
      <c r="S3054" s="59" t="str">
        <f>MID(Tabla1[[#This Row],[Aplicación]],6,2)</f>
        <v>07</v>
      </c>
      <c r="T3054" s="35" t="str">
        <f>VLOOKUP(Tabla1[[#This Row],[AREA]],Hoja1!A:B,2,FALSE)</f>
        <v>07. Medio ambiente y desarrollo sostenible</v>
      </c>
      <c r="U3054" s="56" t="str">
        <f>MID(Tabla1[[#This Row],[Aplicación]],9,4)</f>
        <v>1711</v>
      </c>
      <c r="V3054" s="35" t="str">
        <f>VLOOKUP(Tabla1[[#This Row],[PROGRAMA]],Hoja1!A:B,2,FALSE)</f>
        <v>1711. Parques y jardines</v>
      </c>
      <c r="W3054" s="56" t="str">
        <f>MID(Tabla1[[#This Row],[Aplicación]],14,2)</f>
        <v>61</v>
      </c>
      <c r="X3054" s="56" t="str">
        <f>MID(Tabla1[[#This Row],[Aplicación]],14,6)</f>
        <v>619</v>
      </c>
    </row>
    <row r="3055" spans="1:24" x14ac:dyDescent="0.25">
      <c r="A3055" s="62">
        <v>220230020996</v>
      </c>
      <c r="B3055" s="44" t="s">
        <v>1514</v>
      </c>
      <c r="C3055" s="64">
        <v>45062</v>
      </c>
      <c r="D3055" s="62">
        <v>22023001565</v>
      </c>
      <c r="E3055" s="44" t="s">
        <v>741</v>
      </c>
      <c r="F3055" s="65">
        <v>107.25</v>
      </c>
      <c r="G3055" s="44" t="s">
        <v>3016</v>
      </c>
      <c r="H3055" s="44" t="s">
        <v>4738</v>
      </c>
      <c r="I3055" s="62" t="s">
        <v>1517</v>
      </c>
      <c r="J3055" s="44" t="s">
        <v>519</v>
      </c>
      <c r="K3055" s="44" t="s">
        <v>519</v>
      </c>
      <c r="L3055" s="44" t="s">
        <v>552</v>
      </c>
      <c r="M3055" s="44" t="s">
        <v>514</v>
      </c>
      <c r="N3055" s="44" t="s">
        <v>515</v>
      </c>
      <c r="O3055" s="45" t="s">
        <v>382</v>
      </c>
      <c r="P3055" s="45" t="s">
        <v>3760</v>
      </c>
      <c r="Q3055" s="59" t="str">
        <f>MID(Tabla1[[#This Row],[Aplicación]],14,1)</f>
        <v>6</v>
      </c>
      <c r="R3055" s="35" t="s">
        <v>299</v>
      </c>
      <c r="S3055" s="59" t="str">
        <f>MID(Tabla1[[#This Row],[Aplicación]],6,2)</f>
        <v>07</v>
      </c>
      <c r="T3055" s="35" t="str">
        <f>VLOOKUP(Tabla1[[#This Row],[AREA]],Hoja1!A:B,2,FALSE)</f>
        <v>07. Medio ambiente y desarrollo sostenible</v>
      </c>
      <c r="U3055" s="56" t="str">
        <f>MID(Tabla1[[#This Row],[Aplicación]],9,4)</f>
        <v>1711</v>
      </c>
      <c r="V3055" s="35" t="str">
        <f>VLOOKUP(Tabla1[[#This Row],[PROGRAMA]],Hoja1!A:B,2,FALSE)</f>
        <v>1711. Parques y jardines</v>
      </c>
      <c r="W3055" s="56" t="str">
        <f>MID(Tabla1[[#This Row],[Aplicación]],14,2)</f>
        <v>61</v>
      </c>
      <c r="X3055" s="56" t="str">
        <f>MID(Tabla1[[#This Row],[Aplicación]],14,6)</f>
        <v>619</v>
      </c>
    </row>
    <row r="3056" spans="1:24" x14ac:dyDescent="0.25">
      <c r="A3056" s="62">
        <v>220230026181</v>
      </c>
      <c r="B3056" s="44" t="s">
        <v>1514</v>
      </c>
      <c r="C3056" s="64">
        <v>45077</v>
      </c>
      <c r="D3056" s="62">
        <v>22023001565</v>
      </c>
      <c r="E3056" s="44" t="s">
        <v>741</v>
      </c>
      <c r="F3056" s="65">
        <v>6.89</v>
      </c>
      <c r="G3056" s="44" t="s">
        <v>3016</v>
      </c>
      <c r="H3056" s="44" t="s">
        <v>4739</v>
      </c>
      <c r="I3056" s="62" t="s">
        <v>1517</v>
      </c>
      <c r="J3056" s="44" t="s">
        <v>519</v>
      </c>
      <c r="K3056" s="44" t="s">
        <v>519</v>
      </c>
      <c r="L3056" s="44" t="s">
        <v>552</v>
      </c>
      <c r="M3056" s="44" t="s">
        <v>514</v>
      </c>
      <c r="N3056" s="44" t="s">
        <v>515</v>
      </c>
      <c r="O3056" s="45" t="s">
        <v>382</v>
      </c>
      <c r="P3056" s="45" t="s">
        <v>3760</v>
      </c>
      <c r="Q3056" s="59" t="str">
        <f>MID(Tabla1[[#This Row],[Aplicación]],14,1)</f>
        <v>6</v>
      </c>
      <c r="R3056" s="35" t="s">
        <v>299</v>
      </c>
      <c r="S3056" s="59" t="str">
        <f>MID(Tabla1[[#This Row],[Aplicación]],6,2)</f>
        <v>07</v>
      </c>
      <c r="T3056" s="35" t="str">
        <f>VLOOKUP(Tabla1[[#This Row],[AREA]],Hoja1!A:B,2,FALSE)</f>
        <v>07. Medio ambiente y desarrollo sostenible</v>
      </c>
      <c r="U3056" s="56" t="str">
        <f>MID(Tabla1[[#This Row],[Aplicación]],9,4)</f>
        <v>1711</v>
      </c>
      <c r="V3056" s="35" t="str">
        <f>VLOOKUP(Tabla1[[#This Row],[PROGRAMA]],Hoja1!A:B,2,FALSE)</f>
        <v>1711. Parques y jardines</v>
      </c>
      <c r="W3056" s="56" t="str">
        <f>MID(Tabla1[[#This Row],[Aplicación]],14,2)</f>
        <v>61</v>
      </c>
      <c r="X3056" s="56" t="str">
        <f>MID(Tabla1[[#This Row],[Aplicación]],14,6)</f>
        <v>619</v>
      </c>
    </row>
    <row r="3057" spans="1:24" x14ac:dyDescent="0.25">
      <c r="A3057" s="62">
        <v>220230026181</v>
      </c>
      <c r="B3057" s="44" t="s">
        <v>1514</v>
      </c>
      <c r="C3057" s="64">
        <v>45077</v>
      </c>
      <c r="D3057" s="62">
        <v>22023003935</v>
      </c>
      <c r="E3057" s="44" t="s">
        <v>741</v>
      </c>
      <c r="F3057" s="65">
        <v>1979.44</v>
      </c>
      <c r="G3057" s="44" t="s">
        <v>3016</v>
      </c>
      <c r="H3057" s="44" t="s">
        <v>4739</v>
      </c>
      <c r="I3057" s="62" t="s">
        <v>1517</v>
      </c>
      <c r="J3057" s="44" t="s">
        <v>519</v>
      </c>
      <c r="K3057" s="44" t="s">
        <v>519</v>
      </c>
      <c r="L3057" s="44" t="s">
        <v>552</v>
      </c>
      <c r="M3057" s="44" t="s">
        <v>514</v>
      </c>
      <c r="N3057" s="44" t="s">
        <v>515</v>
      </c>
      <c r="O3057" s="45" t="s">
        <v>382</v>
      </c>
      <c r="P3057" s="45" t="s">
        <v>3760</v>
      </c>
      <c r="Q3057" s="59" t="str">
        <f>MID(Tabla1[[#This Row],[Aplicación]],14,1)</f>
        <v>6</v>
      </c>
      <c r="R3057" s="35" t="s">
        <v>299</v>
      </c>
      <c r="S3057" s="59" t="str">
        <f>MID(Tabla1[[#This Row],[Aplicación]],6,2)</f>
        <v>07</v>
      </c>
      <c r="T3057" s="35" t="str">
        <f>VLOOKUP(Tabla1[[#This Row],[AREA]],Hoja1!A:B,2,FALSE)</f>
        <v>07. Medio ambiente y desarrollo sostenible</v>
      </c>
      <c r="U3057" s="56" t="str">
        <f>MID(Tabla1[[#This Row],[Aplicación]],9,4)</f>
        <v>1711</v>
      </c>
      <c r="V3057" s="35" t="str">
        <f>VLOOKUP(Tabla1[[#This Row],[PROGRAMA]],Hoja1!A:B,2,FALSE)</f>
        <v>1711. Parques y jardines</v>
      </c>
      <c r="W3057" s="56" t="str">
        <f>MID(Tabla1[[#This Row],[Aplicación]],14,2)</f>
        <v>61</v>
      </c>
      <c r="X3057" s="56" t="str">
        <f>MID(Tabla1[[#This Row],[Aplicación]],14,6)</f>
        <v>619</v>
      </c>
    </row>
    <row r="3058" spans="1:24" x14ac:dyDescent="0.25">
      <c r="A3058" s="62">
        <v>220230026183</v>
      </c>
      <c r="B3058" s="44" t="s">
        <v>1514</v>
      </c>
      <c r="C3058" s="64">
        <v>45077</v>
      </c>
      <c r="D3058" s="62">
        <v>22023003935</v>
      </c>
      <c r="E3058" s="44" t="s">
        <v>741</v>
      </c>
      <c r="F3058" s="65">
        <v>970.2</v>
      </c>
      <c r="G3058" s="44" t="s">
        <v>3016</v>
      </c>
      <c r="H3058" s="44" t="s">
        <v>4740</v>
      </c>
      <c r="I3058" s="62" t="s">
        <v>1517</v>
      </c>
      <c r="J3058" s="44" t="s">
        <v>519</v>
      </c>
      <c r="K3058" s="44" t="s">
        <v>519</v>
      </c>
      <c r="L3058" s="44" t="s">
        <v>552</v>
      </c>
      <c r="M3058" s="44" t="s">
        <v>514</v>
      </c>
      <c r="N3058" s="44" t="s">
        <v>515</v>
      </c>
      <c r="O3058" s="45" t="s">
        <v>382</v>
      </c>
      <c r="P3058" s="45" t="s">
        <v>3760</v>
      </c>
      <c r="Q3058" s="59" t="str">
        <f>MID(Tabla1[[#This Row],[Aplicación]],14,1)</f>
        <v>6</v>
      </c>
      <c r="R3058" s="35" t="s">
        <v>299</v>
      </c>
      <c r="S3058" s="59" t="str">
        <f>MID(Tabla1[[#This Row],[Aplicación]],6,2)</f>
        <v>07</v>
      </c>
      <c r="T3058" s="35" t="str">
        <f>VLOOKUP(Tabla1[[#This Row],[AREA]],Hoja1!A:B,2,FALSE)</f>
        <v>07. Medio ambiente y desarrollo sostenible</v>
      </c>
      <c r="U3058" s="56" t="str">
        <f>MID(Tabla1[[#This Row],[Aplicación]],9,4)</f>
        <v>1711</v>
      </c>
      <c r="V3058" s="35" t="str">
        <f>VLOOKUP(Tabla1[[#This Row],[PROGRAMA]],Hoja1!A:B,2,FALSE)</f>
        <v>1711. Parques y jardines</v>
      </c>
      <c r="W3058" s="56" t="str">
        <f>MID(Tabla1[[#This Row],[Aplicación]],14,2)</f>
        <v>61</v>
      </c>
      <c r="X3058" s="56" t="str">
        <f>MID(Tabla1[[#This Row],[Aplicación]],14,6)</f>
        <v>619</v>
      </c>
    </row>
    <row r="3059" spans="1:24" x14ac:dyDescent="0.25">
      <c r="A3059" s="62">
        <v>220230026187</v>
      </c>
      <c r="B3059" s="44" t="s">
        <v>1514</v>
      </c>
      <c r="C3059" s="64">
        <v>45077</v>
      </c>
      <c r="D3059" s="62">
        <v>22023003935</v>
      </c>
      <c r="E3059" s="44" t="s">
        <v>741</v>
      </c>
      <c r="F3059" s="65">
        <v>1340.91</v>
      </c>
      <c r="G3059" s="44" t="s">
        <v>3016</v>
      </c>
      <c r="H3059" s="44" t="s">
        <v>4741</v>
      </c>
      <c r="I3059" s="62" t="s">
        <v>1517</v>
      </c>
      <c r="J3059" s="44" t="s">
        <v>519</v>
      </c>
      <c r="K3059" s="44" t="s">
        <v>519</v>
      </c>
      <c r="L3059" s="44" t="s">
        <v>552</v>
      </c>
      <c r="M3059" s="44" t="s">
        <v>514</v>
      </c>
      <c r="N3059" s="44" t="s">
        <v>515</v>
      </c>
      <c r="O3059" s="45" t="s">
        <v>382</v>
      </c>
      <c r="P3059" s="45" t="s">
        <v>3760</v>
      </c>
      <c r="Q3059" s="59" t="str">
        <f>MID(Tabla1[[#This Row],[Aplicación]],14,1)</f>
        <v>6</v>
      </c>
      <c r="R3059" s="35" t="s">
        <v>299</v>
      </c>
      <c r="S3059" s="59" t="str">
        <f>MID(Tabla1[[#This Row],[Aplicación]],6,2)</f>
        <v>07</v>
      </c>
      <c r="T3059" s="35" t="str">
        <f>VLOOKUP(Tabla1[[#This Row],[AREA]],Hoja1!A:B,2,FALSE)</f>
        <v>07. Medio ambiente y desarrollo sostenible</v>
      </c>
      <c r="U3059" s="56" t="str">
        <f>MID(Tabla1[[#This Row],[Aplicación]],9,4)</f>
        <v>1711</v>
      </c>
      <c r="V3059" s="35" t="str">
        <f>VLOOKUP(Tabla1[[#This Row],[PROGRAMA]],Hoja1!A:B,2,FALSE)</f>
        <v>1711. Parques y jardines</v>
      </c>
      <c r="W3059" s="56" t="str">
        <f>MID(Tabla1[[#This Row],[Aplicación]],14,2)</f>
        <v>61</v>
      </c>
      <c r="X3059" s="56" t="str">
        <f>MID(Tabla1[[#This Row],[Aplicación]],14,6)</f>
        <v>619</v>
      </c>
    </row>
    <row r="3060" spans="1:24" x14ac:dyDescent="0.25">
      <c r="A3060" s="62">
        <v>220230026199</v>
      </c>
      <c r="B3060" s="44" t="s">
        <v>1514</v>
      </c>
      <c r="C3060" s="64">
        <v>45077</v>
      </c>
      <c r="D3060" s="62">
        <v>22023003935</v>
      </c>
      <c r="E3060" s="44" t="s">
        <v>741</v>
      </c>
      <c r="F3060" s="65">
        <v>539</v>
      </c>
      <c r="G3060" s="44" t="s">
        <v>3016</v>
      </c>
      <c r="H3060" s="44" t="s">
        <v>4742</v>
      </c>
      <c r="I3060" s="62" t="s">
        <v>1517</v>
      </c>
      <c r="J3060" s="44" t="s">
        <v>519</v>
      </c>
      <c r="K3060" s="44" t="s">
        <v>519</v>
      </c>
      <c r="L3060" s="44" t="s">
        <v>552</v>
      </c>
      <c r="M3060" s="44" t="s">
        <v>514</v>
      </c>
      <c r="N3060" s="44" t="s">
        <v>515</v>
      </c>
      <c r="O3060" s="45" t="s">
        <v>382</v>
      </c>
      <c r="P3060" s="45" t="s">
        <v>3760</v>
      </c>
      <c r="Q3060" s="59" t="str">
        <f>MID(Tabla1[[#This Row],[Aplicación]],14,1)</f>
        <v>6</v>
      </c>
      <c r="R3060" s="35" t="s">
        <v>299</v>
      </c>
      <c r="S3060" s="59" t="str">
        <f>MID(Tabla1[[#This Row],[Aplicación]],6,2)</f>
        <v>07</v>
      </c>
      <c r="T3060" s="35" t="str">
        <f>VLOOKUP(Tabla1[[#This Row],[AREA]],Hoja1!A:B,2,FALSE)</f>
        <v>07. Medio ambiente y desarrollo sostenible</v>
      </c>
      <c r="U3060" s="56" t="str">
        <f>MID(Tabla1[[#This Row],[Aplicación]],9,4)</f>
        <v>1711</v>
      </c>
      <c r="V3060" s="35" t="str">
        <f>VLOOKUP(Tabla1[[#This Row],[PROGRAMA]],Hoja1!A:B,2,FALSE)</f>
        <v>1711. Parques y jardines</v>
      </c>
      <c r="W3060" s="56" t="str">
        <f>MID(Tabla1[[#This Row],[Aplicación]],14,2)</f>
        <v>61</v>
      </c>
      <c r="X3060" s="56" t="str">
        <f>MID(Tabla1[[#This Row],[Aplicación]],14,6)</f>
        <v>619</v>
      </c>
    </row>
    <row r="3061" spans="1:24" x14ac:dyDescent="0.25">
      <c r="A3061" s="62">
        <v>220230026339</v>
      </c>
      <c r="B3061" s="44" t="s">
        <v>1514</v>
      </c>
      <c r="C3061" s="64">
        <v>45077</v>
      </c>
      <c r="D3061" s="62">
        <v>22023003832</v>
      </c>
      <c r="E3061" s="44" t="s">
        <v>1502</v>
      </c>
      <c r="F3061" s="65">
        <v>198.55</v>
      </c>
      <c r="G3061" s="44" t="s">
        <v>3016</v>
      </c>
      <c r="H3061" s="44" t="s">
        <v>4743</v>
      </c>
      <c r="I3061" s="62" t="s">
        <v>1517</v>
      </c>
      <c r="J3061" s="44" t="s">
        <v>519</v>
      </c>
      <c r="K3061" s="44" t="s">
        <v>519</v>
      </c>
      <c r="L3061" s="44" t="s">
        <v>552</v>
      </c>
      <c r="M3061" s="44" t="s">
        <v>514</v>
      </c>
      <c r="N3061" s="44" t="s">
        <v>515</v>
      </c>
      <c r="O3061" s="45" t="s">
        <v>382</v>
      </c>
      <c r="P3061" s="45" t="s">
        <v>3760</v>
      </c>
      <c r="Q3061" s="59" t="str">
        <f>MID(Tabla1[[#This Row],[Aplicación]],14,1)</f>
        <v>2</v>
      </c>
      <c r="R3061" s="35" t="s">
        <v>298</v>
      </c>
      <c r="S3061" s="59" t="str">
        <f>MID(Tabla1[[#This Row],[Aplicación]],6,2)</f>
        <v>10</v>
      </c>
      <c r="T3061" s="35" t="str">
        <f>VLOOKUP(Tabla1[[#This Row],[AREA]],Hoja1!A:B,2,FALSE)</f>
        <v>10. Servicios sociales y mediación comunitaria</v>
      </c>
      <c r="U3061" s="56" t="str">
        <f>MID(Tabla1[[#This Row],[Aplicación]],9,4)</f>
        <v>2412</v>
      </c>
      <c r="V3061" s="35" t="str">
        <f>VLOOKUP(Tabla1[[#This Row],[PROGRAMA]],Hoja1!A:B,2,FALSE)</f>
        <v>2412. Formación para el empleo</v>
      </c>
      <c r="W3061" s="56" t="str">
        <f>MID(Tabla1[[#This Row],[Aplicación]],14,2)</f>
        <v>22</v>
      </c>
      <c r="X3061" s="56" t="str">
        <f>MID(Tabla1[[#This Row],[Aplicación]],14,6)</f>
        <v>22199</v>
      </c>
    </row>
    <row r="3062" spans="1:24" x14ac:dyDescent="0.25">
      <c r="A3062" s="62">
        <v>220230016235</v>
      </c>
      <c r="B3062" s="44" t="s">
        <v>1514</v>
      </c>
      <c r="C3062" s="64">
        <v>45043</v>
      </c>
      <c r="D3062" s="62">
        <v>22023000273</v>
      </c>
      <c r="E3062" s="44" t="s">
        <v>2310</v>
      </c>
      <c r="F3062" s="65">
        <v>102.87</v>
      </c>
      <c r="G3062" s="44" t="s">
        <v>2351</v>
      </c>
      <c r="H3062" s="44" t="s">
        <v>4744</v>
      </c>
      <c r="I3062" s="62" t="s">
        <v>1517</v>
      </c>
      <c r="J3062" s="44" t="s">
        <v>519</v>
      </c>
      <c r="K3062" s="44" t="s">
        <v>519</v>
      </c>
      <c r="L3062" s="44" t="s">
        <v>552</v>
      </c>
      <c r="M3062" s="44" t="s">
        <v>514</v>
      </c>
      <c r="N3062" s="44" t="s">
        <v>515</v>
      </c>
      <c r="O3062" s="45" t="s">
        <v>382</v>
      </c>
      <c r="P3062" s="45" t="s">
        <v>3760</v>
      </c>
      <c r="Q3062" s="59" t="str">
        <f>MID(Tabla1[[#This Row],[Aplicación]],14,1)</f>
        <v>2</v>
      </c>
      <c r="R3062" s="35" t="s">
        <v>298</v>
      </c>
      <c r="S3062" s="59" t="str">
        <f>MID(Tabla1[[#This Row],[Aplicación]],6,2)</f>
        <v>11</v>
      </c>
      <c r="T3062" s="35" t="str">
        <f>VLOOKUP(Tabla1[[#This Row],[AREA]],Hoja1!A:B,2,FALSE)</f>
        <v>11. Salud pública y seguridad ciudadana</v>
      </c>
      <c r="U3062" s="56" t="str">
        <f>MID(Tabla1[[#This Row],[Aplicación]],9,4)</f>
        <v>1321</v>
      </c>
      <c r="V3062" s="35" t="str">
        <f>VLOOKUP(Tabla1[[#This Row],[PROGRAMA]],Hoja1!A:B,2,FALSE)</f>
        <v>1321. Policía municipal</v>
      </c>
      <c r="W3062" s="56" t="str">
        <f>MID(Tabla1[[#This Row],[Aplicación]],14,2)</f>
        <v>22</v>
      </c>
      <c r="X3062" s="56" t="str">
        <f>MID(Tabla1[[#This Row],[Aplicación]],14,6)</f>
        <v>22199</v>
      </c>
    </row>
    <row r="3063" spans="1:24" x14ac:dyDescent="0.25">
      <c r="A3063" s="62">
        <v>220230016279</v>
      </c>
      <c r="B3063" s="44" t="s">
        <v>1514</v>
      </c>
      <c r="C3063" s="64">
        <v>45043</v>
      </c>
      <c r="D3063" s="62">
        <v>22023001514</v>
      </c>
      <c r="E3063" s="44" t="s">
        <v>1285</v>
      </c>
      <c r="F3063" s="65">
        <v>517.07000000000005</v>
      </c>
      <c r="G3063" s="44" t="s">
        <v>2351</v>
      </c>
      <c r="H3063" s="44" t="s">
        <v>4745</v>
      </c>
      <c r="I3063" s="62" t="s">
        <v>1517</v>
      </c>
      <c r="J3063" s="44" t="s">
        <v>519</v>
      </c>
      <c r="K3063" s="44" t="s">
        <v>519</v>
      </c>
      <c r="L3063" s="44" t="s">
        <v>552</v>
      </c>
      <c r="M3063" s="44" t="s">
        <v>514</v>
      </c>
      <c r="N3063" s="44" t="s">
        <v>515</v>
      </c>
      <c r="O3063" s="45" t="s">
        <v>382</v>
      </c>
      <c r="P3063" s="45" t="s">
        <v>3760</v>
      </c>
      <c r="Q3063" s="59" t="str">
        <f>MID(Tabla1[[#This Row],[Aplicación]],14,1)</f>
        <v>2</v>
      </c>
      <c r="R3063" s="35" t="s">
        <v>298</v>
      </c>
      <c r="S3063" s="59" t="str">
        <f>MID(Tabla1[[#This Row],[Aplicación]],6,2)</f>
        <v>11</v>
      </c>
      <c r="T3063" s="35" t="str">
        <f>VLOOKUP(Tabla1[[#This Row],[AREA]],Hoja1!A:B,2,FALSE)</f>
        <v>11. Salud pública y seguridad ciudadana</v>
      </c>
      <c r="U3063" s="56" t="str">
        <f>MID(Tabla1[[#This Row],[Aplicación]],9,4)</f>
        <v>1361</v>
      </c>
      <c r="V3063" s="35" t="str">
        <f>VLOOKUP(Tabla1[[#This Row],[PROGRAMA]],Hoja1!A:B,2,FALSE)</f>
        <v>1361. Prevención y extinción de incencios</v>
      </c>
      <c r="W3063" s="56" t="str">
        <f>MID(Tabla1[[#This Row],[Aplicación]],14,2)</f>
        <v>22</v>
      </c>
      <c r="X3063" s="56" t="str">
        <f>MID(Tabla1[[#This Row],[Aplicación]],14,6)</f>
        <v>22199</v>
      </c>
    </row>
    <row r="3064" spans="1:24" x14ac:dyDescent="0.25">
      <c r="A3064" s="62">
        <v>220230026279</v>
      </c>
      <c r="B3064" s="44" t="s">
        <v>1514</v>
      </c>
      <c r="C3064" s="64">
        <v>45077</v>
      </c>
      <c r="D3064" s="62">
        <v>22023004048</v>
      </c>
      <c r="E3064" s="44" t="s">
        <v>1683</v>
      </c>
      <c r="F3064" s="65">
        <v>2704.37</v>
      </c>
      <c r="G3064" s="44" t="s">
        <v>4734</v>
      </c>
      <c r="H3064" s="44" t="s">
        <v>4746</v>
      </c>
      <c r="I3064" s="62" t="s">
        <v>1517</v>
      </c>
      <c r="J3064" s="44" t="s">
        <v>519</v>
      </c>
      <c r="K3064" s="44" t="s">
        <v>519</v>
      </c>
      <c r="L3064" s="44" t="s">
        <v>552</v>
      </c>
      <c r="M3064" s="44" t="s">
        <v>514</v>
      </c>
      <c r="N3064" s="44" t="s">
        <v>515</v>
      </c>
      <c r="O3064" s="45" t="s">
        <v>382</v>
      </c>
      <c r="P3064" s="45" t="s">
        <v>3760</v>
      </c>
      <c r="Q3064" s="59" t="str">
        <f>MID(Tabla1[[#This Row],[Aplicación]],14,1)</f>
        <v>2</v>
      </c>
      <c r="R3064" s="35" t="s">
        <v>298</v>
      </c>
      <c r="S3064" s="59" t="str">
        <f>MID(Tabla1[[#This Row],[Aplicación]],6,2)</f>
        <v>11</v>
      </c>
      <c r="T3064" s="35" t="str">
        <f>VLOOKUP(Tabla1[[#This Row],[AREA]],Hoja1!A:B,2,FALSE)</f>
        <v>11. Salud pública y seguridad ciudadana</v>
      </c>
      <c r="U3064" s="56" t="str">
        <f>MID(Tabla1[[#This Row],[Aplicación]],9,4)</f>
        <v>1631</v>
      </c>
      <c r="V3064" s="35" t="str">
        <f>VLOOKUP(Tabla1[[#This Row],[PROGRAMA]],Hoja1!A:B,2,FALSE)</f>
        <v>1631. Limpieza viaria</v>
      </c>
      <c r="W3064" s="56" t="str">
        <f>MID(Tabla1[[#This Row],[Aplicación]],14,2)</f>
        <v>21</v>
      </c>
      <c r="X3064" s="56" t="str">
        <f>MID(Tabla1[[#This Row],[Aplicación]],14,6)</f>
        <v>214</v>
      </c>
    </row>
    <row r="3065" spans="1:24" x14ac:dyDescent="0.25">
      <c r="A3065" s="62">
        <v>220230024847</v>
      </c>
      <c r="B3065" s="44" t="s">
        <v>1337</v>
      </c>
      <c r="C3065" s="64">
        <v>45070</v>
      </c>
      <c r="D3065" s="62">
        <v>22023001314</v>
      </c>
      <c r="E3065" s="44" t="s">
        <v>539</v>
      </c>
      <c r="F3065" s="65">
        <v>-16899.580000000002</v>
      </c>
      <c r="G3065" s="44" t="s">
        <v>540</v>
      </c>
      <c r="H3065" s="44" t="s">
        <v>4747</v>
      </c>
      <c r="I3065" s="62" t="s">
        <v>511</v>
      </c>
      <c r="J3065" s="44" t="s">
        <v>512</v>
      </c>
      <c r="K3065" s="44" t="s">
        <v>512</v>
      </c>
      <c r="L3065" s="44" t="s">
        <v>520</v>
      </c>
      <c r="M3065" s="44" t="s">
        <v>514</v>
      </c>
      <c r="N3065" s="44" t="s">
        <v>515</v>
      </c>
      <c r="O3065" s="45" t="s">
        <v>371</v>
      </c>
      <c r="P3065" s="45" t="s">
        <v>3760</v>
      </c>
      <c r="Q3065" s="59" t="str">
        <f>MID(Tabla1[[#This Row],[Aplicación]],14,1)</f>
        <v>2</v>
      </c>
      <c r="R3065" s="35" t="s">
        <v>298</v>
      </c>
      <c r="S3065" s="59" t="str">
        <f>MID(Tabla1[[#This Row],[Aplicación]],6,2)</f>
        <v>10</v>
      </c>
      <c r="T3065" s="35" t="str">
        <f>VLOOKUP(Tabla1[[#This Row],[AREA]],Hoja1!A:B,2,FALSE)</f>
        <v>10. Servicios sociales y mediación comunitaria</v>
      </c>
      <c r="U3065" s="56" t="str">
        <f>MID(Tabla1[[#This Row],[Aplicación]],9,4)</f>
        <v>2312</v>
      </c>
      <c r="V3065" s="35" t="str">
        <f>VLOOKUP(Tabla1[[#This Row],[PROGRAMA]],Hoja1!A:B,2,FALSE)</f>
        <v>2312. Iniciativas sociales</v>
      </c>
      <c r="W3065" s="56" t="str">
        <f>MID(Tabla1[[#This Row],[Aplicación]],14,2)</f>
        <v>22</v>
      </c>
      <c r="X3065" s="56" t="str">
        <f>MID(Tabla1[[#This Row],[Aplicación]],14,6)</f>
        <v>22799</v>
      </c>
    </row>
    <row r="3066" spans="1:24" x14ac:dyDescent="0.25">
      <c r="A3066" s="62">
        <v>220230022378</v>
      </c>
      <c r="B3066" s="44" t="s">
        <v>1514</v>
      </c>
      <c r="C3066" s="64">
        <v>45065</v>
      </c>
      <c r="D3066" s="62">
        <v>22023000268</v>
      </c>
      <c r="E3066" s="44" t="s">
        <v>659</v>
      </c>
      <c r="F3066" s="65">
        <v>839.74</v>
      </c>
      <c r="G3066" s="44" t="s">
        <v>37</v>
      </c>
      <c r="H3066" s="44" t="s">
        <v>4748</v>
      </c>
      <c r="I3066" s="62" t="s">
        <v>1517</v>
      </c>
      <c r="J3066" s="44" t="s">
        <v>519</v>
      </c>
      <c r="K3066" s="44" t="s">
        <v>519</v>
      </c>
      <c r="L3066" s="44" t="s">
        <v>552</v>
      </c>
      <c r="M3066" s="44" t="s">
        <v>514</v>
      </c>
      <c r="N3066" s="44" t="s">
        <v>515</v>
      </c>
      <c r="O3066" s="45" t="s">
        <v>382</v>
      </c>
      <c r="P3066" s="45" t="s">
        <v>3760</v>
      </c>
      <c r="Q3066" s="59" t="str">
        <f>MID(Tabla1[[#This Row],[Aplicación]],14,1)</f>
        <v>2</v>
      </c>
      <c r="R3066" s="35" t="s">
        <v>298</v>
      </c>
      <c r="S3066" s="59" t="str">
        <f>MID(Tabla1[[#This Row],[Aplicación]],6,2)</f>
        <v>11</v>
      </c>
      <c r="T3066" s="35" t="str">
        <f>VLOOKUP(Tabla1[[#This Row],[AREA]],Hoja1!A:B,2,FALSE)</f>
        <v>11. Salud pública y seguridad ciudadana</v>
      </c>
      <c r="U3066" s="56" t="str">
        <f>MID(Tabla1[[#This Row],[Aplicación]],9,4)</f>
        <v>1321</v>
      </c>
      <c r="V3066" s="35" t="str">
        <f>VLOOKUP(Tabla1[[#This Row],[PROGRAMA]],Hoja1!A:B,2,FALSE)</f>
        <v>1321. Policía municipal</v>
      </c>
      <c r="W3066" s="56" t="str">
        <f>MID(Tabla1[[#This Row],[Aplicación]],14,2)</f>
        <v>21</v>
      </c>
      <c r="X3066" s="56" t="str">
        <f>MID(Tabla1[[#This Row],[Aplicación]],14,6)</f>
        <v>213</v>
      </c>
    </row>
    <row r="3067" spans="1:24" x14ac:dyDescent="0.25">
      <c r="A3067" s="62">
        <v>220230024848</v>
      </c>
      <c r="B3067" s="44" t="s">
        <v>1337</v>
      </c>
      <c r="C3067" s="64">
        <v>45070</v>
      </c>
      <c r="D3067" s="62">
        <v>22023001315</v>
      </c>
      <c r="E3067" s="44" t="s">
        <v>539</v>
      </c>
      <c r="F3067" s="65">
        <v>-118297.09</v>
      </c>
      <c r="G3067" s="44" t="s">
        <v>540</v>
      </c>
      <c r="H3067" s="44" t="s">
        <v>4749</v>
      </c>
      <c r="I3067" s="62" t="s">
        <v>511</v>
      </c>
      <c r="J3067" s="44" t="s">
        <v>512</v>
      </c>
      <c r="K3067" s="44" t="s">
        <v>512</v>
      </c>
      <c r="L3067" s="44" t="s">
        <v>520</v>
      </c>
      <c r="M3067" s="44" t="s">
        <v>514</v>
      </c>
      <c r="N3067" s="44" t="s">
        <v>515</v>
      </c>
      <c r="O3067" s="45" t="s">
        <v>371</v>
      </c>
      <c r="P3067" s="45" t="s">
        <v>3760</v>
      </c>
      <c r="Q3067" s="59" t="str">
        <f>MID(Tabla1[[#This Row],[Aplicación]],14,1)</f>
        <v>2</v>
      </c>
      <c r="R3067" s="35" t="s">
        <v>298</v>
      </c>
      <c r="S3067" s="59" t="str">
        <f>MID(Tabla1[[#This Row],[Aplicación]],6,2)</f>
        <v>10</v>
      </c>
      <c r="T3067" s="35" t="str">
        <f>VLOOKUP(Tabla1[[#This Row],[AREA]],Hoja1!A:B,2,FALSE)</f>
        <v>10. Servicios sociales y mediación comunitaria</v>
      </c>
      <c r="U3067" s="56" t="str">
        <f>MID(Tabla1[[#This Row],[Aplicación]],9,4)</f>
        <v>2312</v>
      </c>
      <c r="V3067" s="35" t="str">
        <f>VLOOKUP(Tabla1[[#This Row],[PROGRAMA]],Hoja1!A:B,2,FALSE)</f>
        <v>2312. Iniciativas sociales</v>
      </c>
      <c r="W3067" s="56" t="str">
        <f>MID(Tabla1[[#This Row],[Aplicación]],14,2)</f>
        <v>22</v>
      </c>
      <c r="X3067" s="56" t="str">
        <f>MID(Tabla1[[#This Row],[Aplicación]],14,6)</f>
        <v>22799</v>
      </c>
    </row>
    <row r="3068" spans="1:24" x14ac:dyDescent="0.25">
      <c r="A3068" s="63">
        <v>220230013639</v>
      </c>
      <c r="B3068" s="44" t="s">
        <v>507</v>
      </c>
      <c r="C3068" s="64">
        <v>45026</v>
      </c>
      <c r="D3068" s="62">
        <v>22023003698</v>
      </c>
      <c r="E3068" s="44" t="s">
        <v>835</v>
      </c>
      <c r="F3068" s="65">
        <v>3993</v>
      </c>
      <c r="G3068" s="44" t="s">
        <v>3396</v>
      </c>
      <c r="H3068" s="44" t="s">
        <v>4750</v>
      </c>
      <c r="I3068" s="62" t="s">
        <v>511</v>
      </c>
      <c r="J3068" s="44" t="s">
        <v>519</v>
      </c>
      <c r="K3068" s="44" t="s">
        <v>519</v>
      </c>
      <c r="L3068" s="44" t="s">
        <v>520</v>
      </c>
      <c r="M3068" s="44" t="s">
        <v>976</v>
      </c>
      <c r="N3068" s="44" t="s">
        <v>839</v>
      </c>
      <c r="O3068" s="45" t="s">
        <v>383</v>
      </c>
      <c r="P3068" s="45" t="s">
        <v>3760</v>
      </c>
      <c r="Q3068" s="59" t="str">
        <f>MID(Tabla1[[#This Row],[Aplicación]],14,1)</f>
        <v>2</v>
      </c>
      <c r="R3068" s="35" t="s">
        <v>298</v>
      </c>
      <c r="S3068" s="59" t="str">
        <f>MID(Tabla1[[#This Row],[Aplicación]],6,2)</f>
        <v>05</v>
      </c>
      <c r="T3068" s="35" t="str">
        <f>VLOOKUP(Tabla1[[#This Row],[AREA]],Hoja1!A:B,2,FALSE)</f>
        <v>05. Innovación, desarrollo económico, empleo y comercio</v>
      </c>
      <c r="U3068" s="56" t="str">
        <f>MID(Tabla1[[#This Row],[Aplicación]],9,4)</f>
        <v>4331</v>
      </c>
      <c r="V3068" s="35" t="str">
        <f>VLOOKUP(Tabla1[[#This Row],[PROGRAMA]],Hoja1!A:B,2,FALSE)</f>
        <v>4331. Desarrollo empresarial</v>
      </c>
      <c r="W3068" s="56" t="str">
        <f>MID(Tabla1[[#This Row],[Aplicación]],14,2)</f>
        <v>22</v>
      </c>
      <c r="X3068" s="56" t="str">
        <f>MID(Tabla1[[#This Row],[Aplicación]],14,6)</f>
        <v>22799</v>
      </c>
    </row>
    <row r="3069" spans="1:24" x14ac:dyDescent="0.25">
      <c r="A3069" s="62">
        <v>220230015100</v>
      </c>
      <c r="B3069" s="44" t="s">
        <v>507</v>
      </c>
      <c r="C3069" s="64">
        <v>45041</v>
      </c>
      <c r="D3069" s="62">
        <v>22023002097</v>
      </c>
      <c r="E3069" s="44" t="s">
        <v>1502</v>
      </c>
      <c r="F3069" s="65">
        <v>1521.61</v>
      </c>
      <c r="G3069" s="44" t="s">
        <v>78</v>
      </c>
      <c r="H3069" s="44" t="s">
        <v>4751</v>
      </c>
      <c r="I3069" s="62" t="s">
        <v>511</v>
      </c>
      <c r="J3069" s="44" t="s">
        <v>519</v>
      </c>
      <c r="K3069" s="44" t="s">
        <v>519</v>
      </c>
      <c r="L3069" s="44" t="s">
        <v>552</v>
      </c>
      <c r="M3069" s="44" t="s">
        <v>976</v>
      </c>
      <c r="N3069" s="44" t="s">
        <v>839</v>
      </c>
      <c r="O3069" s="45" t="s">
        <v>383</v>
      </c>
      <c r="P3069" s="45" t="s">
        <v>3760</v>
      </c>
      <c r="Q3069" s="59" t="str">
        <f>MID(Tabla1[[#This Row],[Aplicación]],14,1)</f>
        <v>2</v>
      </c>
      <c r="R3069" s="35" t="s">
        <v>298</v>
      </c>
      <c r="S3069" s="59" t="str">
        <f>MID(Tabla1[[#This Row],[Aplicación]],6,2)</f>
        <v>10</v>
      </c>
      <c r="T3069" s="35" t="str">
        <f>VLOOKUP(Tabla1[[#This Row],[AREA]],Hoja1!A:B,2,FALSE)</f>
        <v>10. Servicios sociales y mediación comunitaria</v>
      </c>
      <c r="U3069" s="56" t="str">
        <f>MID(Tabla1[[#This Row],[Aplicación]],9,4)</f>
        <v>2412</v>
      </c>
      <c r="V3069" s="35" t="str">
        <f>VLOOKUP(Tabla1[[#This Row],[PROGRAMA]],Hoja1!A:B,2,FALSE)</f>
        <v>2412. Formación para el empleo</v>
      </c>
      <c r="W3069" s="56" t="str">
        <f>MID(Tabla1[[#This Row],[Aplicación]],14,2)</f>
        <v>22</v>
      </c>
      <c r="X3069" s="56" t="str">
        <f>MID(Tabla1[[#This Row],[Aplicación]],14,6)</f>
        <v>22199</v>
      </c>
    </row>
    <row r="3070" spans="1:24" x14ac:dyDescent="0.25">
      <c r="A3070" s="62">
        <v>220230015942</v>
      </c>
      <c r="B3070" s="44" t="s">
        <v>507</v>
      </c>
      <c r="C3070" s="64">
        <v>45042</v>
      </c>
      <c r="D3070" s="62">
        <v>22023003911</v>
      </c>
      <c r="E3070" s="44" t="s">
        <v>616</v>
      </c>
      <c r="F3070" s="65">
        <v>111.74</v>
      </c>
      <c r="G3070" s="44" t="s">
        <v>15</v>
      </c>
      <c r="H3070" s="44" t="s">
        <v>4697</v>
      </c>
      <c r="I3070" s="62" t="s">
        <v>511</v>
      </c>
      <c r="J3070" s="44" t="s">
        <v>519</v>
      </c>
      <c r="K3070" s="44" t="s">
        <v>519</v>
      </c>
      <c r="L3070" s="44" t="s">
        <v>520</v>
      </c>
      <c r="M3070" s="44" t="s">
        <v>514</v>
      </c>
      <c r="N3070" s="44" t="s">
        <v>515</v>
      </c>
      <c r="O3070" s="45" t="s">
        <v>371</v>
      </c>
      <c r="P3070" s="45" t="s">
        <v>3760</v>
      </c>
      <c r="Q3070" s="59" t="str">
        <f>MID(Tabla1[[#This Row],[Aplicación]],14,1)</f>
        <v>2</v>
      </c>
      <c r="R3070" s="35" t="s">
        <v>298</v>
      </c>
      <c r="S3070" s="59" t="str">
        <f>MID(Tabla1[[#This Row],[Aplicación]],6,2)</f>
        <v>10</v>
      </c>
      <c r="T3070" s="35" t="str">
        <f>VLOOKUP(Tabla1[[#This Row],[AREA]],Hoja1!A:B,2,FALSE)</f>
        <v>10. Servicios sociales y mediación comunitaria</v>
      </c>
      <c r="U3070" s="56" t="str">
        <f>MID(Tabla1[[#This Row],[Aplicación]],9,4)</f>
        <v>2412</v>
      </c>
      <c r="V3070" s="35" t="str">
        <f>VLOOKUP(Tabla1[[#This Row],[PROGRAMA]],Hoja1!A:B,2,FALSE)</f>
        <v>2412. Formación para el empleo</v>
      </c>
      <c r="W3070" s="56" t="str">
        <f>MID(Tabla1[[#This Row],[Aplicación]],14,2)</f>
        <v>21</v>
      </c>
      <c r="X3070" s="56" t="str">
        <f>MID(Tabla1[[#This Row],[Aplicación]],14,6)</f>
        <v>213</v>
      </c>
    </row>
    <row r="3071" spans="1:24" x14ac:dyDescent="0.25">
      <c r="A3071" s="62">
        <v>220230015100</v>
      </c>
      <c r="B3071" s="44" t="s">
        <v>507</v>
      </c>
      <c r="C3071" s="64">
        <v>45041</v>
      </c>
      <c r="D3071" s="62">
        <v>22023002096</v>
      </c>
      <c r="E3071" s="44" t="s">
        <v>1502</v>
      </c>
      <c r="F3071" s="65">
        <v>850</v>
      </c>
      <c r="G3071" s="44" t="s">
        <v>78</v>
      </c>
      <c r="H3071" s="44" t="s">
        <v>4751</v>
      </c>
      <c r="I3071" s="62" t="s">
        <v>511</v>
      </c>
      <c r="J3071" s="44" t="s">
        <v>519</v>
      </c>
      <c r="K3071" s="44" t="s">
        <v>519</v>
      </c>
      <c r="L3071" s="44" t="s">
        <v>552</v>
      </c>
      <c r="M3071" s="44" t="s">
        <v>976</v>
      </c>
      <c r="N3071" s="44" t="s">
        <v>839</v>
      </c>
      <c r="O3071" s="45" t="s">
        <v>383</v>
      </c>
      <c r="P3071" s="45" t="s">
        <v>3760</v>
      </c>
      <c r="Q3071" s="59" t="str">
        <f>MID(Tabla1[[#This Row],[Aplicación]],14,1)</f>
        <v>2</v>
      </c>
      <c r="R3071" s="35" t="s">
        <v>298</v>
      </c>
      <c r="S3071" s="59" t="str">
        <f>MID(Tabla1[[#This Row],[Aplicación]],6,2)</f>
        <v>10</v>
      </c>
      <c r="T3071" s="35" t="str">
        <f>VLOOKUP(Tabla1[[#This Row],[AREA]],Hoja1!A:B,2,FALSE)</f>
        <v>10. Servicios sociales y mediación comunitaria</v>
      </c>
      <c r="U3071" s="56" t="str">
        <f>MID(Tabla1[[#This Row],[Aplicación]],9,4)</f>
        <v>2412</v>
      </c>
      <c r="V3071" s="35" t="str">
        <f>VLOOKUP(Tabla1[[#This Row],[PROGRAMA]],Hoja1!A:B,2,FALSE)</f>
        <v>2412. Formación para el empleo</v>
      </c>
      <c r="W3071" s="56" t="str">
        <f>MID(Tabla1[[#This Row],[Aplicación]],14,2)</f>
        <v>22</v>
      </c>
      <c r="X3071" s="56" t="str">
        <f>MID(Tabla1[[#This Row],[Aplicación]],14,6)</f>
        <v>22199</v>
      </c>
    </row>
    <row r="3072" spans="1:24" x14ac:dyDescent="0.25">
      <c r="A3072" s="63">
        <v>220230013639</v>
      </c>
      <c r="B3072" s="44" t="s">
        <v>507</v>
      </c>
      <c r="C3072" s="64">
        <v>45026</v>
      </c>
      <c r="D3072" s="62">
        <v>22023003699</v>
      </c>
      <c r="E3072" s="44" t="s">
        <v>835</v>
      </c>
      <c r="F3072" s="65">
        <v>1331</v>
      </c>
      <c r="G3072" s="44" t="s">
        <v>3396</v>
      </c>
      <c r="H3072" s="44" t="s">
        <v>4750</v>
      </c>
      <c r="I3072" s="62" t="s">
        <v>511</v>
      </c>
      <c r="J3072" s="44" t="s">
        <v>519</v>
      </c>
      <c r="K3072" s="44" t="s">
        <v>519</v>
      </c>
      <c r="L3072" s="44" t="s">
        <v>520</v>
      </c>
      <c r="M3072" s="44" t="s">
        <v>976</v>
      </c>
      <c r="N3072" s="44" t="s">
        <v>839</v>
      </c>
      <c r="O3072" s="45" t="s">
        <v>383</v>
      </c>
      <c r="P3072" s="45" t="s">
        <v>3760</v>
      </c>
      <c r="Q3072" s="59" t="str">
        <f>MID(Tabla1[[#This Row],[Aplicación]],14,1)</f>
        <v>2</v>
      </c>
      <c r="R3072" s="35" t="s">
        <v>298</v>
      </c>
      <c r="S3072" s="59" t="str">
        <f>MID(Tabla1[[#This Row],[Aplicación]],6,2)</f>
        <v>05</v>
      </c>
      <c r="T3072" s="35" t="str">
        <f>VLOOKUP(Tabla1[[#This Row],[AREA]],Hoja1!A:B,2,FALSE)</f>
        <v>05. Innovación, desarrollo económico, empleo y comercio</v>
      </c>
      <c r="U3072" s="56" t="str">
        <f>MID(Tabla1[[#This Row],[Aplicación]],9,4)</f>
        <v>4331</v>
      </c>
      <c r="V3072" s="35" t="str">
        <f>VLOOKUP(Tabla1[[#This Row],[PROGRAMA]],Hoja1!A:B,2,FALSE)</f>
        <v>4331. Desarrollo empresarial</v>
      </c>
      <c r="W3072" s="56" t="str">
        <f>MID(Tabla1[[#This Row],[Aplicación]],14,2)</f>
        <v>22</v>
      </c>
      <c r="X3072" s="56" t="str">
        <f>MID(Tabla1[[#This Row],[Aplicación]],14,6)</f>
        <v>22799</v>
      </c>
    </row>
    <row r="3073" spans="1:24" x14ac:dyDescent="0.25">
      <c r="A3073" s="62">
        <v>220230015100</v>
      </c>
      <c r="B3073" s="44" t="s">
        <v>507</v>
      </c>
      <c r="C3073" s="64">
        <v>45041</v>
      </c>
      <c r="D3073" s="62">
        <v>22023002095</v>
      </c>
      <c r="E3073" s="44" t="s">
        <v>1502</v>
      </c>
      <c r="F3073" s="65">
        <v>350</v>
      </c>
      <c r="G3073" s="44" t="s">
        <v>78</v>
      </c>
      <c r="H3073" s="44" t="s">
        <v>4751</v>
      </c>
      <c r="I3073" s="62" t="s">
        <v>511</v>
      </c>
      <c r="J3073" s="44" t="s">
        <v>519</v>
      </c>
      <c r="K3073" s="44" t="s">
        <v>519</v>
      </c>
      <c r="L3073" s="44" t="s">
        <v>552</v>
      </c>
      <c r="M3073" s="44" t="s">
        <v>976</v>
      </c>
      <c r="N3073" s="44" t="s">
        <v>839</v>
      </c>
      <c r="O3073" s="45" t="s">
        <v>383</v>
      </c>
      <c r="P3073" s="45" t="s">
        <v>3760</v>
      </c>
      <c r="Q3073" s="59" t="str">
        <f>MID(Tabla1[[#This Row],[Aplicación]],14,1)</f>
        <v>2</v>
      </c>
      <c r="R3073" s="35" t="s">
        <v>298</v>
      </c>
      <c r="S3073" s="59" t="str">
        <f>MID(Tabla1[[#This Row],[Aplicación]],6,2)</f>
        <v>10</v>
      </c>
      <c r="T3073" s="35" t="str">
        <f>VLOOKUP(Tabla1[[#This Row],[AREA]],Hoja1!A:B,2,FALSE)</f>
        <v>10. Servicios sociales y mediación comunitaria</v>
      </c>
      <c r="U3073" s="56" t="str">
        <f>MID(Tabla1[[#This Row],[Aplicación]],9,4)</f>
        <v>2412</v>
      </c>
      <c r="V3073" s="35" t="str">
        <f>VLOOKUP(Tabla1[[#This Row],[PROGRAMA]],Hoja1!A:B,2,FALSE)</f>
        <v>2412. Formación para el empleo</v>
      </c>
      <c r="W3073" s="56" t="str">
        <f>MID(Tabla1[[#This Row],[Aplicación]],14,2)</f>
        <v>22</v>
      </c>
      <c r="X3073" s="56" t="str">
        <f>MID(Tabla1[[#This Row],[Aplicación]],14,6)</f>
        <v>22199</v>
      </c>
    </row>
    <row r="3074" spans="1:24" x14ac:dyDescent="0.25">
      <c r="A3074" s="62">
        <v>220230015100</v>
      </c>
      <c r="B3074" s="44" t="s">
        <v>507</v>
      </c>
      <c r="C3074" s="64">
        <v>45041</v>
      </c>
      <c r="D3074" s="62">
        <v>22023002098</v>
      </c>
      <c r="E3074" s="44" t="s">
        <v>1502</v>
      </c>
      <c r="F3074" s="65">
        <v>100</v>
      </c>
      <c r="G3074" s="44" t="s">
        <v>78</v>
      </c>
      <c r="H3074" s="44" t="s">
        <v>4751</v>
      </c>
      <c r="I3074" s="62" t="s">
        <v>511</v>
      </c>
      <c r="J3074" s="44" t="s">
        <v>519</v>
      </c>
      <c r="K3074" s="44" t="s">
        <v>519</v>
      </c>
      <c r="L3074" s="44" t="s">
        <v>552</v>
      </c>
      <c r="M3074" s="44" t="s">
        <v>976</v>
      </c>
      <c r="N3074" s="44" t="s">
        <v>839</v>
      </c>
      <c r="O3074" s="45" t="s">
        <v>383</v>
      </c>
      <c r="P3074" s="45" t="s">
        <v>3760</v>
      </c>
      <c r="Q3074" s="59" t="str">
        <f>MID(Tabla1[[#This Row],[Aplicación]],14,1)</f>
        <v>2</v>
      </c>
      <c r="R3074" s="35" t="s">
        <v>298</v>
      </c>
      <c r="S3074" s="59" t="str">
        <f>MID(Tabla1[[#This Row],[Aplicación]],6,2)</f>
        <v>10</v>
      </c>
      <c r="T3074" s="35" t="str">
        <f>VLOOKUP(Tabla1[[#This Row],[AREA]],Hoja1!A:B,2,FALSE)</f>
        <v>10. Servicios sociales y mediación comunitaria</v>
      </c>
      <c r="U3074" s="56" t="str">
        <f>MID(Tabla1[[#This Row],[Aplicación]],9,4)</f>
        <v>2412</v>
      </c>
      <c r="V3074" s="35" t="str">
        <f>VLOOKUP(Tabla1[[#This Row],[PROGRAMA]],Hoja1!A:B,2,FALSE)</f>
        <v>2412. Formación para el empleo</v>
      </c>
      <c r="W3074" s="56" t="str">
        <f>MID(Tabla1[[#This Row],[Aplicación]],14,2)</f>
        <v>22</v>
      </c>
      <c r="X3074" s="56" t="str">
        <f>MID(Tabla1[[#This Row],[Aplicación]],14,6)</f>
        <v>22199</v>
      </c>
    </row>
    <row r="3075" spans="1:24" x14ac:dyDescent="0.25">
      <c r="A3075" s="62">
        <v>220230013612</v>
      </c>
      <c r="B3075" s="44" t="s">
        <v>507</v>
      </c>
      <c r="C3075" s="64">
        <v>45026</v>
      </c>
      <c r="D3075" s="62">
        <v>22023002944</v>
      </c>
      <c r="E3075" s="44" t="s">
        <v>4752</v>
      </c>
      <c r="F3075" s="65">
        <v>89.66</v>
      </c>
      <c r="G3075" s="44" t="s">
        <v>3848</v>
      </c>
      <c r="H3075" s="44" t="s">
        <v>4753</v>
      </c>
      <c r="I3075" s="62" t="s">
        <v>511</v>
      </c>
      <c r="J3075" s="44" t="s">
        <v>1487</v>
      </c>
      <c r="K3075" s="44" t="s">
        <v>519</v>
      </c>
      <c r="L3075" s="44" t="s">
        <v>520</v>
      </c>
      <c r="M3075" s="44" t="s">
        <v>514</v>
      </c>
      <c r="N3075" s="44" t="s">
        <v>515</v>
      </c>
      <c r="O3075" s="45" t="s">
        <v>371</v>
      </c>
      <c r="P3075" s="45" t="s">
        <v>3760</v>
      </c>
      <c r="Q3075" s="59" t="str">
        <f>MID(Tabla1[[#This Row],[Aplicación]],14,1)</f>
        <v>2</v>
      </c>
      <c r="R3075" s="35" t="s">
        <v>298</v>
      </c>
      <c r="S3075" s="59" t="str">
        <f>MID(Tabla1[[#This Row],[Aplicación]],6,2)</f>
        <v>05</v>
      </c>
      <c r="T3075" s="35" t="str">
        <f>VLOOKUP(Tabla1[[#This Row],[AREA]],Hoja1!A:B,2,FALSE)</f>
        <v>05. Innovación, desarrollo económico, empleo y comercio</v>
      </c>
      <c r="U3075" s="56" t="str">
        <f>MID(Tabla1[[#This Row],[Aplicación]],9,4)</f>
        <v>4331</v>
      </c>
      <c r="V3075" s="35" t="str">
        <f>VLOOKUP(Tabla1[[#This Row],[PROGRAMA]],Hoja1!A:B,2,FALSE)</f>
        <v>4331. Desarrollo empresarial</v>
      </c>
      <c r="W3075" s="56" t="str">
        <f>MID(Tabla1[[#This Row],[Aplicación]],14,2)</f>
        <v>21</v>
      </c>
      <c r="X3075" s="56" t="str">
        <f>MID(Tabla1[[#This Row],[Aplicación]],14,6)</f>
        <v>214</v>
      </c>
    </row>
    <row r="3076" spans="1:24" x14ac:dyDescent="0.25">
      <c r="A3076" s="62">
        <v>220230014230</v>
      </c>
      <c r="B3076" s="44" t="s">
        <v>507</v>
      </c>
      <c r="C3076" s="64">
        <v>45036</v>
      </c>
      <c r="D3076" s="62">
        <v>22023003907</v>
      </c>
      <c r="E3076" s="44" t="s">
        <v>835</v>
      </c>
      <c r="F3076" s="65">
        <v>471.9</v>
      </c>
      <c r="G3076" s="44" t="s">
        <v>3396</v>
      </c>
      <c r="H3076" s="44" t="s">
        <v>4754</v>
      </c>
      <c r="I3076" s="62" t="s">
        <v>511</v>
      </c>
      <c r="J3076" s="44" t="s">
        <v>519</v>
      </c>
      <c r="K3076" s="44" t="s">
        <v>519</v>
      </c>
      <c r="L3076" s="44" t="s">
        <v>520</v>
      </c>
      <c r="M3076" s="44" t="s">
        <v>976</v>
      </c>
      <c r="N3076" s="44" t="s">
        <v>839</v>
      </c>
      <c r="O3076" s="45" t="s">
        <v>383</v>
      </c>
      <c r="P3076" s="45" t="s">
        <v>3760</v>
      </c>
      <c r="Q3076" s="59" t="str">
        <f>MID(Tabla1[[#This Row],[Aplicación]],14,1)</f>
        <v>2</v>
      </c>
      <c r="R3076" s="35" t="s">
        <v>298</v>
      </c>
      <c r="S3076" s="59" t="str">
        <f>MID(Tabla1[[#This Row],[Aplicación]],6,2)</f>
        <v>05</v>
      </c>
      <c r="T3076" s="35" t="str">
        <f>VLOOKUP(Tabla1[[#This Row],[AREA]],Hoja1!A:B,2,FALSE)</f>
        <v>05. Innovación, desarrollo económico, empleo y comercio</v>
      </c>
      <c r="U3076" s="56" t="str">
        <f>MID(Tabla1[[#This Row],[Aplicación]],9,4)</f>
        <v>4331</v>
      </c>
      <c r="V3076" s="35" t="str">
        <f>VLOOKUP(Tabla1[[#This Row],[PROGRAMA]],Hoja1!A:B,2,FALSE)</f>
        <v>4331. Desarrollo empresarial</v>
      </c>
      <c r="W3076" s="56" t="str">
        <f>MID(Tabla1[[#This Row],[Aplicación]],14,2)</f>
        <v>22</v>
      </c>
      <c r="X3076" s="56" t="str">
        <f>MID(Tabla1[[#This Row],[Aplicación]],14,6)</f>
        <v>22799</v>
      </c>
    </row>
    <row r="3077" spans="1:24" x14ac:dyDescent="0.25">
      <c r="A3077" s="62">
        <v>220230024865</v>
      </c>
      <c r="B3077" s="44" t="s">
        <v>507</v>
      </c>
      <c r="C3077" s="64">
        <v>45070</v>
      </c>
      <c r="D3077" s="62">
        <v>22023004667</v>
      </c>
      <c r="E3077" s="44" t="s">
        <v>1506</v>
      </c>
      <c r="F3077" s="65">
        <v>94.27</v>
      </c>
      <c r="G3077" s="44" t="s">
        <v>2436</v>
      </c>
      <c r="H3077" s="44" t="s">
        <v>4755</v>
      </c>
      <c r="I3077" s="62" t="s">
        <v>511</v>
      </c>
      <c r="J3077" s="44" t="s">
        <v>2438</v>
      </c>
      <c r="K3077" s="44" t="s">
        <v>1359</v>
      </c>
      <c r="L3077" s="44" t="s">
        <v>552</v>
      </c>
      <c r="M3077" s="44" t="s">
        <v>976</v>
      </c>
      <c r="N3077" s="44" t="s">
        <v>839</v>
      </c>
      <c r="O3077" s="45" t="s">
        <v>383</v>
      </c>
      <c r="P3077" s="45" t="s">
        <v>3760</v>
      </c>
      <c r="Q3077" s="59" t="str">
        <f>MID(Tabla1[[#This Row],[Aplicación]],14,1)</f>
        <v>2</v>
      </c>
      <c r="R3077" s="35" t="s">
        <v>298</v>
      </c>
      <c r="S3077" s="59" t="str">
        <f>MID(Tabla1[[#This Row],[Aplicación]],6,2)</f>
        <v>03</v>
      </c>
      <c r="T3077" s="35" t="str">
        <f>VLOOKUP(Tabla1[[#This Row],[AREA]],Hoja1!A:B,2,FALSE)</f>
        <v>03. Participación ciudadana y deportes</v>
      </c>
      <c r="U3077" s="56" t="str">
        <f>MID(Tabla1[[#This Row],[Aplicación]],9,4)</f>
        <v>9241</v>
      </c>
      <c r="V3077" s="35" t="str">
        <f>VLOOKUP(Tabla1[[#This Row],[PROGRAMA]],Hoja1!A:B,2,FALSE)</f>
        <v>9241. Participación ciudadana</v>
      </c>
      <c r="W3077" s="56" t="str">
        <f>MID(Tabla1[[#This Row],[Aplicación]],14,2)</f>
        <v>21</v>
      </c>
      <c r="X3077" s="56" t="str">
        <f>MID(Tabla1[[#This Row],[Aplicación]],14,6)</f>
        <v>212</v>
      </c>
    </row>
    <row r="3078" spans="1:24" x14ac:dyDescent="0.25">
      <c r="A3078" s="62">
        <v>220230025390</v>
      </c>
      <c r="B3078" s="44" t="s">
        <v>507</v>
      </c>
      <c r="C3078" s="64">
        <v>45072</v>
      </c>
      <c r="D3078" s="62">
        <v>22023004700</v>
      </c>
      <c r="E3078" s="44" t="s">
        <v>2458</v>
      </c>
      <c r="F3078" s="65">
        <v>1210</v>
      </c>
      <c r="G3078" s="44" t="s">
        <v>2436</v>
      </c>
      <c r="H3078" s="44" t="s">
        <v>4756</v>
      </c>
      <c r="I3078" s="62" t="s">
        <v>511</v>
      </c>
      <c r="J3078" s="44" t="s">
        <v>2438</v>
      </c>
      <c r="K3078" s="44" t="s">
        <v>1359</v>
      </c>
      <c r="L3078" s="44" t="s">
        <v>552</v>
      </c>
      <c r="M3078" s="44" t="s">
        <v>976</v>
      </c>
      <c r="N3078" s="44" t="s">
        <v>839</v>
      </c>
      <c r="O3078" s="45" t="s">
        <v>383</v>
      </c>
      <c r="P3078" s="45" t="s">
        <v>3760</v>
      </c>
      <c r="Q3078" s="59" t="str">
        <f>MID(Tabla1[[#This Row],[Aplicación]],14,1)</f>
        <v>2</v>
      </c>
      <c r="R3078" s="35" t="s">
        <v>298</v>
      </c>
      <c r="S3078" s="59" t="str">
        <f>MID(Tabla1[[#This Row],[Aplicación]],6,2)</f>
        <v>06</v>
      </c>
      <c r="T3078" s="35" t="str">
        <f>VLOOKUP(Tabla1[[#This Row],[AREA]],Hoja1!A:B,2,FALSE)</f>
        <v>06. Educación, infancia, juventud e igualdad</v>
      </c>
      <c r="U3078" s="56" t="str">
        <f>MID(Tabla1[[#This Row],[Aplicación]],9,4)</f>
        <v>3231</v>
      </c>
      <c r="V3078" s="35" t="str">
        <f>VLOOKUP(Tabla1[[#This Row],[PROGRAMA]],Hoja1!A:B,2,FALSE)</f>
        <v>3231. Escuelas infantiles</v>
      </c>
      <c r="W3078" s="56" t="str">
        <f>MID(Tabla1[[#This Row],[Aplicación]],14,2)</f>
        <v>21</v>
      </c>
      <c r="X3078" s="56" t="str">
        <f>MID(Tabla1[[#This Row],[Aplicación]],14,6)</f>
        <v>212</v>
      </c>
    </row>
    <row r="3079" spans="1:24" x14ac:dyDescent="0.25">
      <c r="A3079" s="62">
        <v>220230016837</v>
      </c>
      <c r="B3079" s="44" t="s">
        <v>507</v>
      </c>
      <c r="C3079" s="64">
        <v>45048</v>
      </c>
      <c r="D3079" s="62">
        <v>22023003843</v>
      </c>
      <c r="E3079" s="44" t="s">
        <v>669</v>
      </c>
      <c r="F3079" s="65">
        <v>17871.7</v>
      </c>
      <c r="G3079" s="44" t="s">
        <v>4757</v>
      </c>
      <c r="H3079" s="44" t="s">
        <v>4758</v>
      </c>
      <c r="I3079" s="62" t="s">
        <v>511</v>
      </c>
      <c r="J3079" s="44" t="s">
        <v>519</v>
      </c>
      <c r="K3079" s="44" t="s">
        <v>519</v>
      </c>
      <c r="L3079" s="44" t="s">
        <v>520</v>
      </c>
      <c r="M3079" s="44" t="s">
        <v>976</v>
      </c>
      <c r="N3079" s="44" t="s">
        <v>839</v>
      </c>
      <c r="O3079" s="45" t="s">
        <v>383</v>
      </c>
      <c r="P3079" s="45" t="s">
        <v>3760</v>
      </c>
      <c r="Q3079" s="59" t="str">
        <f>MID(Tabla1[[#This Row],[Aplicación]],14,1)</f>
        <v>2</v>
      </c>
      <c r="R3079" s="35" t="s">
        <v>298</v>
      </c>
      <c r="S3079" s="59" t="str">
        <f>MID(Tabla1[[#This Row],[Aplicación]],6,2)</f>
        <v>06</v>
      </c>
      <c r="T3079" s="35" t="str">
        <f>VLOOKUP(Tabla1[[#This Row],[AREA]],Hoja1!A:B,2,FALSE)</f>
        <v>06. Educación, infancia, juventud e igualdad</v>
      </c>
      <c r="U3079" s="56" t="str">
        <f>MID(Tabla1[[#This Row],[Aplicación]],9,4)</f>
        <v>3232</v>
      </c>
      <c r="V3079" s="35" t="str">
        <f>VLOOKUP(Tabla1[[#This Row],[PROGRAMA]],Hoja1!A:B,2,FALSE)</f>
        <v>3232. Conservación y mantenimiento centros educación infantil y primaria</v>
      </c>
      <c r="W3079" s="56" t="str">
        <f>MID(Tabla1[[#This Row],[Aplicación]],14,2)</f>
        <v>21</v>
      </c>
      <c r="X3079" s="56" t="str">
        <f>MID(Tabla1[[#This Row],[Aplicación]],14,6)</f>
        <v>213</v>
      </c>
    </row>
    <row r="3080" spans="1:24" x14ac:dyDescent="0.25">
      <c r="A3080" s="62">
        <v>220230015951</v>
      </c>
      <c r="B3080" s="44" t="s">
        <v>507</v>
      </c>
      <c r="C3080" s="64">
        <v>45042</v>
      </c>
      <c r="D3080" s="62">
        <v>22023003944</v>
      </c>
      <c r="E3080" s="44" t="s">
        <v>1382</v>
      </c>
      <c r="F3080" s="65">
        <v>980.1</v>
      </c>
      <c r="G3080" s="44" t="s">
        <v>1631</v>
      </c>
      <c r="H3080" s="44" t="s">
        <v>4759</v>
      </c>
      <c r="I3080" s="62" t="s">
        <v>511</v>
      </c>
      <c r="J3080" s="44" t="s">
        <v>519</v>
      </c>
      <c r="K3080" s="44" t="s">
        <v>519</v>
      </c>
      <c r="L3080" s="44" t="s">
        <v>552</v>
      </c>
      <c r="M3080" s="44" t="s">
        <v>976</v>
      </c>
      <c r="N3080" s="44" t="s">
        <v>839</v>
      </c>
      <c r="O3080" s="45" t="s">
        <v>383</v>
      </c>
      <c r="P3080" s="45" t="s">
        <v>3760</v>
      </c>
      <c r="Q3080" s="59" t="str">
        <f>MID(Tabla1[[#This Row],[Aplicación]],14,1)</f>
        <v>2</v>
      </c>
      <c r="R3080" s="35" t="s">
        <v>298</v>
      </c>
      <c r="S3080" s="59" t="str">
        <f>MID(Tabla1[[#This Row],[Aplicación]],6,2)</f>
        <v>03</v>
      </c>
      <c r="T3080" s="35" t="str">
        <f>VLOOKUP(Tabla1[[#This Row],[AREA]],Hoja1!A:B,2,FALSE)</f>
        <v>03. Participación ciudadana y deportes</v>
      </c>
      <c r="U3080" s="56" t="str">
        <f>MID(Tabla1[[#This Row],[Aplicación]],9,4)</f>
        <v>9241</v>
      </c>
      <c r="V3080" s="35" t="str">
        <f>VLOOKUP(Tabla1[[#This Row],[PROGRAMA]],Hoja1!A:B,2,FALSE)</f>
        <v>9241. Participación ciudadana</v>
      </c>
      <c r="W3080" s="56" t="str">
        <f>MID(Tabla1[[#This Row],[Aplicación]],14,2)</f>
        <v>22</v>
      </c>
      <c r="X3080" s="56" t="str">
        <f>MID(Tabla1[[#This Row],[Aplicación]],14,6)</f>
        <v>22699</v>
      </c>
    </row>
    <row r="3081" spans="1:24" x14ac:dyDescent="0.25">
      <c r="A3081" s="62">
        <v>220230020796</v>
      </c>
      <c r="B3081" s="44" t="s">
        <v>507</v>
      </c>
      <c r="C3081" s="64">
        <v>45062</v>
      </c>
      <c r="D3081" s="62">
        <v>22023004542</v>
      </c>
      <c r="E3081" s="44" t="s">
        <v>1382</v>
      </c>
      <c r="F3081" s="65">
        <v>319.44</v>
      </c>
      <c r="G3081" s="44" t="s">
        <v>1631</v>
      </c>
      <c r="H3081" s="44" t="s">
        <v>4760</v>
      </c>
      <c r="I3081" s="62" t="s">
        <v>511</v>
      </c>
      <c r="J3081" s="44" t="s">
        <v>519</v>
      </c>
      <c r="K3081" s="44" t="s">
        <v>519</v>
      </c>
      <c r="L3081" s="44" t="s">
        <v>552</v>
      </c>
      <c r="M3081" s="44" t="s">
        <v>976</v>
      </c>
      <c r="N3081" s="44" t="s">
        <v>839</v>
      </c>
      <c r="O3081" s="45" t="s">
        <v>383</v>
      </c>
      <c r="P3081" s="45" t="s">
        <v>3760</v>
      </c>
      <c r="Q3081" s="59" t="str">
        <f>MID(Tabla1[[#This Row],[Aplicación]],14,1)</f>
        <v>2</v>
      </c>
      <c r="R3081" s="35" t="s">
        <v>298</v>
      </c>
      <c r="S3081" s="59" t="str">
        <f>MID(Tabla1[[#This Row],[Aplicación]],6,2)</f>
        <v>03</v>
      </c>
      <c r="T3081" s="35" t="str">
        <f>VLOOKUP(Tabla1[[#This Row],[AREA]],Hoja1!A:B,2,FALSE)</f>
        <v>03. Participación ciudadana y deportes</v>
      </c>
      <c r="U3081" s="56" t="str">
        <f>MID(Tabla1[[#This Row],[Aplicación]],9,4)</f>
        <v>9241</v>
      </c>
      <c r="V3081" s="35" t="str">
        <f>VLOOKUP(Tabla1[[#This Row],[PROGRAMA]],Hoja1!A:B,2,FALSE)</f>
        <v>9241. Participación ciudadana</v>
      </c>
      <c r="W3081" s="56" t="str">
        <f>MID(Tabla1[[#This Row],[Aplicación]],14,2)</f>
        <v>22</v>
      </c>
      <c r="X3081" s="56" t="str">
        <f>MID(Tabla1[[#This Row],[Aplicación]],14,6)</f>
        <v>22699</v>
      </c>
    </row>
    <row r="3082" spans="1:24" x14ac:dyDescent="0.25">
      <c r="A3082" s="62">
        <v>220230022641</v>
      </c>
      <c r="B3082" s="44" t="s">
        <v>507</v>
      </c>
      <c r="C3082" s="64">
        <v>45068</v>
      </c>
      <c r="D3082" s="62">
        <v>22023004616</v>
      </c>
      <c r="E3082" s="44" t="s">
        <v>1093</v>
      </c>
      <c r="F3082" s="65">
        <v>564.12</v>
      </c>
      <c r="G3082" s="44" t="s">
        <v>318</v>
      </c>
      <c r="H3082" s="44" t="s">
        <v>4761</v>
      </c>
      <c r="I3082" s="62" t="s">
        <v>511</v>
      </c>
      <c r="J3082" s="44" t="s">
        <v>2764</v>
      </c>
      <c r="K3082" s="44" t="s">
        <v>519</v>
      </c>
      <c r="L3082" s="44" t="s">
        <v>520</v>
      </c>
      <c r="M3082" s="44" t="s">
        <v>976</v>
      </c>
      <c r="N3082" s="44" t="s">
        <v>839</v>
      </c>
      <c r="O3082" s="45" t="s">
        <v>383</v>
      </c>
      <c r="P3082" s="45" t="s">
        <v>3760</v>
      </c>
      <c r="Q3082" s="59" t="str">
        <f>MID(Tabla1[[#This Row],[Aplicación]],14,1)</f>
        <v>2</v>
      </c>
      <c r="R3082" s="35" t="s">
        <v>298</v>
      </c>
      <c r="S3082" s="59" t="str">
        <f>MID(Tabla1[[#This Row],[Aplicación]],6,2)</f>
        <v>11</v>
      </c>
      <c r="T3082" s="35" t="str">
        <f>VLOOKUP(Tabla1[[#This Row],[AREA]],Hoja1!A:B,2,FALSE)</f>
        <v>11. Salud pública y seguridad ciudadana</v>
      </c>
      <c r="U3082" s="56" t="str">
        <f>MID(Tabla1[[#This Row],[Aplicación]],9,4)</f>
        <v>3111</v>
      </c>
      <c r="V3082" s="35" t="str">
        <f>VLOOKUP(Tabla1[[#This Row],[PROGRAMA]],Hoja1!A:B,2,FALSE)</f>
        <v>3111. Protección de la salubridad pública</v>
      </c>
      <c r="W3082" s="56" t="str">
        <f>MID(Tabla1[[#This Row],[Aplicación]],14,2)</f>
        <v>22</v>
      </c>
      <c r="X3082" s="56" t="str">
        <f>MID(Tabla1[[#This Row],[Aplicación]],14,6)</f>
        <v>22106</v>
      </c>
    </row>
    <row r="3083" spans="1:24" x14ac:dyDescent="0.25">
      <c r="A3083" s="62">
        <v>220230024877</v>
      </c>
      <c r="B3083" s="44" t="s">
        <v>507</v>
      </c>
      <c r="C3083" s="64">
        <v>45070</v>
      </c>
      <c r="D3083" s="62">
        <v>22023004571</v>
      </c>
      <c r="E3083" s="44" t="s">
        <v>1234</v>
      </c>
      <c r="F3083" s="65">
        <v>1149.5</v>
      </c>
      <c r="G3083" s="44" t="s">
        <v>4762</v>
      </c>
      <c r="H3083" s="44" t="s">
        <v>4763</v>
      </c>
      <c r="I3083" s="62" t="s">
        <v>511</v>
      </c>
      <c r="J3083" s="44" t="s">
        <v>519</v>
      </c>
      <c r="K3083" s="44" t="s">
        <v>519</v>
      </c>
      <c r="L3083" s="44" t="s">
        <v>520</v>
      </c>
      <c r="M3083" s="44" t="s">
        <v>976</v>
      </c>
      <c r="N3083" s="44" t="s">
        <v>839</v>
      </c>
      <c r="O3083" s="45" t="s">
        <v>383</v>
      </c>
      <c r="P3083" s="45" t="s">
        <v>3760</v>
      </c>
      <c r="Q3083" s="59" t="str">
        <f>MID(Tabla1[[#This Row],[Aplicación]],14,1)</f>
        <v>2</v>
      </c>
      <c r="R3083" s="35" t="s">
        <v>298</v>
      </c>
      <c r="S3083" s="59" t="str">
        <f>MID(Tabla1[[#This Row],[Aplicación]],6,2)</f>
        <v>10</v>
      </c>
      <c r="T3083" s="35" t="str">
        <f>VLOOKUP(Tabla1[[#This Row],[AREA]],Hoja1!A:B,2,FALSE)</f>
        <v>10. Servicios sociales y mediación comunitaria</v>
      </c>
      <c r="U3083" s="56" t="str">
        <f>MID(Tabla1[[#This Row],[Aplicación]],9,4)</f>
        <v>2316</v>
      </c>
      <c r="V3083" s="35" t="str">
        <f>VLOOKUP(Tabla1[[#This Row],[PROGRAMA]],Hoja1!A:B,2,FALSE)</f>
        <v>2316. Mediación comunitaria</v>
      </c>
      <c r="W3083" s="56" t="str">
        <f>MID(Tabla1[[#This Row],[Aplicación]],14,2)</f>
        <v>22</v>
      </c>
      <c r="X3083" s="56" t="str">
        <f>MID(Tabla1[[#This Row],[Aplicación]],14,6)</f>
        <v>22616</v>
      </c>
    </row>
    <row r="3084" spans="1:24" x14ac:dyDescent="0.25">
      <c r="A3084" s="62">
        <v>220230015978</v>
      </c>
      <c r="B3084" s="44" t="s">
        <v>507</v>
      </c>
      <c r="C3084" s="64">
        <v>45042</v>
      </c>
      <c r="D3084" s="62">
        <v>22023004066</v>
      </c>
      <c r="E3084" s="44" t="s">
        <v>1191</v>
      </c>
      <c r="F3084" s="65">
        <v>180</v>
      </c>
      <c r="G3084" s="44" t="s">
        <v>983</v>
      </c>
      <c r="H3084" s="44" t="s">
        <v>4764</v>
      </c>
      <c r="I3084" s="62" t="s">
        <v>511</v>
      </c>
      <c r="J3084" s="44" t="s">
        <v>519</v>
      </c>
      <c r="K3084" s="44" t="s">
        <v>519</v>
      </c>
      <c r="L3084" s="44" t="s">
        <v>520</v>
      </c>
      <c r="M3084" s="44" t="s">
        <v>976</v>
      </c>
      <c r="N3084" s="44" t="s">
        <v>839</v>
      </c>
      <c r="O3084" s="45" t="s">
        <v>383</v>
      </c>
      <c r="P3084" s="45" t="s">
        <v>3760</v>
      </c>
      <c r="Q3084" s="59" t="str">
        <f>MID(Tabla1[[#This Row],[Aplicación]],14,1)</f>
        <v>2</v>
      </c>
      <c r="R3084" s="35" t="s">
        <v>298</v>
      </c>
      <c r="S3084" s="59" t="str">
        <f>MID(Tabla1[[#This Row],[Aplicación]],6,2)</f>
        <v>06</v>
      </c>
      <c r="T3084" s="35" t="str">
        <f>VLOOKUP(Tabla1[[#This Row],[AREA]],Hoja1!A:B,2,FALSE)</f>
        <v>06. Educación, infancia, juventud e igualdad</v>
      </c>
      <c r="U3084" s="56" t="str">
        <f>MID(Tabla1[[#This Row],[Aplicación]],9,4)</f>
        <v>2315</v>
      </c>
      <c r="V3084" s="35" t="str">
        <f>VLOOKUP(Tabla1[[#This Row],[PROGRAMA]],Hoja1!A:B,2,FALSE)</f>
        <v>2315. Políticas de Igualdad e infancia</v>
      </c>
      <c r="W3084" s="56" t="str">
        <f>MID(Tabla1[[#This Row],[Aplicación]],14,2)</f>
        <v>22</v>
      </c>
      <c r="X3084" s="56" t="str">
        <f>MID(Tabla1[[#This Row],[Aplicación]],14,6)</f>
        <v>22611</v>
      </c>
    </row>
    <row r="3085" spans="1:24" x14ac:dyDescent="0.25">
      <c r="A3085" s="62">
        <v>220230013385</v>
      </c>
      <c r="B3085" s="44" t="s">
        <v>507</v>
      </c>
      <c r="C3085" s="64">
        <v>45020</v>
      </c>
      <c r="D3085" s="62">
        <v>22023003742</v>
      </c>
      <c r="E3085" s="44" t="s">
        <v>4000</v>
      </c>
      <c r="F3085" s="65">
        <v>2157.19</v>
      </c>
      <c r="G3085" s="44" t="s">
        <v>36</v>
      </c>
      <c r="H3085" s="44" t="s">
        <v>4765</v>
      </c>
      <c r="I3085" s="62" t="s">
        <v>511</v>
      </c>
      <c r="J3085" s="44" t="s">
        <v>519</v>
      </c>
      <c r="K3085" s="44" t="s">
        <v>519</v>
      </c>
      <c r="L3085" s="44" t="s">
        <v>520</v>
      </c>
      <c r="M3085" s="44" t="s">
        <v>976</v>
      </c>
      <c r="N3085" s="44" t="s">
        <v>839</v>
      </c>
      <c r="O3085" s="45" t="s">
        <v>383</v>
      </c>
      <c r="P3085" s="45" t="s">
        <v>3760</v>
      </c>
      <c r="Q3085" s="59" t="str">
        <f>MID(Tabla1[[#This Row],[Aplicación]],14,1)</f>
        <v>2</v>
      </c>
      <c r="R3085" s="35" t="s">
        <v>298</v>
      </c>
      <c r="S3085" s="59" t="str">
        <f>MID(Tabla1[[#This Row],[Aplicación]],6,2)</f>
        <v>04</v>
      </c>
      <c r="T3085" s="35" t="str">
        <f>VLOOKUP(Tabla1[[#This Row],[AREA]],Hoja1!A:B,2,FALSE)</f>
        <v>04. Planificación y recursos</v>
      </c>
      <c r="U3085" s="56" t="str">
        <f>MID(Tabla1[[#This Row],[Aplicación]],9,4)</f>
        <v>9231</v>
      </c>
      <c r="V3085" s="35" t="str">
        <f>VLOOKUP(Tabla1[[#This Row],[PROGRAMA]],Hoja1!A:B,2,FALSE)</f>
        <v>9231. Información, registro y gestión del padrón</v>
      </c>
      <c r="W3085" s="56" t="str">
        <f>MID(Tabla1[[#This Row],[Aplicación]],14,2)</f>
        <v>22</v>
      </c>
      <c r="X3085" s="56" t="str">
        <f>MID(Tabla1[[#This Row],[Aplicación]],14,6)</f>
        <v>22705</v>
      </c>
    </row>
    <row r="3086" spans="1:24" x14ac:dyDescent="0.25">
      <c r="A3086" s="62">
        <v>220230015099</v>
      </c>
      <c r="B3086" s="44" t="s">
        <v>1337</v>
      </c>
      <c r="C3086" s="64">
        <v>45041</v>
      </c>
      <c r="D3086" s="62">
        <v>22023002095</v>
      </c>
      <c r="E3086" s="44" t="s">
        <v>1502</v>
      </c>
      <c r="F3086" s="65">
        <v>-74.48</v>
      </c>
      <c r="G3086" s="44" t="s">
        <v>78</v>
      </c>
      <c r="H3086" s="44" t="s">
        <v>2135</v>
      </c>
      <c r="I3086" s="62" t="s">
        <v>511</v>
      </c>
      <c r="J3086" s="44" t="s">
        <v>519</v>
      </c>
      <c r="K3086" s="44" t="s">
        <v>519</v>
      </c>
      <c r="L3086" s="44" t="s">
        <v>552</v>
      </c>
      <c r="M3086" s="44" t="s">
        <v>976</v>
      </c>
      <c r="N3086" s="44" t="s">
        <v>839</v>
      </c>
      <c r="O3086" s="45" t="s">
        <v>383</v>
      </c>
      <c r="P3086" s="45" t="s">
        <v>3760</v>
      </c>
      <c r="Q3086" s="59" t="str">
        <f>MID(Tabla1[[#This Row],[Aplicación]],14,1)</f>
        <v>2</v>
      </c>
      <c r="R3086" s="35" t="s">
        <v>298</v>
      </c>
      <c r="S3086" s="59" t="str">
        <f>MID(Tabla1[[#This Row],[Aplicación]],6,2)</f>
        <v>10</v>
      </c>
      <c r="T3086" s="35" t="str">
        <f>VLOOKUP(Tabla1[[#This Row],[AREA]],Hoja1!A:B,2,FALSE)</f>
        <v>10. Servicios sociales y mediación comunitaria</v>
      </c>
      <c r="U3086" s="56" t="str">
        <f>MID(Tabla1[[#This Row],[Aplicación]],9,4)</f>
        <v>2412</v>
      </c>
      <c r="V3086" s="35" t="str">
        <f>VLOOKUP(Tabla1[[#This Row],[PROGRAMA]],Hoja1!A:B,2,FALSE)</f>
        <v>2412. Formación para el empleo</v>
      </c>
      <c r="W3086" s="56" t="str">
        <f>MID(Tabla1[[#This Row],[Aplicación]],14,2)</f>
        <v>22</v>
      </c>
      <c r="X3086" s="56" t="str">
        <f>MID(Tabla1[[#This Row],[Aplicación]],14,6)</f>
        <v>22199</v>
      </c>
    </row>
    <row r="3087" spans="1:24" x14ac:dyDescent="0.25">
      <c r="A3087" s="62">
        <v>220230013378</v>
      </c>
      <c r="B3087" s="44" t="s">
        <v>507</v>
      </c>
      <c r="C3087" s="64">
        <v>45020</v>
      </c>
      <c r="D3087" s="62">
        <v>22023003592</v>
      </c>
      <c r="E3087" s="44" t="s">
        <v>3829</v>
      </c>
      <c r="F3087" s="65">
        <v>1000</v>
      </c>
      <c r="G3087" s="44" t="s">
        <v>4766</v>
      </c>
      <c r="H3087" s="44" t="s">
        <v>4767</v>
      </c>
      <c r="I3087" s="62" t="s">
        <v>511</v>
      </c>
      <c r="J3087" s="44" t="s">
        <v>519</v>
      </c>
      <c r="K3087" s="44" t="s">
        <v>519</v>
      </c>
      <c r="L3087" s="44" t="s">
        <v>552</v>
      </c>
      <c r="M3087" s="44" t="s">
        <v>976</v>
      </c>
      <c r="N3087" s="44" t="s">
        <v>839</v>
      </c>
      <c r="O3087" s="45" t="s">
        <v>383</v>
      </c>
      <c r="P3087" s="45" t="s">
        <v>3760</v>
      </c>
      <c r="Q3087" s="59" t="str">
        <f>MID(Tabla1[[#This Row],[Aplicación]],14,1)</f>
        <v>2</v>
      </c>
      <c r="R3087" s="35" t="s">
        <v>298</v>
      </c>
      <c r="S3087" s="59" t="str">
        <f>MID(Tabla1[[#This Row],[Aplicación]],6,2)</f>
        <v>10</v>
      </c>
      <c r="T3087" s="35" t="str">
        <f>VLOOKUP(Tabla1[[#This Row],[AREA]],Hoja1!A:B,2,FALSE)</f>
        <v>10. Servicios sociales y mediación comunitaria</v>
      </c>
      <c r="U3087" s="56" t="str">
        <f>MID(Tabla1[[#This Row],[Aplicación]],9,4)</f>
        <v>2412</v>
      </c>
      <c r="V3087" s="35" t="str">
        <f>VLOOKUP(Tabla1[[#This Row],[PROGRAMA]],Hoja1!A:B,2,FALSE)</f>
        <v>2412. Formación para el empleo</v>
      </c>
      <c r="W3087" s="56" t="str">
        <f>MID(Tabla1[[#This Row],[Aplicación]],14,2)</f>
        <v>22</v>
      </c>
      <c r="X3087" s="56" t="str">
        <f>MID(Tabla1[[#This Row],[Aplicación]],14,6)</f>
        <v>22106</v>
      </c>
    </row>
    <row r="3088" spans="1:24" x14ac:dyDescent="0.25">
      <c r="A3088" s="62">
        <v>220230015942</v>
      </c>
      <c r="B3088" s="44" t="s">
        <v>507</v>
      </c>
      <c r="C3088" s="64">
        <v>45042</v>
      </c>
      <c r="D3088" s="62">
        <v>22023003910</v>
      </c>
      <c r="E3088" s="44" t="s">
        <v>616</v>
      </c>
      <c r="F3088" s="65">
        <v>78.56</v>
      </c>
      <c r="G3088" s="44" t="s">
        <v>15</v>
      </c>
      <c r="H3088" s="44" t="s">
        <v>4697</v>
      </c>
      <c r="I3088" s="62" t="s">
        <v>511</v>
      </c>
      <c r="J3088" s="44" t="s">
        <v>519</v>
      </c>
      <c r="K3088" s="44" t="s">
        <v>519</v>
      </c>
      <c r="L3088" s="44" t="s">
        <v>520</v>
      </c>
      <c r="M3088" s="44" t="s">
        <v>514</v>
      </c>
      <c r="N3088" s="44" t="s">
        <v>515</v>
      </c>
      <c r="O3088" s="45" t="s">
        <v>371</v>
      </c>
      <c r="P3088" s="45" t="s">
        <v>3760</v>
      </c>
      <c r="Q3088" s="59" t="str">
        <f>MID(Tabla1[[#This Row],[Aplicación]],14,1)</f>
        <v>2</v>
      </c>
      <c r="R3088" s="35" t="s">
        <v>298</v>
      </c>
      <c r="S3088" s="59" t="str">
        <f>MID(Tabla1[[#This Row],[Aplicación]],6,2)</f>
        <v>10</v>
      </c>
      <c r="T3088" s="35" t="str">
        <f>VLOOKUP(Tabla1[[#This Row],[AREA]],Hoja1!A:B,2,FALSE)</f>
        <v>10. Servicios sociales y mediación comunitaria</v>
      </c>
      <c r="U3088" s="56" t="str">
        <f>MID(Tabla1[[#This Row],[Aplicación]],9,4)</f>
        <v>2412</v>
      </c>
      <c r="V3088" s="35" t="str">
        <f>VLOOKUP(Tabla1[[#This Row],[PROGRAMA]],Hoja1!A:B,2,FALSE)</f>
        <v>2412. Formación para el empleo</v>
      </c>
      <c r="W3088" s="56" t="str">
        <f>MID(Tabla1[[#This Row],[Aplicación]],14,2)</f>
        <v>21</v>
      </c>
      <c r="X3088" s="56" t="str">
        <f>MID(Tabla1[[#This Row],[Aplicación]],14,6)</f>
        <v>213</v>
      </c>
    </row>
    <row r="3089" spans="1:24" x14ac:dyDescent="0.25">
      <c r="A3089" s="62">
        <v>220230013998</v>
      </c>
      <c r="B3089" s="44" t="s">
        <v>507</v>
      </c>
      <c r="C3089" s="64">
        <v>45033</v>
      </c>
      <c r="D3089" s="62">
        <v>22023003174</v>
      </c>
      <c r="E3089" s="44" t="s">
        <v>2402</v>
      </c>
      <c r="F3089" s="65">
        <v>28154.35</v>
      </c>
      <c r="G3089" s="44" t="s">
        <v>4768</v>
      </c>
      <c r="H3089" s="44" t="s">
        <v>4769</v>
      </c>
      <c r="I3089" s="62" t="s">
        <v>511</v>
      </c>
      <c r="J3089" s="44" t="s">
        <v>4770</v>
      </c>
      <c r="K3089" s="44" t="s">
        <v>837</v>
      </c>
      <c r="L3089" s="44" t="s">
        <v>520</v>
      </c>
      <c r="M3089" s="44" t="s">
        <v>514</v>
      </c>
      <c r="N3089" s="44" t="s">
        <v>515</v>
      </c>
      <c r="O3089" s="45" t="s">
        <v>371</v>
      </c>
      <c r="P3089" s="45" t="s">
        <v>3760</v>
      </c>
      <c r="Q3089" s="59" t="str">
        <f>MID(Tabla1[[#This Row],[Aplicación]],14,1)</f>
        <v>2</v>
      </c>
      <c r="R3089" s="35" t="s">
        <v>298</v>
      </c>
      <c r="S3089" s="59" t="str">
        <f>MID(Tabla1[[#This Row],[Aplicación]],6,2)</f>
        <v>04</v>
      </c>
      <c r="T3089" s="35" t="str">
        <f>VLOOKUP(Tabla1[[#This Row],[AREA]],Hoja1!A:B,2,FALSE)</f>
        <v>04. Planificación y recursos</v>
      </c>
      <c r="U3089" s="56" t="str">
        <f>MID(Tabla1[[#This Row],[Aplicación]],9,4)</f>
        <v>3121</v>
      </c>
      <c r="V3089" s="35" t="str">
        <f>VLOOKUP(Tabla1[[#This Row],[PROGRAMA]],Hoja1!A:B,2,FALSE)</f>
        <v>3121. Prevención y salud laboral</v>
      </c>
      <c r="W3089" s="56" t="str">
        <f>MID(Tabla1[[#This Row],[Aplicación]],14,2)</f>
        <v>22</v>
      </c>
      <c r="X3089" s="56" t="str">
        <f>MID(Tabla1[[#This Row],[Aplicación]],14,6)</f>
        <v>22706</v>
      </c>
    </row>
    <row r="3090" spans="1:24" x14ac:dyDescent="0.25">
      <c r="A3090" s="62">
        <v>220230013751</v>
      </c>
      <c r="B3090" s="44" t="s">
        <v>507</v>
      </c>
      <c r="C3090" s="64">
        <v>45027</v>
      </c>
      <c r="D3090" s="62">
        <v>22023003763</v>
      </c>
      <c r="E3090" s="44" t="s">
        <v>2046</v>
      </c>
      <c r="F3090" s="65">
        <v>1353.32</v>
      </c>
      <c r="G3090" s="44" t="s">
        <v>4771</v>
      </c>
      <c r="H3090" s="44" t="s">
        <v>4772</v>
      </c>
      <c r="I3090" s="62" t="s">
        <v>511</v>
      </c>
      <c r="J3090" s="44" t="s">
        <v>4773</v>
      </c>
      <c r="K3090" s="44" t="s">
        <v>512</v>
      </c>
      <c r="L3090" s="44" t="s">
        <v>552</v>
      </c>
      <c r="M3090" s="44" t="s">
        <v>976</v>
      </c>
      <c r="N3090" s="44" t="s">
        <v>839</v>
      </c>
      <c r="O3090" s="45" t="s">
        <v>383</v>
      </c>
      <c r="P3090" s="45" t="s">
        <v>3760</v>
      </c>
      <c r="Q3090" s="59" t="str">
        <f>MID(Tabla1[[#This Row],[Aplicación]],14,1)</f>
        <v>2</v>
      </c>
      <c r="R3090" s="35" t="s">
        <v>298</v>
      </c>
      <c r="S3090" s="59" t="str">
        <f>MID(Tabla1[[#This Row],[Aplicación]],6,2)</f>
        <v>06</v>
      </c>
      <c r="T3090" s="35" t="str">
        <f>VLOOKUP(Tabla1[[#This Row],[AREA]],Hoja1!A:B,2,FALSE)</f>
        <v>06. Educación, infancia, juventud e igualdad</v>
      </c>
      <c r="U3090" s="56" t="str">
        <f>MID(Tabla1[[#This Row],[Aplicación]],9,4)</f>
        <v>3321</v>
      </c>
      <c r="V3090" s="35" t="str">
        <f>VLOOKUP(Tabla1[[#This Row],[PROGRAMA]],Hoja1!A:B,2,FALSE)</f>
        <v>3321. Bibliotecas públicas</v>
      </c>
      <c r="W3090" s="56" t="str">
        <f>MID(Tabla1[[#This Row],[Aplicación]],14,2)</f>
        <v>22</v>
      </c>
      <c r="X3090" s="56" t="str">
        <f>MID(Tabla1[[#This Row],[Aplicación]],14,6)</f>
        <v>22199</v>
      </c>
    </row>
    <row r="3091" spans="1:24" x14ac:dyDescent="0.25">
      <c r="A3091" s="62">
        <v>220230020473</v>
      </c>
      <c r="B3091" s="44" t="s">
        <v>507</v>
      </c>
      <c r="C3091" s="64">
        <v>45057</v>
      </c>
      <c r="D3091" s="62">
        <v>22023004418</v>
      </c>
      <c r="E3091" s="44" t="s">
        <v>835</v>
      </c>
      <c r="F3091" s="65">
        <v>4477</v>
      </c>
      <c r="G3091" s="44" t="s">
        <v>4774</v>
      </c>
      <c r="H3091" s="44" t="s">
        <v>4775</v>
      </c>
      <c r="I3091" s="62" t="s">
        <v>511</v>
      </c>
      <c r="J3091" s="44" t="s">
        <v>512</v>
      </c>
      <c r="K3091" s="44" t="s">
        <v>512</v>
      </c>
      <c r="L3091" s="44" t="s">
        <v>520</v>
      </c>
      <c r="M3091" s="44" t="s">
        <v>976</v>
      </c>
      <c r="N3091" s="44" t="s">
        <v>839</v>
      </c>
      <c r="O3091" s="45" t="s">
        <v>383</v>
      </c>
      <c r="P3091" s="45" t="s">
        <v>3760</v>
      </c>
      <c r="Q3091" s="59" t="str">
        <f>MID(Tabla1[[#This Row],[Aplicación]],14,1)</f>
        <v>2</v>
      </c>
      <c r="R3091" s="35" t="s">
        <v>298</v>
      </c>
      <c r="S3091" s="59" t="str">
        <f>MID(Tabla1[[#This Row],[Aplicación]],6,2)</f>
        <v>05</v>
      </c>
      <c r="T3091" s="35" t="str">
        <f>VLOOKUP(Tabla1[[#This Row],[AREA]],Hoja1!A:B,2,FALSE)</f>
        <v>05. Innovación, desarrollo económico, empleo y comercio</v>
      </c>
      <c r="U3091" s="56" t="str">
        <f>MID(Tabla1[[#This Row],[Aplicación]],9,4)</f>
        <v>4331</v>
      </c>
      <c r="V3091" s="35" t="str">
        <f>VLOOKUP(Tabla1[[#This Row],[PROGRAMA]],Hoja1!A:B,2,FALSE)</f>
        <v>4331. Desarrollo empresarial</v>
      </c>
      <c r="W3091" s="56" t="str">
        <f>MID(Tabla1[[#This Row],[Aplicación]],14,2)</f>
        <v>22</v>
      </c>
      <c r="X3091" s="56" t="str">
        <f>MID(Tabla1[[#This Row],[Aplicación]],14,6)</f>
        <v>22799</v>
      </c>
    </row>
    <row r="3092" spans="1:24" x14ac:dyDescent="0.25">
      <c r="A3092" s="62">
        <v>220220065899</v>
      </c>
      <c r="B3092" s="44" t="s">
        <v>507</v>
      </c>
      <c r="C3092" s="64">
        <v>45037</v>
      </c>
      <c r="D3092" s="62">
        <v>22022008190</v>
      </c>
      <c r="E3092" s="44" t="s">
        <v>4776</v>
      </c>
      <c r="F3092" s="65">
        <v>2700.72</v>
      </c>
      <c r="G3092" s="44" t="s">
        <v>23</v>
      </c>
      <c r="H3092" s="44" t="s">
        <v>4777</v>
      </c>
      <c r="I3092" s="62" t="s">
        <v>511</v>
      </c>
      <c r="J3092" s="44" t="s">
        <v>519</v>
      </c>
      <c r="K3092" s="44" t="s">
        <v>519</v>
      </c>
      <c r="L3092" s="44" t="s">
        <v>552</v>
      </c>
      <c r="M3092" s="44" t="s">
        <v>976</v>
      </c>
      <c r="N3092" s="44" t="s">
        <v>839</v>
      </c>
      <c r="O3092" s="45" t="s">
        <v>383</v>
      </c>
      <c r="P3092" s="45" t="s">
        <v>3760</v>
      </c>
      <c r="Q3092" s="59" t="str">
        <f>MID(Tabla1[[#This Row],[Aplicación]],14,1)</f>
        <v>6</v>
      </c>
      <c r="R3092" s="35" t="s">
        <v>299</v>
      </c>
      <c r="S3092" s="59" t="str">
        <f>MID(Tabla1[[#This Row],[Aplicación]],6,2)</f>
        <v>10</v>
      </c>
      <c r="T3092" s="35" t="str">
        <f>VLOOKUP(Tabla1[[#This Row],[AREA]],Hoja1!A:B,2,FALSE)</f>
        <v>10. Servicios sociales y mediación comunitaria</v>
      </c>
      <c r="U3092" s="56" t="str">
        <f>MID(Tabla1[[#This Row],[Aplicación]],9,4)</f>
        <v>2311</v>
      </c>
      <c r="V3092" s="35" t="str">
        <f>VLOOKUP(Tabla1[[#This Row],[PROGRAMA]],Hoja1!A:B,2,FALSE)</f>
        <v>2311. Intervención social</v>
      </c>
      <c r="W3092" s="56" t="str">
        <f>MID(Tabla1[[#This Row],[Aplicación]],14,2)</f>
        <v>63</v>
      </c>
      <c r="X3092" s="56" t="str">
        <f>MID(Tabla1[[#This Row],[Aplicación]],14,6)</f>
        <v>633</v>
      </c>
    </row>
    <row r="3093" spans="1:24" x14ac:dyDescent="0.25">
      <c r="A3093" s="62">
        <v>220230021940</v>
      </c>
      <c r="B3093" s="44" t="s">
        <v>507</v>
      </c>
      <c r="C3093" s="64">
        <v>45064</v>
      </c>
      <c r="D3093" s="62">
        <v>22023004585</v>
      </c>
      <c r="E3093" s="44" t="s">
        <v>1011</v>
      </c>
      <c r="F3093" s="65">
        <v>7139</v>
      </c>
      <c r="G3093" s="44" t="s">
        <v>4778</v>
      </c>
      <c r="H3093" s="44" t="s">
        <v>4779</v>
      </c>
      <c r="I3093" s="62" t="s">
        <v>511</v>
      </c>
      <c r="J3093" s="44" t="s">
        <v>519</v>
      </c>
      <c r="K3093" s="44" t="s">
        <v>519</v>
      </c>
      <c r="L3093" s="44" t="s">
        <v>520</v>
      </c>
      <c r="M3093" s="44" t="s">
        <v>976</v>
      </c>
      <c r="N3093" s="44" t="s">
        <v>839</v>
      </c>
      <c r="O3093" s="45" t="s">
        <v>383</v>
      </c>
      <c r="P3093" s="45" t="s">
        <v>3760</v>
      </c>
      <c r="Q3093" s="59" t="str">
        <f>MID(Tabla1[[#This Row],[Aplicación]],14,1)</f>
        <v>2</v>
      </c>
      <c r="R3093" s="35" t="s">
        <v>298</v>
      </c>
      <c r="S3093" s="59" t="str">
        <f>MID(Tabla1[[#This Row],[Aplicación]],6,2)</f>
        <v>09</v>
      </c>
      <c r="T3093" s="35" t="str">
        <f>VLOOKUP(Tabla1[[#This Row],[AREA]],Hoja1!A:B,2,FALSE)</f>
        <v>09. Cultura y turismo</v>
      </c>
      <c r="U3093" s="56" t="str">
        <f>MID(Tabla1[[#This Row],[Aplicación]],9,4)</f>
        <v>3341</v>
      </c>
      <c r="V3093" s="35" t="str">
        <f>VLOOKUP(Tabla1[[#This Row],[PROGRAMA]],Hoja1!A:B,2,FALSE)</f>
        <v>3341. Coordinación de políticas culturales</v>
      </c>
      <c r="W3093" s="56" t="str">
        <f>MID(Tabla1[[#This Row],[Aplicación]],14,2)</f>
        <v>22</v>
      </c>
      <c r="X3093" s="56" t="str">
        <f>MID(Tabla1[[#This Row],[Aplicación]],14,6)</f>
        <v>22609</v>
      </c>
    </row>
    <row r="3094" spans="1:24" x14ac:dyDescent="0.25">
      <c r="A3094" s="62">
        <v>220230015942</v>
      </c>
      <c r="B3094" s="44" t="s">
        <v>507</v>
      </c>
      <c r="C3094" s="64">
        <v>45042</v>
      </c>
      <c r="D3094" s="62">
        <v>22023001265</v>
      </c>
      <c r="E3094" s="44" t="s">
        <v>616</v>
      </c>
      <c r="F3094" s="65">
        <v>73.33</v>
      </c>
      <c r="G3094" s="44" t="s">
        <v>15</v>
      </c>
      <c r="H3094" s="44" t="s">
        <v>4697</v>
      </c>
      <c r="I3094" s="62" t="s">
        <v>511</v>
      </c>
      <c r="J3094" s="44" t="s">
        <v>519</v>
      </c>
      <c r="K3094" s="44" t="s">
        <v>519</v>
      </c>
      <c r="L3094" s="44" t="s">
        <v>520</v>
      </c>
      <c r="M3094" s="44" t="s">
        <v>514</v>
      </c>
      <c r="N3094" s="44" t="s">
        <v>515</v>
      </c>
      <c r="O3094" s="45" t="s">
        <v>371</v>
      </c>
      <c r="P3094" s="45" t="s">
        <v>3760</v>
      </c>
      <c r="Q3094" s="59" t="str">
        <f>MID(Tabla1[[#This Row],[Aplicación]],14,1)</f>
        <v>2</v>
      </c>
      <c r="R3094" s="35" t="s">
        <v>298</v>
      </c>
      <c r="S3094" s="59" t="str">
        <f>MID(Tabla1[[#This Row],[Aplicación]],6,2)</f>
        <v>10</v>
      </c>
      <c r="T3094" s="35" t="str">
        <f>VLOOKUP(Tabla1[[#This Row],[AREA]],Hoja1!A:B,2,FALSE)</f>
        <v>10. Servicios sociales y mediación comunitaria</v>
      </c>
      <c r="U3094" s="56" t="str">
        <f>MID(Tabla1[[#This Row],[Aplicación]],9,4)</f>
        <v>2412</v>
      </c>
      <c r="V3094" s="35" t="str">
        <f>VLOOKUP(Tabla1[[#This Row],[PROGRAMA]],Hoja1!A:B,2,FALSE)</f>
        <v>2412. Formación para el empleo</v>
      </c>
      <c r="W3094" s="56" t="str">
        <f>MID(Tabla1[[#This Row],[Aplicación]],14,2)</f>
        <v>21</v>
      </c>
      <c r="X3094" s="56" t="str">
        <f>MID(Tabla1[[#This Row],[Aplicación]],14,6)</f>
        <v>213</v>
      </c>
    </row>
    <row r="3095" spans="1:24" x14ac:dyDescent="0.25">
      <c r="A3095" s="62">
        <v>220230013650</v>
      </c>
      <c r="B3095" s="44" t="s">
        <v>507</v>
      </c>
      <c r="C3095" s="64">
        <v>45026</v>
      </c>
      <c r="D3095" s="62">
        <v>22023003642</v>
      </c>
      <c r="E3095" s="44" t="s">
        <v>835</v>
      </c>
      <c r="F3095" s="65">
        <v>16867.400000000001</v>
      </c>
      <c r="G3095" s="44" t="s">
        <v>4780</v>
      </c>
      <c r="H3095" s="44" t="s">
        <v>4781</v>
      </c>
      <c r="I3095" s="62" t="s">
        <v>511</v>
      </c>
      <c r="J3095" s="44" t="s">
        <v>519</v>
      </c>
      <c r="K3095" s="44" t="s">
        <v>519</v>
      </c>
      <c r="L3095" s="44" t="s">
        <v>520</v>
      </c>
      <c r="M3095" s="44" t="s">
        <v>976</v>
      </c>
      <c r="N3095" s="44" t="s">
        <v>839</v>
      </c>
      <c r="O3095" s="45" t="s">
        <v>383</v>
      </c>
      <c r="P3095" s="45" t="s">
        <v>3760</v>
      </c>
      <c r="Q3095" s="59" t="str">
        <f>MID(Tabla1[[#This Row],[Aplicación]],14,1)</f>
        <v>2</v>
      </c>
      <c r="R3095" s="35" t="s">
        <v>298</v>
      </c>
      <c r="S3095" s="59" t="str">
        <f>MID(Tabla1[[#This Row],[Aplicación]],6,2)</f>
        <v>05</v>
      </c>
      <c r="T3095" s="35" t="str">
        <f>VLOOKUP(Tabla1[[#This Row],[AREA]],Hoja1!A:B,2,FALSE)</f>
        <v>05. Innovación, desarrollo económico, empleo y comercio</v>
      </c>
      <c r="U3095" s="56" t="str">
        <f>MID(Tabla1[[#This Row],[Aplicación]],9,4)</f>
        <v>4331</v>
      </c>
      <c r="V3095" s="35" t="str">
        <f>VLOOKUP(Tabla1[[#This Row],[PROGRAMA]],Hoja1!A:B,2,FALSE)</f>
        <v>4331. Desarrollo empresarial</v>
      </c>
      <c r="W3095" s="56" t="str">
        <f>MID(Tabla1[[#This Row],[Aplicación]],14,2)</f>
        <v>22</v>
      </c>
      <c r="X3095" s="56" t="str">
        <f>MID(Tabla1[[#This Row],[Aplicación]],14,6)</f>
        <v>22799</v>
      </c>
    </row>
    <row r="3096" spans="1:24" x14ac:dyDescent="0.25">
      <c r="A3096" s="62">
        <v>220230013633</v>
      </c>
      <c r="B3096" s="44" t="s">
        <v>507</v>
      </c>
      <c r="C3096" s="64">
        <v>45026</v>
      </c>
      <c r="D3096" s="62">
        <v>22023003425</v>
      </c>
      <c r="E3096" s="44" t="s">
        <v>835</v>
      </c>
      <c r="F3096" s="65">
        <v>14288.29</v>
      </c>
      <c r="G3096" s="44" t="s">
        <v>4780</v>
      </c>
      <c r="H3096" s="44" t="s">
        <v>4782</v>
      </c>
      <c r="I3096" s="62" t="s">
        <v>511</v>
      </c>
      <c r="J3096" s="44" t="s">
        <v>519</v>
      </c>
      <c r="K3096" s="44" t="s">
        <v>519</v>
      </c>
      <c r="L3096" s="44" t="s">
        <v>520</v>
      </c>
      <c r="M3096" s="44" t="s">
        <v>976</v>
      </c>
      <c r="N3096" s="44" t="s">
        <v>839</v>
      </c>
      <c r="O3096" s="45" t="s">
        <v>383</v>
      </c>
      <c r="P3096" s="45" t="s">
        <v>3760</v>
      </c>
      <c r="Q3096" s="59" t="str">
        <f>MID(Tabla1[[#This Row],[Aplicación]],14,1)</f>
        <v>2</v>
      </c>
      <c r="R3096" s="35" t="s">
        <v>298</v>
      </c>
      <c r="S3096" s="59" t="str">
        <f>MID(Tabla1[[#This Row],[Aplicación]],6,2)</f>
        <v>05</v>
      </c>
      <c r="T3096" s="35" t="str">
        <f>VLOOKUP(Tabla1[[#This Row],[AREA]],Hoja1!A:B,2,FALSE)</f>
        <v>05. Innovación, desarrollo económico, empleo y comercio</v>
      </c>
      <c r="U3096" s="56" t="str">
        <f>MID(Tabla1[[#This Row],[Aplicación]],9,4)</f>
        <v>4331</v>
      </c>
      <c r="V3096" s="35" t="str">
        <f>VLOOKUP(Tabla1[[#This Row],[PROGRAMA]],Hoja1!A:B,2,FALSE)</f>
        <v>4331. Desarrollo empresarial</v>
      </c>
      <c r="W3096" s="56" t="str">
        <f>MID(Tabla1[[#This Row],[Aplicación]],14,2)</f>
        <v>22</v>
      </c>
      <c r="X3096" s="56" t="str">
        <f>MID(Tabla1[[#This Row],[Aplicación]],14,6)</f>
        <v>22799</v>
      </c>
    </row>
    <row r="3097" spans="1:24" x14ac:dyDescent="0.25">
      <c r="A3097" s="62">
        <v>220230021941</v>
      </c>
      <c r="B3097" s="44" t="s">
        <v>507</v>
      </c>
      <c r="C3097" s="64">
        <v>45064</v>
      </c>
      <c r="D3097" s="62">
        <v>22023004570</v>
      </c>
      <c r="E3097" s="44" t="s">
        <v>835</v>
      </c>
      <c r="F3097" s="65">
        <v>2755.47</v>
      </c>
      <c r="G3097" s="44" t="s">
        <v>4780</v>
      </c>
      <c r="H3097" s="44" t="s">
        <v>4783</v>
      </c>
      <c r="I3097" s="62" t="s">
        <v>511</v>
      </c>
      <c r="J3097" s="44" t="s">
        <v>519</v>
      </c>
      <c r="K3097" s="44" t="s">
        <v>519</v>
      </c>
      <c r="L3097" s="44" t="s">
        <v>520</v>
      </c>
      <c r="M3097" s="44" t="s">
        <v>976</v>
      </c>
      <c r="N3097" s="44" t="s">
        <v>839</v>
      </c>
      <c r="O3097" s="45" t="s">
        <v>383</v>
      </c>
      <c r="P3097" s="45" t="s">
        <v>3760</v>
      </c>
      <c r="Q3097" s="59" t="str">
        <f>MID(Tabla1[[#This Row],[Aplicación]],14,1)</f>
        <v>2</v>
      </c>
      <c r="R3097" s="35" t="s">
        <v>298</v>
      </c>
      <c r="S3097" s="59" t="str">
        <f>MID(Tabla1[[#This Row],[Aplicación]],6,2)</f>
        <v>05</v>
      </c>
      <c r="T3097" s="35" t="str">
        <f>VLOOKUP(Tabla1[[#This Row],[AREA]],Hoja1!A:B,2,FALSE)</f>
        <v>05. Innovación, desarrollo económico, empleo y comercio</v>
      </c>
      <c r="U3097" s="56" t="str">
        <f>MID(Tabla1[[#This Row],[Aplicación]],9,4)</f>
        <v>4331</v>
      </c>
      <c r="V3097" s="35" t="str">
        <f>VLOOKUP(Tabla1[[#This Row],[PROGRAMA]],Hoja1!A:B,2,FALSE)</f>
        <v>4331. Desarrollo empresarial</v>
      </c>
      <c r="W3097" s="56" t="str">
        <f>MID(Tabla1[[#This Row],[Aplicación]],14,2)</f>
        <v>22</v>
      </c>
      <c r="X3097" s="56" t="str">
        <f>MID(Tabla1[[#This Row],[Aplicación]],14,6)</f>
        <v>22799</v>
      </c>
    </row>
    <row r="3098" spans="1:24" x14ac:dyDescent="0.25">
      <c r="A3098" s="62">
        <v>220230025214</v>
      </c>
      <c r="B3098" s="44" t="s">
        <v>507</v>
      </c>
      <c r="C3098" s="64">
        <v>45071</v>
      </c>
      <c r="D3098" s="62">
        <v>22023004638</v>
      </c>
      <c r="E3098" s="44" t="s">
        <v>4784</v>
      </c>
      <c r="F3098" s="65">
        <v>2160</v>
      </c>
      <c r="G3098" s="44" t="s">
        <v>4785</v>
      </c>
      <c r="H3098" s="44" t="s">
        <v>4786</v>
      </c>
      <c r="I3098" s="62" t="s">
        <v>511</v>
      </c>
      <c r="J3098" s="44" t="s">
        <v>519</v>
      </c>
      <c r="K3098" s="44" t="s">
        <v>519</v>
      </c>
      <c r="L3098" s="44" t="s">
        <v>552</v>
      </c>
      <c r="M3098" s="44" t="s">
        <v>976</v>
      </c>
      <c r="N3098" s="44" t="s">
        <v>839</v>
      </c>
      <c r="O3098" s="45" t="s">
        <v>383</v>
      </c>
      <c r="P3098" s="45" t="s">
        <v>3760</v>
      </c>
      <c r="Q3098" s="59" t="str">
        <f>MID(Tabla1[[#This Row],[Aplicación]],14,1)</f>
        <v>1</v>
      </c>
      <c r="R3098" s="35" t="s">
        <v>306</v>
      </c>
      <c r="S3098" s="59" t="str">
        <f>MID(Tabla1[[#This Row],[Aplicación]],6,2)</f>
        <v>04</v>
      </c>
      <c r="T3098" s="35" t="str">
        <f>VLOOKUP(Tabla1[[#This Row],[AREA]],Hoja1!A:B,2,FALSE)</f>
        <v>04. Planificación y recursos</v>
      </c>
      <c r="U3098" s="56" t="str">
        <f>MID(Tabla1[[#This Row],[Aplicación]],9,4)</f>
        <v>9202</v>
      </c>
      <c r="V3098" s="35" t="str">
        <f>VLOOKUP(Tabla1[[#This Row],[PROGRAMA]],Hoja1!A:B,2,FALSE)</f>
        <v>9202. Gestión de recursos humanos</v>
      </c>
      <c r="W3098" s="56" t="str">
        <f>MID(Tabla1[[#This Row],[Aplicación]],14,2)</f>
        <v>16</v>
      </c>
      <c r="X3098" s="56" t="str">
        <f>MID(Tabla1[[#This Row],[Aplicación]],14,6)</f>
        <v>16204</v>
      </c>
    </row>
    <row r="3099" spans="1:24" x14ac:dyDescent="0.25">
      <c r="A3099" s="62">
        <v>220230026538</v>
      </c>
      <c r="B3099" s="44" t="s">
        <v>1514</v>
      </c>
      <c r="C3099" s="64">
        <v>45077</v>
      </c>
      <c r="D3099" s="62">
        <v>22023000263</v>
      </c>
      <c r="E3099" s="44" t="s">
        <v>3146</v>
      </c>
      <c r="F3099" s="65">
        <v>354.41</v>
      </c>
      <c r="G3099" s="44" t="s">
        <v>316</v>
      </c>
      <c r="H3099" s="44" t="s">
        <v>4787</v>
      </c>
      <c r="I3099" s="62" t="s">
        <v>1517</v>
      </c>
      <c r="J3099" s="44" t="s">
        <v>1049</v>
      </c>
      <c r="K3099" s="44" t="s">
        <v>519</v>
      </c>
      <c r="L3099" s="44" t="s">
        <v>520</v>
      </c>
      <c r="M3099" s="44" t="s">
        <v>976</v>
      </c>
      <c r="N3099" s="44" t="s">
        <v>839</v>
      </c>
      <c r="O3099" s="45" t="s">
        <v>383</v>
      </c>
      <c r="P3099" s="45" t="s">
        <v>3760</v>
      </c>
      <c r="Q3099" s="59" t="str">
        <f>MID(Tabla1[[#This Row],[Aplicación]],14,1)</f>
        <v>2</v>
      </c>
      <c r="R3099" s="35" t="s">
        <v>298</v>
      </c>
      <c r="S3099" s="59" t="str">
        <f>MID(Tabla1[[#This Row],[Aplicación]],6,2)</f>
        <v>02</v>
      </c>
      <c r="T3099" s="35" t="str">
        <f>VLOOKUP(Tabla1[[#This Row],[AREA]],Hoja1!A:B,2,FALSE)</f>
        <v>02. Planeamiento urbanístico y vivienda</v>
      </c>
      <c r="U3099" s="56" t="str">
        <f>MID(Tabla1[[#This Row],[Aplicación]],9,4)</f>
        <v>9332</v>
      </c>
      <c r="V3099" s="35" t="str">
        <f>VLOOKUP(Tabla1[[#This Row],[PROGRAMA]],Hoja1!A:B,2,FALSE)</f>
        <v>9332. Mantenimiento de edificios e instalaciones municipales</v>
      </c>
      <c r="W3099" s="56" t="str">
        <f>MID(Tabla1[[#This Row],[Aplicación]],14,2)</f>
        <v>21</v>
      </c>
      <c r="X3099" s="56" t="str">
        <f>MID(Tabla1[[#This Row],[Aplicación]],14,6)</f>
        <v>214</v>
      </c>
    </row>
    <row r="3100" spans="1:24" x14ac:dyDescent="0.25">
      <c r="A3100" s="62">
        <v>220230020476</v>
      </c>
      <c r="B3100" s="44" t="s">
        <v>507</v>
      </c>
      <c r="C3100" s="64">
        <v>45057</v>
      </c>
      <c r="D3100" s="62">
        <v>22023004439</v>
      </c>
      <c r="E3100" s="44" t="s">
        <v>2558</v>
      </c>
      <c r="F3100" s="65">
        <v>6050</v>
      </c>
      <c r="G3100" s="44" t="s">
        <v>4788</v>
      </c>
      <c r="H3100" s="44" t="s">
        <v>4789</v>
      </c>
      <c r="I3100" s="62" t="s">
        <v>511</v>
      </c>
      <c r="J3100" s="44" t="s">
        <v>4790</v>
      </c>
      <c r="K3100" s="44" t="s">
        <v>519</v>
      </c>
      <c r="L3100" s="44" t="s">
        <v>552</v>
      </c>
      <c r="M3100" s="44" t="s">
        <v>976</v>
      </c>
      <c r="N3100" s="44" t="s">
        <v>839</v>
      </c>
      <c r="O3100" s="45" t="s">
        <v>383</v>
      </c>
      <c r="P3100" s="45" t="s">
        <v>3760</v>
      </c>
      <c r="Q3100" s="59" t="str">
        <f>MID(Tabla1[[#This Row],[Aplicación]],14,1)</f>
        <v>2</v>
      </c>
      <c r="R3100" s="35" t="s">
        <v>298</v>
      </c>
      <c r="S3100" s="59" t="str">
        <f>MID(Tabla1[[#This Row],[Aplicación]],6,2)</f>
        <v>08</v>
      </c>
      <c r="T3100" s="35" t="str">
        <f>VLOOKUP(Tabla1[[#This Row],[AREA]],Hoja1!A:B,2,FALSE)</f>
        <v>08. Movilidad y espacio urbano</v>
      </c>
      <c r="U3100" s="56" t="str">
        <f>MID(Tabla1[[#This Row],[Aplicación]],9,4)</f>
        <v>1532</v>
      </c>
      <c r="V3100" s="35" t="str">
        <f>VLOOKUP(Tabla1[[#This Row],[PROGRAMA]],Hoja1!A:B,2,FALSE)</f>
        <v>1532. Pavimentación vias públicas y otros servicios urbanísticos</v>
      </c>
      <c r="W3100" s="56" t="str">
        <f>MID(Tabla1[[#This Row],[Aplicación]],14,2)</f>
        <v>22</v>
      </c>
      <c r="X3100" s="56" t="str">
        <f>MID(Tabla1[[#This Row],[Aplicación]],14,6)</f>
        <v>22199</v>
      </c>
    </row>
    <row r="3101" spans="1:24" x14ac:dyDescent="0.25">
      <c r="A3101" s="62">
        <v>220220051018</v>
      </c>
      <c r="B3101" s="44" t="s">
        <v>507</v>
      </c>
      <c r="C3101" s="64">
        <v>45037</v>
      </c>
      <c r="D3101" s="62">
        <v>22023004138</v>
      </c>
      <c r="E3101" s="44" t="s">
        <v>4791</v>
      </c>
      <c r="F3101" s="65">
        <v>38236</v>
      </c>
      <c r="G3101" s="44" t="s">
        <v>4792</v>
      </c>
      <c r="H3101" s="44" t="s">
        <v>4793</v>
      </c>
      <c r="I3101" s="62" t="s">
        <v>511</v>
      </c>
      <c r="J3101" s="44" t="s">
        <v>519</v>
      </c>
      <c r="K3101" s="44" t="s">
        <v>519</v>
      </c>
      <c r="L3101" s="44" t="s">
        <v>527</v>
      </c>
      <c r="M3101" s="44" t="s">
        <v>976</v>
      </c>
      <c r="N3101" s="44" t="s">
        <v>839</v>
      </c>
      <c r="O3101" s="45" t="s">
        <v>383</v>
      </c>
      <c r="P3101" s="45" t="s">
        <v>3760</v>
      </c>
      <c r="Q3101" s="59" t="str">
        <f>MID(Tabla1[[#This Row],[Aplicación]],14,1)</f>
        <v>6</v>
      </c>
      <c r="R3101" s="35" t="s">
        <v>299</v>
      </c>
      <c r="S3101" s="59" t="str">
        <f>MID(Tabla1[[#This Row],[Aplicación]],6,2)</f>
        <v>11</v>
      </c>
      <c r="T3101" s="35" t="str">
        <f>VLOOKUP(Tabla1[[#This Row],[AREA]],Hoja1!A:B,2,FALSE)</f>
        <v>11. Salud pública y seguridad ciudadana</v>
      </c>
      <c r="U3101" s="56" t="str">
        <f>MID(Tabla1[[#This Row],[Aplicación]],9,4)</f>
        <v>1361</v>
      </c>
      <c r="V3101" s="35" t="str">
        <f>VLOOKUP(Tabla1[[#This Row],[PROGRAMA]],Hoja1!A:B,2,FALSE)</f>
        <v>1361. Prevención y extinción de incencios</v>
      </c>
      <c r="W3101" s="56" t="str">
        <f>MID(Tabla1[[#This Row],[Aplicación]],14,2)</f>
        <v>63</v>
      </c>
      <c r="X3101" s="56" t="str">
        <f>MID(Tabla1[[#This Row],[Aplicación]],14,6)</f>
        <v>632</v>
      </c>
    </row>
    <row r="3102" spans="1:24" x14ac:dyDescent="0.25">
      <c r="A3102" s="62">
        <v>220230016025</v>
      </c>
      <c r="B3102" s="44" t="s">
        <v>507</v>
      </c>
      <c r="C3102" s="64">
        <v>45042</v>
      </c>
      <c r="D3102" s="62">
        <v>22023004178</v>
      </c>
      <c r="E3102" s="44" t="s">
        <v>693</v>
      </c>
      <c r="F3102" s="65">
        <v>515.55999999999995</v>
      </c>
      <c r="G3102" s="44" t="s">
        <v>4794</v>
      </c>
      <c r="H3102" s="44" t="s">
        <v>4795</v>
      </c>
      <c r="I3102" s="62" t="s">
        <v>511</v>
      </c>
      <c r="J3102" s="44" t="s">
        <v>4796</v>
      </c>
      <c r="K3102" s="44" t="s">
        <v>837</v>
      </c>
      <c r="L3102" s="44" t="s">
        <v>520</v>
      </c>
      <c r="M3102" s="44" t="s">
        <v>976</v>
      </c>
      <c r="N3102" s="44" t="s">
        <v>839</v>
      </c>
      <c r="O3102" s="45" t="s">
        <v>383</v>
      </c>
      <c r="P3102" s="45" t="s">
        <v>3760</v>
      </c>
      <c r="Q3102" s="59" t="str">
        <f>MID(Tabla1[[#This Row],[Aplicación]],14,1)</f>
        <v>2</v>
      </c>
      <c r="R3102" s="35" t="s">
        <v>298</v>
      </c>
      <c r="S3102" s="59" t="str">
        <f>MID(Tabla1[[#This Row],[Aplicación]],6,2)</f>
        <v>11</v>
      </c>
      <c r="T3102" s="35" t="str">
        <f>VLOOKUP(Tabla1[[#This Row],[AREA]],Hoja1!A:B,2,FALSE)</f>
        <v>11. Salud pública y seguridad ciudadana</v>
      </c>
      <c r="U3102" s="56" t="str">
        <f>MID(Tabla1[[#This Row],[Aplicación]],9,4)</f>
        <v>1361</v>
      </c>
      <c r="V3102" s="35" t="str">
        <f>VLOOKUP(Tabla1[[#This Row],[PROGRAMA]],Hoja1!A:B,2,FALSE)</f>
        <v>1361. Prevención y extinción de incencios</v>
      </c>
      <c r="W3102" s="56" t="str">
        <f>MID(Tabla1[[#This Row],[Aplicación]],14,2)</f>
        <v>21</v>
      </c>
      <c r="X3102" s="56" t="str">
        <f>MID(Tabla1[[#This Row],[Aplicación]],14,6)</f>
        <v>213</v>
      </c>
    </row>
    <row r="3103" spans="1:24" x14ac:dyDescent="0.25">
      <c r="A3103" s="62">
        <v>220230017057</v>
      </c>
      <c r="B3103" s="44" t="s">
        <v>507</v>
      </c>
      <c r="C3103" s="64">
        <v>45048</v>
      </c>
      <c r="D3103" s="62">
        <v>22023003899</v>
      </c>
      <c r="E3103" s="44" t="s">
        <v>967</v>
      </c>
      <c r="F3103" s="65">
        <v>16494.5</v>
      </c>
      <c r="G3103" s="44" t="s">
        <v>584</v>
      </c>
      <c r="H3103" s="44" t="s">
        <v>4797</v>
      </c>
      <c r="I3103" s="62" t="s">
        <v>511</v>
      </c>
      <c r="J3103" s="44" t="s">
        <v>519</v>
      </c>
      <c r="K3103" s="44" t="s">
        <v>519</v>
      </c>
      <c r="L3103" s="44" t="s">
        <v>520</v>
      </c>
      <c r="M3103" s="44" t="s">
        <v>976</v>
      </c>
      <c r="N3103" s="44" t="s">
        <v>839</v>
      </c>
      <c r="O3103" s="45" t="s">
        <v>383</v>
      </c>
      <c r="P3103" s="45" t="s">
        <v>3760</v>
      </c>
      <c r="Q3103" s="59" t="str">
        <f>MID(Tabla1[[#This Row],[Aplicación]],14,1)</f>
        <v>2</v>
      </c>
      <c r="R3103" s="35" t="s">
        <v>298</v>
      </c>
      <c r="S3103" s="59" t="str">
        <f>MID(Tabla1[[#This Row],[Aplicación]],6,2)</f>
        <v>11</v>
      </c>
      <c r="T3103" s="35" t="str">
        <f>VLOOKUP(Tabla1[[#This Row],[AREA]],Hoja1!A:B,2,FALSE)</f>
        <v>11. Salud pública y seguridad ciudadana</v>
      </c>
      <c r="U3103" s="56" t="str">
        <f>MID(Tabla1[[#This Row],[Aplicación]],9,4)</f>
        <v>1631</v>
      </c>
      <c r="V3103" s="35" t="str">
        <f>VLOOKUP(Tabla1[[#This Row],[PROGRAMA]],Hoja1!A:B,2,FALSE)</f>
        <v>1631. Limpieza viaria</v>
      </c>
      <c r="W3103" s="56" t="str">
        <f>MID(Tabla1[[#This Row],[Aplicación]],14,2)</f>
        <v>22</v>
      </c>
      <c r="X3103" s="56" t="str">
        <f>MID(Tabla1[[#This Row],[Aplicación]],14,6)</f>
        <v>22700</v>
      </c>
    </row>
    <row r="3104" spans="1:24" x14ac:dyDescent="0.25">
      <c r="A3104" s="62">
        <v>220230015981</v>
      </c>
      <c r="B3104" s="44" t="s">
        <v>507</v>
      </c>
      <c r="C3104" s="64">
        <v>45042</v>
      </c>
      <c r="D3104" s="62">
        <v>22023004025</v>
      </c>
      <c r="E3104" s="44" t="s">
        <v>1011</v>
      </c>
      <c r="F3104" s="65">
        <v>6328.3</v>
      </c>
      <c r="G3104" s="44" t="s">
        <v>4798</v>
      </c>
      <c r="H3104" s="44" t="s">
        <v>4799</v>
      </c>
      <c r="I3104" s="62" t="s">
        <v>511</v>
      </c>
      <c r="J3104" s="44" t="s">
        <v>519</v>
      </c>
      <c r="K3104" s="44" t="s">
        <v>519</v>
      </c>
      <c r="L3104" s="44" t="s">
        <v>520</v>
      </c>
      <c r="M3104" s="44" t="s">
        <v>976</v>
      </c>
      <c r="N3104" s="44" t="s">
        <v>839</v>
      </c>
      <c r="O3104" s="45" t="s">
        <v>383</v>
      </c>
      <c r="P3104" s="45" t="s">
        <v>3760</v>
      </c>
      <c r="Q3104" s="59" t="str">
        <f>MID(Tabla1[[#This Row],[Aplicación]],14,1)</f>
        <v>2</v>
      </c>
      <c r="R3104" s="35" t="s">
        <v>298</v>
      </c>
      <c r="S3104" s="59" t="str">
        <f>MID(Tabla1[[#This Row],[Aplicación]],6,2)</f>
        <v>09</v>
      </c>
      <c r="T3104" s="35" t="str">
        <f>VLOOKUP(Tabla1[[#This Row],[AREA]],Hoja1!A:B,2,FALSE)</f>
        <v>09. Cultura y turismo</v>
      </c>
      <c r="U3104" s="56" t="str">
        <f>MID(Tabla1[[#This Row],[Aplicación]],9,4)</f>
        <v>3341</v>
      </c>
      <c r="V3104" s="35" t="str">
        <f>VLOOKUP(Tabla1[[#This Row],[PROGRAMA]],Hoja1!A:B,2,FALSE)</f>
        <v>3341. Coordinación de políticas culturales</v>
      </c>
      <c r="W3104" s="56" t="str">
        <f>MID(Tabla1[[#This Row],[Aplicación]],14,2)</f>
        <v>22</v>
      </c>
      <c r="X3104" s="56" t="str">
        <f>MID(Tabla1[[#This Row],[Aplicación]],14,6)</f>
        <v>22609</v>
      </c>
    </row>
    <row r="3105" spans="1:24" x14ac:dyDescent="0.25">
      <c r="A3105" s="62">
        <v>220230013738</v>
      </c>
      <c r="B3105" s="44" t="s">
        <v>507</v>
      </c>
      <c r="C3105" s="64">
        <v>45027</v>
      </c>
      <c r="D3105" s="62">
        <v>22023003782</v>
      </c>
      <c r="E3105" s="44" t="s">
        <v>1052</v>
      </c>
      <c r="F3105" s="65">
        <v>1790.8</v>
      </c>
      <c r="G3105" s="44" t="s">
        <v>3568</v>
      </c>
      <c r="H3105" s="44" t="s">
        <v>4800</v>
      </c>
      <c r="I3105" s="62" t="s">
        <v>511</v>
      </c>
      <c r="J3105" s="44" t="s">
        <v>519</v>
      </c>
      <c r="K3105" s="44" t="s">
        <v>519</v>
      </c>
      <c r="L3105" s="44" t="s">
        <v>520</v>
      </c>
      <c r="M3105" s="44" t="s">
        <v>976</v>
      </c>
      <c r="N3105" s="44" t="s">
        <v>839</v>
      </c>
      <c r="O3105" s="45" t="s">
        <v>383</v>
      </c>
      <c r="P3105" s="45" t="s">
        <v>3760</v>
      </c>
      <c r="Q3105" s="59" t="str">
        <f>MID(Tabla1[[#This Row],[Aplicación]],14,1)</f>
        <v>2</v>
      </c>
      <c r="R3105" s="35" t="s">
        <v>298</v>
      </c>
      <c r="S3105" s="59" t="str">
        <f>MID(Tabla1[[#This Row],[Aplicación]],6,2)</f>
        <v>09</v>
      </c>
      <c r="T3105" s="35" t="str">
        <f>VLOOKUP(Tabla1[[#This Row],[AREA]],Hoja1!A:B,2,FALSE)</f>
        <v>09. Cultura y turismo</v>
      </c>
      <c r="U3105" s="56" t="str">
        <f>MID(Tabla1[[#This Row],[Aplicación]],9,4)</f>
        <v>4321</v>
      </c>
      <c r="V3105" s="35" t="str">
        <f>VLOOKUP(Tabla1[[#This Row],[PROGRAMA]],Hoja1!A:B,2,FALSE)</f>
        <v>4321. Turismo</v>
      </c>
      <c r="W3105" s="56" t="str">
        <f>MID(Tabla1[[#This Row],[Aplicación]],14,2)</f>
        <v>22</v>
      </c>
      <c r="X3105" s="56" t="str">
        <f>MID(Tabla1[[#This Row],[Aplicación]],14,6)</f>
        <v>22799</v>
      </c>
    </row>
    <row r="3106" spans="1:24" x14ac:dyDescent="0.25">
      <c r="A3106" s="62">
        <v>220230025213</v>
      </c>
      <c r="B3106" s="44" t="s">
        <v>507</v>
      </c>
      <c r="C3106" s="64">
        <v>45071</v>
      </c>
      <c r="D3106" s="62">
        <v>22023004757</v>
      </c>
      <c r="E3106" s="44" t="s">
        <v>4801</v>
      </c>
      <c r="F3106" s="65">
        <v>242</v>
      </c>
      <c r="G3106" s="44" t="s">
        <v>3581</v>
      </c>
      <c r="H3106" s="44" t="s">
        <v>4802</v>
      </c>
      <c r="I3106" s="62" t="s">
        <v>511</v>
      </c>
      <c r="J3106" s="44" t="s">
        <v>519</v>
      </c>
      <c r="K3106" s="44" t="s">
        <v>519</v>
      </c>
      <c r="L3106" s="44" t="s">
        <v>520</v>
      </c>
      <c r="M3106" s="44" t="s">
        <v>976</v>
      </c>
      <c r="N3106" s="44" t="s">
        <v>839</v>
      </c>
      <c r="O3106" s="45" t="s">
        <v>383</v>
      </c>
      <c r="P3106" s="45" t="s">
        <v>3760</v>
      </c>
      <c r="Q3106" s="59" t="str">
        <f>MID(Tabla1[[#This Row],[Aplicación]],14,1)</f>
        <v>2</v>
      </c>
      <c r="R3106" s="35" t="s">
        <v>298</v>
      </c>
      <c r="S3106" s="59" t="str">
        <f>MID(Tabla1[[#This Row],[Aplicación]],6,2)</f>
        <v>10</v>
      </c>
      <c r="T3106" s="35" t="str">
        <f>VLOOKUP(Tabla1[[#This Row],[AREA]],Hoja1!A:B,2,FALSE)</f>
        <v>10. Servicios sociales y mediación comunitaria</v>
      </c>
      <c r="U3106" s="56" t="str">
        <f>MID(Tabla1[[#This Row],[Aplicación]],9,4)</f>
        <v>2316</v>
      </c>
      <c r="V3106" s="35" t="str">
        <f>VLOOKUP(Tabla1[[#This Row],[PROGRAMA]],Hoja1!A:B,2,FALSE)</f>
        <v>2316. Mediación comunitaria</v>
      </c>
      <c r="W3106" s="56" t="str">
        <f>MID(Tabla1[[#This Row],[Aplicación]],14,2)</f>
        <v>22</v>
      </c>
      <c r="X3106" s="56" t="str">
        <f>MID(Tabla1[[#This Row],[Aplicación]],14,6)</f>
        <v>22699</v>
      </c>
    </row>
    <row r="3107" spans="1:24" x14ac:dyDescent="0.25">
      <c r="A3107" s="62">
        <v>220230020539</v>
      </c>
      <c r="B3107" s="44" t="s">
        <v>507</v>
      </c>
      <c r="C3107" s="64">
        <v>45058</v>
      </c>
      <c r="D3107" s="62">
        <v>22023004431</v>
      </c>
      <c r="E3107" s="44" t="s">
        <v>4803</v>
      </c>
      <c r="F3107" s="65">
        <v>1868.24</v>
      </c>
      <c r="G3107" s="44" t="s">
        <v>23</v>
      </c>
      <c r="H3107" s="44" t="s">
        <v>4804</v>
      </c>
      <c r="I3107" s="62" t="s">
        <v>511</v>
      </c>
      <c r="J3107" s="44" t="s">
        <v>519</v>
      </c>
      <c r="K3107" s="44" t="s">
        <v>519</v>
      </c>
      <c r="L3107" s="44" t="s">
        <v>520</v>
      </c>
      <c r="M3107" s="44" t="s">
        <v>976</v>
      </c>
      <c r="N3107" s="44" t="s">
        <v>839</v>
      </c>
      <c r="O3107" s="45" t="s">
        <v>383</v>
      </c>
      <c r="P3107" s="45" t="s">
        <v>3760</v>
      </c>
      <c r="Q3107" s="59" t="str">
        <f>MID(Tabla1[[#This Row],[Aplicación]],14,1)</f>
        <v>6</v>
      </c>
      <c r="R3107" s="35" t="s">
        <v>299</v>
      </c>
      <c r="S3107" s="59" t="str">
        <f>MID(Tabla1[[#This Row],[Aplicación]],6,2)</f>
        <v>10</v>
      </c>
      <c r="T3107" s="35" t="str">
        <f>VLOOKUP(Tabla1[[#This Row],[AREA]],Hoja1!A:B,2,FALSE)</f>
        <v>10. Servicios sociales y mediación comunitaria</v>
      </c>
      <c r="U3107" s="56" t="str">
        <f>MID(Tabla1[[#This Row],[Aplicación]],9,4)</f>
        <v>2311</v>
      </c>
      <c r="V3107" s="35" t="str">
        <f>VLOOKUP(Tabla1[[#This Row],[PROGRAMA]],Hoja1!A:B,2,FALSE)</f>
        <v>2311. Intervención social</v>
      </c>
      <c r="W3107" s="56" t="str">
        <f>MID(Tabla1[[#This Row],[Aplicación]],14,2)</f>
        <v>63</v>
      </c>
      <c r="X3107" s="56" t="str">
        <f>MID(Tabla1[[#This Row],[Aplicación]],14,6)</f>
        <v>632</v>
      </c>
    </row>
    <row r="3108" spans="1:24" x14ac:dyDescent="0.25">
      <c r="A3108" s="62">
        <v>220230016854</v>
      </c>
      <c r="B3108" s="44" t="s">
        <v>507</v>
      </c>
      <c r="C3108" s="64">
        <v>45048</v>
      </c>
      <c r="D3108" s="62">
        <v>22023004194</v>
      </c>
      <c r="E3108" s="44" t="s">
        <v>1382</v>
      </c>
      <c r="F3108" s="65">
        <v>290.39999999999998</v>
      </c>
      <c r="G3108" s="44" t="s">
        <v>797</v>
      </c>
      <c r="H3108" s="44" t="s">
        <v>4805</v>
      </c>
      <c r="I3108" s="62" t="s">
        <v>511</v>
      </c>
      <c r="J3108" s="44" t="s">
        <v>519</v>
      </c>
      <c r="K3108" s="44" t="s">
        <v>519</v>
      </c>
      <c r="L3108" s="44" t="s">
        <v>520</v>
      </c>
      <c r="M3108" s="44" t="s">
        <v>976</v>
      </c>
      <c r="N3108" s="44" t="s">
        <v>839</v>
      </c>
      <c r="O3108" s="45" t="s">
        <v>383</v>
      </c>
      <c r="P3108" s="45" t="s">
        <v>3760</v>
      </c>
      <c r="Q3108" s="59" t="str">
        <f>MID(Tabla1[[#This Row],[Aplicación]],14,1)</f>
        <v>2</v>
      </c>
      <c r="R3108" s="35" t="s">
        <v>298</v>
      </c>
      <c r="S3108" s="59" t="str">
        <f>MID(Tabla1[[#This Row],[Aplicación]],6,2)</f>
        <v>03</v>
      </c>
      <c r="T3108" s="35" t="str">
        <f>VLOOKUP(Tabla1[[#This Row],[AREA]],Hoja1!A:B,2,FALSE)</f>
        <v>03. Participación ciudadana y deportes</v>
      </c>
      <c r="U3108" s="56" t="str">
        <f>MID(Tabla1[[#This Row],[Aplicación]],9,4)</f>
        <v>9241</v>
      </c>
      <c r="V3108" s="35" t="str">
        <f>VLOOKUP(Tabla1[[#This Row],[PROGRAMA]],Hoja1!A:B,2,FALSE)</f>
        <v>9241. Participación ciudadana</v>
      </c>
      <c r="W3108" s="56" t="str">
        <f>MID(Tabla1[[#This Row],[Aplicación]],14,2)</f>
        <v>22</v>
      </c>
      <c r="X3108" s="56" t="str">
        <f>MID(Tabla1[[#This Row],[Aplicación]],14,6)</f>
        <v>22699</v>
      </c>
    </row>
    <row r="3109" spans="1:24" x14ac:dyDescent="0.25">
      <c r="A3109" s="62">
        <v>220230025382</v>
      </c>
      <c r="B3109" s="44" t="s">
        <v>507</v>
      </c>
      <c r="C3109" s="64">
        <v>45072</v>
      </c>
      <c r="D3109" s="62">
        <v>22023004534</v>
      </c>
      <c r="E3109" s="44" t="s">
        <v>1436</v>
      </c>
      <c r="F3109" s="65">
        <v>5481.8</v>
      </c>
      <c r="G3109" s="44" t="s">
        <v>402</v>
      </c>
      <c r="H3109" s="44" t="s">
        <v>4806</v>
      </c>
      <c r="I3109" s="62" t="s">
        <v>511</v>
      </c>
      <c r="J3109" s="44" t="s">
        <v>519</v>
      </c>
      <c r="K3109" s="44" t="s">
        <v>519</v>
      </c>
      <c r="L3109" s="44" t="s">
        <v>520</v>
      </c>
      <c r="M3109" s="44" t="s">
        <v>976</v>
      </c>
      <c r="N3109" s="44" t="s">
        <v>839</v>
      </c>
      <c r="O3109" s="45" t="s">
        <v>383</v>
      </c>
      <c r="P3109" s="45" t="s">
        <v>3760</v>
      </c>
      <c r="Q3109" s="59" t="str">
        <f>MID(Tabla1[[#This Row],[Aplicación]],14,1)</f>
        <v>2</v>
      </c>
      <c r="R3109" s="35" t="s">
        <v>298</v>
      </c>
      <c r="S3109" s="59" t="str">
        <f>MID(Tabla1[[#This Row],[Aplicación]],6,2)</f>
        <v>04</v>
      </c>
      <c r="T3109" s="35" t="str">
        <f>VLOOKUP(Tabla1[[#This Row],[AREA]],Hoja1!A:B,2,FALSE)</f>
        <v>04. Planificación y recursos</v>
      </c>
      <c r="U3109" s="56" t="str">
        <f>MID(Tabla1[[#This Row],[Aplicación]],9,4)</f>
        <v>9202</v>
      </c>
      <c r="V3109" s="35" t="str">
        <f>VLOOKUP(Tabla1[[#This Row],[PROGRAMA]],Hoja1!A:B,2,FALSE)</f>
        <v>9202. Gestión de recursos humanos</v>
      </c>
      <c r="W3109" s="56" t="str">
        <f>MID(Tabla1[[#This Row],[Aplicación]],14,2)</f>
        <v>22</v>
      </c>
      <c r="X3109" s="56" t="str">
        <f>MID(Tabla1[[#This Row],[Aplicación]],14,6)</f>
        <v>22607</v>
      </c>
    </row>
    <row r="3110" spans="1:24" x14ac:dyDescent="0.25">
      <c r="A3110" s="62">
        <v>220230015356</v>
      </c>
      <c r="B3110" s="44" t="s">
        <v>507</v>
      </c>
      <c r="C3110" s="64">
        <v>45041</v>
      </c>
      <c r="D3110" s="62">
        <v>22023003908</v>
      </c>
      <c r="E3110" s="44" t="s">
        <v>1436</v>
      </c>
      <c r="F3110" s="65">
        <v>1436.55</v>
      </c>
      <c r="G3110" s="44" t="s">
        <v>402</v>
      </c>
      <c r="H3110" s="44" t="s">
        <v>4807</v>
      </c>
      <c r="I3110" s="62" t="s">
        <v>511</v>
      </c>
      <c r="J3110" s="44" t="s">
        <v>519</v>
      </c>
      <c r="K3110" s="44" t="s">
        <v>519</v>
      </c>
      <c r="L3110" s="44" t="s">
        <v>520</v>
      </c>
      <c r="M3110" s="44" t="s">
        <v>976</v>
      </c>
      <c r="N3110" s="44" t="s">
        <v>839</v>
      </c>
      <c r="O3110" s="45" t="s">
        <v>383</v>
      </c>
      <c r="P3110" s="45" t="s">
        <v>3760</v>
      </c>
      <c r="Q3110" s="59" t="str">
        <f>MID(Tabla1[[#This Row],[Aplicación]],14,1)</f>
        <v>2</v>
      </c>
      <c r="R3110" s="35" t="s">
        <v>298</v>
      </c>
      <c r="S3110" s="59" t="str">
        <f>MID(Tabla1[[#This Row],[Aplicación]],6,2)</f>
        <v>04</v>
      </c>
      <c r="T3110" s="35" t="str">
        <f>VLOOKUP(Tabla1[[#This Row],[AREA]],Hoja1!A:B,2,FALSE)</f>
        <v>04. Planificación y recursos</v>
      </c>
      <c r="U3110" s="56" t="str">
        <f>MID(Tabla1[[#This Row],[Aplicación]],9,4)</f>
        <v>9202</v>
      </c>
      <c r="V3110" s="35" t="str">
        <f>VLOOKUP(Tabla1[[#This Row],[PROGRAMA]],Hoja1!A:B,2,FALSE)</f>
        <v>9202. Gestión de recursos humanos</v>
      </c>
      <c r="W3110" s="56" t="str">
        <f>MID(Tabla1[[#This Row],[Aplicación]],14,2)</f>
        <v>22</v>
      </c>
      <c r="X3110" s="56" t="str">
        <f>MID(Tabla1[[#This Row],[Aplicación]],14,6)</f>
        <v>22607</v>
      </c>
    </row>
    <row r="3111" spans="1:24" x14ac:dyDescent="0.25">
      <c r="A3111" s="62">
        <v>220230015082</v>
      </c>
      <c r="B3111" s="44" t="s">
        <v>507</v>
      </c>
      <c r="C3111" s="64">
        <v>45041</v>
      </c>
      <c r="D3111" s="62">
        <v>22023003716</v>
      </c>
      <c r="E3111" s="44" t="s">
        <v>553</v>
      </c>
      <c r="F3111" s="65">
        <v>4393.3900000000003</v>
      </c>
      <c r="G3111" s="44" t="s">
        <v>4808</v>
      </c>
      <c r="H3111" s="44" t="s">
        <v>4809</v>
      </c>
      <c r="I3111" s="62" t="s">
        <v>511</v>
      </c>
      <c r="J3111" s="44" t="s">
        <v>4732</v>
      </c>
      <c r="K3111" s="44" t="s">
        <v>4733</v>
      </c>
      <c r="L3111" s="44" t="s">
        <v>552</v>
      </c>
      <c r="M3111" s="44" t="s">
        <v>976</v>
      </c>
      <c r="N3111" s="44" t="s">
        <v>839</v>
      </c>
      <c r="O3111" s="45" t="s">
        <v>383</v>
      </c>
      <c r="P3111" s="45" t="s">
        <v>3760</v>
      </c>
      <c r="Q3111" s="59" t="str">
        <f>MID(Tabla1[[#This Row],[Aplicación]],14,1)</f>
        <v>6</v>
      </c>
      <c r="R3111" s="35" t="s">
        <v>299</v>
      </c>
      <c r="S3111" s="59" t="str">
        <f>MID(Tabla1[[#This Row],[Aplicación]],6,2)</f>
        <v>11</v>
      </c>
      <c r="T3111" s="35" t="str">
        <f>VLOOKUP(Tabla1[[#This Row],[AREA]],Hoja1!A:B,2,FALSE)</f>
        <v>11. Salud pública y seguridad ciudadana</v>
      </c>
      <c r="U3111" s="56" t="str">
        <f>MID(Tabla1[[#This Row],[Aplicación]],9,4)</f>
        <v>1361</v>
      </c>
      <c r="V3111" s="35" t="str">
        <f>VLOOKUP(Tabla1[[#This Row],[PROGRAMA]],Hoja1!A:B,2,FALSE)</f>
        <v>1361. Prevención y extinción de incencios</v>
      </c>
      <c r="W3111" s="56" t="str">
        <f>MID(Tabla1[[#This Row],[Aplicación]],14,2)</f>
        <v>62</v>
      </c>
      <c r="X3111" s="56" t="str">
        <f>MID(Tabla1[[#This Row],[Aplicación]],14,6)</f>
        <v>624</v>
      </c>
    </row>
    <row r="3112" spans="1:24" x14ac:dyDescent="0.25">
      <c r="A3112" s="62">
        <v>220230017049</v>
      </c>
      <c r="B3112" s="44" t="s">
        <v>507</v>
      </c>
      <c r="C3112" s="64">
        <v>45048</v>
      </c>
      <c r="D3112" s="62">
        <v>22023004097</v>
      </c>
      <c r="E3112" s="44" t="s">
        <v>2624</v>
      </c>
      <c r="F3112" s="65">
        <v>1946.29</v>
      </c>
      <c r="G3112" s="44" t="s">
        <v>96</v>
      </c>
      <c r="H3112" s="44" t="s">
        <v>4810</v>
      </c>
      <c r="I3112" s="62" t="s">
        <v>511</v>
      </c>
      <c r="J3112" s="44" t="s">
        <v>519</v>
      </c>
      <c r="K3112" s="44" t="s">
        <v>519</v>
      </c>
      <c r="L3112" s="44" t="s">
        <v>552</v>
      </c>
      <c r="M3112" s="44" t="s">
        <v>976</v>
      </c>
      <c r="N3112" s="44" t="s">
        <v>839</v>
      </c>
      <c r="O3112" s="45" t="s">
        <v>383</v>
      </c>
      <c r="P3112" s="45" t="s">
        <v>3760</v>
      </c>
      <c r="Q3112" s="59" t="str">
        <f>MID(Tabla1[[#This Row],[Aplicación]],14,1)</f>
        <v>2</v>
      </c>
      <c r="R3112" s="35" t="s">
        <v>298</v>
      </c>
      <c r="S3112" s="59" t="str">
        <f>MID(Tabla1[[#This Row],[Aplicación]],6,2)</f>
        <v>11</v>
      </c>
      <c r="T3112" s="35" t="str">
        <f>VLOOKUP(Tabla1[[#This Row],[AREA]],Hoja1!A:B,2,FALSE)</f>
        <v>11. Salud pública y seguridad ciudadana</v>
      </c>
      <c r="U3112" s="56" t="str">
        <f>MID(Tabla1[[#This Row],[Aplicación]],9,4)</f>
        <v>1621</v>
      </c>
      <c r="V3112" s="35" t="str">
        <f>VLOOKUP(Tabla1[[#This Row],[PROGRAMA]],Hoja1!A:B,2,FALSE)</f>
        <v>1621. Servicio de limpieza</v>
      </c>
      <c r="W3112" s="56" t="str">
        <f>MID(Tabla1[[#This Row],[Aplicación]],14,2)</f>
        <v>22</v>
      </c>
      <c r="X3112" s="56" t="str">
        <f>MID(Tabla1[[#This Row],[Aplicación]],14,6)</f>
        <v>22199</v>
      </c>
    </row>
    <row r="3113" spans="1:24" x14ac:dyDescent="0.25">
      <c r="A3113" s="62">
        <v>220230013638</v>
      </c>
      <c r="B3113" s="44" t="s">
        <v>507</v>
      </c>
      <c r="C3113" s="64">
        <v>45026</v>
      </c>
      <c r="D3113" s="62">
        <v>22023003758</v>
      </c>
      <c r="E3113" s="44" t="s">
        <v>4000</v>
      </c>
      <c r="F3113" s="65">
        <v>720</v>
      </c>
      <c r="G3113" s="44" t="s">
        <v>1879</v>
      </c>
      <c r="H3113" s="44" t="s">
        <v>4811</v>
      </c>
      <c r="I3113" s="62" t="s">
        <v>511</v>
      </c>
      <c r="J3113" s="44" t="s">
        <v>545</v>
      </c>
      <c r="K3113" s="44" t="s">
        <v>545</v>
      </c>
      <c r="L3113" s="44" t="s">
        <v>520</v>
      </c>
      <c r="M3113" s="44" t="s">
        <v>514</v>
      </c>
      <c r="N3113" s="44" t="s">
        <v>515</v>
      </c>
      <c r="O3113" s="45" t="s">
        <v>382</v>
      </c>
      <c r="P3113" s="45" t="s">
        <v>3760</v>
      </c>
      <c r="Q3113" s="59" t="str">
        <f>MID(Tabla1[[#This Row],[Aplicación]],14,1)</f>
        <v>2</v>
      </c>
      <c r="R3113" s="35" t="s">
        <v>298</v>
      </c>
      <c r="S3113" s="59" t="str">
        <f>MID(Tabla1[[#This Row],[Aplicación]],6,2)</f>
        <v>04</v>
      </c>
      <c r="T3113" s="35" t="str">
        <f>VLOOKUP(Tabla1[[#This Row],[AREA]],Hoja1!A:B,2,FALSE)</f>
        <v>04. Planificación y recursos</v>
      </c>
      <c r="U3113" s="56" t="str">
        <f>MID(Tabla1[[#This Row],[Aplicación]],9,4)</f>
        <v>9231</v>
      </c>
      <c r="V3113" s="35" t="str">
        <f>VLOOKUP(Tabla1[[#This Row],[PROGRAMA]],Hoja1!A:B,2,FALSE)</f>
        <v>9231. Información, registro y gestión del padrón</v>
      </c>
      <c r="W3113" s="56" t="str">
        <f>MID(Tabla1[[#This Row],[Aplicación]],14,2)</f>
        <v>22</v>
      </c>
      <c r="X3113" s="56" t="str">
        <f>MID(Tabla1[[#This Row],[Aplicación]],14,6)</f>
        <v>22705</v>
      </c>
    </row>
    <row r="3114" spans="1:24" x14ac:dyDescent="0.25">
      <c r="A3114" s="62">
        <v>220230022646</v>
      </c>
      <c r="B3114" s="44" t="s">
        <v>507</v>
      </c>
      <c r="C3114" s="64">
        <v>45068</v>
      </c>
      <c r="D3114" s="62">
        <v>22023004629</v>
      </c>
      <c r="E3114" s="44" t="s">
        <v>1532</v>
      </c>
      <c r="F3114" s="65">
        <v>302.5</v>
      </c>
      <c r="G3114" s="44" t="s">
        <v>96</v>
      </c>
      <c r="H3114" s="44" t="s">
        <v>4049</v>
      </c>
      <c r="I3114" s="62" t="s">
        <v>511</v>
      </c>
      <c r="J3114" s="44" t="s">
        <v>519</v>
      </c>
      <c r="K3114" s="44" t="s">
        <v>519</v>
      </c>
      <c r="L3114" s="44" t="s">
        <v>552</v>
      </c>
      <c r="M3114" s="44" t="s">
        <v>976</v>
      </c>
      <c r="N3114" s="44" t="s">
        <v>839</v>
      </c>
      <c r="O3114" s="45" t="s">
        <v>383</v>
      </c>
      <c r="P3114" s="45" t="s">
        <v>3760</v>
      </c>
      <c r="Q3114" s="59" t="str">
        <f>MID(Tabla1[[#This Row],[Aplicación]],14,1)</f>
        <v>2</v>
      </c>
      <c r="R3114" s="35" t="s">
        <v>298</v>
      </c>
      <c r="S3114" s="59" t="str">
        <f>MID(Tabla1[[#This Row],[Aplicación]],6,2)</f>
        <v>09</v>
      </c>
      <c r="T3114" s="35" t="str">
        <f>VLOOKUP(Tabla1[[#This Row],[AREA]],Hoja1!A:B,2,FALSE)</f>
        <v>09. Cultura y turismo</v>
      </c>
      <c r="U3114" s="56" t="str">
        <f>MID(Tabla1[[#This Row],[Aplicación]],9,4)</f>
        <v>3341</v>
      </c>
      <c r="V3114" s="35" t="str">
        <f>VLOOKUP(Tabla1[[#This Row],[PROGRAMA]],Hoja1!A:B,2,FALSE)</f>
        <v>3341. Coordinación de políticas culturales</v>
      </c>
      <c r="W3114" s="56" t="str">
        <f>MID(Tabla1[[#This Row],[Aplicación]],14,2)</f>
        <v>22</v>
      </c>
      <c r="X3114" s="56" t="str">
        <f>MID(Tabla1[[#This Row],[Aplicación]],14,6)</f>
        <v>22699</v>
      </c>
    </row>
    <row r="3115" spans="1:24" x14ac:dyDescent="0.25">
      <c r="A3115" s="62">
        <v>220230020795</v>
      </c>
      <c r="B3115" s="44" t="s">
        <v>507</v>
      </c>
      <c r="C3115" s="64">
        <v>45062</v>
      </c>
      <c r="D3115" s="62">
        <v>22023004541</v>
      </c>
      <c r="E3115" s="44" t="s">
        <v>1260</v>
      </c>
      <c r="F3115" s="65">
        <v>3630</v>
      </c>
      <c r="G3115" s="44" t="s">
        <v>2730</v>
      </c>
      <c r="H3115" s="44" t="s">
        <v>4812</v>
      </c>
      <c r="I3115" s="62" t="s">
        <v>511</v>
      </c>
      <c r="J3115" s="44" t="s">
        <v>519</v>
      </c>
      <c r="K3115" s="44" t="s">
        <v>519</v>
      </c>
      <c r="L3115" s="44" t="s">
        <v>520</v>
      </c>
      <c r="M3115" s="44" t="s">
        <v>976</v>
      </c>
      <c r="N3115" s="44" t="s">
        <v>839</v>
      </c>
      <c r="O3115" s="45" t="s">
        <v>383</v>
      </c>
      <c r="P3115" s="45" t="s">
        <v>3760</v>
      </c>
      <c r="Q3115" s="59" t="str">
        <f>MID(Tabla1[[#This Row],[Aplicación]],14,1)</f>
        <v>2</v>
      </c>
      <c r="R3115" s="35" t="s">
        <v>298</v>
      </c>
      <c r="S3115" s="59" t="str">
        <f>MID(Tabla1[[#This Row],[Aplicación]],6,2)</f>
        <v>03</v>
      </c>
      <c r="T3115" s="35" t="str">
        <f>VLOOKUP(Tabla1[[#This Row],[AREA]],Hoja1!A:B,2,FALSE)</f>
        <v>03. Participación ciudadana y deportes</v>
      </c>
      <c r="U3115" s="56" t="str">
        <f>MID(Tabla1[[#This Row],[Aplicación]],9,4)</f>
        <v>9241</v>
      </c>
      <c r="V3115" s="35" t="str">
        <f>VLOOKUP(Tabla1[[#This Row],[PROGRAMA]],Hoja1!A:B,2,FALSE)</f>
        <v>9241. Participación ciudadana</v>
      </c>
      <c r="W3115" s="56" t="str">
        <f>MID(Tabla1[[#This Row],[Aplicación]],14,2)</f>
        <v>22</v>
      </c>
      <c r="X3115" s="56" t="str">
        <f>MID(Tabla1[[#This Row],[Aplicación]],14,6)</f>
        <v>22602</v>
      </c>
    </row>
    <row r="3116" spans="1:24" x14ac:dyDescent="0.25">
      <c r="A3116" s="62">
        <v>220230012964</v>
      </c>
      <c r="B3116" s="44" t="s">
        <v>507</v>
      </c>
      <c r="C3116" s="64">
        <v>45019</v>
      </c>
      <c r="D3116" s="62">
        <v>22023002888</v>
      </c>
      <c r="E3116" s="44" t="s">
        <v>2624</v>
      </c>
      <c r="F3116" s="65">
        <v>124.26</v>
      </c>
      <c r="G3116" s="44" t="s">
        <v>96</v>
      </c>
      <c r="H3116" s="44" t="s">
        <v>4813</v>
      </c>
      <c r="I3116" s="62" t="s">
        <v>511</v>
      </c>
      <c r="J3116" s="44" t="s">
        <v>519</v>
      </c>
      <c r="K3116" s="44" t="s">
        <v>519</v>
      </c>
      <c r="L3116" s="44" t="s">
        <v>552</v>
      </c>
      <c r="M3116" s="44" t="s">
        <v>976</v>
      </c>
      <c r="N3116" s="44" t="s">
        <v>839</v>
      </c>
      <c r="O3116" s="45" t="s">
        <v>383</v>
      </c>
      <c r="P3116" s="45" t="s">
        <v>3760</v>
      </c>
      <c r="Q3116" s="59" t="str">
        <f>MID(Tabla1[[#This Row],[Aplicación]],14,1)</f>
        <v>2</v>
      </c>
      <c r="R3116" s="35" t="s">
        <v>298</v>
      </c>
      <c r="S3116" s="59" t="str">
        <f>MID(Tabla1[[#This Row],[Aplicación]],6,2)</f>
        <v>11</v>
      </c>
      <c r="T3116" s="35" t="str">
        <f>VLOOKUP(Tabla1[[#This Row],[AREA]],Hoja1!A:B,2,FALSE)</f>
        <v>11. Salud pública y seguridad ciudadana</v>
      </c>
      <c r="U3116" s="56" t="str">
        <f>MID(Tabla1[[#This Row],[Aplicación]],9,4)</f>
        <v>1621</v>
      </c>
      <c r="V3116" s="35" t="str">
        <f>VLOOKUP(Tabla1[[#This Row],[PROGRAMA]],Hoja1!A:B,2,FALSE)</f>
        <v>1621. Servicio de limpieza</v>
      </c>
      <c r="W3116" s="56" t="str">
        <f>MID(Tabla1[[#This Row],[Aplicación]],14,2)</f>
        <v>22</v>
      </c>
      <c r="X3116" s="56" t="str">
        <f>MID(Tabla1[[#This Row],[Aplicación]],14,6)</f>
        <v>22199</v>
      </c>
    </row>
    <row r="3117" spans="1:24" x14ac:dyDescent="0.25">
      <c r="A3117" s="62">
        <v>220230020535</v>
      </c>
      <c r="B3117" s="44" t="s">
        <v>507</v>
      </c>
      <c r="C3117" s="64">
        <v>45058</v>
      </c>
      <c r="D3117" s="62">
        <v>22023004387</v>
      </c>
      <c r="E3117" s="44" t="s">
        <v>618</v>
      </c>
      <c r="F3117" s="65">
        <v>101.98</v>
      </c>
      <c r="G3117" s="44" t="s">
        <v>4814</v>
      </c>
      <c r="H3117" s="44" t="s">
        <v>4815</v>
      </c>
      <c r="I3117" s="62" t="s">
        <v>511</v>
      </c>
      <c r="J3117" s="44" t="s">
        <v>519</v>
      </c>
      <c r="K3117" s="44" t="s">
        <v>519</v>
      </c>
      <c r="L3117" s="44" t="s">
        <v>520</v>
      </c>
      <c r="M3117" s="44" t="s">
        <v>976</v>
      </c>
      <c r="N3117" s="44" t="s">
        <v>839</v>
      </c>
      <c r="O3117" s="45" t="s">
        <v>383</v>
      </c>
      <c r="P3117" s="45" t="s">
        <v>3760</v>
      </c>
      <c r="Q3117" s="59" t="str">
        <f>MID(Tabla1[[#This Row],[Aplicación]],14,1)</f>
        <v>2</v>
      </c>
      <c r="R3117" s="35" t="s">
        <v>298</v>
      </c>
      <c r="S3117" s="59" t="str">
        <f>MID(Tabla1[[#This Row],[Aplicación]],6,2)</f>
        <v>10</v>
      </c>
      <c r="T3117" s="35" t="str">
        <f>VLOOKUP(Tabla1[[#This Row],[AREA]],Hoja1!A:B,2,FALSE)</f>
        <v>10. Servicios sociales y mediación comunitaria</v>
      </c>
      <c r="U3117" s="56" t="str">
        <f>MID(Tabla1[[#This Row],[Aplicación]],9,4)</f>
        <v>2311</v>
      </c>
      <c r="V3117" s="35" t="str">
        <f>VLOOKUP(Tabla1[[#This Row],[PROGRAMA]],Hoja1!A:B,2,FALSE)</f>
        <v>2311. Intervención social</v>
      </c>
      <c r="W3117" s="56" t="str">
        <f>MID(Tabla1[[#This Row],[Aplicación]],14,2)</f>
        <v>21</v>
      </c>
      <c r="X3117" s="56" t="str">
        <f>MID(Tabla1[[#This Row],[Aplicación]],14,6)</f>
        <v>213</v>
      </c>
    </row>
    <row r="3118" spans="1:24" x14ac:dyDescent="0.25">
      <c r="A3118" s="62">
        <v>220230015359</v>
      </c>
      <c r="B3118" s="44" t="s">
        <v>507</v>
      </c>
      <c r="C3118" s="64">
        <v>45041</v>
      </c>
      <c r="D3118" s="62">
        <v>22023003901</v>
      </c>
      <c r="E3118" s="44" t="s">
        <v>1822</v>
      </c>
      <c r="F3118" s="65">
        <v>61.6</v>
      </c>
      <c r="G3118" s="44" t="s">
        <v>4814</v>
      </c>
      <c r="H3118" s="44" t="s">
        <v>4816</v>
      </c>
      <c r="I3118" s="62" t="s">
        <v>511</v>
      </c>
      <c r="J3118" s="44" t="s">
        <v>519</v>
      </c>
      <c r="K3118" s="44" t="s">
        <v>519</v>
      </c>
      <c r="L3118" s="44" t="s">
        <v>520</v>
      </c>
      <c r="M3118" s="44" t="s">
        <v>976</v>
      </c>
      <c r="N3118" s="44" t="s">
        <v>839</v>
      </c>
      <c r="O3118" s="45" t="s">
        <v>383</v>
      </c>
      <c r="P3118" s="45" t="s">
        <v>3760</v>
      </c>
      <c r="Q3118" s="59" t="str">
        <f>MID(Tabla1[[#This Row],[Aplicación]],14,1)</f>
        <v>2</v>
      </c>
      <c r="R3118" s="35" t="s">
        <v>298</v>
      </c>
      <c r="S3118" s="59" t="str">
        <f>MID(Tabla1[[#This Row],[Aplicación]],6,2)</f>
        <v>05</v>
      </c>
      <c r="T3118" s="35" t="str">
        <f>VLOOKUP(Tabla1[[#This Row],[AREA]],Hoja1!A:B,2,FALSE)</f>
        <v>05. Innovación, desarrollo económico, empleo y comercio</v>
      </c>
      <c r="U3118" s="56" t="str">
        <f>MID(Tabla1[[#This Row],[Aplicación]],9,4)</f>
        <v>4312</v>
      </c>
      <c r="V3118" s="35" t="str">
        <f>VLOOKUP(Tabla1[[#This Row],[PROGRAMA]],Hoja1!A:B,2,FALSE)</f>
        <v>4312. Mercados, abastos y lonjas</v>
      </c>
      <c r="W3118" s="56" t="str">
        <f>MID(Tabla1[[#This Row],[Aplicación]],14,2)</f>
        <v>22</v>
      </c>
      <c r="X3118" s="56" t="str">
        <f>MID(Tabla1[[#This Row],[Aplicación]],14,6)</f>
        <v>22799</v>
      </c>
    </row>
    <row r="3119" spans="1:24" x14ac:dyDescent="0.25">
      <c r="A3119" s="62">
        <v>220230016863</v>
      </c>
      <c r="B3119" s="44" t="s">
        <v>507</v>
      </c>
      <c r="C3119" s="64">
        <v>45048</v>
      </c>
      <c r="D3119" s="62">
        <v>22023004299</v>
      </c>
      <c r="E3119" s="44" t="s">
        <v>1234</v>
      </c>
      <c r="F3119" s="65">
        <v>100.2</v>
      </c>
      <c r="G3119" s="44" t="s">
        <v>3650</v>
      </c>
      <c r="H3119" s="44" t="s">
        <v>4817</v>
      </c>
      <c r="I3119" s="62" t="s">
        <v>511</v>
      </c>
      <c r="J3119" s="44" t="s">
        <v>519</v>
      </c>
      <c r="K3119" s="44" t="s">
        <v>519</v>
      </c>
      <c r="L3119" s="44" t="s">
        <v>520</v>
      </c>
      <c r="M3119" s="44" t="s">
        <v>976</v>
      </c>
      <c r="N3119" s="44" t="s">
        <v>839</v>
      </c>
      <c r="O3119" s="45" t="s">
        <v>383</v>
      </c>
      <c r="P3119" s="45" t="s">
        <v>3760</v>
      </c>
      <c r="Q3119" s="59" t="str">
        <f>MID(Tabla1[[#This Row],[Aplicación]],14,1)</f>
        <v>2</v>
      </c>
      <c r="R3119" s="35" t="s">
        <v>298</v>
      </c>
      <c r="S3119" s="59" t="str">
        <f>MID(Tabla1[[#This Row],[Aplicación]],6,2)</f>
        <v>10</v>
      </c>
      <c r="T3119" s="35" t="str">
        <f>VLOOKUP(Tabla1[[#This Row],[AREA]],Hoja1!A:B,2,FALSE)</f>
        <v>10. Servicios sociales y mediación comunitaria</v>
      </c>
      <c r="U3119" s="56" t="str">
        <f>MID(Tabla1[[#This Row],[Aplicación]],9,4)</f>
        <v>2316</v>
      </c>
      <c r="V3119" s="35" t="str">
        <f>VLOOKUP(Tabla1[[#This Row],[PROGRAMA]],Hoja1!A:B,2,FALSE)</f>
        <v>2316. Mediación comunitaria</v>
      </c>
      <c r="W3119" s="56" t="str">
        <f>MID(Tabla1[[#This Row],[Aplicación]],14,2)</f>
        <v>22</v>
      </c>
      <c r="X3119" s="56" t="str">
        <f>MID(Tabla1[[#This Row],[Aplicación]],14,6)</f>
        <v>22616</v>
      </c>
    </row>
    <row r="3120" spans="1:24" x14ac:dyDescent="0.25">
      <c r="A3120" s="62">
        <v>220230020793</v>
      </c>
      <c r="B3120" s="44" t="s">
        <v>507</v>
      </c>
      <c r="C3120" s="64">
        <v>45062</v>
      </c>
      <c r="D3120" s="62">
        <v>22023004521</v>
      </c>
      <c r="E3120" s="44" t="s">
        <v>3911</v>
      </c>
      <c r="F3120" s="65">
        <v>100.2</v>
      </c>
      <c r="G3120" s="44" t="s">
        <v>3650</v>
      </c>
      <c r="H3120" s="44" t="s">
        <v>4818</v>
      </c>
      <c r="I3120" s="62" t="s">
        <v>511</v>
      </c>
      <c r="J3120" s="44" t="s">
        <v>519</v>
      </c>
      <c r="K3120" s="44" t="s">
        <v>519</v>
      </c>
      <c r="L3120" s="44" t="s">
        <v>520</v>
      </c>
      <c r="M3120" s="44" t="s">
        <v>976</v>
      </c>
      <c r="N3120" s="44" t="s">
        <v>839</v>
      </c>
      <c r="O3120" s="45" t="s">
        <v>383</v>
      </c>
      <c r="P3120" s="45" t="s">
        <v>3760</v>
      </c>
      <c r="Q3120" s="59" t="str">
        <f>MID(Tabla1[[#This Row],[Aplicación]],14,1)</f>
        <v>2</v>
      </c>
      <c r="R3120" s="35" t="s">
        <v>298</v>
      </c>
      <c r="S3120" s="59" t="str">
        <f>MID(Tabla1[[#This Row],[Aplicación]],6,2)</f>
        <v>10</v>
      </c>
      <c r="T3120" s="35" t="str">
        <f>VLOOKUP(Tabla1[[#This Row],[AREA]],Hoja1!A:B,2,FALSE)</f>
        <v>10. Servicios sociales y mediación comunitaria</v>
      </c>
      <c r="U3120" s="56" t="str">
        <f>MID(Tabla1[[#This Row],[Aplicación]],9,4)</f>
        <v>2311</v>
      </c>
      <c r="V3120" s="35" t="str">
        <f>VLOOKUP(Tabla1[[#This Row],[PROGRAMA]],Hoja1!A:B,2,FALSE)</f>
        <v>2311. Intervención social</v>
      </c>
      <c r="W3120" s="56" t="str">
        <f>MID(Tabla1[[#This Row],[Aplicación]],14,2)</f>
        <v>22</v>
      </c>
      <c r="X3120" s="56" t="str">
        <f>MID(Tabla1[[#This Row],[Aplicación]],14,6)</f>
        <v>22699</v>
      </c>
    </row>
    <row r="3121" spans="1:24" x14ac:dyDescent="0.25">
      <c r="A3121" s="62">
        <v>220230018152</v>
      </c>
      <c r="B3121" s="44" t="s">
        <v>507</v>
      </c>
      <c r="C3121" s="64">
        <v>45054</v>
      </c>
      <c r="D3121" s="62">
        <v>22023004258</v>
      </c>
      <c r="E3121" s="44" t="s">
        <v>2019</v>
      </c>
      <c r="F3121" s="65">
        <v>122.14</v>
      </c>
      <c r="G3121" s="44" t="s">
        <v>4819</v>
      </c>
      <c r="H3121" s="44" t="s">
        <v>4820</v>
      </c>
      <c r="I3121" s="62" t="s">
        <v>511</v>
      </c>
      <c r="J3121" s="44" t="s">
        <v>837</v>
      </c>
      <c r="K3121" s="44" t="s">
        <v>837</v>
      </c>
      <c r="L3121" s="44" t="s">
        <v>520</v>
      </c>
      <c r="M3121" s="44" t="s">
        <v>976</v>
      </c>
      <c r="N3121" s="44" t="s">
        <v>839</v>
      </c>
      <c r="O3121" s="45" t="s">
        <v>383</v>
      </c>
      <c r="P3121" s="45" t="s">
        <v>3760</v>
      </c>
      <c r="Q3121" s="59" t="str">
        <f>MID(Tabla1[[#This Row],[Aplicación]],14,1)</f>
        <v>2</v>
      </c>
      <c r="R3121" s="35" t="s">
        <v>298</v>
      </c>
      <c r="S3121" s="59" t="str">
        <f>MID(Tabla1[[#This Row],[Aplicación]],6,2)</f>
        <v>11</v>
      </c>
      <c r="T3121" s="35" t="str">
        <f>VLOOKUP(Tabla1[[#This Row],[AREA]],Hoja1!A:B,2,FALSE)</f>
        <v>11. Salud pública y seguridad ciudadana</v>
      </c>
      <c r="U3121" s="56" t="str">
        <f>MID(Tabla1[[#This Row],[Aplicación]],9,4)</f>
        <v>1361</v>
      </c>
      <c r="V3121" s="35" t="str">
        <f>VLOOKUP(Tabla1[[#This Row],[PROGRAMA]],Hoja1!A:B,2,FALSE)</f>
        <v>1361. Prevención y extinción de incencios</v>
      </c>
      <c r="W3121" s="56" t="str">
        <f>MID(Tabla1[[#This Row],[Aplicación]],14,2)</f>
        <v>21</v>
      </c>
      <c r="X3121" s="56" t="str">
        <f>MID(Tabla1[[#This Row],[Aplicación]],14,6)</f>
        <v>214</v>
      </c>
    </row>
    <row r="3122" spans="1:24" x14ac:dyDescent="0.25">
      <c r="A3122" s="62">
        <v>220230022621</v>
      </c>
      <c r="B3122" s="44" t="s">
        <v>1337</v>
      </c>
      <c r="C3122" s="64">
        <v>45068</v>
      </c>
      <c r="D3122" s="62">
        <v>22023002631</v>
      </c>
      <c r="E3122" s="44" t="s">
        <v>1783</v>
      </c>
      <c r="F3122" s="65">
        <v>-1503.37</v>
      </c>
      <c r="G3122" s="44" t="s">
        <v>409</v>
      </c>
      <c r="H3122" s="44" t="s">
        <v>4821</v>
      </c>
      <c r="I3122" s="62" t="s">
        <v>511</v>
      </c>
      <c r="J3122" s="44" t="s">
        <v>519</v>
      </c>
      <c r="K3122" s="44" t="s">
        <v>519</v>
      </c>
      <c r="L3122" s="44" t="s">
        <v>520</v>
      </c>
      <c r="M3122" s="44" t="s">
        <v>976</v>
      </c>
      <c r="N3122" s="44" t="s">
        <v>839</v>
      </c>
      <c r="O3122" s="45" t="s">
        <v>383</v>
      </c>
      <c r="P3122" s="45" t="s">
        <v>3760</v>
      </c>
      <c r="Q3122" s="59" t="str">
        <f>MID(Tabla1[[#This Row],[Aplicación]],14,1)</f>
        <v>2</v>
      </c>
      <c r="R3122" s="35" t="s">
        <v>298</v>
      </c>
      <c r="S3122" s="59" t="str">
        <f>MID(Tabla1[[#This Row],[Aplicación]],6,2)</f>
        <v>07</v>
      </c>
      <c r="T3122" s="35" t="str">
        <f>VLOOKUP(Tabla1[[#This Row],[AREA]],Hoja1!A:B,2,FALSE)</f>
        <v>07. Medio ambiente y desarrollo sostenible</v>
      </c>
      <c r="U3122" s="56" t="str">
        <f>MID(Tabla1[[#This Row],[Aplicación]],9,4)</f>
        <v>1701</v>
      </c>
      <c r="V3122" s="35" t="str">
        <f>VLOOKUP(Tabla1[[#This Row],[PROGRAMA]],Hoja1!A:B,2,FALSE)</f>
        <v>1701. Dirección del área de medio ambiente</v>
      </c>
      <c r="W3122" s="56" t="str">
        <f>MID(Tabla1[[#This Row],[Aplicación]],14,2)</f>
        <v>22</v>
      </c>
      <c r="X3122" s="56" t="str">
        <f>MID(Tabla1[[#This Row],[Aplicación]],14,6)</f>
        <v>22699</v>
      </c>
    </row>
    <row r="3123" spans="1:24" x14ac:dyDescent="0.25">
      <c r="A3123" s="62">
        <v>220230018163</v>
      </c>
      <c r="B3123" s="44" t="s">
        <v>507</v>
      </c>
      <c r="C3123" s="64">
        <v>45054</v>
      </c>
      <c r="D3123" s="62">
        <v>22023004371</v>
      </c>
      <c r="E3123" s="44" t="s">
        <v>1234</v>
      </c>
      <c r="F3123" s="65">
        <v>338.8</v>
      </c>
      <c r="G3123" s="44" t="s">
        <v>3732</v>
      </c>
      <c r="H3123" s="44" t="s">
        <v>4822</v>
      </c>
      <c r="I3123" s="62" t="s">
        <v>511</v>
      </c>
      <c r="J3123" s="44" t="s">
        <v>519</v>
      </c>
      <c r="K3123" s="44" t="s">
        <v>519</v>
      </c>
      <c r="L3123" s="44" t="s">
        <v>520</v>
      </c>
      <c r="M3123" s="44" t="s">
        <v>976</v>
      </c>
      <c r="N3123" s="44" t="s">
        <v>839</v>
      </c>
      <c r="O3123" s="45" t="s">
        <v>383</v>
      </c>
      <c r="P3123" s="45" t="s">
        <v>3760</v>
      </c>
      <c r="Q3123" s="59" t="str">
        <f>MID(Tabla1[[#This Row],[Aplicación]],14,1)</f>
        <v>2</v>
      </c>
      <c r="R3123" s="35" t="s">
        <v>298</v>
      </c>
      <c r="S3123" s="59" t="str">
        <f>MID(Tabla1[[#This Row],[Aplicación]],6,2)</f>
        <v>10</v>
      </c>
      <c r="T3123" s="35" t="str">
        <f>VLOOKUP(Tabla1[[#This Row],[AREA]],Hoja1!A:B,2,FALSE)</f>
        <v>10. Servicios sociales y mediación comunitaria</v>
      </c>
      <c r="U3123" s="56" t="str">
        <f>MID(Tabla1[[#This Row],[Aplicación]],9,4)</f>
        <v>2316</v>
      </c>
      <c r="V3123" s="35" t="str">
        <f>VLOOKUP(Tabla1[[#This Row],[PROGRAMA]],Hoja1!A:B,2,FALSE)</f>
        <v>2316. Mediación comunitaria</v>
      </c>
      <c r="W3123" s="56" t="str">
        <f>MID(Tabla1[[#This Row],[Aplicación]],14,2)</f>
        <v>22</v>
      </c>
      <c r="X3123" s="56" t="str">
        <f>MID(Tabla1[[#This Row],[Aplicación]],14,6)</f>
        <v>22616</v>
      </c>
    </row>
    <row r="3124" spans="1:24" x14ac:dyDescent="0.25">
      <c r="A3124" s="62">
        <v>220230015956</v>
      </c>
      <c r="B3124" s="44" t="s">
        <v>507</v>
      </c>
      <c r="C3124" s="64">
        <v>45042</v>
      </c>
      <c r="D3124" s="62">
        <v>22023003921</v>
      </c>
      <c r="E3124" s="44" t="s">
        <v>1234</v>
      </c>
      <c r="F3124" s="65">
        <v>72.599999999999994</v>
      </c>
      <c r="G3124" s="44" t="s">
        <v>3732</v>
      </c>
      <c r="H3124" s="44" t="s">
        <v>4823</v>
      </c>
      <c r="I3124" s="62" t="s">
        <v>511</v>
      </c>
      <c r="J3124" s="44" t="s">
        <v>519</v>
      </c>
      <c r="K3124" s="44" t="s">
        <v>519</v>
      </c>
      <c r="L3124" s="44" t="s">
        <v>552</v>
      </c>
      <c r="M3124" s="44" t="s">
        <v>976</v>
      </c>
      <c r="N3124" s="44" t="s">
        <v>839</v>
      </c>
      <c r="O3124" s="45" t="s">
        <v>383</v>
      </c>
      <c r="P3124" s="45" t="s">
        <v>3760</v>
      </c>
      <c r="Q3124" s="59" t="str">
        <f>MID(Tabla1[[#This Row],[Aplicación]],14,1)</f>
        <v>2</v>
      </c>
      <c r="R3124" s="35" t="s">
        <v>298</v>
      </c>
      <c r="S3124" s="59" t="str">
        <f>MID(Tabla1[[#This Row],[Aplicación]],6,2)</f>
        <v>10</v>
      </c>
      <c r="T3124" s="35" t="str">
        <f>VLOOKUP(Tabla1[[#This Row],[AREA]],Hoja1!A:B,2,FALSE)</f>
        <v>10. Servicios sociales y mediación comunitaria</v>
      </c>
      <c r="U3124" s="56" t="str">
        <f>MID(Tabla1[[#This Row],[Aplicación]],9,4)</f>
        <v>2316</v>
      </c>
      <c r="V3124" s="35" t="str">
        <f>VLOOKUP(Tabla1[[#This Row],[PROGRAMA]],Hoja1!A:B,2,FALSE)</f>
        <v>2316. Mediación comunitaria</v>
      </c>
      <c r="W3124" s="56" t="str">
        <f>MID(Tabla1[[#This Row],[Aplicación]],14,2)</f>
        <v>22</v>
      </c>
      <c r="X3124" s="56" t="str">
        <f>MID(Tabla1[[#This Row],[Aplicación]],14,6)</f>
        <v>22616</v>
      </c>
    </row>
    <row r="3125" spans="1:24" x14ac:dyDescent="0.25">
      <c r="A3125" s="62">
        <v>220230018630</v>
      </c>
      <c r="B3125" s="44" t="s">
        <v>1514</v>
      </c>
      <c r="C3125" s="64">
        <v>45055</v>
      </c>
      <c r="D3125" s="62">
        <v>22023001549</v>
      </c>
      <c r="E3125" s="44" t="s">
        <v>1515</v>
      </c>
      <c r="F3125" s="65">
        <v>62.34</v>
      </c>
      <c r="G3125" s="44" t="s">
        <v>2351</v>
      </c>
      <c r="H3125" s="44" t="s">
        <v>4824</v>
      </c>
      <c r="I3125" s="62" t="s">
        <v>1517</v>
      </c>
      <c r="J3125" s="44" t="s">
        <v>519</v>
      </c>
      <c r="K3125" s="44" t="s">
        <v>519</v>
      </c>
      <c r="L3125" s="44" t="s">
        <v>552</v>
      </c>
      <c r="M3125" s="44" t="s">
        <v>514</v>
      </c>
      <c r="N3125" s="44" t="s">
        <v>515</v>
      </c>
      <c r="O3125" s="45" t="s">
        <v>382</v>
      </c>
      <c r="P3125" s="45" t="s">
        <v>3760</v>
      </c>
      <c r="Q3125" s="59" t="str">
        <f>MID(Tabla1[[#This Row],[Aplicación]],14,1)</f>
        <v>2</v>
      </c>
      <c r="R3125" s="35" t="s">
        <v>298</v>
      </c>
      <c r="S3125" s="59" t="str">
        <f>MID(Tabla1[[#This Row],[Aplicación]],6,2)</f>
        <v>07</v>
      </c>
      <c r="T3125" s="35" t="str">
        <f>VLOOKUP(Tabla1[[#This Row],[AREA]],Hoja1!A:B,2,FALSE)</f>
        <v>07. Medio ambiente y desarrollo sostenible</v>
      </c>
      <c r="U3125" s="56" t="str">
        <f>MID(Tabla1[[#This Row],[Aplicación]],9,4)</f>
        <v>1711</v>
      </c>
      <c r="V3125" s="35" t="str">
        <f>VLOOKUP(Tabla1[[#This Row],[PROGRAMA]],Hoja1!A:B,2,FALSE)</f>
        <v>1711. Parques y jardines</v>
      </c>
      <c r="W3125" s="56" t="str">
        <f>MID(Tabla1[[#This Row],[Aplicación]],14,2)</f>
        <v>22</v>
      </c>
      <c r="X3125" s="56" t="str">
        <f>MID(Tabla1[[#This Row],[Aplicación]],14,6)</f>
        <v>22199</v>
      </c>
    </row>
    <row r="3126" spans="1:24" x14ac:dyDescent="0.25">
      <c r="A3126" s="62">
        <v>220230018882</v>
      </c>
      <c r="B3126" s="44" t="s">
        <v>1514</v>
      </c>
      <c r="C3126" s="64">
        <v>45056</v>
      </c>
      <c r="D3126" s="62">
        <v>22023001514</v>
      </c>
      <c r="E3126" s="44" t="s">
        <v>1285</v>
      </c>
      <c r="F3126" s="65">
        <v>476.56</v>
      </c>
      <c r="G3126" s="44" t="s">
        <v>2351</v>
      </c>
      <c r="H3126" s="44" t="s">
        <v>4825</v>
      </c>
      <c r="I3126" s="62" t="s">
        <v>1517</v>
      </c>
      <c r="J3126" s="44" t="s">
        <v>519</v>
      </c>
      <c r="K3126" s="44" t="s">
        <v>519</v>
      </c>
      <c r="L3126" s="44" t="s">
        <v>552</v>
      </c>
      <c r="M3126" s="44" t="s">
        <v>514</v>
      </c>
      <c r="N3126" s="44" t="s">
        <v>515</v>
      </c>
      <c r="O3126" s="45" t="s">
        <v>382</v>
      </c>
      <c r="P3126" s="45" t="s">
        <v>3760</v>
      </c>
      <c r="Q3126" s="59" t="str">
        <f>MID(Tabla1[[#This Row],[Aplicación]],14,1)</f>
        <v>2</v>
      </c>
      <c r="R3126" s="35" t="s">
        <v>298</v>
      </c>
      <c r="S3126" s="59" t="str">
        <f>MID(Tabla1[[#This Row],[Aplicación]],6,2)</f>
        <v>11</v>
      </c>
      <c r="T3126" s="35" t="str">
        <f>VLOOKUP(Tabla1[[#This Row],[AREA]],Hoja1!A:B,2,FALSE)</f>
        <v>11. Salud pública y seguridad ciudadana</v>
      </c>
      <c r="U3126" s="56" t="str">
        <f>MID(Tabla1[[#This Row],[Aplicación]],9,4)</f>
        <v>1361</v>
      </c>
      <c r="V3126" s="35" t="str">
        <f>VLOOKUP(Tabla1[[#This Row],[PROGRAMA]],Hoja1!A:B,2,FALSE)</f>
        <v>1361. Prevención y extinción de incencios</v>
      </c>
      <c r="W3126" s="56" t="str">
        <f>MID(Tabla1[[#This Row],[Aplicación]],14,2)</f>
        <v>22</v>
      </c>
      <c r="X3126" s="56" t="str">
        <f>MID(Tabla1[[#This Row],[Aplicación]],14,6)</f>
        <v>22199</v>
      </c>
    </row>
    <row r="3127" spans="1:24" x14ac:dyDescent="0.25">
      <c r="A3127" s="62">
        <v>220230020111</v>
      </c>
      <c r="B3127" s="44" t="s">
        <v>1514</v>
      </c>
      <c r="C3127" s="64">
        <v>45057</v>
      </c>
      <c r="D3127" s="62">
        <v>22023001466</v>
      </c>
      <c r="E3127" s="44" t="s">
        <v>2624</v>
      </c>
      <c r="F3127" s="65">
        <v>288.97000000000003</v>
      </c>
      <c r="G3127" s="44" t="s">
        <v>2351</v>
      </c>
      <c r="H3127" s="44" t="s">
        <v>4826</v>
      </c>
      <c r="I3127" s="62" t="s">
        <v>1517</v>
      </c>
      <c r="J3127" s="44" t="s">
        <v>519</v>
      </c>
      <c r="K3127" s="44" t="s">
        <v>519</v>
      </c>
      <c r="L3127" s="44" t="s">
        <v>552</v>
      </c>
      <c r="M3127" s="44" t="s">
        <v>514</v>
      </c>
      <c r="N3127" s="44" t="s">
        <v>515</v>
      </c>
      <c r="O3127" s="45" t="s">
        <v>382</v>
      </c>
      <c r="P3127" s="45" t="s">
        <v>3760</v>
      </c>
      <c r="Q3127" s="59" t="str">
        <f>MID(Tabla1[[#This Row],[Aplicación]],14,1)</f>
        <v>2</v>
      </c>
      <c r="R3127" s="35" t="s">
        <v>298</v>
      </c>
      <c r="S3127" s="59" t="str">
        <f>MID(Tabla1[[#This Row],[Aplicación]],6,2)</f>
        <v>11</v>
      </c>
      <c r="T3127" s="35" t="str">
        <f>VLOOKUP(Tabla1[[#This Row],[AREA]],Hoja1!A:B,2,FALSE)</f>
        <v>11. Salud pública y seguridad ciudadana</v>
      </c>
      <c r="U3127" s="56" t="str">
        <f>MID(Tabla1[[#This Row],[Aplicación]],9,4)</f>
        <v>1621</v>
      </c>
      <c r="V3127" s="35" t="str">
        <f>VLOOKUP(Tabla1[[#This Row],[PROGRAMA]],Hoja1!A:B,2,FALSE)</f>
        <v>1621. Servicio de limpieza</v>
      </c>
      <c r="W3127" s="56" t="str">
        <f>MID(Tabla1[[#This Row],[Aplicación]],14,2)</f>
        <v>22</v>
      </c>
      <c r="X3127" s="56" t="str">
        <f>MID(Tabla1[[#This Row],[Aplicación]],14,6)</f>
        <v>22199</v>
      </c>
    </row>
    <row r="3128" spans="1:24" x14ac:dyDescent="0.25">
      <c r="A3128" s="62">
        <v>220230015099</v>
      </c>
      <c r="B3128" s="44" t="s">
        <v>1337</v>
      </c>
      <c r="C3128" s="64">
        <v>45041</v>
      </c>
      <c r="D3128" s="62">
        <v>22023002098</v>
      </c>
      <c r="E3128" s="44" t="s">
        <v>1502</v>
      </c>
      <c r="F3128" s="65">
        <v>-500</v>
      </c>
      <c r="G3128" s="44" t="s">
        <v>78</v>
      </c>
      <c r="H3128" s="44" t="s">
        <v>2135</v>
      </c>
      <c r="I3128" s="62" t="s">
        <v>511</v>
      </c>
      <c r="J3128" s="44" t="s">
        <v>519</v>
      </c>
      <c r="K3128" s="44" t="s">
        <v>519</v>
      </c>
      <c r="L3128" s="44" t="s">
        <v>552</v>
      </c>
      <c r="M3128" s="44" t="s">
        <v>976</v>
      </c>
      <c r="N3128" s="44" t="s">
        <v>839</v>
      </c>
      <c r="O3128" s="45" t="s">
        <v>383</v>
      </c>
      <c r="P3128" s="45" t="s">
        <v>3760</v>
      </c>
      <c r="Q3128" s="59" t="str">
        <f>MID(Tabla1[[#This Row],[Aplicación]],14,1)</f>
        <v>2</v>
      </c>
      <c r="R3128" s="35" t="s">
        <v>298</v>
      </c>
      <c r="S3128" s="59" t="str">
        <f>MID(Tabla1[[#This Row],[Aplicación]],6,2)</f>
        <v>10</v>
      </c>
      <c r="T3128" s="35" t="str">
        <f>VLOOKUP(Tabla1[[#This Row],[AREA]],Hoja1!A:B,2,FALSE)</f>
        <v>10. Servicios sociales y mediación comunitaria</v>
      </c>
      <c r="U3128" s="56" t="str">
        <f>MID(Tabla1[[#This Row],[Aplicación]],9,4)</f>
        <v>2412</v>
      </c>
      <c r="V3128" s="35" t="str">
        <f>VLOOKUP(Tabla1[[#This Row],[PROGRAMA]],Hoja1!A:B,2,FALSE)</f>
        <v>2412. Formación para el empleo</v>
      </c>
      <c r="W3128" s="56" t="str">
        <f>MID(Tabla1[[#This Row],[Aplicación]],14,2)</f>
        <v>22</v>
      </c>
      <c r="X3128" s="56" t="str">
        <f>MID(Tabla1[[#This Row],[Aplicación]],14,6)</f>
        <v>22199</v>
      </c>
    </row>
    <row r="3129" spans="1:24" x14ac:dyDescent="0.25">
      <c r="A3129" s="62">
        <v>220230020960</v>
      </c>
      <c r="B3129" s="44" t="s">
        <v>1514</v>
      </c>
      <c r="C3129" s="64">
        <v>45062</v>
      </c>
      <c r="D3129" s="62">
        <v>22023001475</v>
      </c>
      <c r="E3129" s="44" t="s">
        <v>2693</v>
      </c>
      <c r="F3129" s="65">
        <v>514.73</v>
      </c>
      <c r="G3129" s="44" t="s">
        <v>2351</v>
      </c>
      <c r="H3129" s="44" t="s">
        <v>4827</v>
      </c>
      <c r="I3129" s="62" t="s">
        <v>1517</v>
      </c>
      <c r="J3129" s="44" t="s">
        <v>519</v>
      </c>
      <c r="K3129" s="44" t="s">
        <v>519</v>
      </c>
      <c r="L3129" s="44" t="s">
        <v>552</v>
      </c>
      <c r="M3129" s="44" t="s">
        <v>514</v>
      </c>
      <c r="N3129" s="44" t="s">
        <v>515</v>
      </c>
      <c r="O3129" s="45" t="s">
        <v>382</v>
      </c>
      <c r="P3129" s="45" t="s">
        <v>3760</v>
      </c>
      <c r="Q3129" s="59" t="str">
        <f>MID(Tabla1[[#This Row],[Aplicación]],14,1)</f>
        <v>2</v>
      </c>
      <c r="R3129" s="35" t="s">
        <v>298</v>
      </c>
      <c r="S3129" s="59" t="str">
        <f>MID(Tabla1[[#This Row],[Aplicación]],6,2)</f>
        <v>11</v>
      </c>
      <c r="T3129" s="35" t="str">
        <f>VLOOKUP(Tabla1[[#This Row],[AREA]],Hoja1!A:B,2,FALSE)</f>
        <v>11. Salud pública y seguridad ciudadana</v>
      </c>
      <c r="U3129" s="56" t="str">
        <f>MID(Tabla1[[#This Row],[Aplicación]],9,4)</f>
        <v>1631</v>
      </c>
      <c r="V3129" s="35" t="str">
        <f>VLOOKUP(Tabla1[[#This Row],[PROGRAMA]],Hoja1!A:B,2,FALSE)</f>
        <v>1631. Limpieza viaria</v>
      </c>
      <c r="W3129" s="56" t="str">
        <f>MID(Tabla1[[#This Row],[Aplicación]],14,2)</f>
        <v>22</v>
      </c>
      <c r="X3129" s="56" t="str">
        <f>MID(Tabla1[[#This Row],[Aplicación]],14,6)</f>
        <v>22110</v>
      </c>
    </row>
    <row r="3130" spans="1:24" x14ac:dyDescent="0.25">
      <c r="A3130" s="62">
        <v>220230022595</v>
      </c>
      <c r="B3130" s="44" t="s">
        <v>1514</v>
      </c>
      <c r="C3130" s="64">
        <v>45065</v>
      </c>
      <c r="D3130" s="62">
        <v>22023000273</v>
      </c>
      <c r="E3130" s="44" t="s">
        <v>2310</v>
      </c>
      <c r="F3130" s="65">
        <v>206.61</v>
      </c>
      <c r="G3130" s="44" t="s">
        <v>2351</v>
      </c>
      <c r="H3130" s="44" t="s">
        <v>4828</v>
      </c>
      <c r="I3130" s="62" t="s">
        <v>1517</v>
      </c>
      <c r="J3130" s="44" t="s">
        <v>519</v>
      </c>
      <c r="K3130" s="44" t="s">
        <v>519</v>
      </c>
      <c r="L3130" s="44" t="s">
        <v>552</v>
      </c>
      <c r="M3130" s="44" t="s">
        <v>514</v>
      </c>
      <c r="N3130" s="44" t="s">
        <v>515</v>
      </c>
      <c r="O3130" s="45" t="s">
        <v>382</v>
      </c>
      <c r="P3130" s="45" t="s">
        <v>3760</v>
      </c>
      <c r="Q3130" s="59" t="str">
        <f>MID(Tabla1[[#This Row],[Aplicación]],14,1)</f>
        <v>2</v>
      </c>
      <c r="R3130" s="35" t="s">
        <v>298</v>
      </c>
      <c r="S3130" s="59" t="str">
        <f>MID(Tabla1[[#This Row],[Aplicación]],6,2)</f>
        <v>11</v>
      </c>
      <c r="T3130" s="35" t="str">
        <f>VLOOKUP(Tabla1[[#This Row],[AREA]],Hoja1!A:B,2,FALSE)</f>
        <v>11. Salud pública y seguridad ciudadana</v>
      </c>
      <c r="U3130" s="56" t="str">
        <f>MID(Tabla1[[#This Row],[Aplicación]],9,4)</f>
        <v>1321</v>
      </c>
      <c r="V3130" s="35" t="str">
        <f>VLOOKUP(Tabla1[[#This Row],[PROGRAMA]],Hoja1!A:B,2,FALSE)</f>
        <v>1321. Policía municipal</v>
      </c>
      <c r="W3130" s="56" t="str">
        <f>MID(Tabla1[[#This Row],[Aplicación]],14,2)</f>
        <v>22</v>
      </c>
      <c r="X3130" s="56" t="str">
        <f>MID(Tabla1[[#This Row],[Aplicación]],14,6)</f>
        <v>22199</v>
      </c>
    </row>
    <row r="3131" spans="1:24" x14ac:dyDescent="0.25">
      <c r="A3131" s="62">
        <v>220230015099</v>
      </c>
      <c r="B3131" s="44" t="s">
        <v>1337</v>
      </c>
      <c r="C3131" s="64">
        <v>45041</v>
      </c>
      <c r="D3131" s="62">
        <v>22023002096</v>
      </c>
      <c r="E3131" s="44" t="s">
        <v>1502</v>
      </c>
      <c r="F3131" s="65">
        <v>-653.62</v>
      </c>
      <c r="G3131" s="44" t="s">
        <v>78</v>
      </c>
      <c r="H3131" s="44" t="s">
        <v>2135</v>
      </c>
      <c r="I3131" s="62" t="s">
        <v>511</v>
      </c>
      <c r="J3131" s="44" t="s">
        <v>519</v>
      </c>
      <c r="K3131" s="44" t="s">
        <v>519</v>
      </c>
      <c r="L3131" s="44" t="s">
        <v>552</v>
      </c>
      <c r="M3131" s="44" t="s">
        <v>976</v>
      </c>
      <c r="N3131" s="44" t="s">
        <v>839</v>
      </c>
      <c r="O3131" s="45" t="s">
        <v>383</v>
      </c>
      <c r="P3131" s="45" t="s">
        <v>3760</v>
      </c>
      <c r="Q3131" s="59" t="str">
        <f>MID(Tabla1[[#This Row],[Aplicación]],14,1)</f>
        <v>2</v>
      </c>
      <c r="R3131" s="35" t="s">
        <v>298</v>
      </c>
      <c r="S3131" s="59" t="str">
        <f>MID(Tabla1[[#This Row],[Aplicación]],6,2)</f>
        <v>10</v>
      </c>
      <c r="T3131" s="35" t="str">
        <f>VLOOKUP(Tabla1[[#This Row],[AREA]],Hoja1!A:B,2,FALSE)</f>
        <v>10. Servicios sociales y mediación comunitaria</v>
      </c>
      <c r="U3131" s="56" t="str">
        <f>MID(Tabla1[[#This Row],[Aplicación]],9,4)</f>
        <v>2412</v>
      </c>
      <c r="V3131" s="35" t="str">
        <f>VLOOKUP(Tabla1[[#This Row],[PROGRAMA]],Hoja1!A:B,2,FALSE)</f>
        <v>2412. Formación para el empleo</v>
      </c>
      <c r="W3131" s="56" t="str">
        <f>MID(Tabla1[[#This Row],[Aplicación]],14,2)</f>
        <v>22</v>
      </c>
      <c r="X3131" s="56" t="str">
        <f>MID(Tabla1[[#This Row],[Aplicación]],14,6)</f>
        <v>22199</v>
      </c>
    </row>
    <row r="3132" spans="1:24" x14ac:dyDescent="0.25">
      <c r="A3132" s="62">
        <v>220230026159</v>
      </c>
      <c r="B3132" s="44" t="s">
        <v>1514</v>
      </c>
      <c r="C3132" s="64">
        <v>45077</v>
      </c>
      <c r="D3132" s="62">
        <v>22023001670</v>
      </c>
      <c r="E3132" s="44" t="s">
        <v>1719</v>
      </c>
      <c r="F3132" s="65">
        <v>447.3</v>
      </c>
      <c r="G3132" s="44" t="s">
        <v>4829</v>
      </c>
      <c r="H3132" s="44" t="s">
        <v>4830</v>
      </c>
      <c r="I3132" s="62" t="s">
        <v>1517</v>
      </c>
      <c r="J3132" s="44" t="s">
        <v>512</v>
      </c>
      <c r="K3132" s="44" t="s">
        <v>512</v>
      </c>
      <c r="L3132" s="44" t="s">
        <v>552</v>
      </c>
      <c r="M3132" s="44" t="s">
        <v>514</v>
      </c>
      <c r="N3132" s="44" t="s">
        <v>515</v>
      </c>
      <c r="O3132" s="45" t="s">
        <v>382</v>
      </c>
      <c r="P3132" s="45" t="s">
        <v>3760</v>
      </c>
      <c r="Q3132" s="59" t="str">
        <f>MID(Tabla1[[#This Row],[Aplicación]],14,1)</f>
        <v>2</v>
      </c>
      <c r="R3132" s="35" t="s">
        <v>298</v>
      </c>
      <c r="S3132" s="59" t="str">
        <f>MID(Tabla1[[#This Row],[Aplicación]],6,2)</f>
        <v>01</v>
      </c>
      <c r="T3132" s="35" t="str">
        <f>VLOOKUP(Tabla1[[#This Row],[AREA]],Hoja1!A:B,2,FALSE)</f>
        <v>01. Alcaldía</v>
      </c>
      <c r="U3132" s="56" t="str">
        <f>MID(Tabla1[[#This Row],[Aplicación]],9,4)</f>
        <v>9206</v>
      </c>
      <c r="V3132" s="35" t="str">
        <f>VLOOKUP(Tabla1[[#This Row],[PROGRAMA]],Hoja1!A:B,2,FALSE)</f>
        <v>9206. Archivo municipal</v>
      </c>
      <c r="W3132" s="56" t="str">
        <f>MID(Tabla1[[#This Row],[Aplicación]],14,2)</f>
        <v>22</v>
      </c>
      <c r="X3132" s="56" t="str">
        <f>MID(Tabla1[[#This Row],[Aplicación]],14,6)</f>
        <v>22001</v>
      </c>
    </row>
    <row r="3133" spans="1:24" x14ac:dyDescent="0.25">
      <c r="A3133" s="62">
        <v>220230026161</v>
      </c>
      <c r="B3133" s="44" t="s">
        <v>1514</v>
      </c>
      <c r="C3133" s="64">
        <v>45077</v>
      </c>
      <c r="D3133" s="62">
        <v>22023001670</v>
      </c>
      <c r="E3133" s="44" t="s">
        <v>1719</v>
      </c>
      <c r="F3133" s="65">
        <v>229.51</v>
      </c>
      <c r="G3133" s="44" t="s">
        <v>4829</v>
      </c>
      <c r="H3133" s="44" t="s">
        <v>4831</v>
      </c>
      <c r="I3133" s="62" t="s">
        <v>1517</v>
      </c>
      <c r="J3133" s="44" t="s">
        <v>512</v>
      </c>
      <c r="K3133" s="44" t="s">
        <v>512</v>
      </c>
      <c r="L3133" s="44" t="s">
        <v>552</v>
      </c>
      <c r="M3133" s="44" t="s">
        <v>514</v>
      </c>
      <c r="N3133" s="44" t="s">
        <v>515</v>
      </c>
      <c r="O3133" s="45" t="s">
        <v>382</v>
      </c>
      <c r="P3133" s="45" t="s">
        <v>3760</v>
      </c>
      <c r="Q3133" s="59" t="str">
        <f>MID(Tabla1[[#This Row],[Aplicación]],14,1)</f>
        <v>2</v>
      </c>
      <c r="R3133" s="35" t="s">
        <v>298</v>
      </c>
      <c r="S3133" s="59" t="str">
        <f>MID(Tabla1[[#This Row],[Aplicación]],6,2)</f>
        <v>01</v>
      </c>
      <c r="T3133" s="35" t="str">
        <f>VLOOKUP(Tabla1[[#This Row],[AREA]],Hoja1!A:B,2,FALSE)</f>
        <v>01. Alcaldía</v>
      </c>
      <c r="U3133" s="56" t="str">
        <f>MID(Tabla1[[#This Row],[Aplicación]],9,4)</f>
        <v>9206</v>
      </c>
      <c r="V3133" s="35" t="str">
        <f>VLOOKUP(Tabla1[[#This Row],[PROGRAMA]],Hoja1!A:B,2,FALSE)</f>
        <v>9206. Archivo municipal</v>
      </c>
      <c r="W3133" s="56" t="str">
        <f>MID(Tabla1[[#This Row],[Aplicación]],14,2)</f>
        <v>22</v>
      </c>
      <c r="X3133" s="56" t="str">
        <f>MID(Tabla1[[#This Row],[Aplicación]],14,6)</f>
        <v>22001</v>
      </c>
    </row>
    <row r="3134" spans="1:24" x14ac:dyDescent="0.25">
      <c r="A3134" s="62">
        <v>220230026163</v>
      </c>
      <c r="B3134" s="44" t="s">
        <v>1514</v>
      </c>
      <c r="C3134" s="64">
        <v>45077</v>
      </c>
      <c r="D3134" s="62">
        <v>22023001670</v>
      </c>
      <c r="E3134" s="44" t="s">
        <v>1719</v>
      </c>
      <c r="F3134" s="65">
        <v>206.86</v>
      </c>
      <c r="G3134" s="44" t="s">
        <v>4829</v>
      </c>
      <c r="H3134" s="44" t="s">
        <v>4832</v>
      </c>
      <c r="I3134" s="62" t="s">
        <v>1517</v>
      </c>
      <c r="J3134" s="44" t="s">
        <v>512</v>
      </c>
      <c r="K3134" s="44" t="s">
        <v>512</v>
      </c>
      <c r="L3134" s="44" t="s">
        <v>552</v>
      </c>
      <c r="M3134" s="44" t="s">
        <v>514</v>
      </c>
      <c r="N3134" s="44" t="s">
        <v>515</v>
      </c>
      <c r="O3134" s="45" t="s">
        <v>382</v>
      </c>
      <c r="P3134" s="45" t="s">
        <v>3760</v>
      </c>
      <c r="Q3134" s="59" t="str">
        <f>MID(Tabla1[[#This Row],[Aplicación]],14,1)</f>
        <v>2</v>
      </c>
      <c r="R3134" s="35" t="s">
        <v>298</v>
      </c>
      <c r="S3134" s="59" t="str">
        <f>MID(Tabla1[[#This Row],[Aplicación]],6,2)</f>
        <v>01</v>
      </c>
      <c r="T3134" s="35" t="str">
        <f>VLOOKUP(Tabla1[[#This Row],[AREA]],Hoja1!A:B,2,FALSE)</f>
        <v>01. Alcaldía</v>
      </c>
      <c r="U3134" s="56" t="str">
        <f>MID(Tabla1[[#This Row],[Aplicación]],9,4)</f>
        <v>9206</v>
      </c>
      <c r="V3134" s="35" t="str">
        <f>VLOOKUP(Tabla1[[#This Row],[PROGRAMA]],Hoja1!A:B,2,FALSE)</f>
        <v>9206. Archivo municipal</v>
      </c>
      <c r="W3134" s="56" t="str">
        <f>MID(Tabla1[[#This Row],[Aplicación]],14,2)</f>
        <v>22</v>
      </c>
      <c r="X3134" s="56" t="str">
        <f>MID(Tabla1[[#This Row],[Aplicación]],14,6)</f>
        <v>22001</v>
      </c>
    </row>
    <row r="3135" spans="1:24" x14ac:dyDescent="0.25">
      <c r="A3135" s="62">
        <v>220230026165</v>
      </c>
      <c r="B3135" s="44" t="s">
        <v>1514</v>
      </c>
      <c r="C3135" s="64">
        <v>45077</v>
      </c>
      <c r="D3135" s="62">
        <v>22023001670</v>
      </c>
      <c r="E3135" s="44" t="s">
        <v>1719</v>
      </c>
      <c r="F3135" s="65">
        <v>195.98</v>
      </c>
      <c r="G3135" s="44" t="s">
        <v>4829</v>
      </c>
      <c r="H3135" s="44" t="s">
        <v>4833</v>
      </c>
      <c r="I3135" s="62" t="s">
        <v>1517</v>
      </c>
      <c r="J3135" s="44" t="s">
        <v>512</v>
      </c>
      <c r="K3135" s="44" t="s">
        <v>512</v>
      </c>
      <c r="L3135" s="44" t="s">
        <v>552</v>
      </c>
      <c r="M3135" s="44" t="s">
        <v>514</v>
      </c>
      <c r="N3135" s="44" t="s">
        <v>515</v>
      </c>
      <c r="O3135" s="45" t="s">
        <v>382</v>
      </c>
      <c r="P3135" s="45" t="s">
        <v>3760</v>
      </c>
      <c r="Q3135" s="59" t="str">
        <f>MID(Tabla1[[#This Row],[Aplicación]],14,1)</f>
        <v>2</v>
      </c>
      <c r="R3135" s="35" t="s">
        <v>298</v>
      </c>
      <c r="S3135" s="59" t="str">
        <f>MID(Tabla1[[#This Row],[Aplicación]],6,2)</f>
        <v>01</v>
      </c>
      <c r="T3135" s="35" t="str">
        <f>VLOOKUP(Tabla1[[#This Row],[AREA]],Hoja1!A:B,2,FALSE)</f>
        <v>01. Alcaldía</v>
      </c>
      <c r="U3135" s="56" t="str">
        <f>MID(Tabla1[[#This Row],[Aplicación]],9,4)</f>
        <v>9206</v>
      </c>
      <c r="V3135" s="35" t="str">
        <f>VLOOKUP(Tabla1[[#This Row],[PROGRAMA]],Hoja1!A:B,2,FALSE)</f>
        <v>9206. Archivo municipal</v>
      </c>
      <c r="W3135" s="56" t="str">
        <f>MID(Tabla1[[#This Row],[Aplicación]],14,2)</f>
        <v>22</v>
      </c>
      <c r="X3135" s="56" t="str">
        <f>MID(Tabla1[[#This Row],[Aplicación]],14,6)</f>
        <v>22001</v>
      </c>
    </row>
    <row r="3136" spans="1:24" x14ac:dyDescent="0.25">
      <c r="A3136" s="62">
        <v>220230026167</v>
      </c>
      <c r="B3136" s="44" t="s">
        <v>1514</v>
      </c>
      <c r="C3136" s="64">
        <v>45077</v>
      </c>
      <c r="D3136" s="62">
        <v>22023001670</v>
      </c>
      <c r="E3136" s="44" t="s">
        <v>1719</v>
      </c>
      <c r="F3136" s="65">
        <v>187.2</v>
      </c>
      <c r="G3136" s="44" t="s">
        <v>4829</v>
      </c>
      <c r="H3136" s="44" t="s">
        <v>4834</v>
      </c>
      <c r="I3136" s="62" t="s">
        <v>1517</v>
      </c>
      <c r="J3136" s="44" t="s">
        <v>512</v>
      </c>
      <c r="K3136" s="44" t="s">
        <v>512</v>
      </c>
      <c r="L3136" s="44" t="s">
        <v>552</v>
      </c>
      <c r="M3136" s="44" t="s">
        <v>514</v>
      </c>
      <c r="N3136" s="44" t="s">
        <v>515</v>
      </c>
      <c r="O3136" s="45" t="s">
        <v>382</v>
      </c>
      <c r="P3136" s="45" t="s">
        <v>3760</v>
      </c>
      <c r="Q3136" s="59" t="str">
        <f>MID(Tabla1[[#This Row],[Aplicación]],14,1)</f>
        <v>2</v>
      </c>
      <c r="R3136" s="35" t="s">
        <v>298</v>
      </c>
      <c r="S3136" s="59" t="str">
        <f>MID(Tabla1[[#This Row],[Aplicación]],6,2)</f>
        <v>01</v>
      </c>
      <c r="T3136" s="35" t="str">
        <f>VLOOKUP(Tabla1[[#This Row],[AREA]],Hoja1!A:B,2,FALSE)</f>
        <v>01. Alcaldía</v>
      </c>
      <c r="U3136" s="56" t="str">
        <f>MID(Tabla1[[#This Row],[Aplicación]],9,4)</f>
        <v>9206</v>
      </c>
      <c r="V3136" s="35" t="str">
        <f>VLOOKUP(Tabla1[[#This Row],[PROGRAMA]],Hoja1!A:B,2,FALSE)</f>
        <v>9206. Archivo municipal</v>
      </c>
      <c r="W3136" s="56" t="str">
        <f>MID(Tabla1[[#This Row],[Aplicación]],14,2)</f>
        <v>22</v>
      </c>
      <c r="X3136" s="56" t="str">
        <f>MID(Tabla1[[#This Row],[Aplicación]],14,6)</f>
        <v>22001</v>
      </c>
    </row>
    <row r="3137" spans="1:24" x14ac:dyDescent="0.25">
      <c r="A3137" s="62">
        <v>220230026517</v>
      </c>
      <c r="B3137" s="44" t="s">
        <v>1514</v>
      </c>
      <c r="C3137" s="64">
        <v>45077</v>
      </c>
      <c r="D3137" s="62">
        <v>22023001466</v>
      </c>
      <c r="E3137" s="44" t="s">
        <v>2624</v>
      </c>
      <c r="F3137" s="65">
        <v>32.08</v>
      </c>
      <c r="G3137" s="44" t="s">
        <v>2351</v>
      </c>
      <c r="H3137" s="44" t="s">
        <v>4835</v>
      </c>
      <c r="I3137" s="62" t="s">
        <v>1517</v>
      </c>
      <c r="J3137" s="44" t="s">
        <v>519</v>
      </c>
      <c r="K3137" s="44" t="s">
        <v>519</v>
      </c>
      <c r="L3137" s="44" t="s">
        <v>552</v>
      </c>
      <c r="M3137" s="44" t="s">
        <v>514</v>
      </c>
      <c r="N3137" s="44" t="s">
        <v>515</v>
      </c>
      <c r="O3137" s="45" t="s">
        <v>382</v>
      </c>
      <c r="P3137" s="45" t="s">
        <v>3760</v>
      </c>
      <c r="Q3137" s="59" t="str">
        <f>MID(Tabla1[[#This Row],[Aplicación]],14,1)</f>
        <v>2</v>
      </c>
      <c r="R3137" s="35" t="s">
        <v>298</v>
      </c>
      <c r="S3137" s="59" t="str">
        <f>MID(Tabla1[[#This Row],[Aplicación]],6,2)</f>
        <v>11</v>
      </c>
      <c r="T3137" s="35" t="str">
        <f>VLOOKUP(Tabla1[[#This Row],[AREA]],Hoja1!A:B,2,FALSE)</f>
        <v>11. Salud pública y seguridad ciudadana</v>
      </c>
      <c r="U3137" s="56" t="str">
        <f>MID(Tabla1[[#This Row],[Aplicación]],9,4)</f>
        <v>1621</v>
      </c>
      <c r="V3137" s="35" t="str">
        <f>VLOOKUP(Tabla1[[#This Row],[PROGRAMA]],Hoja1!A:B,2,FALSE)</f>
        <v>1621. Servicio de limpieza</v>
      </c>
      <c r="W3137" s="56" t="str">
        <f>MID(Tabla1[[#This Row],[Aplicación]],14,2)</f>
        <v>22</v>
      </c>
      <c r="X3137" s="56" t="str">
        <f>MID(Tabla1[[#This Row],[Aplicación]],14,6)</f>
        <v>22199</v>
      </c>
    </row>
    <row r="3138" spans="1:24" x14ac:dyDescent="0.25">
      <c r="A3138" s="62">
        <v>220230016038</v>
      </c>
      <c r="B3138" s="44" t="s">
        <v>1514</v>
      </c>
      <c r="C3138" s="64">
        <v>45043</v>
      </c>
      <c r="D3138" s="62">
        <v>22023000263</v>
      </c>
      <c r="E3138" s="44" t="s">
        <v>3146</v>
      </c>
      <c r="F3138" s="65">
        <v>356.42</v>
      </c>
      <c r="G3138" s="44" t="s">
        <v>2424</v>
      </c>
      <c r="H3138" s="44" t="s">
        <v>4836</v>
      </c>
      <c r="I3138" s="62" t="s">
        <v>1517</v>
      </c>
      <c r="J3138" s="44" t="s">
        <v>519</v>
      </c>
      <c r="K3138" s="44" t="s">
        <v>519</v>
      </c>
      <c r="L3138" s="44" t="s">
        <v>520</v>
      </c>
      <c r="M3138" s="44" t="s">
        <v>514</v>
      </c>
      <c r="N3138" s="44" t="s">
        <v>515</v>
      </c>
      <c r="O3138" s="45" t="s">
        <v>382</v>
      </c>
      <c r="P3138" s="45" t="s">
        <v>3760</v>
      </c>
      <c r="Q3138" s="59" t="str">
        <f>MID(Tabla1[[#This Row],[Aplicación]],14,1)</f>
        <v>2</v>
      </c>
      <c r="R3138" s="35" t="s">
        <v>298</v>
      </c>
      <c r="S3138" s="59" t="str">
        <f>MID(Tabla1[[#This Row],[Aplicación]],6,2)</f>
        <v>02</v>
      </c>
      <c r="T3138" s="35" t="str">
        <f>VLOOKUP(Tabla1[[#This Row],[AREA]],Hoja1!A:B,2,FALSE)</f>
        <v>02. Planeamiento urbanístico y vivienda</v>
      </c>
      <c r="U3138" s="56" t="str">
        <f>MID(Tabla1[[#This Row],[Aplicación]],9,4)</f>
        <v>9332</v>
      </c>
      <c r="V3138" s="35" t="str">
        <f>VLOOKUP(Tabla1[[#This Row],[PROGRAMA]],Hoja1!A:B,2,FALSE)</f>
        <v>9332. Mantenimiento de edificios e instalaciones municipales</v>
      </c>
      <c r="W3138" s="56" t="str">
        <f>MID(Tabla1[[#This Row],[Aplicación]],14,2)</f>
        <v>21</v>
      </c>
      <c r="X3138" s="56" t="str">
        <f>MID(Tabla1[[#This Row],[Aplicación]],14,6)</f>
        <v>214</v>
      </c>
    </row>
    <row r="3139" spans="1:24" x14ac:dyDescent="0.25">
      <c r="A3139" s="62">
        <v>220230016223</v>
      </c>
      <c r="B3139" s="44" t="s">
        <v>1514</v>
      </c>
      <c r="C3139" s="64">
        <v>45043</v>
      </c>
      <c r="D3139" s="62">
        <v>22023000213</v>
      </c>
      <c r="E3139" s="44" t="s">
        <v>1694</v>
      </c>
      <c r="F3139" s="65">
        <v>1661.04</v>
      </c>
      <c r="G3139" s="44" t="s">
        <v>2424</v>
      </c>
      <c r="H3139" s="44" t="s">
        <v>4837</v>
      </c>
      <c r="I3139" s="62" t="s">
        <v>1517</v>
      </c>
      <c r="J3139" s="44" t="s">
        <v>519</v>
      </c>
      <c r="K3139" s="44" t="s">
        <v>519</v>
      </c>
      <c r="L3139" s="44" t="s">
        <v>520</v>
      </c>
      <c r="M3139" s="44" t="s">
        <v>514</v>
      </c>
      <c r="N3139" s="44" t="s">
        <v>515</v>
      </c>
      <c r="O3139" s="45" t="s">
        <v>382</v>
      </c>
      <c r="P3139" s="45" t="s">
        <v>3760</v>
      </c>
      <c r="Q3139" s="59" t="str">
        <f>MID(Tabla1[[#This Row],[Aplicación]],14,1)</f>
        <v>2</v>
      </c>
      <c r="R3139" s="35" t="s">
        <v>298</v>
      </c>
      <c r="S3139" s="59" t="str">
        <f>MID(Tabla1[[#This Row],[Aplicación]],6,2)</f>
        <v>11</v>
      </c>
      <c r="T3139" s="35" t="str">
        <f>VLOOKUP(Tabla1[[#This Row],[AREA]],Hoja1!A:B,2,FALSE)</f>
        <v>11. Salud pública y seguridad ciudadana</v>
      </c>
      <c r="U3139" s="56" t="str">
        <f>MID(Tabla1[[#This Row],[Aplicación]],9,4)</f>
        <v>1321</v>
      </c>
      <c r="V3139" s="35" t="str">
        <f>VLOOKUP(Tabla1[[#This Row],[PROGRAMA]],Hoja1!A:B,2,FALSE)</f>
        <v>1321. Policía municipal</v>
      </c>
      <c r="W3139" s="56" t="str">
        <f>MID(Tabla1[[#This Row],[Aplicación]],14,2)</f>
        <v>21</v>
      </c>
      <c r="X3139" s="56" t="str">
        <f>MID(Tabla1[[#This Row],[Aplicación]],14,6)</f>
        <v>214</v>
      </c>
    </row>
    <row r="3140" spans="1:24" x14ac:dyDescent="0.25">
      <c r="A3140" s="62">
        <v>220230016250</v>
      </c>
      <c r="B3140" s="44" t="s">
        <v>1514</v>
      </c>
      <c r="C3140" s="64">
        <v>45043</v>
      </c>
      <c r="D3140" s="62">
        <v>22023001608</v>
      </c>
      <c r="E3140" s="44" t="s">
        <v>1728</v>
      </c>
      <c r="F3140" s="65">
        <v>24.2</v>
      </c>
      <c r="G3140" s="44" t="s">
        <v>2424</v>
      </c>
      <c r="H3140" s="44" t="s">
        <v>4838</v>
      </c>
      <c r="I3140" s="62" t="s">
        <v>1517</v>
      </c>
      <c r="J3140" s="44" t="s">
        <v>519</v>
      </c>
      <c r="K3140" s="44" t="s">
        <v>519</v>
      </c>
      <c r="L3140" s="44" t="s">
        <v>520</v>
      </c>
      <c r="M3140" s="44" t="s">
        <v>514</v>
      </c>
      <c r="N3140" s="44" t="s">
        <v>515</v>
      </c>
      <c r="O3140" s="45" t="s">
        <v>382</v>
      </c>
      <c r="P3140" s="45" t="s">
        <v>3760</v>
      </c>
      <c r="Q3140" s="59" t="str">
        <f>MID(Tabla1[[#This Row],[Aplicación]],14,1)</f>
        <v>2</v>
      </c>
      <c r="R3140" s="35" t="s">
        <v>298</v>
      </c>
      <c r="S3140" s="59" t="str">
        <f>MID(Tabla1[[#This Row],[Aplicación]],6,2)</f>
        <v>08</v>
      </c>
      <c r="T3140" s="35" t="str">
        <f>VLOOKUP(Tabla1[[#This Row],[AREA]],Hoja1!A:B,2,FALSE)</f>
        <v>08. Movilidad y espacio urbano</v>
      </c>
      <c r="U3140" s="56" t="str">
        <f>MID(Tabla1[[#This Row],[Aplicación]],9,4)</f>
        <v>1532</v>
      </c>
      <c r="V3140" s="35" t="str">
        <f>VLOOKUP(Tabla1[[#This Row],[PROGRAMA]],Hoja1!A:B,2,FALSE)</f>
        <v>1532. Pavimentación vias públicas y otros servicios urbanísticos</v>
      </c>
      <c r="W3140" s="56" t="str">
        <f>MID(Tabla1[[#This Row],[Aplicación]],14,2)</f>
        <v>21</v>
      </c>
      <c r="X3140" s="56" t="str">
        <f>MID(Tabla1[[#This Row],[Aplicación]],14,6)</f>
        <v>214</v>
      </c>
    </row>
    <row r="3141" spans="1:24" x14ac:dyDescent="0.25">
      <c r="A3141" s="62">
        <v>220230023218</v>
      </c>
      <c r="B3141" s="44" t="s">
        <v>1514</v>
      </c>
      <c r="C3141" s="64">
        <v>45068</v>
      </c>
      <c r="D3141" s="62">
        <v>22023000213</v>
      </c>
      <c r="E3141" s="44" t="s">
        <v>1694</v>
      </c>
      <c r="F3141" s="65">
        <v>1243.25</v>
      </c>
      <c r="G3141" s="44" t="s">
        <v>2424</v>
      </c>
      <c r="H3141" s="44" t="s">
        <v>4839</v>
      </c>
      <c r="I3141" s="62" t="s">
        <v>1517</v>
      </c>
      <c r="J3141" s="44" t="s">
        <v>519</v>
      </c>
      <c r="K3141" s="44" t="s">
        <v>519</v>
      </c>
      <c r="L3141" s="44" t="s">
        <v>520</v>
      </c>
      <c r="M3141" s="44" t="s">
        <v>514</v>
      </c>
      <c r="N3141" s="44" t="s">
        <v>515</v>
      </c>
      <c r="O3141" s="45" t="s">
        <v>382</v>
      </c>
      <c r="P3141" s="45" t="s">
        <v>3760</v>
      </c>
      <c r="Q3141" s="59" t="str">
        <f>MID(Tabla1[[#This Row],[Aplicación]],14,1)</f>
        <v>2</v>
      </c>
      <c r="R3141" s="35" t="s">
        <v>298</v>
      </c>
      <c r="S3141" s="59" t="str">
        <f>MID(Tabla1[[#This Row],[Aplicación]],6,2)</f>
        <v>11</v>
      </c>
      <c r="T3141" s="35" t="str">
        <f>VLOOKUP(Tabla1[[#This Row],[AREA]],Hoja1!A:B,2,FALSE)</f>
        <v>11. Salud pública y seguridad ciudadana</v>
      </c>
      <c r="U3141" s="56" t="str">
        <f>MID(Tabla1[[#This Row],[Aplicación]],9,4)</f>
        <v>1321</v>
      </c>
      <c r="V3141" s="35" t="str">
        <f>VLOOKUP(Tabla1[[#This Row],[PROGRAMA]],Hoja1!A:B,2,FALSE)</f>
        <v>1321. Policía municipal</v>
      </c>
      <c r="W3141" s="56" t="str">
        <f>MID(Tabla1[[#This Row],[Aplicación]],14,2)</f>
        <v>21</v>
      </c>
      <c r="X3141" s="56" t="str">
        <f>MID(Tabla1[[#This Row],[Aplicación]],14,6)</f>
        <v>214</v>
      </c>
    </row>
    <row r="3142" spans="1:24" x14ac:dyDescent="0.25">
      <c r="A3142" s="62">
        <v>220230026152</v>
      </c>
      <c r="B3142" s="44" t="s">
        <v>1514</v>
      </c>
      <c r="C3142" s="64">
        <v>45077</v>
      </c>
      <c r="D3142" s="62">
        <v>22023000263</v>
      </c>
      <c r="E3142" s="44" t="s">
        <v>3146</v>
      </c>
      <c r="F3142" s="65">
        <v>30.25</v>
      </c>
      <c r="G3142" s="44" t="s">
        <v>2424</v>
      </c>
      <c r="H3142" s="44" t="s">
        <v>4840</v>
      </c>
      <c r="I3142" s="62" t="s">
        <v>1517</v>
      </c>
      <c r="J3142" s="44" t="s">
        <v>519</v>
      </c>
      <c r="K3142" s="44" t="s">
        <v>519</v>
      </c>
      <c r="L3142" s="44" t="s">
        <v>552</v>
      </c>
      <c r="M3142" s="44" t="s">
        <v>514</v>
      </c>
      <c r="N3142" s="44" t="s">
        <v>515</v>
      </c>
      <c r="O3142" s="45" t="s">
        <v>382</v>
      </c>
      <c r="P3142" s="45" t="s">
        <v>3760</v>
      </c>
      <c r="Q3142" s="59" t="str">
        <f>MID(Tabla1[[#This Row],[Aplicación]],14,1)</f>
        <v>2</v>
      </c>
      <c r="R3142" s="35" t="s">
        <v>298</v>
      </c>
      <c r="S3142" s="59" t="str">
        <f>MID(Tabla1[[#This Row],[Aplicación]],6,2)</f>
        <v>02</v>
      </c>
      <c r="T3142" s="35" t="str">
        <f>VLOOKUP(Tabla1[[#This Row],[AREA]],Hoja1!A:B,2,FALSE)</f>
        <v>02. Planeamiento urbanístico y vivienda</v>
      </c>
      <c r="U3142" s="56" t="str">
        <f>MID(Tabla1[[#This Row],[Aplicación]],9,4)</f>
        <v>9332</v>
      </c>
      <c r="V3142" s="35" t="str">
        <f>VLOOKUP(Tabla1[[#This Row],[PROGRAMA]],Hoja1!A:B,2,FALSE)</f>
        <v>9332. Mantenimiento de edificios e instalaciones municipales</v>
      </c>
      <c r="W3142" s="56" t="str">
        <f>MID(Tabla1[[#This Row],[Aplicación]],14,2)</f>
        <v>21</v>
      </c>
      <c r="X3142" s="56" t="str">
        <f>MID(Tabla1[[#This Row],[Aplicación]],14,6)</f>
        <v>214</v>
      </c>
    </row>
    <row r="3143" spans="1:24" x14ac:dyDescent="0.25">
      <c r="A3143" s="62">
        <v>220230026414</v>
      </c>
      <c r="B3143" s="44" t="s">
        <v>1514</v>
      </c>
      <c r="C3143" s="64">
        <v>45077</v>
      </c>
      <c r="D3143" s="62">
        <v>22023004052</v>
      </c>
      <c r="E3143" s="44" t="s">
        <v>1290</v>
      </c>
      <c r="F3143" s="65">
        <v>2678.06</v>
      </c>
      <c r="G3143" s="44" t="s">
        <v>2424</v>
      </c>
      <c r="H3143" s="44" t="s">
        <v>4841</v>
      </c>
      <c r="I3143" s="62" t="s">
        <v>1517</v>
      </c>
      <c r="J3143" s="44" t="s">
        <v>519</v>
      </c>
      <c r="K3143" s="44" t="s">
        <v>519</v>
      </c>
      <c r="L3143" s="44" t="s">
        <v>552</v>
      </c>
      <c r="M3143" s="44" t="s">
        <v>514</v>
      </c>
      <c r="N3143" s="44" t="s">
        <v>515</v>
      </c>
      <c r="O3143" s="45" t="s">
        <v>382</v>
      </c>
      <c r="P3143" s="45" t="s">
        <v>3760</v>
      </c>
      <c r="Q3143" s="59" t="str">
        <f>MID(Tabla1[[#This Row],[Aplicación]],14,1)</f>
        <v>2</v>
      </c>
      <c r="R3143" s="35" t="s">
        <v>298</v>
      </c>
      <c r="S3143" s="59" t="str">
        <f>MID(Tabla1[[#This Row],[Aplicación]],6,2)</f>
        <v>11</v>
      </c>
      <c r="T3143" s="35" t="str">
        <f>VLOOKUP(Tabla1[[#This Row],[AREA]],Hoja1!A:B,2,FALSE)</f>
        <v>11. Salud pública y seguridad ciudadana</v>
      </c>
      <c r="U3143" s="56" t="str">
        <f>MID(Tabla1[[#This Row],[Aplicación]],9,4)</f>
        <v>1621</v>
      </c>
      <c r="V3143" s="35" t="str">
        <f>VLOOKUP(Tabla1[[#This Row],[PROGRAMA]],Hoja1!A:B,2,FALSE)</f>
        <v>1621. Servicio de limpieza</v>
      </c>
      <c r="W3143" s="56" t="str">
        <f>MID(Tabla1[[#This Row],[Aplicación]],14,2)</f>
        <v>21</v>
      </c>
      <c r="X3143" s="56" t="str">
        <f>MID(Tabla1[[#This Row],[Aplicación]],14,6)</f>
        <v>214</v>
      </c>
    </row>
    <row r="3144" spans="1:24" x14ac:dyDescent="0.25">
      <c r="A3144" s="62">
        <v>220230026418</v>
      </c>
      <c r="B3144" s="44" t="s">
        <v>1514</v>
      </c>
      <c r="C3144" s="64">
        <v>45077</v>
      </c>
      <c r="D3144" s="62">
        <v>22023004048</v>
      </c>
      <c r="E3144" s="44" t="s">
        <v>1683</v>
      </c>
      <c r="F3144" s="65">
        <v>30.25</v>
      </c>
      <c r="G3144" s="44" t="s">
        <v>2424</v>
      </c>
      <c r="H3144" s="44" t="s">
        <v>4842</v>
      </c>
      <c r="I3144" s="62" t="s">
        <v>1517</v>
      </c>
      <c r="J3144" s="44" t="s">
        <v>519</v>
      </c>
      <c r="K3144" s="44" t="s">
        <v>519</v>
      </c>
      <c r="L3144" s="44" t="s">
        <v>552</v>
      </c>
      <c r="M3144" s="44" t="s">
        <v>514</v>
      </c>
      <c r="N3144" s="44" t="s">
        <v>515</v>
      </c>
      <c r="O3144" s="45" t="s">
        <v>382</v>
      </c>
      <c r="P3144" s="45" t="s">
        <v>3760</v>
      </c>
      <c r="Q3144" s="59" t="str">
        <f>MID(Tabla1[[#This Row],[Aplicación]],14,1)</f>
        <v>2</v>
      </c>
      <c r="R3144" s="35" t="s">
        <v>298</v>
      </c>
      <c r="S3144" s="59" t="str">
        <f>MID(Tabla1[[#This Row],[Aplicación]],6,2)</f>
        <v>11</v>
      </c>
      <c r="T3144" s="35" t="str">
        <f>VLOOKUP(Tabla1[[#This Row],[AREA]],Hoja1!A:B,2,FALSE)</f>
        <v>11. Salud pública y seguridad ciudadana</v>
      </c>
      <c r="U3144" s="56" t="str">
        <f>MID(Tabla1[[#This Row],[Aplicación]],9,4)</f>
        <v>1631</v>
      </c>
      <c r="V3144" s="35" t="str">
        <f>VLOOKUP(Tabla1[[#This Row],[PROGRAMA]],Hoja1!A:B,2,FALSE)</f>
        <v>1631. Limpieza viaria</v>
      </c>
      <c r="W3144" s="56" t="str">
        <f>MID(Tabla1[[#This Row],[Aplicación]],14,2)</f>
        <v>21</v>
      </c>
      <c r="X3144" s="56" t="str">
        <f>MID(Tabla1[[#This Row],[Aplicación]],14,6)</f>
        <v>214</v>
      </c>
    </row>
    <row r="3145" spans="1:24" x14ac:dyDescent="0.25">
      <c r="A3145" s="62">
        <v>220230020235</v>
      </c>
      <c r="B3145" s="44" t="s">
        <v>1514</v>
      </c>
      <c r="C3145" s="64">
        <v>45057</v>
      </c>
      <c r="D3145" s="62">
        <v>22023002013</v>
      </c>
      <c r="E3145" s="44" t="s">
        <v>4365</v>
      </c>
      <c r="F3145" s="65">
        <v>1500</v>
      </c>
      <c r="G3145" s="44" t="s">
        <v>4843</v>
      </c>
      <c r="H3145" s="44" t="s">
        <v>4844</v>
      </c>
      <c r="I3145" s="62" t="s">
        <v>1517</v>
      </c>
      <c r="J3145" s="44" t="s">
        <v>519</v>
      </c>
      <c r="K3145" s="44" t="s">
        <v>519</v>
      </c>
      <c r="L3145" s="44" t="s">
        <v>552</v>
      </c>
      <c r="M3145" s="44" t="s">
        <v>514</v>
      </c>
      <c r="N3145" s="44" t="s">
        <v>515</v>
      </c>
      <c r="O3145" s="45" t="s">
        <v>382</v>
      </c>
      <c r="P3145" s="45" t="s">
        <v>3760</v>
      </c>
      <c r="Q3145" s="59">
        <v>6</v>
      </c>
      <c r="R3145" s="35" t="s">
        <v>299</v>
      </c>
      <c r="S3145" s="59" t="str">
        <f>MID(Tabla1[[#This Row],[Aplicación]],6,2)</f>
        <v>06</v>
      </c>
      <c r="T3145" s="35" t="str">
        <f>VLOOKUP(Tabla1[[#This Row],[AREA]],Hoja1!A:B,2,FALSE)</f>
        <v>06. Educación, infancia, juventud e igualdad</v>
      </c>
      <c r="U3145" s="56" t="str">
        <f>MID(Tabla1[[#This Row],[Aplicación]],9,4)</f>
        <v>0 33</v>
      </c>
      <c r="V3145" s="59">
        <v>3321</v>
      </c>
      <c r="W3145" s="59">
        <v>62</v>
      </c>
      <c r="X3145" s="59">
        <v>629</v>
      </c>
    </row>
    <row r="3146" spans="1:24" x14ac:dyDescent="0.25">
      <c r="A3146" s="62">
        <v>220230022012</v>
      </c>
      <c r="B3146" s="44" t="s">
        <v>1514</v>
      </c>
      <c r="C3146" s="64">
        <v>45064</v>
      </c>
      <c r="D3146" s="62">
        <v>22023003137</v>
      </c>
      <c r="E3146" s="44" t="s">
        <v>4845</v>
      </c>
      <c r="F3146" s="65">
        <v>131.35</v>
      </c>
      <c r="G3146" s="44" t="s">
        <v>4843</v>
      </c>
      <c r="H3146" s="44" t="s">
        <v>4846</v>
      </c>
      <c r="I3146" s="62" t="s">
        <v>1517</v>
      </c>
      <c r="J3146" s="44" t="s">
        <v>519</v>
      </c>
      <c r="K3146" s="44" t="s">
        <v>519</v>
      </c>
      <c r="L3146" s="44" t="s">
        <v>552</v>
      </c>
      <c r="M3146" s="44" t="s">
        <v>514</v>
      </c>
      <c r="N3146" s="44" t="s">
        <v>515</v>
      </c>
      <c r="O3146" s="45" t="s">
        <v>382</v>
      </c>
      <c r="P3146" s="45" t="s">
        <v>3760</v>
      </c>
      <c r="Q3146" s="59" t="str">
        <f>MID(Tabla1[[#This Row],[Aplicación]],14,1)</f>
        <v>6</v>
      </c>
      <c r="R3146" s="35" t="s">
        <v>299</v>
      </c>
      <c r="S3146" s="59" t="str">
        <f>MID(Tabla1[[#This Row],[Aplicación]],6,2)</f>
        <v>06</v>
      </c>
      <c r="T3146" s="35" t="str">
        <f>VLOOKUP(Tabla1[[#This Row],[AREA]],Hoja1!A:B,2,FALSE)</f>
        <v>06. Educación, infancia, juventud e igualdad</v>
      </c>
      <c r="U3146" s="56" t="str">
        <f>MID(Tabla1[[#This Row],[Aplicación]],9,4)</f>
        <v>3321</v>
      </c>
      <c r="V3146" s="35" t="str">
        <f>VLOOKUP(Tabla1[[#This Row],[PROGRAMA]],Hoja1!A:B,2,FALSE)</f>
        <v>3321. Bibliotecas públicas</v>
      </c>
      <c r="W3146" s="56" t="str">
        <f>MID(Tabla1[[#This Row],[Aplicación]],14,2)</f>
        <v>62</v>
      </c>
      <c r="X3146" s="56" t="str">
        <f>MID(Tabla1[[#This Row],[Aplicación]],14,6)</f>
        <v>629</v>
      </c>
    </row>
    <row r="3147" spans="1:24" x14ac:dyDescent="0.25">
      <c r="A3147" s="62">
        <v>220230022061</v>
      </c>
      <c r="B3147" s="44" t="s">
        <v>1514</v>
      </c>
      <c r="C3147" s="64">
        <v>45064</v>
      </c>
      <c r="D3147" s="62">
        <v>22023002013</v>
      </c>
      <c r="E3147" s="44" t="s">
        <v>4365</v>
      </c>
      <c r="F3147" s="65">
        <v>1500</v>
      </c>
      <c r="G3147" s="44" t="s">
        <v>4207</v>
      </c>
      <c r="H3147" s="44" t="s">
        <v>4847</v>
      </c>
      <c r="I3147" s="62" t="s">
        <v>1517</v>
      </c>
      <c r="J3147" s="44" t="s">
        <v>519</v>
      </c>
      <c r="K3147" s="44" t="s">
        <v>519</v>
      </c>
      <c r="L3147" s="44" t="s">
        <v>552</v>
      </c>
      <c r="M3147" s="44" t="s">
        <v>514</v>
      </c>
      <c r="N3147" s="44" t="s">
        <v>515</v>
      </c>
      <c r="O3147" s="45" t="s">
        <v>382</v>
      </c>
      <c r="P3147" s="45" t="s">
        <v>3760</v>
      </c>
      <c r="Q3147" s="59">
        <v>6</v>
      </c>
      <c r="R3147" s="35" t="s">
        <v>299</v>
      </c>
      <c r="S3147" s="59" t="str">
        <f>MID(Tabla1[[#This Row],[Aplicación]],6,2)</f>
        <v>06</v>
      </c>
      <c r="T3147" s="35" t="str">
        <f>VLOOKUP(Tabla1[[#This Row],[AREA]],Hoja1!A:B,2,FALSE)</f>
        <v>06. Educación, infancia, juventud e igualdad</v>
      </c>
      <c r="U3147" s="56" t="str">
        <f>MID(Tabla1[[#This Row],[Aplicación]],9,4)</f>
        <v>0 33</v>
      </c>
      <c r="V3147" s="59">
        <v>3321</v>
      </c>
      <c r="W3147" s="59">
        <v>62</v>
      </c>
      <c r="X3147" s="59">
        <v>629</v>
      </c>
    </row>
    <row r="3148" spans="1:24" x14ac:dyDescent="0.25">
      <c r="A3148" s="62">
        <v>220230022063</v>
      </c>
      <c r="B3148" s="44" t="s">
        <v>1514</v>
      </c>
      <c r="C3148" s="64">
        <v>45064</v>
      </c>
      <c r="D3148" s="62">
        <v>22023002013</v>
      </c>
      <c r="E3148" s="44" t="s">
        <v>4365</v>
      </c>
      <c r="F3148" s="65">
        <v>1500</v>
      </c>
      <c r="G3148" s="44" t="s">
        <v>4207</v>
      </c>
      <c r="H3148" s="44" t="s">
        <v>4848</v>
      </c>
      <c r="I3148" s="62" t="s">
        <v>1517</v>
      </c>
      <c r="J3148" s="44" t="s">
        <v>519</v>
      </c>
      <c r="K3148" s="44" t="s">
        <v>519</v>
      </c>
      <c r="L3148" s="44" t="s">
        <v>552</v>
      </c>
      <c r="M3148" s="44" t="s">
        <v>514</v>
      </c>
      <c r="N3148" s="44" t="s">
        <v>515</v>
      </c>
      <c r="O3148" s="45" t="s">
        <v>382</v>
      </c>
      <c r="P3148" s="45" t="s">
        <v>3760</v>
      </c>
      <c r="Q3148" s="59">
        <v>6</v>
      </c>
      <c r="R3148" s="35" t="s">
        <v>299</v>
      </c>
      <c r="S3148" s="59" t="str">
        <f>MID(Tabla1[[#This Row],[Aplicación]],6,2)</f>
        <v>06</v>
      </c>
      <c r="T3148" s="35" t="str">
        <f>VLOOKUP(Tabla1[[#This Row],[AREA]],Hoja1!A:B,2,FALSE)</f>
        <v>06. Educación, infancia, juventud e igualdad</v>
      </c>
      <c r="U3148" s="56" t="str">
        <f>MID(Tabla1[[#This Row],[Aplicación]],9,4)</f>
        <v>0 33</v>
      </c>
      <c r="V3148" s="59">
        <v>3321</v>
      </c>
      <c r="W3148" s="59">
        <v>62</v>
      </c>
      <c r="X3148" s="59">
        <v>629</v>
      </c>
    </row>
    <row r="3149" spans="1:24" x14ac:dyDescent="0.25">
      <c r="A3149" s="62">
        <v>220230022066</v>
      </c>
      <c r="B3149" s="44" t="s">
        <v>1514</v>
      </c>
      <c r="C3149" s="64">
        <v>45064</v>
      </c>
      <c r="D3149" s="62">
        <v>22023002013</v>
      </c>
      <c r="E3149" s="44" t="s">
        <v>4365</v>
      </c>
      <c r="F3149" s="65">
        <v>1500</v>
      </c>
      <c r="G3149" s="44" t="s">
        <v>4207</v>
      </c>
      <c r="H3149" s="44" t="s">
        <v>4849</v>
      </c>
      <c r="I3149" s="62" t="s">
        <v>1517</v>
      </c>
      <c r="J3149" s="44" t="s">
        <v>519</v>
      </c>
      <c r="K3149" s="44" t="s">
        <v>519</v>
      </c>
      <c r="L3149" s="44" t="s">
        <v>552</v>
      </c>
      <c r="M3149" s="44" t="s">
        <v>514</v>
      </c>
      <c r="N3149" s="44" t="s">
        <v>515</v>
      </c>
      <c r="O3149" s="45" t="s">
        <v>382</v>
      </c>
      <c r="P3149" s="45" t="s">
        <v>3760</v>
      </c>
      <c r="Q3149" s="59">
        <v>6</v>
      </c>
      <c r="R3149" s="35" t="s">
        <v>299</v>
      </c>
      <c r="S3149" s="59" t="str">
        <f>MID(Tabla1[[#This Row],[Aplicación]],6,2)</f>
        <v>06</v>
      </c>
      <c r="T3149" s="35" t="str">
        <f>VLOOKUP(Tabla1[[#This Row],[AREA]],Hoja1!A:B,2,FALSE)</f>
        <v>06. Educación, infancia, juventud e igualdad</v>
      </c>
      <c r="U3149" s="56" t="str">
        <f>MID(Tabla1[[#This Row],[Aplicación]],9,4)</f>
        <v>0 33</v>
      </c>
      <c r="V3149" s="59">
        <v>3321</v>
      </c>
      <c r="W3149" s="59">
        <v>62</v>
      </c>
      <c r="X3149" s="59">
        <v>629</v>
      </c>
    </row>
    <row r="3150" spans="1:24" x14ac:dyDescent="0.25">
      <c r="A3150" s="62">
        <v>220230022068</v>
      </c>
      <c r="B3150" s="44" t="s">
        <v>1514</v>
      </c>
      <c r="C3150" s="64">
        <v>45064</v>
      </c>
      <c r="D3150" s="62">
        <v>22023002013</v>
      </c>
      <c r="E3150" s="44" t="s">
        <v>4365</v>
      </c>
      <c r="F3150" s="65">
        <v>1500</v>
      </c>
      <c r="G3150" s="44" t="s">
        <v>4207</v>
      </c>
      <c r="H3150" s="44" t="s">
        <v>4850</v>
      </c>
      <c r="I3150" s="62" t="s">
        <v>1517</v>
      </c>
      <c r="J3150" s="44" t="s">
        <v>519</v>
      </c>
      <c r="K3150" s="44" t="s">
        <v>519</v>
      </c>
      <c r="L3150" s="44" t="s">
        <v>552</v>
      </c>
      <c r="M3150" s="44" t="s">
        <v>514</v>
      </c>
      <c r="N3150" s="44" t="s">
        <v>515</v>
      </c>
      <c r="O3150" s="45" t="s">
        <v>382</v>
      </c>
      <c r="P3150" s="45" t="s">
        <v>3760</v>
      </c>
      <c r="Q3150" s="59">
        <v>6</v>
      </c>
      <c r="R3150" s="35" t="s">
        <v>299</v>
      </c>
      <c r="S3150" s="59" t="str">
        <f>MID(Tabla1[[#This Row],[Aplicación]],6,2)</f>
        <v>06</v>
      </c>
      <c r="T3150" s="35" t="str">
        <f>VLOOKUP(Tabla1[[#This Row],[AREA]],Hoja1!A:B,2,FALSE)</f>
        <v>06. Educación, infancia, juventud e igualdad</v>
      </c>
      <c r="U3150" s="56" t="str">
        <f>MID(Tabla1[[#This Row],[Aplicación]],9,4)</f>
        <v>0 33</v>
      </c>
      <c r="V3150" s="59">
        <v>3321</v>
      </c>
      <c r="W3150" s="59">
        <v>62</v>
      </c>
      <c r="X3150" s="59">
        <v>629</v>
      </c>
    </row>
    <row r="3151" spans="1:24" x14ac:dyDescent="0.25">
      <c r="A3151" s="62">
        <v>220230020247</v>
      </c>
      <c r="B3151" s="44" t="s">
        <v>1514</v>
      </c>
      <c r="C3151" s="64">
        <v>45057</v>
      </c>
      <c r="D3151" s="62">
        <v>22023002013</v>
      </c>
      <c r="E3151" s="44" t="s">
        <v>4365</v>
      </c>
      <c r="F3151" s="65">
        <v>1500</v>
      </c>
      <c r="G3151" s="44" t="s">
        <v>4851</v>
      </c>
      <c r="H3151" s="44" t="s">
        <v>4852</v>
      </c>
      <c r="I3151" s="62" t="s">
        <v>1517</v>
      </c>
      <c r="J3151" s="44" t="s">
        <v>519</v>
      </c>
      <c r="K3151" s="44" t="s">
        <v>519</v>
      </c>
      <c r="L3151" s="44" t="s">
        <v>552</v>
      </c>
      <c r="M3151" s="44" t="s">
        <v>514</v>
      </c>
      <c r="N3151" s="44" t="s">
        <v>515</v>
      </c>
      <c r="O3151" s="45" t="s">
        <v>382</v>
      </c>
      <c r="P3151" s="45" t="s">
        <v>3760</v>
      </c>
      <c r="Q3151" s="59">
        <v>6</v>
      </c>
      <c r="R3151" s="35" t="s">
        <v>299</v>
      </c>
      <c r="S3151" s="59" t="str">
        <f>MID(Tabla1[[#This Row],[Aplicación]],6,2)</f>
        <v>06</v>
      </c>
      <c r="T3151" s="35" t="str">
        <f>VLOOKUP(Tabla1[[#This Row],[AREA]],Hoja1!A:B,2,FALSE)</f>
        <v>06. Educación, infancia, juventud e igualdad</v>
      </c>
      <c r="U3151" s="56" t="str">
        <f>MID(Tabla1[[#This Row],[Aplicación]],9,4)</f>
        <v>0 33</v>
      </c>
      <c r="V3151" s="59">
        <v>3321</v>
      </c>
      <c r="W3151" s="59">
        <v>62</v>
      </c>
      <c r="X3151" s="59">
        <v>629</v>
      </c>
    </row>
    <row r="3152" spans="1:24" x14ac:dyDescent="0.25">
      <c r="A3152" s="62">
        <v>220230020249</v>
      </c>
      <c r="B3152" s="44" t="s">
        <v>1514</v>
      </c>
      <c r="C3152" s="64">
        <v>45057</v>
      </c>
      <c r="D3152" s="62">
        <v>22023002013</v>
      </c>
      <c r="E3152" s="44" t="s">
        <v>4365</v>
      </c>
      <c r="F3152" s="65">
        <v>1500</v>
      </c>
      <c r="G3152" s="44" t="s">
        <v>4851</v>
      </c>
      <c r="H3152" s="44" t="s">
        <v>4853</v>
      </c>
      <c r="I3152" s="62" t="s">
        <v>1517</v>
      </c>
      <c r="J3152" s="44" t="s">
        <v>519</v>
      </c>
      <c r="K3152" s="44" t="s">
        <v>519</v>
      </c>
      <c r="L3152" s="44" t="s">
        <v>552</v>
      </c>
      <c r="M3152" s="44" t="s">
        <v>514</v>
      </c>
      <c r="N3152" s="44" t="s">
        <v>515</v>
      </c>
      <c r="O3152" s="45" t="s">
        <v>382</v>
      </c>
      <c r="P3152" s="45" t="s">
        <v>3760</v>
      </c>
      <c r="Q3152" s="59">
        <v>6</v>
      </c>
      <c r="R3152" s="35" t="s">
        <v>299</v>
      </c>
      <c r="S3152" s="59" t="str">
        <f>MID(Tabla1[[#This Row],[Aplicación]],6,2)</f>
        <v>06</v>
      </c>
      <c r="T3152" s="35" t="str">
        <f>VLOOKUP(Tabla1[[#This Row],[AREA]],Hoja1!A:B,2,FALSE)</f>
        <v>06. Educación, infancia, juventud e igualdad</v>
      </c>
      <c r="U3152" s="56" t="str">
        <f>MID(Tabla1[[#This Row],[Aplicación]],9,4)</f>
        <v>0 33</v>
      </c>
      <c r="V3152" s="59">
        <v>3321</v>
      </c>
      <c r="W3152" s="59">
        <v>62</v>
      </c>
      <c r="X3152" s="59">
        <v>629</v>
      </c>
    </row>
    <row r="3153" spans="1:24" x14ac:dyDescent="0.25">
      <c r="A3153" s="62">
        <v>220230015099</v>
      </c>
      <c r="B3153" s="44" t="s">
        <v>1337</v>
      </c>
      <c r="C3153" s="64">
        <v>45041</v>
      </c>
      <c r="D3153" s="62">
        <v>22023002097</v>
      </c>
      <c r="E3153" s="44" t="s">
        <v>1502</v>
      </c>
      <c r="F3153" s="65">
        <v>-1593.51</v>
      </c>
      <c r="G3153" s="44" t="s">
        <v>78</v>
      </c>
      <c r="H3153" s="44" t="s">
        <v>2135</v>
      </c>
      <c r="I3153" s="62" t="s">
        <v>511</v>
      </c>
      <c r="J3153" s="44" t="s">
        <v>519</v>
      </c>
      <c r="K3153" s="44" t="s">
        <v>519</v>
      </c>
      <c r="L3153" s="44" t="s">
        <v>552</v>
      </c>
      <c r="M3153" s="44" t="s">
        <v>976</v>
      </c>
      <c r="N3153" s="44" t="s">
        <v>839</v>
      </c>
      <c r="O3153" s="45" t="s">
        <v>383</v>
      </c>
      <c r="P3153" s="45" t="s">
        <v>3760</v>
      </c>
      <c r="Q3153" s="59" t="str">
        <f>MID(Tabla1[[#This Row],[Aplicación]],14,1)</f>
        <v>2</v>
      </c>
      <c r="R3153" s="35" t="s">
        <v>298</v>
      </c>
      <c r="S3153" s="59" t="str">
        <f>MID(Tabla1[[#This Row],[Aplicación]],6,2)</f>
        <v>10</v>
      </c>
      <c r="T3153" s="35" t="str">
        <f>VLOOKUP(Tabla1[[#This Row],[AREA]],Hoja1!A:B,2,FALSE)</f>
        <v>10. Servicios sociales y mediación comunitaria</v>
      </c>
      <c r="U3153" s="56" t="str">
        <f>MID(Tabla1[[#This Row],[Aplicación]],9,4)</f>
        <v>2412</v>
      </c>
      <c r="V3153" s="35" t="str">
        <f>VLOOKUP(Tabla1[[#This Row],[PROGRAMA]],Hoja1!A:B,2,FALSE)</f>
        <v>2412. Formación para el empleo</v>
      </c>
      <c r="W3153" s="56" t="str">
        <f>MID(Tabla1[[#This Row],[Aplicación]],14,2)</f>
        <v>22</v>
      </c>
      <c r="X3153" s="56" t="str">
        <f>MID(Tabla1[[#This Row],[Aplicación]],14,6)</f>
        <v>22199</v>
      </c>
    </row>
    <row r="3154" spans="1:24" x14ac:dyDescent="0.25">
      <c r="A3154" s="62">
        <v>220230016203</v>
      </c>
      <c r="B3154" s="44" t="s">
        <v>1514</v>
      </c>
      <c r="C3154" s="64">
        <v>45043</v>
      </c>
      <c r="D3154" s="62">
        <v>22023000270</v>
      </c>
      <c r="E3154" s="44" t="s">
        <v>1694</v>
      </c>
      <c r="F3154" s="65">
        <v>274.48</v>
      </c>
      <c r="G3154" s="44" t="s">
        <v>2427</v>
      </c>
      <c r="H3154" s="44" t="s">
        <v>2431</v>
      </c>
      <c r="I3154" s="62" t="s">
        <v>1517</v>
      </c>
      <c r="J3154" s="44" t="s">
        <v>519</v>
      </c>
      <c r="K3154" s="44" t="s">
        <v>519</v>
      </c>
      <c r="L3154" s="44" t="s">
        <v>552</v>
      </c>
      <c r="M3154" s="44" t="s">
        <v>514</v>
      </c>
      <c r="N3154" s="44" t="s">
        <v>515</v>
      </c>
      <c r="O3154" s="45" t="s">
        <v>382</v>
      </c>
      <c r="P3154" s="45" t="s">
        <v>3760</v>
      </c>
      <c r="Q3154" s="59" t="str">
        <f>MID(Tabla1[[#This Row],[Aplicación]],14,1)</f>
        <v>2</v>
      </c>
      <c r="R3154" s="35" t="s">
        <v>298</v>
      </c>
      <c r="S3154" s="59" t="str">
        <f>MID(Tabla1[[#This Row],[Aplicación]],6,2)</f>
        <v>11</v>
      </c>
      <c r="T3154" s="35" t="str">
        <f>VLOOKUP(Tabla1[[#This Row],[AREA]],Hoja1!A:B,2,FALSE)</f>
        <v>11. Salud pública y seguridad ciudadana</v>
      </c>
      <c r="U3154" s="56" t="str">
        <f>MID(Tabla1[[#This Row],[Aplicación]],9,4)</f>
        <v>1321</v>
      </c>
      <c r="V3154" s="35" t="str">
        <f>VLOOKUP(Tabla1[[#This Row],[PROGRAMA]],Hoja1!A:B,2,FALSE)</f>
        <v>1321. Policía municipal</v>
      </c>
      <c r="W3154" s="56" t="str">
        <f>MID(Tabla1[[#This Row],[Aplicación]],14,2)</f>
        <v>21</v>
      </c>
      <c r="X3154" s="56" t="str">
        <f>MID(Tabla1[[#This Row],[Aplicación]],14,6)</f>
        <v>214</v>
      </c>
    </row>
    <row r="3155" spans="1:24" x14ac:dyDescent="0.25">
      <c r="A3155" s="62">
        <v>220230020115</v>
      </c>
      <c r="B3155" s="44" t="s">
        <v>1514</v>
      </c>
      <c r="C3155" s="64">
        <v>45057</v>
      </c>
      <c r="D3155" s="62">
        <v>22023001463</v>
      </c>
      <c r="E3155" s="44" t="s">
        <v>557</v>
      </c>
      <c r="F3155" s="65">
        <v>928.07</v>
      </c>
      <c r="G3155" s="44" t="s">
        <v>2430</v>
      </c>
      <c r="H3155" s="44" t="s">
        <v>4854</v>
      </c>
      <c r="I3155" s="62" t="s">
        <v>1517</v>
      </c>
      <c r="J3155" s="44" t="s">
        <v>573</v>
      </c>
      <c r="K3155" s="44" t="s">
        <v>573</v>
      </c>
      <c r="L3155" s="44" t="s">
        <v>552</v>
      </c>
      <c r="M3155" s="44" t="s">
        <v>514</v>
      </c>
      <c r="N3155" s="44" t="s">
        <v>515</v>
      </c>
      <c r="O3155" s="45" t="s">
        <v>382</v>
      </c>
      <c r="P3155" s="45" t="s">
        <v>3760</v>
      </c>
      <c r="Q3155" s="59" t="str">
        <f>MID(Tabla1[[#This Row],[Aplicación]],14,1)</f>
        <v>2</v>
      </c>
      <c r="R3155" s="35" t="s">
        <v>298</v>
      </c>
      <c r="S3155" s="59" t="str">
        <f>MID(Tabla1[[#This Row],[Aplicación]],6,2)</f>
        <v>11</v>
      </c>
      <c r="T3155" s="35" t="str">
        <f>VLOOKUP(Tabla1[[#This Row],[AREA]],Hoja1!A:B,2,FALSE)</f>
        <v>11. Salud pública y seguridad ciudadana</v>
      </c>
      <c r="U3155" s="56" t="str">
        <f>MID(Tabla1[[#This Row],[Aplicación]],9,4)</f>
        <v>1621</v>
      </c>
      <c r="V3155" s="35" t="str">
        <f>VLOOKUP(Tabla1[[#This Row],[PROGRAMA]],Hoja1!A:B,2,FALSE)</f>
        <v>1621. Servicio de limpieza</v>
      </c>
      <c r="W3155" s="56" t="str">
        <f>MID(Tabla1[[#This Row],[Aplicación]],14,2)</f>
        <v>22</v>
      </c>
      <c r="X3155" s="56" t="str">
        <f>MID(Tabla1[[#This Row],[Aplicación]],14,6)</f>
        <v>22103</v>
      </c>
    </row>
    <row r="3156" spans="1:24" x14ac:dyDescent="0.25">
      <c r="A3156" s="62">
        <v>220230020117</v>
      </c>
      <c r="B3156" s="44" t="s">
        <v>1514</v>
      </c>
      <c r="C3156" s="64">
        <v>45057</v>
      </c>
      <c r="D3156" s="62">
        <v>22023001463</v>
      </c>
      <c r="E3156" s="44" t="s">
        <v>557</v>
      </c>
      <c r="F3156" s="65">
        <v>883.3</v>
      </c>
      <c r="G3156" s="44" t="s">
        <v>2430</v>
      </c>
      <c r="H3156" s="44" t="s">
        <v>4855</v>
      </c>
      <c r="I3156" s="62" t="s">
        <v>1517</v>
      </c>
      <c r="J3156" s="44" t="s">
        <v>573</v>
      </c>
      <c r="K3156" s="44" t="s">
        <v>573</v>
      </c>
      <c r="L3156" s="44" t="s">
        <v>552</v>
      </c>
      <c r="M3156" s="44" t="s">
        <v>514</v>
      </c>
      <c r="N3156" s="44" t="s">
        <v>515</v>
      </c>
      <c r="O3156" s="45" t="s">
        <v>382</v>
      </c>
      <c r="P3156" s="45" t="s">
        <v>3760</v>
      </c>
      <c r="Q3156" s="59" t="str">
        <f>MID(Tabla1[[#This Row],[Aplicación]],14,1)</f>
        <v>2</v>
      </c>
      <c r="R3156" s="35" t="s">
        <v>298</v>
      </c>
      <c r="S3156" s="59" t="str">
        <f>MID(Tabla1[[#This Row],[Aplicación]],6,2)</f>
        <v>11</v>
      </c>
      <c r="T3156" s="35" t="str">
        <f>VLOOKUP(Tabla1[[#This Row],[AREA]],Hoja1!A:B,2,FALSE)</f>
        <v>11. Salud pública y seguridad ciudadana</v>
      </c>
      <c r="U3156" s="56" t="str">
        <f>MID(Tabla1[[#This Row],[Aplicación]],9,4)</f>
        <v>1621</v>
      </c>
      <c r="V3156" s="35" t="str">
        <f>VLOOKUP(Tabla1[[#This Row],[PROGRAMA]],Hoja1!A:B,2,FALSE)</f>
        <v>1621. Servicio de limpieza</v>
      </c>
      <c r="W3156" s="56" t="str">
        <f>MID(Tabla1[[#This Row],[Aplicación]],14,2)</f>
        <v>22</v>
      </c>
      <c r="X3156" s="56" t="str">
        <f>MID(Tabla1[[#This Row],[Aplicación]],14,6)</f>
        <v>22103</v>
      </c>
    </row>
    <row r="3157" spans="1:24" x14ac:dyDescent="0.25">
      <c r="A3157" s="62">
        <v>220230020119</v>
      </c>
      <c r="B3157" s="44" t="s">
        <v>1514</v>
      </c>
      <c r="C3157" s="64">
        <v>45057</v>
      </c>
      <c r="D3157" s="62">
        <v>22023001463</v>
      </c>
      <c r="E3157" s="44" t="s">
        <v>557</v>
      </c>
      <c r="F3157" s="65">
        <v>441.65</v>
      </c>
      <c r="G3157" s="44" t="s">
        <v>2430</v>
      </c>
      <c r="H3157" s="44" t="s">
        <v>4855</v>
      </c>
      <c r="I3157" s="62" t="s">
        <v>1517</v>
      </c>
      <c r="J3157" s="44" t="s">
        <v>573</v>
      </c>
      <c r="K3157" s="44" t="s">
        <v>573</v>
      </c>
      <c r="L3157" s="44" t="s">
        <v>552</v>
      </c>
      <c r="M3157" s="44" t="s">
        <v>514</v>
      </c>
      <c r="N3157" s="44" t="s">
        <v>515</v>
      </c>
      <c r="O3157" s="45" t="s">
        <v>382</v>
      </c>
      <c r="P3157" s="45" t="s">
        <v>3760</v>
      </c>
      <c r="Q3157" s="59" t="str">
        <f>MID(Tabla1[[#This Row],[Aplicación]],14,1)</f>
        <v>2</v>
      </c>
      <c r="R3157" s="35" t="s">
        <v>298</v>
      </c>
      <c r="S3157" s="59" t="str">
        <f>MID(Tabla1[[#This Row],[Aplicación]],6,2)</f>
        <v>11</v>
      </c>
      <c r="T3157" s="35" t="str">
        <f>VLOOKUP(Tabla1[[#This Row],[AREA]],Hoja1!A:B,2,FALSE)</f>
        <v>11. Salud pública y seguridad ciudadana</v>
      </c>
      <c r="U3157" s="56" t="str">
        <f>MID(Tabla1[[#This Row],[Aplicación]],9,4)</f>
        <v>1621</v>
      </c>
      <c r="V3157" s="35" t="str">
        <f>VLOOKUP(Tabla1[[#This Row],[PROGRAMA]],Hoja1!A:B,2,FALSE)</f>
        <v>1621. Servicio de limpieza</v>
      </c>
      <c r="W3157" s="56" t="str">
        <f>MID(Tabla1[[#This Row],[Aplicación]],14,2)</f>
        <v>22</v>
      </c>
      <c r="X3157" s="56" t="str">
        <f>MID(Tabla1[[#This Row],[Aplicación]],14,6)</f>
        <v>22103</v>
      </c>
    </row>
    <row r="3158" spans="1:24" x14ac:dyDescent="0.25">
      <c r="A3158" s="62">
        <v>220230026281</v>
      </c>
      <c r="B3158" s="44" t="s">
        <v>1514</v>
      </c>
      <c r="C3158" s="64">
        <v>45077</v>
      </c>
      <c r="D3158" s="62">
        <v>22023001463</v>
      </c>
      <c r="E3158" s="44" t="s">
        <v>557</v>
      </c>
      <c r="F3158" s="65">
        <v>1428.51</v>
      </c>
      <c r="G3158" s="44" t="s">
        <v>2430</v>
      </c>
      <c r="H3158" s="44" t="s">
        <v>4856</v>
      </c>
      <c r="I3158" s="62" t="s">
        <v>1517</v>
      </c>
      <c r="J3158" s="44" t="s">
        <v>573</v>
      </c>
      <c r="K3158" s="44" t="s">
        <v>573</v>
      </c>
      <c r="L3158" s="44" t="s">
        <v>552</v>
      </c>
      <c r="M3158" s="44" t="s">
        <v>514</v>
      </c>
      <c r="N3158" s="44" t="s">
        <v>515</v>
      </c>
      <c r="O3158" s="45" t="s">
        <v>382</v>
      </c>
      <c r="P3158" s="45" t="s">
        <v>3760</v>
      </c>
      <c r="Q3158" s="59" t="str">
        <f>MID(Tabla1[[#This Row],[Aplicación]],14,1)</f>
        <v>2</v>
      </c>
      <c r="R3158" s="35" t="s">
        <v>298</v>
      </c>
      <c r="S3158" s="59" t="str">
        <f>MID(Tabla1[[#This Row],[Aplicación]],6,2)</f>
        <v>11</v>
      </c>
      <c r="T3158" s="35" t="str">
        <f>VLOOKUP(Tabla1[[#This Row],[AREA]],Hoja1!A:B,2,FALSE)</f>
        <v>11. Salud pública y seguridad ciudadana</v>
      </c>
      <c r="U3158" s="56" t="str">
        <f>MID(Tabla1[[#This Row],[Aplicación]],9,4)</f>
        <v>1621</v>
      </c>
      <c r="V3158" s="35" t="str">
        <f>VLOOKUP(Tabla1[[#This Row],[PROGRAMA]],Hoja1!A:B,2,FALSE)</f>
        <v>1621. Servicio de limpieza</v>
      </c>
      <c r="W3158" s="56" t="str">
        <f>MID(Tabla1[[#This Row],[Aplicación]],14,2)</f>
        <v>22</v>
      </c>
      <c r="X3158" s="56" t="str">
        <f>MID(Tabla1[[#This Row],[Aplicación]],14,6)</f>
        <v>22103</v>
      </c>
    </row>
    <row r="3159" spans="1:24" x14ac:dyDescent="0.25">
      <c r="A3159" s="62">
        <v>220230026589</v>
      </c>
      <c r="B3159" s="44" t="s">
        <v>1514</v>
      </c>
      <c r="C3159" s="64">
        <v>45077</v>
      </c>
      <c r="D3159" s="62">
        <v>22023001463</v>
      </c>
      <c r="E3159" s="44" t="s">
        <v>557</v>
      </c>
      <c r="F3159" s="65">
        <v>1960.2</v>
      </c>
      <c r="G3159" s="44" t="s">
        <v>2430</v>
      </c>
      <c r="H3159" s="44" t="s">
        <v>4857</v>
      </c>
      <c r="I3159" s="62" t="s">
        <v>1517</v>
      </c>
      <c r="J3159" s="44" t="s">
        <v>573</v>
      </c>
      <c r="K3159" s="44" t="s">
        <v>573</v>
      </c>
      <c r="L3159" s="44" t="s">
        <v>552</v>
      </c>
      <c r="M3159" s="44" t="s">
        <v>514</v>
      </c>
      <c r="N3159" s="44" t="s">
        <v>515</v>
      </c>
      <c r="O3159" s="45" t="s">
        <v>382</v>
      </c>
      <c r="P3159" s="45" t="s">
        <v>3760</v>
      </c>
      <c r="Q3159" s="59" t="str">
        <f>MID(Tabla1[[#This Row],[Aplicación]],14,1)</f>
        <v>2</v>
      </c>
      <c r="R3159" s="35" t="s">
        <v>298</v>
      </c>
      <c r="S3159" s="59" t="str">
        <f>MID(Tabla1[[#This Row],[Aplicación]],6,2)</f>
        <v>11</v>
      </c>
      <c r="T3159" s="35" t="str">
        <f>VLOOKUP(Tabla1[[#This Row],[AREA]],Hoja1!A:B,2,FALSE)</f>
        <v>11. Salud pública y seguridad ciudadana</v>
      </c>
      <c r="U3159" s="56" t="str">
        <f>MID(Tabla1[[#This Row],[Aplicación]],9,4)</f>
        <v>1621</v>
      </c>
      <c r="V3159" s="35" t="str">
        <f>VLOOKUP(Tabla1[[#This Row],[PROGRAMA]],Hoja1!A:B,2,FALSE)</f>
        <v>1621. Servicio de limpieza</v>
      </c>
      <c r="W3159" s="56" t="str">
        <f>MID(Tabla1[[#This Row],[Aplicación]],14,2)</f>
        <v>22</v>
      </c>
      <c r="X3159" s="56" t="str">
        <f>MID(Tabla1[[#This Row],[Aplicación]],14,6)</f>
        <v>22103</v>
      </c>
    </row>
    <row r="3160" spans="1:24" x14ac:dyDescent="0.25">
      <c r="A3160" s="62">
        <v>220230022000</v>
      </c>
      <c r="B3160" s="44" t="s">
        <v>1514</v>
      </c>
      <c r="C3160" s="64">
        <v>45064</v>
      </c>
      <c r="D3160" s="62">
        <v>22023002013</v>
      </c>
      <c r="E3160" s="44" t="s">
        <v>4365</v>
      </c>
      <c r="F3160" s="65">
        <v>1500</v>
      </c>
      <c r="G3160" s="44" t="s">
        <v>4858</v>
      </c>
      <c r="H3160" s="44" t="s">
        <v>4859</v>
      </c>
      <c r="I3160" s="62" t="s">
        <v>1517</v>
      </c>
      <c r="J3160" s="44" t="s">
        <v>519</v>
      </c>
      <c r="K3160" s="44" t="s">
        <v>519</v>
      </c>
      <c r="L3160" s="44" t="s">
        <v>552</v>
      </c>
      <c r="M3160" s="44" t="s">
        <v>514</v>
      </c>
      <c r="N3160" s="44" t="s">
        <v>515</v>
      </c>
      <c r="O3160" s="45" t="s">
        <v>382</v>
      </c>
      <c r="P3160" s="45" t="s">
        <v>3760</v>
      </c>
      <c r="Q3160" s="59">
        <v>6</v>
      </c>
      <c r="R3160" s="35" t="s">
        <v>299</v>
      </c>
      <c r="S3160" s="59" t="str">
        <f>MID(Tabla1[[#This Row],[Aplicación]],6,2)</f>
        <v>06</v>
      </c>
      <c r="T3160" s="35" t="str">
        <f>VLOOKUP(Tabla1[[#This Row],[AREA]],Hoja1!A:B,2,FALSE)</f>
        <v>06. Educación, infancia, juventud e igualdad</v>
      </c>
      <c r="U3160" s="56" t="str">
        <f>MID(Tabla1[[#This Row],[Aplicación]],9,4)</f>
        <v>0 33</v>
      </c>
      <c r="V3160" s="59">
        <v>3321</v>
      </c>
      <c r="W3160" s="59">
        <v>62</v>
      </c>
      <c r="X3160" s="59">
        <v>629</v>
      </c>
    </row>
    <row r="3161" spans="1:24" x14ac:dyDescent="0.25">
      <c r="A3161" s="62">
        <v>220230022059</v>
      </c>
      <c r="B3161" s="44" t="s">
        <v>1514</v>
      </c>
      <c r="C3161" s="64">
        <v>45064</v>
      </c>
      <c r="D3161" s="62">
        <v>22023003137</v>
      </c>
      <c r="E3161" s="44" t="s">
        <v>4845</v>
      </c>
      <c r="F3161" s="65">
        <v>1411.58</v>
      </c>
      <c r="G3161" s="44" t="s">
        <v>4858</v>
      </c>
      <c r="H3161" s="44" t="s">
        <v>4860</v>
      </c>
      <c r="I3161" s="62" t="s">
        <v>1517</v>
      </c>
      <c r="J3161" s="44" t="s">
        <v>519</v>
      </c>
      <c r="K3161" s="44" t="s">
        <v>519</v>
      </c>
      <c r="L3161" s="44" t="s">
        <v>552</v>
      </c>
      <c r="M3161" s="44" t="s">
        <v>514</v>
      </c>
      <c r="N3161" s="44" t="s">
        <v>515</v>
      </c>
      <c r="O3161" s="45" t="s">
        <v>382</v>
      </c>
      <c r="P3161" s="45" t="s">
        <v>3760</v>
      </c>
      <c r="Q3161" s="59" t="str">
        <f>MID(Tabla1[[#This Row],[Aplicación]],14,1)</f>
        <v>6</v>
      </c>
      <c r="R3161" s="35" t="s">
        <v>299</v>
      </c>
      <c r="S3161" s="59" t="str">
        <f>MID(Tabla1[[#This Row],[Aplicación]],6,2)</f>
        <v>06</v>
      </c>
      <c r="T3161" s="35" t="str">
        <f>VLOOKUP(Tabla1[[#This Row],[AREA]],Hoja1!A:B,2,FALSE)</f>
        <v>06. Educación, infancia, juventud e igualdad</v>
      </c>
      <c r="U3161" s="56" t="str">
        <f>MID(Tabla1[[#This Row],[Aplicación]],9,4)</f>
        <v>3321</v>
      </c>
      <c r="V3161" s="35" t="str">
        <f>VLOOKUP(Tabla1[[#This Row],[PROGRAMA]],Hoja1!A:B,2,FALSE)</f>
        <v>3321. Bibliotecas públicas</v>
      </c>
      <c r="W3161" s="56" t="str">
        <f>MID(Tabla1[[#This Row],[Aplicación]],14,2)</f>
        <v>62</v>
      </c>
      <c r="X3161" s="56" t="str">
        <f>MID(Tabla1[[#This Row],[Aplicación]],14,6)</f>
        <v>629</v>
      </c>
    </row>
    <row r="3162" spans="1:24" x14ac:dyDescent="0.25">
      <c r="A3162" s="62">
        <v>220230022010</v>
      </c>
      <c r="B3162" s="44" t="s">
        <v>1514</v>
      </c>
      <c r="C3162" s="64">
        <v>45064</v>
      </c>
      <c r="D3162" s="62">
        <v>22023003137</v>
      </c>
      <c r="E3162" s="44" t="s">
        <v>4845</v>
      </c>
      <c r="F3162" s="65">
        <v>388.22</v>
      </c>
      <c r="G3162" s="44" t="s">
        <v>4861</v>
      </c>
      <c r="H3162" s="44" t="s">
        <v>4862</v>
      </c>
      <c r="I3162" s="62" t="s">
        <v>1517</v>
      </c>
      <c r="J3162" s="44" t="s">
        <v>519</v>
      </c>
      <c r="K3162" s="44" t="s">
        <v>519</v>
      </c>
      <c r="L3162" s="44" t="s">
        <v>552</v>
      </c>
      <c r="M3162" s="44" t="s">
        <v>514</v>
      </c>
      <c r="N3162" s="44" t="s">
        <v>515</v>
      </c>
      <c r="O3162" s="45" t="s">
        <v>382</v>
      </c>
      <c r="P3162" s="45" t="s">
        <v>3760</v>
      </c>
      <c r="Q3162" s="59" t="str">
        <f>MID(Tabla1[[#This Row],[Aplicación]],14,1)</f>
        <v>6</v>
      </c>
      <c r="R3162" s="35" t="s">
        <v>299</v>
      </c>
      <c r="S3162" s="59" t="str">
        <f>MID(Tabla1[[#This Row],[Aplicación]],6,2)</f>
        <v>06</v>
      </c>
      <c r="T3162" s="35" t="str">
        <f>VLOOKUP(Tabla1[[#This Row],[AREA]],Hoja1!A:B,2,FALSE)</f>
        <v>06. Educación, infancia, juventud e igualdad</v>
      </c>
      <c r="U3162" s="56" t="str">
        <f>MID(Tabla1[[#This Row],[Aplicación]],9,4)</f>
        <v>3321</v>
      </c>
      <c r="V3162" s="35" t="str">
        <f>VLOOKUP(Tabla1[[#This Row],[PROGRAMA]],Hoja1!A:B,2,FALSE)</f>
        <v>3321. Bibliotecas públicas</v>
      </c>
      <c r="W3162" s="56" t="str">
        <f>MID(Tabla1[[#This Row],[Aplicación]],14,2)</f>
        <v>62</v>
      </c>
      <c r="X3162" s="56" t="str">
        <f>MID(Tabla1[[#This Row],[Aplicación]],14,6)</f>
        <v>629</v>
      </c>
    </row>
    <row r="3163" spans="1:24" x14ac:dyDescent="0.25">
      <c r="A3163" s="62">
        <v>220230026477</v>
      </c>
      <c r="B3163" s="44" t="s">
        <v>1514</v>
      </c>
      <c r="C3163" s="64">
        <v>45077</v>
      </c>
      <c r="D3163" s="62">
        <v>22023002013</v>
      </c>
      <c r="E3163" s="44" t="s">
        <v>4365</v>
      </c>
      <c r="F3163" s="65">
        <v>1500</v>
      </c>
      <c r="G3163" s="44" t="s">
        <v>4861</v>
      </c>
      <c r="H3163" s="44" t="s">
        <v>4863</v>
      </c>
      <c r="I3163" s="62" t="s">
        <v>1517</v>
      </c>
      <c r="J3163" s="44" t="s">
        <v>519</v>
      </c>
      <c r="K3163" s="44" t="s">
        <v>519</v>
      </c>
      <c r="L3163" s="44" t="s">
        <v>552</v>
      </c>
      <c r="M3163" s="44" t="s">
        <v>514</v>
      </c>
      <c r="N3163" s="44" t="s">
        <v>515</v>
      </c>
      <c r="O3163" s="45" t="s">
        <v>382</v>
      </c>
      <c r="P3163" s="45" t="s">
        <v>3760</v>
      </c>
      <c r="Q3163" s="59">
        <v>6</v>
      </c>
      <c r="R3163" s="35" t="s">
        <v>299</v>
      </c>
      <c r="S3163" s="59" t="str">
        <f>MID(Tabla1[[#This Row],[Aplicación]],6,2)</f>
        <v>06</v>
      </c>
      <c r="T3163" s="35" t="str">
        <f>VLOOKUP(Tabla1[[#This Row],[AREA]],Hoja1!A:B,2,FALSE)</f>
        <v>06. Educación, infancia, juventud e igualdad</v>
      </c>
      <c r="U3163" s="56" t="str">
        <f>MID(Tabla1[[#This Row],[Aplicación]],9,4)</f>
        <v>0 33</v>
      </c>
      <c r="V3163" s="59">
        <v>3321</v>
      </c>
      <c r="W3163" s="59">
        <v>62</v>
      </c>
      <c r="X3163" s="59">
        <v>629</v>
      </c>
    </row>
    <row r="3164" spans="1:24" x14ac:dyDescent="0.25">
      <c r="A3164" s="62">
        <v>220230026485</v>
      </c>
      <c r="B3164" s="44" t="s">
        <v>1514</v>
      </c>
      <c r="C3164" s="64">
        <v>45077</v>
      </c>
      <c r="D3164" s="62">
        <v>22023002013</v>
      </c>
      <c r="E3164" s="44" t="s">
        <v>4365</v>
      </c>
      <c r="F3164" s="65">
        <v>1500</v>
      </c>
      <c r="G3164" s="44" t="s">
        <v>4861</v>
      </c>
      <c r="H3164" s="44" t="s">
        <v>4864</v>
      </c>
      <c r="I3164" s="62" t="s">
        <v>1517</v>
      </c>
      <c r="J3164" s="44" t="s">
        <v>519</v>
      </c>
      <c r="K3164" s="44" t="s">
        <v>519</v>
      </c>
      <c r="L3164" s="44" t="s">
        <v>552</v>
      </c>
      <c r="M3164" s="44" t="s">
        <v>514</v>
      </c>
      <c r="N3164" s="44" t="s">
        <v>515</v>
      </c>
      <c r="O3164" s="45" t="s">
        <v>382</v>
      </c>
      <c r="P3164" s="45" t="s">
        <v>3760</v>
      </c>
      <c r="Q3164" s="59">
        <v>6</v>
      </c>
      <c r="R3164" s="35" t="s">
        <v>299</v>
      </c>
      <c r="S3164" s="59" t="str">
        <f>MID(Tabla1[[#This Row],[Aplicación]],6,2)</f>
        <v>06</v>
      </c>
      <c r="T3164" s="35" t="str">
        <f>VLOOKUP(Tabla1[[#This Row],[AREA]],Hoja1!A:B,2,FALSE)</f>
        <v>06. Educación, infancia, juventud e igualdad</v>
      </c>
      <c r="U3164" s="56" t="str">
        <f>MID(Tabla1[[#This Row],[Aplicación]],9,4)</f>
        <v>0 33</v>
      </c>
      <c r="V3164" s="59">
        <v>3321</v>
      </c>
      <c r="W3164" s="59">
        <v>62</v>
      </c>
      <c r="X3164" s="59">
        <v>629</v>
      </c>
    </row>
    <row r="3165" spans="1:24" x14ac:dyDescent="0.25">
      <c r="A3165" s="62">
        <v>220230020241</v>
      </c>
      <c r="B3165" s="44" t="s">
        <v>1514</v>
      </c>
      <c r="C3165" s="64">
        <v>45057</v>
      </c>
      <c r="D3165" s="62">
        <v>22023002013</v>
      </c>
      <c r="E3165" s="44" t="s">
        <v>4365</v>
      </c>
      <c r="F3165" s="65">
        <v>1500</v>
      </c>
      <c r="G3165" s="44" t="s">
        <v>4865</v>
      </c>
      <c r="H3165" s="44" t="s">
        <v>4866</v>
      </c>
      <c r="I3165" s="62" t="s">
        <v>1517</v>
      </c>
      <c r="J3165" s="44" t="s">
        <v>519</v>
      </c>
      <c r="K3165" s="44" t="s">
        <v>519</v>
      </c>
      <c r="L3165" s="44" t="s">
        <v>552</v>
      </c>
      <c r="M3165" s="44" t="s">
        <v>514</v>
      </c>
      <c r="N3165" s="44" t="s">
        <v>515</v>
      </c>
      <c r="O3165" s="45" t="s">
        <v>382</v>
      </c>
      <c r="P3165" s="45" t="s">
        <v>3760</v>
      </c>
      <c r="Q3165" s="59">
        <v>6</v>
      </c>
      <c r="R3165" s="35" t="s">
        <v>299</v>
      </c>
      <c r="S3165" s="59" t="str">
        <f>MID(Tabla1[[#This Row],[Aplicación]],6,2)</f>
        <v>06</v>
      </c>
      <c r="T3165" s="35" t="str">
        <f>VLOOKUP(Tabla1[[#This Row],[AREA]],Hoja1!A:B,2,FALSE)</f>
        <v>06. Educación, infancia, juventud e igualdad</v>
      </c>
      <c r="U3165" s="56" t="str">
        <f>MID(Tabla1[[#This Row],[Aplicación]],9,4)</f>
        <v>0 33</v>
      </c>
      <c r="V3165" s="59">
        <v>3321</v>
      </c>
      <c r="W3165" s="59">
        <v>62</v>
      </c>
      <c r="X3165" s="59">
        <v>629</v>
      </c>
    </row>
    <row r="3166" spans="1:24" x14ac:dyDescent="0.25">
      <c r="A3166" s="62">
        <v>220230016044</v>
      </c>
      <c r="B3166" s="44" t="s">
        <v>1514</v>
      </c>
      <c r="C3166" s="64">
        <v>45043</v>
      </c>
      <c r="D3166" s="62">
        <v>22023002739</v>
      </c>
      <c r="E3166" s="44" t="s">
        <v>1551</v>
      </c>
      <c r="F3166" s="65">
        <v>38.94</v>
      </c>
      <c r="G3166" s="44" t="s">
        <v>2432</v>
      </c>
      <c r="H3166" s="44" t="s">
        <v>4867</v>
      </c>
      <c r="I3166" s="62" t="s">
        <v>1517</v>
      </c>
      <c r="J3166" s="44" t="s">
        <v>519</v>
      </c>
      <c r="K3166" s="44" t="s">
        <v>519</v>
      </c>
      <c r="L3166" s="44" t="s">
        <v>552</v>
      </c>
      <c r="M3166" s="44" t="s">
        <v>514</v>
      </c>
      <c r="N3166" s="44" t="s">
        <v>515</v>
      </c>
      <c r="O3166" s="45" t="s">
        <v>382</v>
      </c>
      <c r="P3166" s="45" t="s">
        <v>3760</v>
      </c>
      <c r="Q3166" s="59" t="str">
        <f>MID(Tabla1[[#This Row],[Aplicación]],14,1)</f>
        <v>2</v>
      </c>
      <c r="R3166" s="35" t="s">
        <v>298</v>
      </c>
      <c r="S3166" s="59" t="str">
        <f>MID(Tabla1[[#This Row],[Aplicación]],6,2)</f>
        <v>02</v>
      </c>
      <c r="T3166" s="35" t="str">
        <f>VLOOKUP(Tabla1[[#This Row],[AREA]],Hoja1!A:B,2,FALSE)</f>
        <v>02. Planeamiento urbanístico y vivienda</v>
      </c>
      <c r="U3166" s="56" t="str">
        <f>MID(Tabla1[[#This Row],[Aplicación]],9,4)</f>
        <v>9332</v>
      </c>
      <c r="V3166" s="35" t="str">
        <f>VLOOKUP(Tabla1[[#This Row],[PROGRAMA]],Hoja1!A:B,2,FALSE)</f>
        <v>9332. Mantenimiento de edificios e instalaciones municipales</v>
      </c>
      <c r="W3166" s="56" t="str">
        <f>MID(Tabla1[[#This Row],[Aplicación]],14,2)</f>
        <v>21</v>
      </c>
      <c r="X3166" s="56" t="str">
        <f>MID(Tabla1[[#This Row],[Aplicación]],14,6)</f>
        <v>212</v>
      </c>
    </row>
    <row r="3167" spans="1:24" x14ac:dyDescent="0.25">
      <c r="A3167" s="62">
        <v>220230016077</v>
      </c>
      <c r="B3167" s="44" t="s">
        <v>1514</v>
      </c>
      <c r="C3167" s="64">
        <v>45043</v>
      </c>
      <c r="D3167" s="62">
        <v>22023000274</v>
      </c>
      <c r="E3167" s="44" t="s">
        <v>1303</v>
      </c>
      <c r="F3167" s="65">
        <v>84.52</v>
      </c>
      <c r="G3167" s="44" t="s">
        <v>2432</v>
      </c>
      <c r="H3167" s="44" t="s">
        <v>4868</v>
      </c>
      <c r="I3167" s="62" t="s">
        <v>1517</v>
      </c>
      <c r="J3167" s="44" t="s">
        <v>519</v>
      </c>
      <c r="K3167" s="44" t="s">
        <v>519</v>
      </c>
      <c r="L3167" s="44" t="s">
        <v>552</v>
      </c>
      <c r="M3167" s="44" t="s">
        <v>514</v>
      </c>
      <c r="N3167" s="44" t="s">
        <v>515</v>
      </c>
      <c r="O3167" s="45" t="s">
        <v>382</v>
      </c>
      <c r="P3167" s="45" t="s">
        <v>3760</v>
      </c>
      <c r="Q3167" s="59" t="str">
        <f>MID(Tabla1[[#This Row],[Aplicación]],14,1)</f>
        <v>2</v>
      </c>
      <c r="R3167" s="35" t="s">
        <v>298</v>
      </c>
      <c r="S3167" s="59" t="str">
        <f>MID(Tabla1[[#This Row],[Aplicación]],6,2)</f>
        <v>11</v>
      </c>
      <c r="T3167" s="35" t="str">
        <f>VLOOKUP(Tabla1[[#This Row],[AREA]],Hoja1!A:B,2,FALSE)</f>
        <v>11. Salud pública y seguridad ciudadana</v>
      </c>
      <c r="U3167" s="56" t="str">
        <f>MID(Tabla1[[#This Row],[Aplicación]],9,4)</f>
        <v>1321</v>
      </c>
      <c r="V3167" s="35" t="str">
        <f>VLOOKUP(Tabla1[[#This Row],[PROGRAMA]],Hoja1!A:B,2,FALSE)</f>
        <v>1321. Policía municipal</v>
      </c>
      <c r="W3167" s="56" t="str">
        <f>MID(Tabla1[[#This Row],[Aplicación]],14,2)</f>
        <v>22</v>
      </c>
      <c r="X3167" s="56" t="str">
        <f>MID(Tabla1[[#This Row],[Aplicación]],14,6)</f>
        <v>22699</v>
      </c>
    </row>
    <row r="3168" spans="1:24" x14ac:dyDescent="0.25">
      <c r="A3168" s="62">
        <v>220230016122</v>
      </c>
      <c r="B3168" s="44" t="s">
        <v>1514</v>
      </c>
      <c r="C3168" s="64">
        <v>45043</v>
      </c>
      <c r="D3168" s="62">
        <v>22023002181</v>
      </c>
      <c r="E3168" s="44" t="s">
        <v>1305</v>
      </c>
      <c r="F3168" s="65">
        <v>87.06</v>
      </c>
      <c r="G3168" s="44" t="s">
        <v>2432</v>
      </c>
      <c r="H3168" s="44" t="s">
        <v>4869</v>
      </c>
      <c r="I3168" s="62" t="s">
        <v>1517</v>
      </c>
      <c r="J3168" s="44" t="s">
        <v>519</v>
      </c>
      <c r="K3168" s="44" t="s">
        <v>519</v>
      </c>
      <c r="L3168" s="44" t="s">
        <v>552</v>
      </c>
      <c r="M3168" s="44" t="s">
        <v>514</v>
      </c>
      <c r="N3168" s="44" t="s">
        <v>515</v>
      </c>
      <c r="O3168" s="45" t="s">
        <v>382</v>
      </c>
      <c r="P3168" s="45" t="s">
        <v>3760</v>
      </c>
      <c r="Q3168" s="59" t="str">
        <f>MID(Tabla1[[#This Row],[Aplicación]],14,1)</f>
        <v>2</v>
      </c>
      <c r="R3168" s="35" t="s">
        <v>298</v>
      </c>
      <c r="S3168" s="59" t="str">
        <f>MID(Tabla1[[#This Row],[Aplicación]],6,2)</f>
        <v>06</v>
      </c>
      <c r="T3168" s="35" t="str">
        <f>VLOOKUP(Tabla1[[#This Row],[AREA]],Hoja1!A:B,2,FALSE)</f>
        <v>06. Educación, infancia, juventud e igualdad</v>
      </c>
      <c r="U3168" s="56" t="str">
        <f>MID(Tabla1[[#This Row],[Aplicación]],9,4)</f>
        <v>3232</v>
      </c>
      <c r="V3168" s="35" t="str">
        <f>VLOOKUP(Tabla1[[#This Row],[PROGRAMA]],Hoja1!A:B,2,FALSE)</f>
        <v>3232. Conservación y mantenimiento centros educación infantil y primaria</v>
      </c>
      <c r="W3168" s="56" t="str">
        <f>MID(Tabla1[[#This Row],[Aplicación]],14,2)</f>
        <v>21</v>
      </c>
      <c r="X3168" s="56" t="str">
        <f>MID(Tabla1[[#This Row],[Aplicación]],14,6)</f>
        <v>212</v>
      </c>
    </row>
    <row r="3169" spans="1:24" x14ac:dyDescent="0.25">
      <c r="A3169" s="62">
        <v>220230016378</v>
      </c>
      <c r="B3169" s="44" t="s">
        <v>1514</v>
      </c>
      <c r="C3169" s="64">
        <v>45043</v>
      </c>
      <c r="D3169" s="62">
        <v>22023001343</v>
      </c>
      <c r="E3169" s="44" t="s">
        <v>1506</v>
      </c>
      <c r="F3169" s="65">
        <v>181.56</v>
      </c>
      <c r="G3169" s="44" t="s">
        <v>2432</v>
      </c>
      <c r="H3169" s="44" t="s">
        <v>4870</v>
      </c>
      <c r="I3169" s="62" t="s">
        <v>1517</v>
      </c>
      <c r="J3169" s="44" t="s">
        <v>519</v>
      </c>
      <c r="K3169" s="44" t="s">
        <v>519</v>
      </c>
      <c r="L3169" s="44" t="s">
        <v>552</v>
      </c>
      <c r="M3169" s="44" t="s">
        <v>514</v>
      </c>
      <c r="N3169" s="44" t="s">
        <v>604</v>
      </c>
      <c r="O3169" s="45" t="s">
        <v>382</v>
      </c>
      <c r="P3169" s="45" t="s">
        <v>3760</v>
      </c>
      <c r="Q3169" s="59" t="str">
        <f>MID(Tabla1[[#This Row],[Aplicación]],14,1)</f>
        <v>2</v>
      </c>
      <c r="R3169" s="35" t="s">
        <v>298</v>
      </c>
      <c r="S3169" s="59" t="str">
        <f>MID(Tabla1[[#This Row],[Aplicación]],6,2)</f>
        <v>03</v>
      </c>
      <c r="T3169" s="35" t="str">
        <f>VLOOKUP(Tabla1[[#This Row],[AREA]],Hoja1!A:B,2,FALSE)</f>
        <v>03. Participación ciudadana y deportes</v>
      </c>
      <c r="U3169" s="56" t="str">
        <f>MID(Tabla1[[#This Row],[Aplicación]],9,4)</f>
        <v>9241</v>
      </c>
      <c r="V3169" s="35" t="str">
        <f>VLOOKUP(Tabla1[[#This Row],[PROGRAMA]],Hoja1!A:B,2,FALSE)</f>
        <v>9241. Participación ciudadana</v>
      </c>
      <c r="W3169" s="56" t="str">
        <f>MID(Tabla1[[#This Row],[Aplicación]],14,2)</f>
        <v>21</v>
      </c>
      <c r="X3169" s="56" t="str">
        <f>MID(Tabla1[[#This Row],[Aplicación]],14,6)</f>
        <v>212</v>
      </c>
    </row>
    <row r="3170" spans="1:24" x14ac:dyDescent="0.25">
      <c r="A3170" s="62">
        <v>220230018445</v>
      </c>
      <c r="B3170" s="44" t="s">
        <v>1514</v>
      </c>
      <c r="C3170" s="64">
        <v>45055</v>
      </c>
      <c r="D3170" s="62">
        <v>22023001549</v>
      </c>
      <c r="E3170" s="44" t="s">
        <v>1515</v>
      </c>
      <c r="F3170" s="65">
        <v>96.4</v>
      </c>
      <c r="G3170" s="44" t="s">
        <v>2432</v>
      </c>
      <c r="H3170" s="44" t="s">
        <v>4871</v>
      </c>
      <c r="I3170" s="62" t="s">
        <v>1517</v>
      </c>
      <c r="J3170" s="44" t="s">
        <v>519</v>
      </c>
      <c r="K3170" s="44" t="s">
        <v>519</v>
      </c>
      <c r="L3170" s="44" t="s">
        <v>552</v>
      </c>
      <c r="M3170" s="44" t="s">
        <v>514</v>
      </c>
      <c r="N3170" s="44" t="s">
        <v>515</v>
      </c>
      <c r="O3170" s="45" t="s">
        <v>382</v>
      </c>
      <c r="P3170" s="45" t="s">
        <v>3760</v>
      </c>
      <c r="Q3170" s="59" t="str">
        <f>MID(Tabla1[[#This Row],[Aplicación]],14,1)</f>
        <v>2</v>
      </c>
      <c r="R3170" s="35" t="s">
        <v>298</v>
      </c>
      <c r="S3170" s="59" t="str">
        <f>MID(Tabla1[[#This Row],[Aplicación]],6,2)</f>
        <v>07</v>
      </c>
      <c r="T3170" s="35" t="str">
        <f>VLOOKUP(Tabla1[[#This Row],[AREA]],Hoja1!A:B,2,FALSE)</f>
        <v>07. Medio ambiente y desarrollo sostenible</v>
      </c>
      <c r="U3170" s="56" t="str">
        <f>MID(Tabla1[[#This Row],[Aplicación]],9,4)</f>
        <v>1711</v>
      </c>
      <c r="V3170" s="35" t="str">
        <f>VLOOKUP(Tabla1[[#This Row],[PROGRAMA]],Hoja1!A:B,2,FALSE)</f>
        <v>1711. Parques y jardines</v>
      </c>
      <c r="W3170" s="56" t="str">
        <f>MID(Tabla1[[#This Row],[Aplicación]],14,2)</f>
        <v>22</v>
      </c>
      <c r="X3170" s="56" t="str">
        <f>MID(Tabla1[[#This Row],[Aplicación]],14,6)</f>
        <v>22199</v>
      </c>
    </row>
    <row r="3171" spans="1:24" x14ac:dyDescent="0.25">
      <c r="A3171" s="62">
        <v>220230026243</v>
      </c>
      <c r="B3171" s="44" t="s">
        <v>1514</v>
      </c>
      <c r="C3171" s="64">
        <v>45077</v>
      </c>
      <c r="D3171" s="62">
        <v>22023002536</v>
      </c>
      <c r="E3171" s="44" t="s">
        <v>2892</v>
      </c>
      <c r="F3171" s="65">
        <v>290.52</v>
      </c>
      <c r="G3171" s="44" t="s">
        <v>1857</v>
      </c>
      <c r="H3171" s="44" t="s">
        <v>4872</v>
      </c>
      <c r="I3171" s="62" t="s">
        <v>1517</v>
      </c>
      <c r="J3171" s="44" t="s">
        <v>519</v>
      </c>
      <c r="K3171" s="44" t="s">
        <v>519</v>
      </c>
      <c r="L3171" s="44" t="s">
        <v>520</v>
      </c>
      <c r="M3171" s="44" t="s">
        <v>514</v>
      </c>
      <c r="N3171" s="44" t="s">
        <v>515</v>
      </c>
      <c r="O3171" s="45" t="s">
        <v>382</v>
      </c>
      <c r="P3171" s="45" t="s">
        <v>3760</v>
      </c>
      <c r="Q3171" s="59" t="str">
        <f>MID(Tabla1[[#This Row],[Aplicación]],14,1)</f>
        <v>2</v>
      </c>
      <c r="R3171" s="35" t="s">
        <v>298</v>
      </c>
      <c r="S3171" s="59" t="str">
        <f>MID(Tabla1[[#This Row],[Aplicación]],6,2)</f>
        <v>01</v>
      </c>
      <c r="T3171" s="35" t="str">
        <f>VLOOKUP(Tabla1[[#This Row],[AREA]],Hoja1!A:B,2,FALSE)</f>
        <v>01. Alcaldía</v>
      </c>
      <c r="U3171" s="56" t="str">
        <f>MID(Tabla1[[#This Row],[Aplicación]],9,4)</f>
        <v>9203</v>
      </c>
      <c r="V3171" s="35" t="str">
        <f>VLOOKUP(Tabla1[[#This Row],[PROGRAMA]],Hoja1!A:B,2,FALSE)</f>
        <v>9203. Unidad de régimen interior</v>
      </c>
      <c r="W3171" s="56" t="str">
        <f>MID(Tabla1[[#This Row],[Aplicación]],14,2)</f>
        <v>21</v>
      </c>
      <c r="X3171" s="56" t="str">
        <f>MID(Tabla1[[#This Row],[Aplicación]],14,6)</f>
        <v>214</v>
      </c>
    </row>
    <row r="3172" spans="1:24" x14ac:dyDescent="0.25">
      <c r="A3172" s="62">
        <v>220230026320</v>
      </c>
      <c r="B3172" s="44" t="s">
        <v>1514</v>
      </c>
      <c r="C3172" s="64">
        <v>45077</v>
      </c>
      <c r="D3172" s="62">
        <v>22023001467</v>
      </c>
      <c r="E3172" s="44" t="s">
        <v>1512</v>
      </c>
      <c r="F3172" s="65">
        <v>36.659999999999997</v>
      </c>
      <c r="G3172" s="44" t="s">
        <v>2432</v>
      </c>
      <c r="H3172" s="44" t="s">
        <v>4873</v>
      </c>
      <c r="I3172" s="62" t="s">
        <v>1517</v>
      </c>
      <c r="J3172" s="44" t="s">
        <v>519</v>
      </c>
      <c r="K3172" s="44" t="s">
        <v>519</v>
      </c>
      <c r="L3172" s="44" t="s">
        <v>552</v>
      </c>
      <c r="M3172" s="44" t="s">
        <v>514</v>
      </c>
      <c r="N3172" s="44" t="s">
        <v>515</v>
      </c>
      <c r="O3172" s="45" t="s">
        <v>382</v>
      </c>
      <c r="P3172" s="45" t="s">
        <v>3760</v>
      </c>
      <c r="Q3172" s="59" t="str">
        <f>MID(Tabla1[[#This Row],[Aplicación]],14,1)</f>
        <v>2</v>
      </c>
      <c r="R3172" s="35" t="s">
        <v>298</v>
      </c>
      <c r="S3172" s="59" t="str">
        <f>MID(Tabla1[[#This Row],[Aplicación]],6,2)</f>
        <v>10</v>
      </c>
      <c r="T3172" s="35" t="str">
        <f>VLOOKUP(Tabla1[[#This Row],[AREA]],Hoja1!A:B,2,FALSE)</f>
        <v>10. Servicios sociales y mediación comunitaria</v>
      </c>
      <c r="U3172" s="56" t="str">
        <f>MID(Tabla1[[#This Row],[Aplicación]],9,4)</f>
        <v>2312</v>
      </c>
      <c r="V3172" s="35" t="str">
        <f>VLOOKUP(Tabla1[[#This Row],[PROGRAMA]],Hoja1!A:B,2,FALSE)</f>
        <v>2312. Iniciativas sociales</v>
      </c>
      <c r="W3172" s="56" t="str">
        <f>MID(Tabla1[[#This Row],[Aplicación]],14,2)</f>
        <v>21</v>
      </c>
      <c r="X3172" s="56" t="str">
        <f>MID(Tabla1[[#This Row],[Aplicación]],14,6)</f>
        <v>212</v>
      </c>
    </row>
    <row r="3173" spans="1:24" x14ac:dyDescent="0.25">
      <c r="A3173" s="62">
        <v>220230026320</v>
      </c>
      <c r="B3173" s="44" t="s">
        <v>1514</v>
      </c>
      <c r="C3173" s="64">
        <v>45077</v>
      </c>
      <c r="D3173" s="62">
        <v>22023001468</v>
      </c>
      <c r="E3173" s="44" t="s">
        <v>1512</v>
      </c>
      <c r="F3173" s="65">
        <v>126.57</v>
      </c>
      <c r="G3173" s="44" t="s">
        <v>2432</v>
      </c>
      <c r="H3173" s="44" t="s">
        <v>4873</v>
      </c>
      <c r="I3173" s="62" t="s">
        <v>1517</v>
      </c>
      <c r="J3173" s="44" t="s">
        <v>519</v>
      </c>
      <c r="K3173" s="44" t="s">
        <v>519</v>
      </c>
      <c r="L3173" s="44" t="s">
        <v>552</v>
      </c>
      <c r="M3173" s="44" t="s">
        <v>514</v>
      </c>
      <c r="N3173" s="44" t="s">
        <v>515</v>
      </c>
      <c r="O3173" s="45" t="s">
        <v>382</v>
      </c>
      <c r="P3173" s="45" t="s">
        <v>3760</v>
      </c>
      <c r="Q3173" s="59" t="str">
        <f>MID(Tabla1[[#This Row],[Aplicación]],14,1)</f>
        <v>2</v>
      </c>
      <c r="R3173" s="35" t="s">
        <v>298</v>
      </c>
      <c r="S3173" s="59" t="str">
        <f>MID(Tabla1[[#This Row],[Aplicación]],6,2)</f>
        <v>10</v>
      </c>
      <c r="T3173" s="35" t="str">
        <f>VLOOKUP(Tabla1[[#This Row],[AREA]],Hoja1!A:B,2,FALSE)</f>
        <v>10. Servicios sociales y mediación comunitaria</v>
      </c>
      <c r="U3173" s="56" t="str">
        <f>MID(Tabla1[[#This Row],[Aplicación]],9,4)</f>
        <v>2312</v>
      </c>
      <c r="V3173" s="35" t="str">
        <f>VLOOKUP(Tabla1[[#This Row],[PROGRAMA]],Hoja1!A:B,2,FALSE)</f>
        <v>2312. Iniciativas sociales</v>
      </c>
      <c r="W3173" s="56" t="str">
        <f>MID(Tabla1[[#This Row],[Aplicación]],14,2)</f>
        <v>21</v>
      </c>
      <c r="X3173" s="56" t="str">
        <f>MID(Tabla1[[#This Row],[Aplicación]],14,6)</f>
        <v>212</v>
      </c>
    </row>
    <row r="3174" spans="1:24" x14ac:dyDescent="0.25">
      <c r="A3174" s="62">
        <v>220230026508</v>
      </c>
      <c r="B3174" s="44" t="s">
        <v>1514</v>
      </c>
      <c r="C3174" s="64">
        <v>45077</v>
      </c>
      <c r="D3174" s="62">
        <v>22023001343</v>
      </c>
      <c r="E3174" s="44" t="s">
        <v>1506</v>
      </c>
      <c r="F3174" s="65">
        <v>56.6</v>
      </c>
      <c r="G3174" s="44" t="s">
        <v>2432</v>
      </c>
      <c r="H3174" s="44" t="s">
        <v>4874</v>
      </c>
      <c r="I3174" s="62" t="s">
        <v>1517</v>
      </c>
      <c r="J3174" s="44" t="s">
        <v>519</v>
      </c>
      <c r="K3174" s="44" t="s">
        <v>519</v>
      </c>
      <c r="L3174" s="44" t="s">
        <v>552</v>
      </c>
      <c r="M3174" s="44" t="s">
        <v>514</v>
      </c>
      <c r="N3174" s="44" t="s">
        <v>604</v>
      </c>
      <c r="O3174" s="45" t="s">
        <v>382</v>
      </c>
      <c r="P3174" s="45" t="s">
        <v>3760</v>
      </c>
      <c r="Q3174" s="59" t="str">
        <f>MID(Tabla1[[#This Row],[Aplicación]],14,1)</f>
        <v>2</v>
      </c>
      <c r="R3174" s="35" t="s">
        <v>298</v>
      </c>
      <c r="S3174" s="59" t="str">
        <f>MID(Tabla1[[#This Row],[Aplicación]],6,2)</f>
        <v>03</v>
      </c>
      <c r="T3174" s="35" t="str">
        <f>VLOOKUP(Tabla1[[#This Row],[AREA]],Hoja1!A:B,2,FALSE)</f>
        <v>03. Participación ciudadana y deportes</v>
      </c>
      <c r="U3174" s="56" t="str">
        <f>MID(Tabla1[[#This Row],[Aplicación]],9,4)</f>
        <v>9241</v>
      </c>
      <c r="V3174" s="35" t="str">
        <f>VLOOKUP(Tabla1[[#This Row],[PROGRAMA]],Hoja1!A:B,2,FALSE)</f>
        <v>9241. Participación ciudadana</v>
      </c>
      <c r="W3174" s="56" t="str">
        <f>MID(Tabla1[[#This Row],[Aplicación]],14,2)</f>
        <v>21</v>
      </c>
      <c r="X3174" s="56" t="str">
        <f>MID(Tabla1[[#This Row],[Aplicación]],14,6)</f>
        <v>212</v>
      </c>
    </row>
    <row r="3175" spans="1:24" x14ac:dyDescent="0.25">
      <c r="A3175" s="62">
        <v>220230026681</v>
      </c>
      <c r="B3175" s="44" t="s">
        <v>1514</v>
      </c>
      <c r="C3175" s="64">
        <v>45077</v>
      </c>
      <c r="D3175" s="62">
        <v>22023003827</v>
      </c>
      <c r="E3175" s="44" t="s">
        <v>1510</v>
      </c>
      <c r="F3175" s="65">
        <v>86.37</v>
      </c>
      <c r="G3175" s="44" t="s">
        <v>2432</v>
      </c>
      <c r="H3175" s="44" t="s">
        <v>4875</v>
      </c>
      <c r="I3175" s="62" t="s">
        <v>1517</v>
      </c>
      <c r="J3175" s="44" t="s">
        <v>519</v>
      </c>
      <c r="K3175" s="44" t="s">
        <v>519</v>
      </c>
      <c r="L3175" s="44" t="s">
        <v>552</v>
      </c>
      <c r="M3175" s="44" t="s">
        <v>514</v>
      </c>
      <c r="N3175" s="44" t="s">
        <v>515</v>
      </c>
      <c r="O3175" s="45" t="s">
        <v>382</v>
      </c>
      <c r="P3175" s="45" t="s">
        <v>3760</v>
      </c>
      <c r="Q3175" s="59" t="str">
        <f>MID(Tabla1[[#This Row],[Aplicación]],14,1)</f>
        <v>2</v>
      </c>
      <c r="R3175" s="35" t="s">
        <v>298</v>
      </c>
      <c r="S3175" s="59" t="str">
        <f>MID(Tabla1[[#This Row],[Aplicación]],6,2)</f>
        <v>10</v>
      </c>
      <c r="T3175" s="35" t="str">
        <f>VLOOKUP(Tabla1[[#This Row],[AREA]],Hoja1!A:B,2,FALSE)</f>
        <v>10. Servicios sociales y mediación comunitaria</v>
      </c>
      <c r="U3175" s="56" t="str">
        <f>MID(Tabla1[[#This Row],[Aplicación]],9,4)</f>
        <v>2311</v>
      </c>
      <c r="V3175" s="35" t="str">
        <f>VLOOKUP(Tabla1[[#This Row],[PROGRAMA]],Hoja1!A:B,2,FALSE)</f>
        <v>2311. Intervención social</v>
      </c>
      <c r="W3175" s="56" t="str">
        <f>MID(Tabla1[[#This Row],[Aplicación]],14,2)</f>
        <v>21</v>
      </c>
      <c r="X3175" s="56" t="str">
        <f>MID(Tabla1[[#This Row],[Aplicación]],14,6)</f>
        <v>212</v>
      </c>
    </row>
    <row r="3176" spans="1:24" x14ac:dyDescent="0.25">
      <c r="A3176" s="62">
        <v>220230026543</v>
      </c>
      <c r="B3176" s="44" t="s">
        <v>1514</v>
      </c>
      <c r="C3176" s="64">
        <v>45077</v>
      </c>
      <c r="D3176" s="62">
        <v>22023002739</v>
      </c>
      <c r="E3176" s="44" t="s">
        <v>1551</v>
      </c>
      <c r="F3176" s="65">
        <v>9.91</v>
      </c>
      <c r="G3176" s="44" t="s">
        <v>104</v>
      </c>
      <c r="H3176" s="44" t="s">
        <v>4876</v>
      </c>
      <c r="I3176" s="62" t="s">
        <v>1517</v>
      </c>
      <c r="J3176" s="44" t="s">
        <v>519</v>
      </c>
      <c r="K3176" s="44" t="s">
        <v>519</v>
      </c>
      <c r="L3176" s="44" t="s">
        <v>552</v>
      </c>
      <c r="M3176" s="44" t="s">
        <v>976</v>
      </c>
      <c r="N3176" s="44" t="s">
        <v>839</v>
      </c>
      <c r="O3176" s="45" t="s">
        <v>383</v>
      </c>
      <c r="P3176" s="45" t="s">
        <v>3760</v>
      </c>
      <c r="Q3176" s="59" t="str">
        <f>MID(Tabla1[[#This Row],[Aplicación]],14,1)</f>
        <v>2</v>
      </c>
      <c r="R3176" s="35" t="s">
        <v>298</v>
      </c>
      <c r="S3176" s="59" t="str">
        <f>MID(Tabla1[[#This Row],[Aplicación]],6,2)</f>
        <v>02</v>
      </c>
      <c r="T3176" s="35" t="str">
        <f>VLOOKUP(Tabla1[[#This Row],[AREA]],Hoja1!A:B,2,FALSE)</f>
        <v>02. Planeamiento urbanístico y vivienda</v>
      </c>
      <c r="U3176" s="56" t="str">
        <f>MID(Tabla1[[#This Row],[Aplicación]],9,4)</f>
        <v>9332</v>
      </c>
      <c r="V3176" s="35" t="str">
        <f>VLOOKUP(Tabla1[[#This Row],[PROGRAMA]],Hoja1!A:B,2,FALSE)</f>
        <v>9332. Mantenimiento de edificios e instalaciones municipales</v>
      </c>
      <c r="W3176" s="56" t="str">
        <f>MID(Tabla1[[#This Row],[Aplicación]],14,2)</f>
        <v>21</v>
      </c>
      <c r="X3176" s="56" t="str">
        <f>MID(Tabla1[[#This Row],[Aplicación]],14,6)</f>
        <v>212</v>
      </c>
    </row>
    <row r="3177" spans="1:24" x14ac:dyDescent="0.25">
      <c r="A3177" s="62">
        <v>220230013463</v>
      </c>
      <c r="B3177" s="44" t="s">
        <v>1514</v>
      </c>
      <c r="C3177" s="64">
        <v>45021</v>
      </c>
      <c r="D3177" s="62">
        <v>22023001956</v>
      </c>
      <c r="E3177" s="44" t="s">
        <v>1982</v>
      </c>
      <c r="F3177" s="65">
        <v>398.3</v>
      </c>
      <c r="G3177" s="44" t="s">
        <v>2025</v>
      </c>
      <c r="H3177" s="44" t="s">
        <v>4877</v>
      </c>
      <c r="I3177" s="62" t="s">
        <v>1517</v>
      </c>
      <c r="J3177" s="44" t="s">
        <v>519</v>
      </c>
      <c r="K3177" s="44" t="s">
        <v>519</v>
      </c>
      <c r="L3177" s="44" t="s">
        <v>520</v>
      </c>
      <c r="M3177" s="44" t="s">
        <v>514</v>
      </c>
      <c r="N3177" s="44" t="s">
        <v>515</v>
      </c>
      <c r="O3177" s="45" t="s">
        <v>382</v>
      </c>
      <c r="P3177" s="45" t="s">
        <v>3760</v>
      </c>
      <c r="Q3177" s="59" t="str">
        <f>MID(Tabla1[[#This Row],[Aplicación]],14,1)</f>
        <v>2</v>
      </c>
      <c r="R3177" s="35" t="s">
        <v>298</v>
      </c>
      <c r="S3177" s="59" t="str">
        <f>MID(Tabla1[[#This Row],[Aplicación]],6,2)</f>
        <v>07</v>
      </c>
      <c r="T3177" s="35" t="str">
        <f>VLOOKUP(Tabla1[[#This Row],[AREA]],Hoja1!A:B,2,FALSE)</f>
        <v>07. Medio ambiente y desarrollo sostenible</v>
      </c>
      <c r="U3177" s="56" t="str">
        <f>MID(Tabla1[[#This Row],[Aplicación]],9,4)</f>
        <v>1711</v>
      </c>
      <c r="V3177" s="35" t="str">
        <f>VLOOKUP(Tabla1[[#This Row],[PROGRAMA]],Hoja1!A:B,2,FALSE)</f>
        <v>1711. Parques y jardines</v>
      </c>
      <c r="W3177" s="56" t="str">
        <f>MID(Tabla1[[#This Row],[Aplicación]],14,2)</f>
        <v>21</v>
      </c>
      <c r="X3177" s="56" t="str">
        <f>MID(Tabla1[[#This Row],[Aplicación]],14,6)</f>
        <v>214</v>
      </c>
    </row>
    <row r="3178" spans="1:24" x14ac:dyDescent="0.25">
      <c r="A3178" s="62">
        <v>220230020950</v>
      </c>
      <c r="B3178" s="44" t="s">
        <v>1514</v>
      </c>
      <c r="C3178" s="64">
        <v>45062</v>
      </c>
      <c r="D3178" s="62">
        <v>22023001956</v>
      </c>
      <c r="E3178" s="44" t="s">
        <v>1982</v>
      </c>
      <c r="F3178" s="65">
        <v>138.61000000000001</v>
      </c>
      <c r="G3178" s="44" t="s">
        <v>2025</v>
      </c>
      <c r="H3178" s="44" t="s">
        <v>4878</v>
      </c>
      <c r="I3178" s="62" t="s">
        <v>1517</v>
      </c>
      <c r="J3178" s="44" t="s">
        <v>519</v>
      </c>
      <c r="K3178" s="44" t="s">
        <v>519</v>
      </c>
      <c r="L3178" s="44" t="s">
        <v>520</v>
      </c>
      <c r="M3178" s="44" t="s">
        <v>514</v>
      </c>
      <c r="N3178" s="44" t="s">
        <v>515</v>
      </c>
      <c r="O3178" s="45" t="s">
        <v>382</v>
      </c>
      <c r="P3178" s="45" t="s">
        <v>3760</v>
      </c>
      <c r="Q3178" s="59" t="str">
        <f>MID(Tabla1[[#This Row],[Aplicación]],14,1)</f>
        <v>2</v>
      </c>
      <c r="R3178" s="35" t="s">
        <v>298</v>
      </c>
      <c r="S3178" s="59" t="str">
        <f>MID(Tabla1[[#This Row],[Aplicación]],6,2)</f>
        <v>07</v>
      </c>
      <c r="T3178" s="35" t="str">
        <f>VLOOKUP(Tabla1[[#This Row],[AREA]],Hoja1!A:B,2,FALSE)</f>
        <v>07. Medio ambiente y desarrollo sostenible</v>
      </c>
      <c r="U3178" s="56" t="str">
        <f>MID(Tabla1[[#This Row],[Aplicación]],9,4)</f>
        <v>1711</v>
      </c>
      <c r="V3178" s="35" t="str">
        <f>VLOOKUP(Tabla1[[#This Row],[PROGRAMA]],Hoja1!A:B,2,FALSE)</f>
        <v>1711. Parques y jardines</v>
      </c>
      <c r="W3178" s="56" t="str">
        <f>MID(Tabla1[[#This Row],[Aplicación]],14,2)</f>
        <v>21</v>
      </c>
      <c r="X3178" s="56" t="str">
        <f>MID(Tabla1[[#This Row],[Aplicación]],14,6)</f>
        <v>214</v>
      </c>
    </row>
    <row r="3179" spans="1:24" x14ac:dyDescent="0.25">
      <c r="A3179" s="62">
        <v>220230021050</v>
      </c>
      <c r="B3179" s="44" t="s">
        <v>1514</v>
      </c>
      <c r="C3179" s="64">
        <v>45062</v>
      </c>
      <c r="D3179" s="62">
        <v>22023001599</v>
      </c>
      <c r="E3179" s="44" t="s">
        <v>4879</v>
      </c>
      <c r="F3179" s="65">
        <v>27.35</v>
      </c>
      <c r="G3179" s="44" t="s">
        <v>2025</v>
      </c>
      <c r="H3179" s="44" t="s">
        <v>4880</v>
      </c>
      <c r="I3179" s="62" t="s">
        <v>1517</v>
      </c>
      <c r="J3179" s="44" t="s">
        <v>519</v>
      </c>
      <c r="K3179" s="44" t="s">
        <v>519</v>
      </c>
      <c r="L3179" s="44" t="s">
        <v>520</v>
      </c>
      <c r="M3179" s="44" t="s">
        <v>514</v>
      </c>
      <c r="N3179" s="44" t="s">
        <v>604</v>
      </c>
      <c r="O3179" s="45" t="s">
        <v>382</v>
      </c>
      <c r="P3179" s="45" t="s">
        <v>3760</v>
      </c>
      <c r="Q3179" s="59" t="str">
        <f>MID(Tabla1[[#This Row],[Aplicación]],14,1)</f>
        <v>2</v>
      </c>
      <c r="R3179" s="35" t="s">
        <v>298</v>
      </c>
      <c r="S3179" s="59" t="str">
        <f>MID(Tabla1[[#This Row],[Aplicación]],6,2)</f>
        <v>08</v>
      </c>
      <c r="T3179" s="35" t="str">
        <f>VLOOKUP(Tabla1[[#This Row],[AREA]],Hoja1!A:B,2,FALSE)</f>
        <v>08. Movilidad y espacio urbano</v>
      </c>
      <c r="U3179" s="56" t="str">
        <f>MID(Tabla1[[#This Row],[Aplicación]],9,4)</f>
        <v>1651</v>
      </c>
      <c r="V3179" s="35" t="str">
        <f>VLOOKUP(Tabla1[[#This Row],[PROGRAMA]],Hoja1!A:B,2,FALSE)</f>
        <v>1651. Alumbrado público</v>
      </c>
      <c r="W3179" s="56" t="str">
        <f>MID(Tabla1[[#This Row],[Aplicación]],14,2)</f>
        <v>21</v>
      </c>
      <c r="X3179" s="56" t="str">
        <f>MID(Tabla1[[#This Row],[Aplicación]],14,6)</f>
        <v>214</v>
      </c>
    </row>
    <row r="3180" spans="1:24" x14ac:dyDescent="0.25">
      <c r="A3180" s="62">
        <v>220230026214</v>
      </c>
      <c r="B3180" s="44" t="s">
        <v>1514</v>
      </c>
      <c r="C3180" s="64">
        <v>45077</v>
      </c>
      <c r="D3180" s="62">
        <v>22023001956</v>
      </c>
      <c r="E3180" s="44" t="s">
        <v>1982</v>
      </c>
      <c r="F3180" s="65">
        <v>22.39</v>
      </c>
      <c r="G3180" s="44" t="s">
        <v>2025</v>
      </c>
      <c r="H3180" s="44" t="s">
        <v>4881</v>
      </c>
      <c r="I3180" s="62" t="s">
        <v>1517</v>
      </c>
      <c r="J3180" s="44" t="s">
        <v>519</v>
      </c>
      <c r="K3180" s="44" t="s">
        <v>519</v>
      </c>
      <c r="L3180" s="44" t="s">
        <v>520</v>
      </c>
      <c r="M3180" s="44" t="s">
        <v>514</v>
      </c>
      <c r="N3180" s="44" t="s">
        <v>515</v>
      </c>
      <c r="O3180" s="45" t="s">
        <v>382</v>
      </c>
      <c r="P3180" s="45" t="s">
        <v>3760</v>
      </c>
      <c r="Q3180" s="59" t="str">
        <f>MID(Tabla1[[#This Row],[Aplicación]],14,1)</f>
        <v>2</v>
      </c>
      <c r="R3180" s="35" t="s">
        <v>298</v>
      </c>
      <c r="S3180" s="59" t="str">
        <f>MID(Tabla1[[#This Row],[Aplicación]],6,2)</f>
        <v>07</v>
      </c>
      <c r="T3180" s="35" t="str">
        <f>VLOOKUP(Tabla1[[#This Row],[AREA]],Hoja1!A:B,2,FALSE)</f>
        <v>07. Medio ambiente y desarrollo sostenible</v>
      </c>
      <c r="U3180" s="56" t="str">
        <f>MID(Tabla1[[#This Row],[Aplicación]],9,4)</f>
        <v>1711</v>
      </c>
      <c r="V3180" s="35" t="str">
        <f>VLOOKUP(Tabla1[[#This Row],[PROGRAMA]],Hoja1!A:B,2,FALSE)</f>
        <v>1711. Parques y jardines</v>
      </c>
      <c r="W3180" s="56" t="str">
        <f>MID(Tabla1[[#This Row],[Aplicación]],14,2)</f>
        <v>21</v>
      </c>
      <c r="X3180" s="56" t="str">
        <f>MID(Tabla1[[#This Row],[Aplicación]],14,6)</f>
        <v>214</v>
      </c>
    </row>
    <row r="3181" spans="1:24" x14ac:dyDescent="0.25">
      <c r="A3181" s="62">
        <v>220230026193</v>
      </c>
      <c r="B3181" s="44" t="s">
        <v>1514</v>
      </c>
      <c r="C3181" s="64">
        <v>45077</v>
      </c>
      <c r="D3181" s="62">
        <v>22023003931</v>
      </c>
      <c r="E3181" s="44" t="s">
        <v>2509</v>
      </c>
      <c r="F3181" s="65">
        <v>387.75</v>
      </c>
      <c r="G3181" s="44" t="s">
        <v>2536</v>
      </c>
      <c r="H3181" s="44" t="s">
        <v>4882</v>
      </c>
      <c r="I3181" s="62" t="s">
        <v>1517</v>
      </c>
      <c r="J3181" s="44" t="s">
        <v>2538</v>
      </c>
      <c r="K3181" s="44" t="s">
        <v>519</v>
      </c>
      <c r="L3181" s="44" t="s">
        <v>552</v>
      </c>
      <c r="M3181" s="44" t="s">
        <v>514</v>
      </c>
      <c r="N3181" s="44" t="s">
        <v>515</v>
      </c>
      <c r="O3181" s="45" t="s">
        <v>382</v>
      </c>
      <c r="P3181" s="45" t="s">
        <v>3760</v>
      </c>
      <c r="Q3181" s="59" t="str">
        <f>MID(Tabla1[[#This Row],[Aplicación]],14,1)</f>
        <v>2</v>
      </c>
      <c r="R3181" s="35" t="s">
        <v>298</v>
      </c>
      <c r="S3181" s="59" t="str">
        <f>MID(Tabla1[[#This Row],[Aplicación]],6,2)</f>
        <v>07</v>
      </c>
      <c r="T3181" s="35" t="str">
        <f>VLOOKUP(Tabla1[[#This Row],[AREA]],Hoja1!A:B,2,FALSE)</f>
        <v>07. Medio ambiente y desarrollo sostenible</v>
      </c>
      <c r="U3181" s="56" t="str">
        <f>MID(Tabla1[[#This Row],[Aplicación]],9,4)</f>
        <v>1711</v>
      </c>
      <c r="V3181" s="35" t="str">
        <f>VLOOKUP(Tabla1[[#This Row],[PROGRAMA]],Hoja1!A:B,2,FALSE)</f>
        <v>1711. Parques y jardines</v>
      </c>
      <c r="W3181" s="56" t="str">
        <f>MID(Tabla1[[#This Row],[Aplicación]],14,2)</f>
        <v>22</v>
      </c>
      <c r="X3181" s="56" t="str">
        <f>MID(Tabla1[[#This Row],[Aplicación]],14,6)</f>
        <v>22106</v>
      </c>
    </row>
    <row r="3182" spans="1:24" x14ac:dyDescent="0.25">
      <c r="A3182" s="62">
        <v>220230013730</v>
      </c>
      <c r="B3182" s="44" t="s">
        <v>1514</v>
      </c>
      <c r="C3182" s="64">
        <v>45027</v>
      </c>
      <c r="D3182" s="62">
        <v>22022008449</v>
      </c>
      <c r="E3182" s="44" t="s">
        <v>4608</v>
      </c>
      <c r="F3182" s="65">
        <v>7044.38</v>
      </c>
      <c r="G3182" s="44" t="s">
        <v>1631</v>
      </c>
      <c r="H3182" s="44" t="s">
        <v>4883</v>
      </c>
      <c r="I3182" s="62" t="s">
        <v>1517</v>
      </c>
      <c r="J3182" s="44" t="s">
        <v>519</v>
      </c>
      <c r="K3182" s="44" t="s">
        <v>519</v>
      </c>
      <c r="L3182" s="44" t="s">
        <v>552</v>
      </c>
      <c r="M3182" s="44" t="s">
        <v>514</v>
      </c>
      <c r="N3182" s="44" t="s">
        <v>515</v>
      </c>
      <c r="O3182" s="45" t="s">
        <v>371</v>
      </c>
      <c r="P3182" s="45" t="s">
        <v>3760</v>
      </c>
      <c r="Q3182" s="59" t="str">
        <f>MID(Tabla1[[#This Row],[Aplicación]],14,1)</f>
        <v>6</v>
      </c>
      <c r="R3182" s="35" t="s">
        <v>299</v>
      </c>
      <c r="S3182" s="59" t="str">
        <f>MID(Tabla1[[#This Row],[Aplicación]],6,2)</f>
        <v>03</v>
      </c>
      <c r="T3182" s="35" t="str">
        <f>VLOOKUP(Tabla1[[#This Row],[AREA]],Hoja1!A:B,2,FALSE)</f>
        <v>03. Participación ciudadana y deportes</v>
      </c>
      <c r="U3182" s="56" t="str">
        <f>MID(Tabla1[[#This Row],[Aplicación]],9,4)</f>
        <v>9241</v>
      </c>
      <c r="V3182" s="35" t="str">
        <f>VLOOKUP(Tabla1[[#This Row],[PROGRAMA]],Hoja1!A:B,2,FALSE)</f>
        <v>9241. Participación ciudadana</v>
      </c>
      <c r="W3182" s="56" t="str">
        <f>MID(Tabla1[[#This Row],[Aplicación]],14,2)</f>
        <v>63</v>
      </c>
      <c r="X3182" s="56" t="str">
        <f>MID(Tabla1[[#This Row],[Aplicación]],14,6)</f>
        <v>635</v>
      </c>
    </row>
    <row r="3183" spans="1:24" x14ac:dyDescent="0.25">
      <c r="A3183" s="62">
        <v>220230022008</v>
      </c>
      <c r="B3183" s="44" t="s">
        <v>1514</v>
      </c>
      <c r="C3183" s="64">
        <v>45064</v>
      </c>
      <c r="D3183" s="62">
        <v>22023002013</v>
      </c>
      <c r="E3183" s="44" t="s">
        <v>4365</v>
      </c>
      <c r="F3183" s="65">
        <v>1500</v>
      </c>
      <c r="G3183" s="44" t="s">
        <v>4884</v>
      </c>
      <c r="H3183" s="44" t="s">
        <v>4885</v>
      </c>
      <c r="I3183" s="62" t="s">
        <v>1517</v>
      </c>
      <c r="J3183" s="44" t="s">
        <v>4886</v>
      </c>
      <c r="K3183" s="44" t="s">
        <v>4887</v>
      </c>
      <c r="L3183" s="44" t="s">
        <v>552</v>
      </c>
      <c r="M3183" s="44" t="s">
        <v>514</v>
      </c>
      <c r="N3183" s="44" t="s">
        <v>515</v>
      </c>
      <c r="O3183" s="45" t="s">
        <v>382</v>
      </c>
      <c r="P3183" s="45" t="s">
        <v>3760</v>
      </c>
      <c r="Q3183" s="59">
        <v>6</v>
      </c>
      <c r="R3183" s="35" t="s">
        <v>299</v>
      </c>
      <c r="S3183" s="59" t="str">
        <f>MID(Tabla1[[#This Row],[Aplicación]],6,2)</f>
        <v>06</v>
      </c>
      <c r="T3183" s="35" t="str">
        <f>VLOOKUP(Tabla1[[#This Row],[AREA]],Hoja1!A:B,2,FALSE)</f>
        <v>06. Educación, infancia, juventud e igualdad</v>
      </c>
      <c r="U3183" s="56" t="str">
        <f>MID(Tabla1[[#This Row],[Aplicación]],9,4)</f>
        <v>0 33</v>
      </c>
      <c r="V3183" s="59">
        <v>3321</v>
      </c>
      <c r="W3183" s="59">
        <v>62</v>
      </c>
      <c r="X3183" s="59">
        <v>629</v>
      </c>
    </row>
    <row r="3184" spans="1:24" x14ac:dyDescent="0.25">
      <c r="A3184" s="62">
        <v>220230016205</v>
      </c>
      <c r="B3184" s="44" t="s">
        <v>1514</v>
      </c>
      <c r="C3184" s="64">
        <v>45043</v>
      </c>
      <c r="D3184" s="62">
        <v>22023000270</v>
      </c>
      <c r="E3184" s="44" t="s">
        <v>1694</v>
      </c>
      <c r="F3184" s="65">
        <v>1294.92</v>
      </c>
      <c r="G3184" s="44" t="s">
        <v>2434</v>
      </c>
      <c r="H3184" s="44" t="s">
        <v>2431</v>
      </c>
      <c r="I3184" s="62" t="s">
        <v>1517</v>
      </c>
      <c r="J3184" s="44" t="s">
        <v>519</v>
      </c>
      <c r="K3184" s="44" t="s">
        <v>519</v>
      </c>
      <c r="L3184" s="44" t="s">
        <v>552</v>
      </c>
      <c r="M3184" s="44" t="s">
        <v>514</v>
      </c>
      <c r="N3184" s="44" t="s">
        <v>515</v>
      </c>
      <c r="O3184" s="45" t="s">
        <v>382</v>
      </c>
      <c r="P3184" s="45" t="s">
        <v>3760</v>
      </c>
      <c r="Q3184" s="59" t="str">
        <f>MID(Tabla1[[#This Row],[Aplicación]],14,1)</f>
        <v>2</v>
      </c>
      <c r="R3184" s="35" t="s">
        <v>298</v>
      </c>
      <c r="S3184" s="59" t="str">
        <f>MID(Tabla1[[#This Row],[Aplicación]],6,2)</f>
        <v>11</v>
      </c>
      <c r="T3184" s="35" t="str">
        <f>VLOOKUP(Tabla1[[#This Row],[AREA]],Hoja1!A:B,2,FALSE)</f>
        <v>11. Salud pública y seguridad ciudadana</v>
      </c>
      <c r="U3184" s="56" t="str">
        <f>MID(Tabla1[[#This Row],[Aplicación]],9,4)</f>
        <v>1321</v>
      </c>
      <c r="V3184" s="35" t="str">
        <f>VLOOKUP(Tabla1[[#This Row],[PROGRAMA]],Hoja1!A:B,2,FALSE)</f>
        <v>1321. Policía municipal</v>
      </c>
      <c r="W3184" s="56" t="str">
        <f>MID(Tabla1[[#This Row],[Aplicación]],14,2)</f>
        <v>21</v>
      </c>
      <c r="X3184" s="56" t="str">
        <f>MID(Tabla1[[#This Row],[Aplicación]],14,6)</f>
        <v>214</v>
      </c>
    </row>
    <row r="3185" spans="1:24" x14ac:dyDescent="0.25">
      <c r="A3185" s="62">
        <v>220230018880</v>
      </c>
      <c r="B3185" s="44" t="s">
        <v>1249</v>
      </c>
      <c r="C3185" s="64">
        <v>45056</v>
      </c>
      <c r="D3185" s="62">
        <v>22023003210</v>
      </c>
      <c r="E3185" s="44" t="s">
        <v>900</v>
      </c>
      <c r="F3185" s="65">
        <v>2092.4499999999998</v>
      </c>
      <c r="G3185" s="44" t="s">
        <v>964</v>
      </c>
      <c r="H3185" s="44" t="s">
        <v>4888</v>
      </c>
      <c r="I3185" s="62" t="s">
        <v>1251</v>
      </c>
      <c r="J3185" s="44" t="s">
        <v>512</v>
      </c>
      <c r="K3185" s="44" t="s">
        <v>512</v>
      </c>
      <c r="L3185" s="44" t="s">
        <v>520</v>
      </c>
      <c r="M3185" s="44" t="s">
        <v>514</v>
      </c>
      <c r="N3185" s="44" t="s">
        <v>515</v>
      </c>
      <c r="O3185" s="45" t="s">
        <v>371</v>
      </c>
      <c r="P3185" s="45" t="s">
        <v>3760</v>
      </c>
      <c r="Q3185" s="59" t="str">
        <f>MID(Tabla1[[#This Row],[Aplicación]],14,1)</f>
        <v>2</v>
      </c>
      <c r="R3185" s="35" t="s">
        <v>298</v>
      </c>
      <c r="S3185" s="59" t="str">
        <f>MID(Tabla1[[#This Row],[Aplicación]],6,2)</f>
        <v>07</v>
      </c>
      <c r="T3185" s="35" t="str">
        <f>VLOOKUP(Tabla1[[#This Row],[AREA]],Hoja1!A:B,2,FALSE)</f>
        <v>07. Medio ambiente y desarrollo sostenible</v>
      </c>
      <c r="U3185" s="56" t="str">
        <f>MID(Tabla1[[#This Row],[Aplicación]],9,4)</f>
        <v>1711</v>
      </c>
      <c r="V3185" s="35" t="str">
        <f>VLOOKUP(Tabla1[[#This Row],[PROGRAMA]],Hoja1!A:B,2,FALSE)</f>
        <v>1711. Parques y jardines</v>
      </c>
      <c r="W3185" s="56" t="str">
        <f>MID(Tabla1[[#This Row],[Aplicación]],14,2)</f>
        <v>22</v>
      </c>
      <c r="X3185" s="56" t="str">
        <f>MID(Tabla1[[#This Row],[Aplicación]],14,6)</f>
        <v>22103</v>
      </c>
    </row>
    <row r="3186" spans="1:24" x14ac:dyDescent="0.25">
      <c r="A3186" s="62">
        <v>220230016277</v>
      </c>
      <c r="B3186" s="44" t="s">
        <v>1514</v>
      </c>
      <c r="C3186" s="64">
        <v>45043</v>
      </c>
      <c r="D3186" s="62">
        <v>22023001514</v>
      </c>
      <c r="E3186" s="44" t="s">
        <v>1285</v>
      </c>
      <c r="F3186" s="65">
        <v>732.01</v>
      </c>
      <c r="G3186" s="44" t="s">
        <v>2434</v>
      </c>
      <c r="H3186" s="44" t="s">
        <v>4889</v>
      </c>
      <c r="I3186" s="62" t="s">
        <v>1517</v>
      </c>
      <c r="J3186" s="44" t="s">
        <v>519</v>
      </c>
      <c r="K3186" s="44" t="s">
        <v>519</v>
      </c>
      <c r="L3186" s="44" t="s">
        <v>552</v>
      </c>
      <c r="M3186" s="44" t="s">
        <v>514</v>
      </c>
      <c r="N3186" s="44" t="s">
        <v>515</v>
      </c>
      <c r="O3186" s="45" t="s">
        <v>382</v>
      </c>
      <c r="P3186" s="45" t="s">
        <v>3760</v>
      </c>
      <c r="Q3186" s="59" t="str">
        <f>MID(Tabla1[[#This Row],[Aplicación]],14,1)</f>
        <v>2</v>
      </c>
      <c r="R3186" s="35" t="s">
        <v>298</v>
      </c>
      <c r="S3186" s="59" t="str">
        <f>MID(Tabla1[[#This Row],[Aplicación]],6,2)</f>
        <v>11</v>
      </c>
      <c r="T3186" s="35" t="str">
        <f>VLOOKUP(Tabla1[[#This Row],[AREA]],Hoja1!A:B,2,FALSE)</f>
        <v>11. Salud pública y seguridad ciudadana</v>
      </c>
      <c r="U3186" s="56" t="str">
        <f>MID(Tabla1[[#This Row],[Aplicación]],9,4)</f>
        <v>1361</v>
      </c>
      <c r="V3186" s="35" t="str">
        <f>VLOOKUP(Tabla1[[#This Row],[PROGRAMA]],Hoja1!A:B,2,FALSE)</f>
        <v>1361. Prevención y extinción de incencios</v>
      </c>
      <c r="W3186" s="56" t="str">
        <f>MID(Tabla1[[#This Row],[Aplicación]],14,2)</f>
        <v>22</v>
      </c>
      <c r="X3186" s="56" t="str">
        <f>MID(Tabla1[[#This Row],[Aplicación]],14,6)</f>
        <v>22199</v>
      </c>
    </row>
    <row r="3187" spans="1:24" x14ac:dyDescent="0.25">
      <c r="A3187" s="62">
        <v>220230018555</v>
      </c>
      <c r="B3187" s="44" t="s">
        <v>1514</v>
      </c>
      <c r="C3187" s="64">
        <v>45055</v>
      </c>
      <c r="D3187" s="62">
        <v>22023001473</v>
      </c>
      <c r="E3187" s="44" t="s">
        <v>1683</v>
      </c>
      <c r="F3187" s="65">
        <v>217.8</v>
      </c>
      <c r="G3187" s="44" t="s">
        <v>2434</v>
      </c>
      <c r="H3187" s="44" t="s">
        <v>4890</v>
      </c>
      <c r="I3187" s="62" t="s">
        <v>1517</v>
      </c>
      <c r="J3187" s="44" t="s">
        <v>519</v>
      </c>
      <c r="K3187" s="44" t="s">
        <v>519</v>
      </c>
      <c r="L3187" s="44" t="s">
        <v>552</v>
      </c>
      <c r="M3187" s="44" t="s">
        <v>514</v>
      </c>
      <c r="N3187" s="44" t="s">
        <v>515</v>
      </c>
      <c r="O3187" s="45" t="s">
        <v>382</v>
      </c>
      <c r="P3187" s="45" t="s">
        <v>3760</v>
      </c>
      <c r="Q3187" s="59" t="str">
        <f>MID(Tabla1[[#This Row],[Aplicación]],14,1)</f>
        <v>2</v>
      </c>
      <c r="R3187" s="35" t="s">
        <v>298</v>
      </c>
      <c r="S3187" s="59" t="str">
        <f>MID(Tabla1[[#This Row],[Aplicación]],6,2)</f>
        <v>11</v>
      </c>
      <c r="T3187" s="35" t="str">
        <f>VLOOKUP(Tabla1[[#This Row],[AREA]],Hoja1!A:B,2,FALSE)</f>
        <v>11. Salud pública y seguridad ciudadana</v>
      </c>
      <c r="U3187" s="56" t="str">
        <f>MID(Tabla1[[#This Row],[Aplicación]],9,4)</f>
        <v>1631</v>
      </c>
      <c r="V3187" s="35" t="str">
        <f>VLOOKUP(Tabla1[[#This Row],[PROGRAMA]],Hoja1!A:B,2,FALSE)</f>
        <v>1631. Limpieza viaria</v>
      </c>
      <c r="W3187" s="56" t="str">
        <f>MID(Tabla1[[#This Row],[Aplicación]],14,2)</f>
        <v>21</v>
      </c>
      <c r="X3187" s="56" t="str">
        <f>MID(Tabla1[[#This Row],[Aplicación]],14,6)</f>
        <v>214</v>
      </c>
    </row>
    <row r="3188" spans="1:24" x14ac:dyDescent="0.25">
      <c r="A3188" s="62">
        <v>220230018557</v>
      </c>
      <c r="B3188" s="44" t="s">
        <v>1514</v>
      </c>
      <c r="C3188" s="64">
        <v>45055</v>
      </c>
      <c r="D3188" s="62">
        <v>22023001462</v>
      </c>
      <c r="E3188" s="44" t="s">
        <v>1290</v>
      </c>
      <c r="F3188" s="65">
        <v>957.46</v>
      </c>
      <c r="G3188" s="44" t="s">
        <v>2434</v>
      </c>
      <c r="H3188" s="44" t="s">
        <v>4891</v>
      </c>
      <c r="I3188" s="62" t="s">
        <v>1517</v>
      </c>
      <c r="J3188" s="44" t="s">
        <v>519</v>
      </c>
      <c r="K3188" s="44" t="s">
        <v>519</v>
      </c>
      <c r="L3188" s="44" t="s">
        <v>552</v>
      </c>
      <c r="M3188" s="44" t="s">
        <v>514</v>
      </c>
      <c r="N3188" s="44" t="s">
        <v>515</v>
      </c>
      <c r="O3188" s="45" t="s">
        <v>382</v>
      </c>
      <c r="P3188" s="45" t="s">
        <v>3760</v>
      </c>
      <c r="Q3188" s="59" t="str">
        <f>MID(Tabla1[[#This Row],[Aplicación]],14,1)</f>
        <v>2</v>
      </c>
      <c r="R3188" s="35" t="s">
        <v>298</v>
      </c>
      <c r="S3188" s="59" t="str">
        <f>MID(Tabla1[[#This Row],[Aplicación]],6,2)</f>
        <v>11</v>
      </c>
      <c r="T3188" s="35" t="str">
        <f>VLOOKUP(Tabla1[[#This Row],[AREA]],Hoja1!A:B,2,FALSE)</f>
        <v>11. Salud pública y seguridad ciudadana</v>
      </c>
      <c r="U3188" s="56" t="str">
        <f>MID(Tabla1[[#This Row],[Aplicación]],9,4)</f>
        <v>1621</v>
      </c>
      <c r="V3188" s="35" t="str">
        <f>VLOOKUP(Tabla1[[#This Row],[PROGRAMA]],Hoja1!A:B,2,FALSE)</f>
        <v>1621. Servicio de limpieza</v>
      </c>
      <c r="W3188" s="56" t="str">
        <f>MID(Tabla1[[#This Row],[Aplicación]],14,2)</f>
        <v>21</v>
      </c>
      <c r="X3188" s="56" t="str">
        <f>MID(Tabla1[[#This Row],[Aplicación]],14,6)</f>
        <v>214</v>
      </c>
    </row>
    <row r="3189" spans="1:24" x14ac:dyDescent="0.25">
      <c r="A3189" s="62">
        <v>220230023239</v>
      </c>
      <c r="B3189" s="44" t="s">
        <v>1514</v>
      </c>
      <c r="C3189" s="64">
        <v>45068</v>
      </c>
      <c r="D3189" s="62">
        <v>22023000270</v>
      </c>
      <c r="E3189" s="44" t="s">
        <v>1694</v>
      </c>
      <c r="F3189" s="65">
        <v>539.59</v>
      </c>
      <c r="G3189" s="44" t="s">
        <v>2434</v>
      </c>
      <c r="H3189" s="44" t="s">
        <v>4892</v>
      </c>
      <c r="I3189" s="62" t="s">
        <v>1517</v>
      </c>
      <c r="J3189" s="44" t="s">
        <v>519</v>
      </c>
      <c r="K3189" s="44" t="s">
        <v>519</v>
      </c>
      <c r="L3189" s="44" t="s">
        <v>552</v>
      </c>
      <c r="M3189" s="44" t="s">
        <v>514</v>
      </c>
      <c r="N3189" s="44" t="s">
        <v>515</v>
      </c>
      <c r="O3189" s="45" t="s">
        <v>382</v>
      </c>
      <c r="P3189" s="45" t="s">
        <v>3760</v>
      </c>
      <c r="Q3189" s="59" t="str">
        <f>MID(Tabla1[[#This Row],[Aplicación]],14,1)</f>
        <v>2</v>
      </c>
      <c r="R3189" s="35" t="s">
        <v>298</v>
      </c>
      <c r="S3189" s="59" t="str">
        <f>MID(Tabla1[[#This Row],[Aplicación]],6,2)</f>
        <v>11</v>
      </c>
      <c r="T3189" s="35" t="str">
        <f>VLOOKUP(Tabla1[[#This Row],[AREA]],Hoja1!A:B,2,FALSE)</f>
        <v>11. Salud pública y seguridad ciudadana</v>
      </c>
      <c r="U3189" s="56" t="str">
        <f>MID(Tabla1[[#This Row],[Aplicación]],9,4)</f>
        <v>1321</v>
      </c>
      <c r="V3189" s="35" t="str">
        <f>VLOOKUP(Tabla1[[#This Row],[PROGRAMA]],Hoja1!A:B,2,FALSE)</f>
        <v>1321. Policía municipal</v>
      </c>
      <c r="W3189" s="56" t="str">
        <f>MID(Tabla1[[#This Row],[Aplicación]],14,2)</f>
        <v>21</v>
      </c>
      <c r="X3189" s="56" t="str">
        <f>MID(Tabla1[[#This Row],[Aplicación]],14,6)</f>
        <v>214</v>
      </c>
    </row>
    <row r="3190" spans="1:24" x14ac:dyDescent="0.25">
      <c r="A3190" s="62">
        <v>220230026195</v>
      </c>
      <c r="B3190" s="44" t="s">
        <v>1514</v>
      </c>
      <c r="C3190" s="64">
        <v>45077</v>
      </c>
      <c r="D3190" s="62">
        <v>22023001547</v>
      </c>
      <c r="E3190" s="44" t="s">
        <v>1982</v>
      </c>
      <c r="F3190" s="65">
        <v>57.88</v>
      </c>
      <c r="G3190" s="44" t="s">
        <v>2434</v>
      </c>
      <c r="H3190" s="44" t="s">
        <v>4893</v>
      </c>
      <c r="I3190" s="62" t="s">
        <v>1517</v>
      </c>
      <c r="J3190" s="44" t="s">
        <v>519</v>
      </c>
      <c r="K3190" s="44" t="s">
        <v>519</v>
      </c>
      <c r="L3190" s="44" t="s">
        <v>552</v>
      </c>
      <c r="M3190" s="44" t="s">
        <v>514</v>
      </c>
      <c r="N3190" s="44" t="s">
        <v>515</v>
      </c>
      <c r="O3190" s="45" t="s">
        <v>382</v>
      </c>
      <c r="P3190" s="45" t="s">
        <v>3760</v>
      </c>
      <c r="Q3190" s="59" t="str">
        <f>MID(Tabla1[[#This Row],[Aplicación]],14,1)</f>
        <v>2</v>
      </c>
      <c r="R3190" s="35" t="s">
        <v>298</v>
      </c>
      <c r="S3190" s="59" t="str">
        <f>MID(Tabla1[[#This Row],[Aplicación]],6,2)</f>
        <v>07</v>
      </c>
      <c r="T3190" s="35" t="str">
        <f>VLOOKUP(Tabla1[[#This Row],[AREA]],Hoja1!A:B,2,FALSE)</f>
        <v>07. Medio ambiente y desarrollo sostenible</v>
      </c>
      <c r="U3190" s="56" t="str">
        <f>MID(Tabla1[[#This Row],[Aplicación]],9,4)</f>
        <v>1711</v>
      </c>
      <c r="V3190" s="35" t="str">
        <f>VLOOKUP(Tabla1[[#This Row],[PROGRAMA]],Hoja1!A:B,2,FALSE)</f>
        <v>1711. Parques y jardines</v>
      </c>
      <c r="W3190" s="56" t="str">
        <f>MID(Tabla1[[#This Row],[Aplicación]],14,2)</f>
        <v>21</v>
      </c>
      <c r="X3190" s="56" t="str">
        <f>MID(Tabla1[[#This Row],[Aplicación]],14,6)</f>
        <v>214</v>
      </c>
    </row>
    <row r="3191" spans="1:24" x14ac:dyDescent="0.25">
      <c r="A3191" s="62">
        <v>220230026195</v>
      </c>
      <c r="B3191" s="44" t="s">
        <v>1514</v>
      </c>
      <c r="C3191" s="64">
        <v>45077</v>
      </c>
      <c r="D3191" s="62">
        <v>22023003930</v>
      </c>
      <c r="E3191" s="44" t="s">
        <v>1982</v>
      </c>
      <c r="F3191" s="65">
        <v>66.22</v>
      </c>
      <c r="G3191" s="44" t="s">
        <v>2434</v>
      </c>
      <c r="H3191" s="44" t="s">
        <v>4893</v>
      </c>
      <c r="I3191" s="62" t="s">
        <v>1517</v>
      </c>
      <c r="J3191" s="44" t="s">
        <v>519</v>
      </c>
      <c r="K3191" s="44" t="s">
        <v>519</v>
      </c>
      <c r="L3191" s="44" t="s">
        <v>552</v>
      </c>
      <c r="M3191" s="44" t="s">
        <v>514</v>
      </c>
      <c r="N3191" s="44" t="s">
        <v>515</v>
      </c>
      <c r="O3191" s="45" t="s">
        <v>382</v>
      </c>
      <c r="P3191" s="45" t="s">
        <v>3760</v>
      </c>
      <c r="Q3191" s="59" t="str">
        <f>MID(Tabla1[[#This Row],[Aplicación]],14,1)</f>
        <v>2</v>
      </c>
      <c r="R3191" s="35" t="s">
        <v>298</v>
      </c>
      <c r="S3191" s="59" t="str">
        <f>MID(Tabla1[[#This Row],[Aplicación]],6,2)</f>
        <v>07</v>
      </c>
      <c r="T3191" s="35" t="str">
        <f>VLOOKUP(Tabla1[[#This Row],[AREA]],Hoja1!A:B,2,FALSE)</f>
        <v>07. Medio ambiente y desarrollo sostenible</v>
      </c>
      <c r="U3191" s="56" t="str">
        <f>MID(Tabla1[[#This Row],[Aplicación]],9,4)</f>
        <v>1711</v>
      </c>
      <c r="V3191" s="35" t="str">
        <f>VLOOKUP(Tabla1[[#This Row],[PROGRAMA]],Hoja1!A:B,2,FALSE)</f>
        <v>1711. Parques y jardines</v>
      </c>
      <c r="W3191" s="56" t="str">
        <f>MID(Tabla1[[#This Row],[Aplicación]],14,2)</f>
        <v>21</v>
      </c>
      <c r="X3191" s="56" t="str">
        <f>MID(Tabla1[[#This Row],[Aplicación]],14,6)</f>
        <v>214</v>
      </c>
    </row>
    <row r="3192" spans="1:24" x14ac:dyDescent="0.25">
      <c r="A3192" s="62">
        <v>220230026510</v>
      </c>
      <c r="B3192" s="44" t="s">
        <v>1514</v>
      </c>
      <c r="C3192" s="64">
        <v>45077</v>
      </c>
      <c r="D3192" s="62">
        <v>22023001462</v>
      </c>
      <c r="E3192" s="44" t="s">
        <v>1290</v>
      </c>
      <c r="F3192" s="65">
        <v>779.07</v>
      </c>
      <c r="G3192" s="44" t="s">
        <v>2434</v>
      </c>
      <c r="H3192" s="44" t="s">
        <v>4894</v>
      </c>
      <c r="I3192" s="62" t="s">
        <v>1517</v>
      </c>
      <c r="J3192" s="44" t="s">
        <v>519</v>
      </c>
      <c r="K3192" s="44" t="s">
        <v>519</v>
      </c>
      <c r="L3192" s="44" t="s">
        <v>552</v>
      </c>
      <c r="M3192" s="44" t="s">
        <v>514</v>
      </c>
      <c r="N3192" s="44" t="s">
        <v>515</v>
      </c>
      <c r="O3192" s="45" t="s">
        <v>382</v>
      </c>
      <c r="P3192" s="45" t="s">
        <v>3760</v>
      </c>
      <c r="Q3192" s="59" t="str">
        <f>MID(Tabla1[[#This Row],[Aplicación]],14,1)</f>
        <v>2</v>
      </c>
      <c r="R3192" s="35" t="s">
        <v>298</v>
      </c>
      <c r="S3192" s="59" t="str">
        <f>MID(Tabla1[[#This Row],[Aplicación]],6,2)</f>
        <v>11</v>
      </c>
      <c r="T3192" s="35" t="str">
        <f>VLOOKUP(Tabla1[[#This Row],[AREA]],Hoja1!A:B,2,FALSE)</f>
        <v>11. Salud pública y seguridad ciudadana</v>
      </c>
      <c r="U3192" s="56" t="str">
        <f>MID(Tabla1[[#This Row],[Aplicación]],9,4)</f>
        <v>1621</v>
      </c>
      <c r="V3192" s="35" t="str">
        <f>VLOOKUP(Tabla1[[#This Row],[PROGRAMA]],Hoja1!A:B,2,FALSE)</f>
        <v>1621. Servicio de limpieza</v>
      </c>
      <c r="W3192" s="56" t="str">
        <f>MID(Tabla1[[#This Row],[Aplicación]],14,2)</f>
        <v>21</v>
      </c>
      <c r="X3192" s="56" t="str">
        <f>MID(Tabla1[[#This Row],[Aplicación]],14,6)</f>
        <v>214</v>
      </c>
    </row>
    <row r="3193" spans="1:24" x14ac:dyDescent="0.25">
      <c r="A3193" s="62">
        <v>220230024840</v>
      </c>
      <c r="B3193" s="44" t="s">
        <v>1337</v>
      </c>
      <c r="C3193" s="64">
        <v>45070</v>
      </c>
      <c r="D3193" s="62">
        <v>22023000738</v>
      </c>
      <c r="E3193" s="44" t="s">
        <v>854</v>
      </c>
      <c r="F3193" s="65">
        <v>-95274.83</v>
      </c>
      <c r="G3193" s="44" t="s">
        <v>855</v>
      </c>
      <c r="H3193" s="44" t="s">
        <v>4895</v>
      </c>
      <c r="I3193" s="62" t="s">
        <v>511</v>
      </c>
      <c r="J3193" s="44" t="s">
        <v>857</v>
      </c>
      <c r="K3193" s="44" t="s">
        <v>858</v>
      </c>
      <c r="L3193" s="44" t="s">
        <v>552</v>
      </c>
      <c r="M3193" s="44" t="s">
        <v>514</v>
      </c>
      <c r="N3193" s="44" t="s">
        <v>515</v>
      </c>
      <c r="O3193" s="45" t="s">
        <v>371</v>
      </c>
      <c r="P3193" s="45" t="s">
        <v>3760</v>
      </c>
      <c r="Q3193" s="59" t="str">
        <f>MID(Tabla1[[#This Row],[Aplicación]],14,1)</f>
        <v>6</v>
      </c>
      <c r="R3193" s="35" t="s">
        <v>299</v>
      </c>
      <c r="S3193" s="59" t="str">
        <f>MID(Tabla1[[#This Row],[Aplicación]],6,2)</f>
        <v>11</v>
      </c>
      <c r="T3193" s="35" t="str">
        <f>VLOOKUP(Tabla1[[#This Row],[AREA]],Hoja1!A:B,2,FALSE)</f>
        <v>11. Salud pública y seguridad ciudadana</v>
      </c>
      <c r="U3193" s="56" t="str">
        <f>MID(Tabla1[[#This Row],[Aplicación]],9,4)</f>
        <v>1321</v>
      </c>
      <c r="V3193" s="35" t="str">
        <f>VLOOKUP(Tabla1[[#This Row],[PROGRAMA]],Hoja1!A:B,2,FALSE)</f>
        <v>1321. Policía municipal</v>
      </c>
      <c r="W3193" s="56" t="str">
        <f>MID(Tabla1[[#This Row],[Aplicación]],14,2)</f>
        <v>64</v>
      </c>
      <c r="X3193" s="56" t="str">
        <f>MID(Tabla1[[#This Row],[Aplicación]],14,6)</f>
        <v>641</v>
      </c>
    </row>
    <row r="3194" spans="1:24" x14ac:dyDescent="0.25">
      <c r="A3194" s="62">
        <v>220230026513</v>
      </c>
      <c r="B3194" s="44" t="s">
        <v>1514</v>
      </c>
      <c r="C3194" s="64">
        <v>45077</v>
      </c>
      <c r="D3194" s="62">
        <v>22023001473</v>
      </c>
      <c r="E3194" s="44" t="s">
        <v>1683</v>
      </c>
      <c r="F3194" s="65">
        <v>1523.73</v>
      </c>
      <c r="G3194" s="44" t="s">
        <v>2434</v>
      </c>
      <c r="H3194" s="44" t="s">
        <v>4896</v>
      </c>
      <c r="I3194" s="62" t="s">
        <v>1517</v>
      </c>
      <c r="J3194" s="44" t="s">
        <v>519</v>
      </c>
      <c r="K3194" s="44" t="s">
        <v>519</v>
      </c>
      <c r="L3194" s="44" t="s">
        <v>552</v>
      </c>
      <c r="M3194" s="44" t="s">
        <v>514</v>
      </c>
      <c r="N3194" s="44" t="s">
        <v>515</v>
      </c>
      <c r="O3194" s="45" t="s">
        <v>382</v>
      </c>
      <c r="P3194" s="45" t="s">
        <v>3760</v>
      </c>
      <c r="Q3194" s="59" t="str">
        <f>MID(Tabla1[[#This Row],[Aplicación]],14,1)</f>
        <v>2</v>
      </c>
      <c r="R3194" s="35" t="s">
        <v>298</v>
      </c>
      <c r="S3194" s="59" t="str">
        <f>MID(Tabla1[[#This Row],[Aplicación]],6,2)</f>
        <v>11</v>
      </c>
      <c r="T3194" s="35" t="str">
        <f>VLOOKUP(Tabla1[[#This Row],[AREA]],Hoja1!A:B,2,FALSE)</f>
        <v>11. Salud pública y seguridad ciudadana</v>
      </c>
      <c r="U3194" s="56" t="str">
        <f>MID(Tabla1[[#This Row],[Aplicación]],9,4)</f>
        <v>1631</v>
      </c>
      <c r="V3194" s="35" t="str">
        <f>VLOOKUP(Tabla1[[#This Row],[PROGRAMA]],Hoja1!A:B,2,FALSE)</f>
        <v>1631. Limpieza viaria</v>
      </c>
      <c r="W3194" s="56" t="str">
        <f>MID(Tabla1[[#This Row],[Aplicación]],14,2)</f>
        <v>21</v>
      </c>
      <c r="X3194" s="56" t="str">
        <f>MID(Tabla1[[#This Row],[Aplicación]],14,6)</f>
        <v>214</v>
      </c>
    </row>
    <row r="3195" spans="1:24" x14ac:dyDescent="0.25">
      <c r="A3195" s="62">
        <v>220230016036</v>
      </c>
      <c r="B3195" s="44" t="s">
        <v>1514</v>
      </c>
      <c r="C3195" s="64">
        <v>45043</v>
      </c>
      <c r="D3195" s="62">
        <v>22023000263</v>
      </c>
      <c r="E3195" s="44" t="s">
        <v>3146</v>
      </c>
      <c r="F3195" s="65">
        <v>103.24</v>
      </c>
      <c r="G3195" s="44" t="s">
        <v>2841</v>
      </c>
      <c r="H3195" s="44" t="s">
        <v>4897</v>
      </c>
      <c r="I3195" s="62" t="s">
        <v>1517</v>
      </c>
      <c r="J3195" s="44" t="s">
        <v>519</v>
      </c>
      <c r="K3195" s="44" t="s">
        <v>519</v>
      </c>
      <c r="L3195" s="44" t="s">
        <v>520</v>
      </c>
      <c r="M3195" s="44" t="s">
        <v>514</v>
      </c>
      <c r="N3195" s="44" t="s">
        <v>515</v>
      </c>
      <c r="O3195" s="45" t="s">
        <v>382</v>
      </c>
      <c r="P3195" s="45" t="s">
        <v>3760</v>
      </c>
      <c r="Q3195" s="59" t="str">
        <f>MID(Tabla1[[#This Row],[Aplicación]],14,1)</f>
        <v>2</v>
      </c>
      <c r="R3195" s="35" t="s">
        <v>298</v>
      </c>
      <c r="S3195" s="59" t="str">
        <f>MID(Tabla1[[#This Row],[Aplicación]],6,2)</f>
        <v>02</v>
      </c>
      <c r="T3195" s="35" t="str">
        <f>VLOOKUP(Tabla1[[#This Row],[AREA]],Hoja1!A:B,2,FALSE)</f>
        <v>02. Planeamiento urbanístico y vivienda</v>
      </c>
      <c r="U3195" s="56" t="str">
        <f>MID(Tabla1[[#This Row],[Aplicación]],9,4)</f>
        <v>9332</v>
      </c>
      <c r="V3195" s="35" t="str">
        <f>VLOOKUP(Tabla1[[#This Row],[PROGRAMA]],Hoja1!A:B,2,FALSE)</f>
        <v>9332. Mantenimiento de edificios e instalaciones municipales</v>
      </c>
      <c r="W3195" s="56" t="str">
        <f>MID(Tabla1[[#This Row],[Aplicación]],14,2)</f>
        <v>21</v>
      </c>
      <c r="X3195" s="56" t="str">
        <f>MID(Tabla1[[#This Row],[Aplicación]],14,6)</f>
        <v>214</v>
      </c>
    </row>
    <row r="3196" spans="1:24" x14ac:dyDescent="0.25">
      <c r="A3196" s="62">
        <v>220230018578</v>
      </c>
      <c r="B3196" s="44" t="s">
        <v>1514</v>
      </c>
      <c r="C3196" s="64">
        <v>45055</v>
      </c>
      <c r="D3196" s="62">
        <v>22023001466</v>
      </c>
      <c r="E3196" s="44" t="s">
        <v>2624</v>
      </c>
      <c r="F3196" s="65">
        <v>1035.4100000000001</v>
      </c>
      <c r="G3196" s="44" t="s">
        <v>2687</v>
      </c>
      <c r="H3196" s="44" t="s">
        <v>4898</v>
      </c>
      <c r="I3196" s="62" t="s">
        <v>1517</v>
      </c>
      <c r="J3196" s="44" t="s">
        <v>519</v>
      </c>
      <c r="K3196" s="44" t="s">
        <v>519</v>
      </c>
      <c r="L3196" s="44" t="s">
        <v>552</v>
      </c>
      <c r="M3196" s="44" t="s">
        <v>514</v>
      </c>
      <c r="N3196" s="44" t="s">
        <v>515</v>
      </c>
      <c r="O3196" s="45" t="s">
        <v>382</v>
      </c>
      <c r="P3196" s="45" t="s">
        <v>3760</v>
      </c>
      <c r="Q3196" s="59" t="str">
        <f>MID(Tabla1[[#This Row],[Aplicación]],14,1)</f>
        <v>2</v>
      </c>
      <c r="R3196" s="35" t="s">
        <v>298</v>
      </c>
      <c r="S3196" s="59" t="str">
        <f>MID(Tabla1[[#This Row],[Aplicación]],6,2)</f>
        <v>11</v>
      </c>
      <c r="T3196" s="35" t="str">
        <f>VLOOKUP(Tabla1[[#This Row],[AREA]],Hoja1!A:B,2,FALSE)</f>
        <v>11. Salud pública y seguridad ciudadana</v>
      </c>
      <c r="U3196" s="56" t="str">
        <f>MID(Tabla1[[#This Row],[Aplicación]],9,4)</f>
        <v>1621</v>
      </c>
      <c r="V3196" s="35" t="str">
        <f>VLOOKUP(Tabla1[[#This Row],[PROGRAMA]],Hoja1!A:B,2,FALSE)</f>
        <v>1621. Servicio de limpieza</v>
      </c>
      <c r="W3196" s="56" t="str">
        <f>MID(Tabla1[[#This Row],[Aplicación]],14,2)</f>
        <v>22</v>
      </c>
      <c r="X3196" s="56" t="str">
        <f>MID(Tabla1[[#This Row],[Aplicación]],14,6)</f>
        <v>22199</v>
      </c>
    </row>
    <row r="3197" spans="1:24" x14ac:dyDescent="0.25">
      <c r="A3197" s="62">
        <v>220230026520</v>
      </c>
      <c r="B3197" s="44" t="s">
        <v>1514</v>
      </c>
      <c r="C3197" s="64">
        <v>45077</v>
      </c>
      <c r="D3197" s="62">
        <v>22023001466</v>
      </c>
      <c r="E3197" s="44" t="s">
        <v>2624</v>
      </c>
      <c r="F3197" s="65">
        <v>601.96</v>
      </c>
      <c r="G3197" s="44" t="s">
        <v>2687</v>
      </c>
      <c r="H3197" s="44" t="s">
        <v>4899</v>
      </c>
      <c r="I3197" s="62" t="s">
        <v>1517</v>
      </c>
      <c r="J3197" s="44" t="s">
        <v>519</v>
      </c>
      <c r="K3197" s="44" t="s">
        <v>519</v>
      </c>
      <c r="L3197" s="44" t="s">
        <v>552</v>
      </c>
      <c r="M3197" s="44" t="s">
        <v>514</v>
      </c>
      <c r="N3197" s="44" t="s">
        <v>515</v>
      </c>
      <c r="O3197" s="45" t="s">
        <v>382</v>
      </c>
      <c r="P3197" s="45" t="s">
        <v>3760</v>
      </c>
      <c r="Q3197" s="59" t="str">
        <f>MID(Tabla1[[#This Row],[Aplicación]],14,1)</f>
        <v>2</v>
      </c>
      <c r="R3197" s="35" t="s">
        <v>298</v>
      </c>
      <c r="S3197" s="59" t="str">
        <f>MID(Tabla1[[#This Row],[Aplicación]],6,2)</f>
        <v>11</v>
      </c>
      <c r="T3197" s="35" t="str">
        <f>VLOOKUP(Tabla1[[#This Row],[AREA]],Hoja1!A:B,2,FALSE)</f>
        <v>11. Salud pública y seguridad ciudadana</v>
      </c>
      <c r="U3197" s="56" t="str">
        <f>MID(Tabla1[[#This Row],[Aplicación]],9,4)</f>
        <v>1621</v>
      </c>
      <c r="V3197" s="35" t="str">
        <f>VLOOKUP(Tabla1[[#This Row],[PROGRAMA]],Hoja1!A:B,2,FALSE)</f>
        <v>1621. Servicio de limpieza</v>
      </c>
      <c r="W3197" s="56" t="str">
        <f>MID(Tabla1[[#This Row],[Aplicación]],14,2)</f>
        <v>22</v>
      </c>
      <c r="X3197" s="56" t="str">
        <f>MID(Tabla1[[#This Row],[Aplicación]],14,6)</f>
        <v>22199</v>
      </c>
    </row>
    <row r="3198" spans="1:24" x14ac:dyDescent="0.25">
      <c r="A3198" s="62">
        <v>220230026522</v>
      </c>
      <c r="B3198" s="44" t="s">
        <v>1514</v>
      </c>
      <c r="C3198" s="64">
        <v>45077</v>
      </c>
      <c r="D3198" s="62">
        <v>22023001476</v>
      </c>
      <c r="E3198" s="44" t="s">
        <v>2662</v>
      </c>
      <c r="F3198" s="65">
        <v>408.01</v>
      </c>
      <c r="G3198" s="44" t="s">
        <v>2687</v>
      </c>
      <c r="H3198" s="44" t="s">
        <v>4900</v>
      </c>
      <c r="I3198" s="62" t="s">
        <v>1517</v>
      </c>
      <c r="J3198" s="44" t="s">
        <v>519</v>
      </c>
      <c r="K3198" s="44" t="s">
        <v>519</v>
      </c>
      <c r="L3198" s="44" t="s">
        <v>552</v>
      </c>
      <c r="M3198" s="44" t="s">
        <v>514</v>
      </c>
      <c r="N3198" s="44" t="s">
        <v>515</v>
      </c>
      <c r="O3198" s="45" t="s">
        <v>382</v>
      </c>
      <c r="P3198" s="45" t="s">
        <v>3760</v>
      </c>
      <c r="Q3198" s="59" t="str">
        <f>MID(Tabla1[[#This Row],[Aplicación]],14,1)</f>
        <v>2</v>
      </c>
      <c r="R3198" s="35" t="s">
        <v>298</v>
      </c>
      <c r="S3198" s="59" t="str">
        <f>MID(Tabla1[[#This Row],[Aplicación]],6,2)</f>
        <v>11</v>
      </c>
      <c r="T3198" s="35" t="str">
        <f>VLOOKUP(Tabla1[[#This Row],[AREA]],Hoja1!A:B,2,FALSE)</f>
        <v>11. Salud pública y seguridad ciudadana</v>
      </c>
      <c r="U3198" s="56" t="str">
        <f>MID(Tabla1[[#This Row],[Aplicación]],9,4)</f>
        <v>1631</v>
      </c>
      <c r="V3198" s="35" t="str">
        <f>VLOOKUP(Tabla1[[#This Row],[PROGRAMA]],Hoja1!A:B,2,FALSE)</f>
        <v>1631. Limpieza viaria</v>
      </c>
      <c r="W3198" s="56" t="str">
        <f>MID(Tabla1[[#This Row],[Aplicación]],14,2)</f>
        <v>22</v>
      </c>
      <c r="X3198" s="56" t="str">
        <f>MID(Tabla1[[#This Row],[Aplicación]],14,6)</f>
        <v>22199</v>
      </c>
    </row>
    <row r="3199" spans="1:24" x14ac:dyDescent="0.25">
      <c r="A3199" s="62">
        <v>220230016055</v>
      </c>
      <c r="B3199" s="44" t="s">
        <v>1514</v>
      </c>
      <c r="C3199" s="64">
        <v>45043</v>
      </c>
      <c r="D3199" s="62">
        <v>22023001607</v>
      </c>
      <c r="E3199" s="44" t="s">
        <v>1603</v>
      </c>
      <c r="F3199" s="65">
        <v>1553.95</v>
      </c>
      <c r="G3199" s="44" t="s">
        <v>3280</v>
      </c>
      <c r="H3199" s="44" t="s">
        <v>4901</v>
      </c>
      <c r="I3199" s="62" t="s">
        <v>1517</v>
      </c>
      <c r="J3199" s="44" t="s">
        <v>519</v>
      </c>
      <c r="K3199" s="44" t="s">
        <v>519</v>
      </c>
      <c r="L3199" s="44" t="s">
        <v>552</v>
      </c>
      <c r="M3199" s="44" t="s">
        <v>514</v>
      </c>
      <c r="N3199" s="44" t="s">
        <v>515</v>
      </c>
      <c r="O3199" s="45" t="s">
        <v>382</v>
      </c>
      <c r="P3199" s="45" t="s">
        <v>3760</v>
      </c>
      <c r="Q3199" s="59" t="str">
        <f>MID(Tabla1[[#This Row],[Aplicación]],14,1)</f>
        <v>2</v>
      </c>
      <c r="R3199" s="35" t="s">
        <v>298</v>
      </c>
      <c r="S3199" s="59" t="str">
        <f>MID(Tabla1[[#This Row],[Aplicación]],6,2)</f>
        <v>08</v>
      </c>
      <c r="T3199" s="35" t="str">
        <f>VLOOKUP(Tabla1[[#This Row],[AREA]],Hoja1!A:B,2,FALSE)</f>
        <v>08. Movilidad y espacio urbano</v>
      </c>
      <c r="U3199" s="56" t="str">
        <f>MID(Tabla1[[#This Row],[Aplicación]],9,4)</f>
        <v>1532</v>
      </c>
      <c r="V3199" s="35" t="str">
        <f>VLOOKUP(Tabla1[[#This Row],[PROGRAMA]],Hoja1!A:B,2,FALSE)</f>
        <v>1532. Pavimentación vias públicas y otros servicios urbanísticos</v>
      </c>
      <c r="W3199" s="56" t="str">
        <f>MID(Tabla1[[#This Row],[Aplicación]],14,2)</f>
        <v>21</v>
      </c>
      <c r="X3199" s="56" t="str">
        <f>MID(Tabla1[[#This Row],[Aplicación]],14,6)</f>
        <v>210</v>
      </c>
    </row>
    <row r="3200" spans="1:24" x14ac:dyDescent="0.25">
      <c r="A3200" s="62">
        <v>220230018949</v>
      </c>
      <c r="B3200" s="44" t="s">
        <v>1514</v>
      </c>
      <c r="C3200" s="64">
        <v>45056</v>
      </c>
      <c r="D3200" s="62">
        <v>22023001607</v>
      </c>
      <c r="E3200" s="44" t="s">
        <v>1603</v>
      </c>
      <c r="F3200" s="65">
        <v>1916.36</v>
      </c>
      <c r="G3200" s="44" t="s">
        <v>3280</v>
      </c>
      <c r="H3200" s="44" t="s">
        <v>4902</v>
      </c>
      <c r="I3200" s="62" t="s">
        <v>1517</v>
      </c>
      <c r="J3200" s="44" t="s">
        <v>519</v>
      </c>
      <c r="K3200" s="44" t="s">
        <v>519</v>
      </c>
      <c r="L3200" s="44" t="s">
        <v>552</v>
      </c>
      <c r="M3200" s="44" t="s">
        <v>514</v>
      </c>
      <c r="N3200" s="44" t="s">
        <v>515</v>
      </c>
      <c r="O3200" s="45" t="s">
        <v>382</v>
      </c>
      <c r="P3200" s="45" t="s">
        <v>3760</v>
      </c>
      <c r="Q3200" s="59" t="str">
        <f>MID(Tabla1[[#This Row],[Aplicación]],14,1)</f>
        <v>2</v>
      </c>
      <c r="R3200" s="35" t="s">
        <v>298</v>
      </c>
      <c r="S3200" s="59" t="str">
        <f>MID(Tabla1[[#This Row],[Aplicación]],6,2)</f>
        <v>08</v>
      </c>
      <c r="T3200" s="35" t="str">
        <f>VLOOKUP(Tabla1[[#This Row],[AREA]],Hoja1!A:B,2,FALSE)</f>
        <v>08. Movilidad y espacio urbano</v>
      </c>
      <c r="U3200" s="56" t="str">
        <f>MID(Tabla1[[#This Row],[Aplicación]],9,4)</f>
        <v>1532</v>
      </c>
      <c r="V3200" s="35" t="str">
        <f>VLOOKUP(Tabla1[[#This Row],[PROGRAMA]],Hoja1!A:B,2,FALSE)</f>
        <v>1532. Pavimentación vias públicas y otros servicios urbanísticos</v>
      </c>
      <c r="W3200" s="56" t="str">
        <f>MID(Tabla1[[#This Row],[Aplicación]],14,2)</f>
        <v>21</v>
      </c>
      <c r="X3200" s="56" t="str">
        <f>MID(Tabla1[[#This Row],[Aplicación]],14,6)</f>
        <v>210</v>
      </c>
    </row>
    <row r="3201" spans="1:24" x14ac:dyDescent="0.25">
      <c r="A3201" s="62">
        <v>220230018958</v>
      </c>
      <c r="B3201" s="44" t="s">
        <v>1514</v>
      </c>
      <c r="C3201" s="64">
        <v>45056</v>
      </c>
      <c r="D3201" s="62">
        <v>22023001607</v>
      </c>
      <c r="E3201" s="44" t="s">
        <v>1603</v>
      </c>
      <c r="F3201" s="65">
        <v>1347.64</v>
      </c>
      <c r="G3201" s="44" t="s">
        <v>3280</v>
      </c>
      <c r="H3201" s="44" t="s">
        <v>4903</v>
      </c>
      <c r="I3201" s="62" t="s">
        <v>1517</v>
      </c>
      <c r="J3201" s="44" t="s">
        <v>519</v>
      </c>
      <c r="K3201" s="44" t="s">
        <v>519</v>
      </c>
      <c r="L3201" s="44" t="s">
        <v>552</v>
      </c>
      <c r="M3201" s="44" t="s">
        <v>514</v>
      </c>
      <c r="N3201" s="44" t="s">
        <v>515</v>
      </c>
      <c r="O3201" s="45" t="s">
        <v>382</v>
      </c>
      <c r="P3201" s="45" t="s">
        <v>3760</v>
      </c>
      <c r="Q3201" s="59" t="str">
        <f>MID(Tabla1[[#This Row],[Aplicación]],14,1)</f>
        <v>2</v>
      </c>
      <c r="R3201" s="35" t="s">
        <v>298</v>
      </c>
      <c r="S3201" s="59" t="str">
        <f>MID(Tabla1[[#This Row],[Aplicación]],6,2)</f>
        <v>08</v>
      </c>
      <c r="T3201" s="35" t="str">
        <f>VLOOKUP(Tabla1[[#This Row],[AREA]],Hoja1!A:B,2,FALSE)</f>
        <v>08. Movilidad y espacio urbano</v>
      </c>
      <c r="U3201" s="56" t="str">
        <f>MID(Tabla1[[#This Row],[Aplicación]],9,4)</f>
        <v>1532</v>
      </c>
      <c r="V3201" s="35" t="str">
        <f>VLOOKUP(Tabla1[[#This Row],[PROGRAMA]],Hoja1!A:B,2,FALSE)</f>
        <v>1532. Pavimentación vias públicas y otros servicios urbanísticos</v>
      </c>
      <c r="W3201" s="56" t="str">
        <f>MID(Tabla1[[#This Row],[Aplicación]],14,2)</f>
        <v>21</v>
      </c>
      <c r="X3201" s="56" t="str">
        <f>MID(Tabla1[[#This Row],[Aplicación]],14,6)</f>
        <v>210</v>
      </c>
    </row>
    <row r="3202" spans="1:24" x14ac:dyDescent="0.25">
      <c r="A3202" s="62">
        <v>220230026380</v>
      </c>
      <c r="B3202" s="44" t="s">
        <v>1514</v>
      </c>
      <c r="C3202" s="64">
        <v>45077</v>
      </c>
      <c r="D3202" s="62">
        <v>22023003832</v>
      </c>
      <c r="E3202" s="44" t="s">
        <v>1502</v>
      </c>
      <c r="F3202" s="65">
        <v>544.9</v>
      </c>
      <c r="G3202" s="44" t="s">
        <v>2540</v>
      </c>
      <c r="H3202" s="44" t="s">
        <v>4904</v>
      </c>
      <c r="I3202" s="62" t="s">
        <v>1517</v>
      </c>
      <c r="J3202" s="44" t="s">
        <v>519</v>
      </c>
      <c r="K3202" s="44" t="s">
        <v>519</v>
      </c>
      <c r="L3202" s="44" t="s">
        <v>552</v>
      </c>
      <c r="M3202" s="44" t="s">
        <v>514</v>
      </c>
      <c r="N3202" s="44" t="s">
        <v>515</v>
      </c>
      <c r="O3202" s="45" t="s">
        <v>382</v>
      </c>
      <c r="P3202" s="45" t="s">
        <v>3760</v>
      </c>
      <c r="Q3202" s="59" t="str">
        <f>MID(Tabla1[[#This Row],[Aplicación]],14,1)</f>
        <v>2</v>
      </c>
      <c r="R3202" s="35" t="s">
        <v>298</v>
      </c>
      <c r="S3202" s="59" t="str">
        <f>MID(Tabla1[[#This Row],[Aplicación]],6,2)</f>
        <v>10</v>
      </c>
      <c r="T3202" s="35" t="str">
        <f>VLOOKUP(Tabla1[[#This Row],[AREA]],Hoja1!A:B,2,FALSE)</f>
        <v>10. Servicios sociales y mediación comunitaria</v>
      </c>
      <c r="U3202" s="56" t="str">
        <f>MID(Tabla1[[#This Row],[Aplicación]],9,4)</f>
        <v>2412</v>
      </c>
      <c r="V3202" s="35" t="str">
        <f>VLOOKUP(Tabla1[[#This Row],[PROGRAMA]],Hoja1!A:B,2,FALSE)</f>
        <v>2412. Formación para el empleo</v>
      </c>
      <c r="W3202" s="56" t="str">
        <f>MID(Tabla1[[#This Row],[Aplicación]],14,2)</f>
        <v>22</v>
      </c>
      <c r="X3202" s="56" t="str">
        <f>MID(Tabla1[[#This Row],[Aplicación]],14,6)</f>
        <v>22199</v>
      </c>
    </row>
    <row r="3203" spans="1:24" x14ac:dyDescent="0.25">
      <c r="A3203" s="62">
        <v>220230026382</v>
      </c>
      <c r="B3203" s="44" t="s">
        <v>1514</v>
      </c>
      <c r="C3203" s="64">
        <v>45077</v>
      </c>
      <c r="D3203" s="62">
        <v>22023001479</v>
      </c>
      <c r="E3203" s="44" t="s">
        <v>1502</v>
      </c>
      <c r="F3203" s="65">
        <v>197.54</v>
      </c>
      <c r="G3203" s="44" t="s">
        <v>2540</v>
      </c>
      <c r="H3203" s="44" t="s">
        <v>4905</v>
      </c>
      <c r="I3203" s="62" t="s">
        <v>1517</v>
      </c>
      <c r="J3203" s="44" t="s">
        <v>519</v>
      </c>
      <c r="K3203" s="44" t="s">
        <v>519</v>
      </c>
      <c r="L3203" s="44" t="s">
        <v>552</v>
      </c>
      <c r="M3203" s="44" t="s">
        <v>514</v>
      </c>
      <c r="N3203" s="44" t="s">
        <v>515</v>
      </c>
      <c r="O3203" s="45" t="s">
        <v>382</v>
      </c>
      <c r="P3203" s="45" t="s">
        <v>3760</v>
      </c>
      <c r="Q3203" s="59" t="str">
        <f>MID(Tabla1[[#This Row],[Aplicación]],14,1)</f>
        <v>2</v>
      </c>
      <c r="R3203" s="35" t="s">
        <v>298</v>
      </c>
      <c r="S3203" s="59" t="str">
        <f>MID(Tabla1[[#This Row],[Aplicación]],6,2)</f>
        <v>10</v>
      </c>
      <c r="T3203" s="35" t="str">
        <f>VLOOKUP(Tabla1[[#This Row],[AREA]],Hoja1!A:B,2,FALSE)</f>
        <v>10. Servicios sociales y mediación comunitaria</v>
      </c>
      <c r="U3203" s="56" t="str">
        <f>MID(Tabla1[[#This Row],[Aplicación]],9,4)</f>
        <v>2412</v>
      </c>
      <c r="V3203" s="35" t="str">
        <f>VLOOKUP(Tabla1[[#This Row],[PROGRAMA]],Hoja1!A:B,2,FALSE)</f>
        <v>2412. Formación para el empleo</v>
      </c>
      <c r="W3203" s="56" t="str">
        <f>MID(Tabla1[[#This Row],[Aplicación]],14,2)</f>
        <v>22</v>
      </c>
      <c r="X3203" s="56" t="str">
        <f>MID(Tabla1[[#This Row],[Aplicación]],14,6)</f>
        <v>22199</v>
      </c>
    </row>
    <row r="3204" spans="1:24" x14ac:dyDescent="0.25">
      <c r="A3204" s="62">
        <v>220230016120</v>
      </c>
      <c r="B3204" s="44" t="s">
        <v>1514</v>
      </c>
      <c r="C3204" s="64">
        <v>45043</v>
      </c>
      <c r="D3204" s="62">
        <v>22023002181</v>
      </c>
      <c r="E3204" s="44" t="s">
        <v>1305</v>
      </c>
      <c r="F3204" s="65">
        <v>540.20000000000005</v>
      </c>
      <c r="G3204" s="44" t="s">
        <v>2436</v>
      </c>
      <c r="H3204" s="44" t="s">
        <v>4906</v>
      </c>
      <c r="I3204" s="62" t="s">
        <v>1517</v>
      </c>
      <c r="J3204" s="44" t="s">
        <v>2438</v>
      </c>
      <c r="K3204" s="44" t="s">
        <v>1359</v>
      </c>
      <c r="L3204" s="44" t="s">
        <v>552</v>
      </c>
      <c r="M3204" s="44" t="s">
        <v>514</v>
      </c>
      <c r="N3204" s="44" t="s">
        <v>515</v>
      </c>
      <c r="O3204" s="45" t="s">
        <v>382</v>
      </c>
      <c r="P3204" s="45" t="s">
        <v>3760</v>
      </c>
      <c r="Q3204" s="59" t="str">
        <f>MID(Tabla1[[#This Row],[Aplicación]],14,1)</f>
        <v>2</v>
      </c>
      <c r="R3204" s="35" t="s">
        <v>298</v>
      </c>
      <c r="S3204" s="59" t="str">
        <f>MID(Tabla1[[#This Row],[Aplicación]],6,2)</f>
        <v>06</v>
      </c>
      <c r="T3204" s="35" t="str">
        <f>VLOOKUP(Tabla1[[#This Row],[AREA]],Hoja1!A:B,2,FALSE)</f>
        <v>06. Educación, infancia, juventud e igualdad</v>
      </c>
      <c r="U3204" s="56" t="str">
        <f>MID(Tabla1[[#This Row],[Aplicación]],9,4)</f>
        <v>3232</v>
      </c>
      <c r="V3204" s="35" t="str">
        <f>VLOOKUP(Tabla1[[#This Row],[PROGRAMA]],Hoja1!A:B,2,FALSE)</f>
        <v>3232. Conservación y mantenimiento centros educación infantil y primaria</v>
      </c>
      <c r="W3204" s="56" t="str">
        <f>MID(Tabla1[[#This Row],[Aplicación]],14,2)</f>
        <v>21</v>
      </c>
      <c r="X3204" s="56" t="str">
        <f>MID(Tabla1[[#This Row],[Aplicación]],14,6)</f>
        <v>212</v>
      </c>
    </row>
    <row r="3205" spans="1:24" x14ac:dyDescent="0.25">
      <c r="A3205" s="62">
        <v>220230016197</v>
      </c>
      <c r="B3205" s="44" t="s">
        <v>1514</v>
      </c>
      <c r="C3205" s="64">
        <v>45043</v>
      </c>
      <c r="D3205" s="62">
        <v>22023002181</v>
      </c>
      <c r="E3205" s="44" t="s">
        <v>1305</v>
      </c>
      <c r="F3205" s="65">
        <v>1273.42</v>
      </c>
      <c r="G3205" s="44" t="s">
        <v>2436</v>
      </c>
      <c r="H3205" s="44" t="s">
        <v>4907</v>
      </c>
      <c r="I3205" s="62" t="s">
        <v>1517</v>
      </c>
      <c r="J3205" s="44" t="s">
        <v>2438</v>
      </c>
      <c r="K3205" s="44" t="s">
        <v>1359</v>
      </c>
      <c r="L3205" s="44" t="s">
        <v>552</v>
      </c>
      <c r="M3205" s="44" t="s">
        <v>514</v>
      </c>
      <c r="N3205" s="44" t="s">
        <v>515</v>
      </c>
      <c r="O3205" s="45" t="s">
        <v>382</v>
      </c>
      <c r="P3205" s="45" t="s">
        <v>3760</v>
      </c>
      <c r="Q3205" s="59" t="str">
        <f>MID(Tabla1[[#This Row],[Aplicación]],14,1)</f>
        <v>2</v>
      </c>
      <c r="R3205" s="35" t="s">
        <v>298</v>
      </c>
      <c r="S3205" s="59" t="str">
        <f>MID(Tabla1[[#This Row],[Aplicación]],6,2)</f>
        <v>06</v>
      </c>
      <c r="T3205" s="35" t="str">
        <f>VLOOKUP(Tabla1[[#This Row],[AREA]],Hoja1!A:B,2,FALSE)</f>
        <v>06. Educación, infancia, juventud e igualdad</v>
      </c>
      <c r="U3205" s="56" t="str">
        <f>MID(Tabla1[[#This Row],[Aplicación]],9,4)</f>
        <v>3232</v>
      </c>
      <c r="V3205" s="35" t="str">
        <f>VLOOKUP(Tabla1[[#This Row],[PROGRAMA]],Hoja1!A:B,2,FALSE)</f>
        <v>3232. Conservación y mantenimiento centros educación infantil y primaria</v>
      </c>
      <c r="W3205" s="56" t="str">
        <f>MID(Tabla1[[#This Row],[Aplicación]],14,2)</f>
        <v>21</v>
      </c>
      <c r="X3205" s="56" t="str">
        <f>MID(Tabla1[[#This Row],[Aplicación]],14,6)</f>
        <v>212</v>
      </c>
    </row>
    <row r="3206" spans="1:24" x14ac:dyDescent="0.25">
      <c r="A3206" s="62">
        <v>220230016199</v>
      </c>
      <c r="B3206" s="44" t="s">
        <v>1514</v>
      </c>
      <c r="C3206" s="64">
        <v>45043</v>
      </c>
      <c r="D3206" s="62">
        <v>22023002181</v>
      </c>
      <c r="E3206" s="44" t="s">
        <v>1305</v>
      </c>
      <c r="F3206" s="65">
        <v>2468.3000000000002</v>
      </c>
      <c r="G3206" s="44" t="s">
        <v>2436</v>
      </c>
      <c r="H3206" s="44" t="s">
        <v>4908</v>
      </c>
      <c r="I3206" s="62" t="s">
        <v>1517</v>
      </c>
      <c r="J3206" s="44" t="s">
        <v>2438</v>
      </c>
      <c r="K3206" s="44" t="s">
        <v>1359</v>
      </c>
      <c r="L3206" s="44" t="s">
        <v>552</v>
      </c>
      <c r="M3206" s="44" t="s">
        <v>514</v>
      </c>
      <c r="N3206" s="44" t="s">
        <v>515</v>
      </c>
      <c r="O3206" s="45" t="s">
        <v>382</v>
      </c>
      <c r="P3206" s="45" t="s">
        <v>3760</v>
      </c>
      <c r="Q3206" s="59" t="str">
        <f>MID(Tabla1[[#This Row],[Aplicación]],14,1)</f>
        <v>2</v>
      </c>
      <c r="R3206" s="35" t="s">
        <v>298</v>
      </c>
      <c r="S3206" s="59" t="str">
        <f>MID(Tabla1[[#This Row],[Aplicación]],6,2)</f>
        <v>06</v>
      </c>
      <c r="T3206" s="35" t="str">
        <f>VLOOKUP(Tabla1[[#This Row],[AREA]],Hoja1!A:B,2,FALSE)</f>
        <v>06. Educación, infancia, juventud e igualdad</v>
      </c>
      <c r="U3206" s="56" t="str">
        <f>MID(Tabla1[[#This Row],[Aplicación]],9,4)</f>
        <v>3232</v>
      </c>
      <c r="V3206" s="35" t="str">
        <f>VLOOKUP(Tabla1[[#This Row],[PROGRAMA]],Hoja1!A:B,2,FALSE)</f>
        <v>3232. Conservación y mantenimiento centros educación infantil y primaria</v>
      </c>
      <c r="W3206" s="56" t="str">
        <f>MID(Tabla1[[#This Row],[Aplicación]],14,2)</f>
        <v>21</v>
      </c>
      <c r="X3206" s="56" t="str">
        <f>MID(Tabla1[[#This Row],[Aplicación]],14,6)</f>
        <v>212</v>
      </c>
    </row>
    <row r="3207" spans="1:24" x14ac:dyDescent="0.25">
      <c r="A3207" s="62">
        <v>220230016207</v>
      </c>
      <c r="B3207" s="44" t="s">
        <v>1514</v>
      </c>
      <c r="C3207" s="64">
        <v>45043</v>
      </c>
      <c r="D3207" s="62">
        <v>22023002185</v>
      </c>
      <c r="E3207" s="44" t="s">
        <v>2458</v>
      </c>
      <c r="F3207" s="65">
        <v>257.61</v>
      </c>
      <c r="G3207" s="44" t="s">
        <v>2436</v>
      </c>
      <c r="H3207" s="44" t="s">
        <v>4909</v>
      </c>
      <c r="I3207" s="62" t="s">
        <v>1517</v>
      </c>
      <c r="J3207" s="44" t="s">
        <v>2438</v>
      </c>
      <c r="K3207" s="44" t="s">
        <v>1359</v>
      </c>
      <c r="L3207" s="44" t="s">
        <v>552</v>
      </c>
      <c r="M3207" s="44" t="s">
        <v>514</v>
      </c>
      <c r="N3207" s="44" t="s">
        <v>515</v>
      </c>
      <c r="O3207" s="45" t="s">
        <v>382</v>
      </c>
      <c r="P3207" s="45" t="s">
        <v>3760</v>
      </c>
      <c r="Q3207" s="59" t="str">
        <f>MID(Tabla1[[#This Row],[Aplicación]],14,1)</f>
        <v>2</v>
      </c>
      <c r="R3207" s="35" t="s">
        <v>298</v>
      </c>
      <c r="S3207" s="59" t="str">
        <f>MID(Tabla1[[#This Row],[Aplicación]],6,2)</f>
        <v>06</v>
      </c>
      <c r="T3207" s="35" t="str">
        <f>VLOOKUP(Tabla1[[#This Row],[AREA]],Hoja1!A:B,2,FALSE)</f>
        <v>06. Educación, infancia, juventud e igualdad</v>
      </c>
      <c r="U3207" s="56" t="str">
        <f>MID(Tabla1[[#This Row],[Aplicación]],9,4)</f>
        <v>3231</v>
      </c>
      <c r="V3207" s="35" t="str">
        <f>VLOOKUP(Tabla1[[#This Row],[PROGRAMA]],Hoja1!A:B,2,FALSE)</f>
        <v>3231. Escuelas infantiles</v>
      </c>
      <c r="W3207" s="56" t="str">
        <f>MID(Tabla1[[#This Row],[Aplicación]],14,2)</f>
        <v>21</v>
      </c>
      <c r="X3207" s="56" t="str">
        <f>MID(Tabla1[[#This Row],[Aplicación]],14,6)</f>
        <v>212</v>
      </c>
    </row>
    <row r="3208" spans="1:24" x14ac:dyDescent="0.25">
      <c r="A3208" s="62">
        <v>220230016225</v>
      </c>
      <c r="B3208" s="44" t="s">
        <v>1514</v>
      </c>
      <c r="C3208" s="64">
        <v>45043</v>
      </c>
      <c r="D3208" s="62">
        <v>22023000273</v>
      </c>
      <c r="E3208" s="44" t="s">
        <v>2310</v>
      </c>
      <c r="F3208" s="65">
        <v>8.4499999999999993</v>
      </c>
      <c r="G3208" s="44" t="s">
        <v>2436</v>
      </c>
      <c r="H3208" s="44" t="s">
        <v>4482</v>
      </c>
      <c r="I3208" s="62" t="s">
        <v>1517</v>
      </c>
      <c r="J3208" s="44" t="s">
        <v>2438</v>
      </c>
      <c r="K3208" s="44" t="s">
        <v>1359</v>
      </c>
      <c r="L3208" s="44" t="s">
        <v>552</v>
      </c>
      <c r="M3208" s="44" t="s">
        <v>514</v>
      </c>
      <c r="N3208" s="44" t="s">
        <v>515</v>
      </c>
      <c r="O3208" s="45" t="s">
        <v>382</v>
      </c>
      <c r="P3208" s="45" t="s">
        <v>3760</v>
      </c>
      <c r="Q3208" s="59" t="str">
        <f>MID(Tabla1[[#This Row],[Aplicación]],14,1)</f>
        <v>2</v>
      </c>
      <c r="R3208" s="35" t="s">
        <v>298</v>
      </c>
      <c r="S3208" s="59" t="str">
        <f>MID(Tabla1[[#This Row],[Aplicación]],6,2)</f>
        <v>11</v>
      </c>
      <c r="T3208" s="35" t="str">
        <f>VLOOKUP(Tabla1[[#This Row],[AREA]],Hoja1!A:B,2,FALSE)</f>
        <v>11. Salud pública y seguridad ciudadana</v>
      </c>
      <c r="U3208" s="56" t="str">
        <f>MID(Tabla1[[#This Row],[Aplicación]],9,4)</f>
        <v>1321</v>
      </c>
      <c r="V3208" s="35" t="str">
        <f>VLOOKUP(Tabla1[[#This Row],[PROGRAMA]],Hoja1!A:B,2,FALSE)</f>
        <v>1321. Policía municipal</v>
      </c>
      <c r="W3208" s="56" t="str">
        <f>MID(Tabla1[[#This Row],[Aplicación]],14,2)</f>
        <v>22</v>
      </c>
      <c r="X3208" s="56" t="str">
        <f>MID(Tabla1[[#This Row],[Aplicación]],14,6)</f>
        <v>22199</v>
      </c>
    </row>
    <row r="3209" spans="1:24" x14ac:dyDescent="0.25">
      <c r="A3209" s="62">
        <v>220230016285</v>
      </c>
      <c r="B3209" s="44" t="s">
        <v>1514</v>
      </c>
      <c r="C3209" s="64">
        <v>45043</v>
      </c>
      <c r="D3209" s="62">
        <v>22023001578</v>
      </c>
      <c r="E3209" s="44" t="s">
        <v>2275</v>
      </c>
      <c r="F3209" s="65">
        <v>21.32</v>
      </c>
      <c r="G3209" s="44" t="s">
        <v>2436</v>
      </c>
      <c r="H3209" s="44" t="s">
        <v>4910</v>
      </c>
      <c r="I3209" s="62" t="s">
        <v>1517</v>
      </c>
      <c r="J3209" s="44" t="s">
        <v>2438</v>
      </c>
      <c r="K3209" s="44" t="s">
        <v>1359</v>
      </c>
      <c r="L3209" s="44" t="s">
        <v>552</v>
      </c>
      <c r="M3209" s="44" t="s">
        <v>514</v>
      </c>
      <c r="N3209" s="44" t="s">
        <v>515</v>
      </c>
      <c r="O3209" s="45" t="s">
        <v>382</v>
      </c>
      <c r="P3209" s="45" t="s">
        <v>3760</v>
      </c>
      <c r="Q3209" s="59" t="str">
        <f>MID(Tabla1[[#This Row],[Aplicación]],14,1)</f>
        <v>2</v>
      </c>
      <c r="R3209" s="35" t="s">
        <v>298</v>
      </c>
      <c r="S3209" s="59" t="str">
        <f>MID(Tabla1[[#This Row],[Aplicación]],6,2)</f>
        <v>11</v>
      </c>
      <c r="T3209" s="35" t="str">
        <f>VLOOKUP(Tabla1[[#This Row],[AREA]],Hoja1!A:B,2,FALSE)</f>
        <v>11. Salud pública y seguridad ciudadana</v>
      </c>
      <c r="U3209" s="56" t="str">
        <f>MID(Tabla1[[#This Row],[Aplicación]],9,4)</f>
        <v>3111</v>
      </c>
      <c r="V3209" s="35" t="str">
        <f>VLOOKUP(Tabla1[[#This Row],[PROGRAMA]],Hoja1!A:B,2,FALSE)</f>
        <v>3111. Protección de la salubridad pública</v>
      </c>
      <c r="W3209" s="56" t="str">
        <f>MID(Tabla1[[#This Row],[Aplicación]],14,2)</f>
        <v>22</v>
      </c>
      <c r="X3209" s="56" t="str">
        <f>MID(Tabla1[[#This Row],[Aplicación]],14,6)</f>
        <v>22199</v>
      </c>
    </row>
    <row r="3210" spans="1:24" x14ac:dyDescent="0.25">
      <c r="A3210" s="62">
        <v>220230016381</v>
      </c>
      <c r="B3210" s="44" t="s">
        <v>1514</v>
      </c>
      <c r="C3210" s="64">
        <v>45043</v>
      </c>
      <c r="D3210" s="62">
        <v>22023001343</v>
      </c>
      <c r="E3210" s="44" t="s">
        <v>1506</v>
      </c>
      <c r="F3210" s="65">
        <v>209.4</v>
      </c>
      <c r="G3210" s="44" t="s">
        <v>2436</v>
      </c>
      <c r="H3210" s="44" t="s">
        <v>4911</v>
      </c>
      <c r="I3210" s="62" t="s">
        <v>1517</v>
      </c>
      <c r="J3210" s="44" t="s">
        <v>2438</v>
      </c>
      <c r="K3210" s="44" t="s">
        <v>1359</v>
      </c>
      <c r="L3210" s="44" t="s">
        <v>552</v>
      </c>
      <c r="M3210" s="44" t="s">
        <v>514</v>
      </c>
      <c r="N3210" s="44" t="s">
        <v>604</v>
      </c>
      <c r="O3210" s="45" t="s">
        <v>382</v>
      </c>
      <c r="P3210" s="45" t="s">
        <v>3760</v>
      </c>
      <c r="Q3210" s="59" t="str">
        <f>MID(Tabla1[[#This Row],[Aplicación]],14,1)</f>
        <v>2</v>
      </c>
      <c r="R3210" s="35" t="s">
        <v>298</v>
      </c>
      <c r="S3210" s="59" t="str">
        <f>MID(Tabla1[[#This Row],[Aplicación]],6,2)</f>
        <v>03</v>
      </c>
      <c r="T3210" s="35" t="str">
        <f>VLOOKUP(Tabla1[[#This Row],[AREA]],Hoja1!A:B,2,FALSE)</f>
        <v>03. Participación ciudadana y deportes</v>
      </c>
      <c r="U3210" s="56" t="str">
        <f>MID(Tabla1[[#This Row],[Aplicación]],9,4)</f>
        <v>9241</v>
      </c>
      <c r="V3210" s="35" t="str">
        <f>VLOOKUP(Tabla1[[#This Row],[PROGRAMA]],Hoja1!A:B,2,FALSE)</f>
        <v>9241. Participación ciudadana</v>
      </c>
      <c r="W3210" s="56" t="str">
        <f>MID(Tabla1[[#This Row],[Aplicación]],14,2)</f>
        <v>21</v>
      </c>
      <c r="X3210" s="56" t="str">
        <f>MID(Tabla1[[#This Row],[Aplicación]],14,6)</f>
        <v>212</v>
      </c>
    </row>
    <row r="3211" spans="1:24" x14ac:dyDescent="0.25">
      <c r="A3211" s="62">
        <v>220230016446</v>
      </c>
      <c r="B3211" s="44" t="s">
        <v>1514</v>
      </c>
      <c r="C3211" s="64">
        <v>45043</v>
      </c>
      <c r="D3211" s="62">
        <v>22023001467</v>
      </c>
      <c r="E3211" s="44" t="s">
        <v>1512</v>
      </c>
      <c r="F3211" s="65">
        <v>13.01</v>
      </c>
      <c r="G3211" s="44" t="s">
        <v>2436</v>
      </c>
      <c r="H3211" s="44" t="s">
        <v>4912</v>
      </c>
      <c r="I3211" s="62" t="s">
        <v>1517</v>
      </c>
      <c r="J3211" s="44" t="s">
        <v>2438</v>
      </c>
      <c r="K3211" s="44" t="s">
        <v>1359</v>
      </c>
      <c r="L3211" s="44" t="s">
        <v>552</v>
      </c>
      <c r="M3211" s="44" t="s">
        <v>514</v>
      </c>
      <c r="N3211" s="44" t="s">
        <v>515</v>
      </c>
      <c r="O3211" s="45" t="s">
        <v>382</v>
      </c>
      <c r="P3211" s="45" t="s">
        <v>3760</v>
      </c>
      <c r="Q3211" s="59" t="str">
        <f>MID(Tabla1[[#This Row],[Aplicación]],14,1)</f>
        <v>2</v>
      </c>
      <c r="R3211" s="35" t="s">
        <v>298</v>
      </c>
      <c r="S3211" s="59" t="str">
        <f>MID(Tabla1[[#This Row],[Aplicación]],6,2)</f>
        <v>10</v>
      </c>
      <c r="T3211" s="35" t="str">
        <f>VLOOKUP(Tabla1[[#This Row],[AREA]],Hoja1!A:B,2,FALSE)</f>
        <v>10. Servicios sociales y mediación comunitaria</v>
      </c>
      <c r="U3211" s="56" t="str">
        <f>MID(Tabla1[[#This Row],[Aplicación]],9,4)</f>
        <v>2312</v>
      </c>
      <c r="V3211" s="35" t="str">
        <f>VLOOKUP(Tabla1[[#This Row],[PROGRAMA]],Hoja1!A:B,2,FALSE)</f>
        <v>2312. Iniciativas sociales</v>
      </c>
      <c r="W3211" s="56" t="str">
        <f>MID(Tabla1[[#This Row],[Aplicación]],14,2)</f>
        <v>21</v>
      </c>
      <c r="X3211" s="56" t="str">
        <f>MID(Tabla1[[#This Row],[Aplicación]],14,6)</f>
        <v>212</v>
      </c>
    </row>
    <row r="3212" spans="1:24" x14ac:dyDescent="0.25">
      <c r="A3212" s="62">
        <v>220230016449</v>
      </c>
      <c r="B3212" s="44" t="s">
        <v>1514</v>
      </c>
      <c r="C3212" s="64">
        <v>45043</v>
      </c>
      <c r="D3212" s="62">
        <v>22023001467</v>
      </c>
      <c r="E3212" s="44" t="s">
        <v>1512</v>
      </c>
      <c r="F3212" s="65">
        <v>163.59</v>
      </c>
      <c r="G3212" s="44" t="s">
        <v>2436</v>
      </c>
      <c r="H3212" s="44" t="s">
        <v>4913</v>
      </c>
      <c r="I3212" s="62" t="s">
        <v>1517</v>
      </c>
      <c r="J3212" s="44" t="s">
        <v>2438</v>
      </c>
      <c r="K3212" s="44" t="s">
        <v>1359</v>
      </c>
      <c r="L3212" s="44" t="s">
        <v>552</v>
      </c>
      <c r="M3212" s="44" t="s">
        <v>514</v>
      </c>
      <c r="N3212" s="44" t="s">
        <v>515</v>
      </c>
      <c r="O3212" s="45" t="s">
        <v>382</v>
      </c>
      <c r="P3212" s="45" t="s">
        <v>3760</v>
      </c>
      <c r="Q3212" s="59" t="str">
        <f>MID(Tabla1[[#This Row],[Aplicación]],14,1)</f>
        <v>2</v>
      </c>
      <c r="R3212" s="35" t="s">
        <v>298</v>
      </c>
      <c r="S3212" s="59" t="str">
        <f>MID(Tabla1[[#This Row],[Aplicación]],6,2)</f>
        <v>10</v>
      </c>
      <c r="T3212" s="35" t="str">
        <f>VLOOKUP(Tabla1[[#This Row],[AREA]],Hoja1!A:B,2,FALSE)</f>
        <v>10. Servicios sociales y mediación comunitaria</v>
      </c>
      <c r="U3212" s="56" t="str">
        <f>MID(Tabla1[[#This Row],[Aplicación]],9,4)</f>
        <v>2312</v>
      </c>
      <c r="V3212" s="35" t="str">
        <f>VLOOKUP(Tabla1[[#This Row],[PROGRAMA]],Hoja1!A:B,2,FALSE)</f>
        <v>2312. Iniciativas sociales</v>
      </c>
      <c r="W3212" s="56" t="str">
        <f>MID(Tabla1[[#This Row],[Aplicación]],14,2)</f>
        <v>21</v>
      </c>
      <c r="X3212" s="56" t="str">
        <f>MID(Tabla1[[#This Row],[Aplicación]],14,6)</f>
        <v>212</v>
      </c>
    </row>
    <row r="3213" spans="1:24" x14ac:dyDescent="0.25">
      <c r="A3213" s="62">
        <v>220230017435</v>
      </c>
      <c r="B3213" s="44" t="s">
        <v>1514</v>
      </c>
      <c r="C3213" s="64">
        <v>45049</v>
      </c>
      <c r="D3213" s="62">
        <v>22023001412</v>
      </c>
      <c r="E3213" s="44" t="s">
        <v>1510</v>
      </c>
      <c r="F3213" s="65">
        <v>40.4</v>
      </c>
      <c r="G3213" s="44" t="s">
        <v>2436</v>
      </c>
      <c r="H3213" s="44" t="s">
        <v>4914</v>
      </c>
      <c r="I3213" s="62" t="s">
        <v>1517</v>
      </c>
      <c r="J3213" s="44" t="s">
        <v>2438</v>
      </c>
      <c r="K3213" s="44" t="s">
        <v>1359</v>
      </c>
      <c r="L3213" s="44" t="s">
        <v>552</v>
      </c>
      <c r="M3213" s="44" t="s">
        <v>514</v>
      </c>
      <c r="N3213" s="44" t="s">
        <v>515</v>
      </c>
      <c r="O3213" s="45" t="s">
        <v>382</v>
      </c>
      <c r="P3213" s="45" t="s">
        <v>3760</v>
      </c>
      <c r="Q3213" s="59" t="str">
        <f>MID(Tabla1[[#This Row],[Aplicación]],14,1)</f>
        <v>2</v>
      </c>
      <c r="R3213" s="35" t="s">
        <v>298</v>
      </c>
      <c r="S3213" s="59" t="str">
        <f>MID(Tabla1[[#This Row],[Aplicación]],6,2)</f>
        <v>10</v>
      </c>
      <c r="T3213" s="35" t="str">
        <f>VLOOKUP(Tabla1[[#This Row],[AREA]],Hoja1!A:B,2,FALSE)</f>
        <v>10. Servicios sociales y mediación comunitaria</v>
      </c>
      <c r="U3213" s="56" t="str">
        <f>MID(Tabla1[[#This Row],[Aplicación]],9,4)</f>
        <v>2311</v>
      </c>
      <c r="V3213" s="35" t="str">
        <f>VLOOKUP(Tabla1[[#This Row],[PROGRAMA]],Hoja1!A:B,2,FALSE)</f>
        <v>2311. Intervención social</v>
      </c>
      <c r="W3213" s="56" t="str">
        <f>MID(Tabla1[[#This Row],[Aplicación]],14,2)</f>
        <v>21</v>
      </c>
      <c r="X3213" s="56" t="str">
        <f>MID(Tabla1[[#This Row],[Aplicación]],14,6)</f>
        <v>212</v>
      </c>
    </row>
    <row r="3214" spans="1:24" x14ac:dyDescent="0.25">
      <c r="A3214" s="62">
        <v>220230018584</v>
      </c>
      <c r="B3214" s="44" t="s">
        <v>1514</v>
      </c>
      <c r="C3214" s="64">
        <v>45055</v>
      </c>
      <c r="D3214" s="62">
        <v>22023001343</v>
      </c>
      <c r="E3214" s="44" t="s">
        <v>1506</v>
      </c>
      <c r="F3214" s="65">
        <v>1102.31</v>
      </c>
      <c r="G3214" s="44" t="s">
        <v>2436</v>
      </c>
      <c r="H3214" s="44" t="s">
        <v>4915</v>
      </c>
      <c r="I3214" s="62" t="s">
        <v>1517</v>
      </c>
      <c r="J3214" s="44" t="s">
        <v>2438</v>
      </c>
      <c r="K3214" s="44" t="s">
        <v>1359</v>
      </c>
      <c r="L3214" s="44" t="s">
        <v>552</v>
      </c>
      <c r="M3214" s="44" t="s">
        <v>514</v>
      </c>
      <c r="N3214" s="44" t="s">
        <v>604</v>
      </c>
      <c r="O3214" s="45" t="s">
        <v>382</v>
      </c>
      <c r="P3214" s="45" t="s">
        <v>3760</v>
      </c>
      <c r="Q3214" s="59" t="str">
        <f>MID(Tabla1[[#This Row],[Aplicación]],14,1)</f>
        <v>2</v>
      </c>
      <c r="R3214" s="35" t="s">
        <v>298</v>
      </c>
      <c r="S3214" s="59" t="str">
        <f>MID(Tabla1[[#This Row],[Aplicación]],6,2)</f>
        <v>03</v>
      </c>
      <c r="T3214" s="35" t="str">
        <f>VLOOKUP(Tabla1[[#This Row],[AREA]],Hoja1!A:B,2,FALSE)</f>
        <v>03. Participación ciudadana y deportes</v>
      </c>
      <c r="U3214" s="56" t="str">
        <f>MID(Tabla1[[#This Row],[Aplicación]],9,4)</f>
        <v>9241</v>
      </c>
      <c r="V3214" s="35" t="str">
        <f>VLOOKUP(Tabla1[[#This Row],[PROGRAMA]],Hoja1!A:B,2,FALSE)</f>
        <v>9241. Participación ciudadana</v>
      </c>
      <c r="W3214" s="56" t="str">
        <f>MID(Tabla1[[#This Row],[Aplicación]],14,2)</f>
        <v>21</v>
      </c>
      <c r="X3214" s="56" t="str">
        <f>MID(Tabla1[[#This Row],[Aplicación]],14,6)</f>
        <v>212</v>
      </c>
    </row>
    <row r="3215" spans="1:24" x14ac:dyDescent="0.25">
      <c r="A3215" s="62">
        <v>220230015941</v>
      </c>
      <c r="B3215" s="44" t="s">
        <v>1337</v>
      </c>
      <c r="C3215" s="64">
        <v>45042</v>
      </c>
      <c r="D3215" s="62">
        <v>22023001265</v>
      </c>
      <c r="E3215" s="44" t="s">
        <v>616</v>
      </c>
      <c r="F3215" s="65">
        <v>-439.96</v>
      </c>
      <c r="G3215" s="44" t="s">
        <v>15</v>
      </c>
      <c r="H3215" s="44" t="s">
        <v>1166</v>
      </c>
      <c r="I3215" s="62" t="s">
        <v>511</v>
      </c>
      <c r="J3215" s="44" t="s">
        <v>519</v>
      </c>
      <c r="K3215" s="44" t="s">
        <v>519</v>
      </c>
      <c r="L3215" s="44" t="s">
        <v>520</v>
      </c>
      <c r="M3215" s="44" t="s">
        <v>514</v>
      </c>
      <c r="N3215" s="44" t="s">
        <v>515</v>
      </c>
      <c r="O3215" s="45" t="s">
        <v>371</v>
      </c>
      <c r="P3215" s="45" t="s">
        <v>3760</v>
      </c>
      <c r="Q3215" s="59" t="str">
        <f>MID(Tabla1[[#This Row],[Aplicación]],14,1)</f>
        <v>2</v>
      </c>
      <c r="R3215" s="35" t="s">
        <v>298</v>
      </c>
      <c r="S3215" s="59" t="str">
        <f>MID(Tabla1[[#This Row],[Aplicación]],6,2)</f>
        <v>10</v>
      </c>
      <c r="T3215" s="35" t="str">
        <f>VLOOKUP(Tabla1[[#This Row],[AREA]],Hoja1!A:B,2,FALSE)</f>
        <v>10. Servicios sociales y mediación comunitaria</v>
      </c>
      <c r="U3215" s="56" t="str">
        <f>MID(Tabla1[[#This Row],[Aplicación]],9,4)</f>
        <v>2412</v>
      </c>
      <c r="V3215" s="35" t="str">
        <f>VLOOKUP(Tabla1[[#This Row],[PROGRAMA]],Hoja1!A:B,2,FALSE)</f>
        <v>2412. Formación para el empleo</v>
      </c>
      <c r="W3215" s="56" t="str">
        <f>MID(Tabla1[[#This Row],[Aplicación]],14,2)</f>
        <v>21</v>
      </c>
      <c r="X3215" s="56" t="str">
        <f>MID(Tabla1[[#This Row],[Aplicación]],14,6)</f>
        <v>213</v>
      </c>
    </row>
    <row r="3216" spans="1:24" x14ac:dyDescent="0.25">
      <c r="A3216" s="62">
        <v>220230024861</v>
      </c>
      <c r="B3216" s="44" t="s">
        <v>507</v>
      </c>
      <c r="C3216" s="64">
        <v>45070</v>
      </c>
      <c r="D3216" s="62">
        <v>22023004656</v>
      </c>
      <c r="E3216" s="44" t="s">
        <v>4916</v>
      </c>
      <c r="F3216" s="65">
        <v>375</v>
      </c>
      <c r="G3216" s="44" t="s">
        <v>99</v>
      </c>
      <c r="H3216" s="44" t="s">
        <v>4917</v>
      </c>
      <c r="I3216" s="62" t="s">
        <v>511</v>
      </c>
      <c r="J3216" s="44" t="s">
        <v>2045</v>
      </c>
      <c r="K3216" s="44" t="s">
        <v>519</v>
      </c>
      <c r="L3216" s="44" t="s">
        <v>520</v>
      </c>
      <c r="M3216" s="44" t="s">
        <v>976</v>
      </c>
      <c r="N3216" s="44" t="s">
        <v>839</v>
      </c>
      <c r="O3216" s="45" t="s">
        <v>383</v>
      </c>
      <c r="P3216" s="45" t="s">
        <v>3760</v>
      </c>
      <c r="Q3216" s="59" t="str">
        <f>MID(Tabla1[[#This Row],[Aplicación]],14,1)</f>
        <v>2</v>
      </c>
      <c r="R3216" s="35" t="s">
        <v>298</v>
      </c>
      <c r="S3216" s="59" t="str">
        <f>MID(Tabla1[[#This Row],[Aplicación]],6,2)</f>
        <v>08</v>
      </c>
      <c r="T3216" s="35" t="str">
        <f>VLOOKUP(Tabla1[[#This Row],[AREA]],Hoja1!A:B,2,FALSE)</f>
        <v>08. Movilidad y espacio urbano</v>
      </c>
      <c r="U3216" s="56" t="str">
        <f>MID(Tabla1[[#This Row],[Aplicación]],9,4)</f>
        <v>1651</v>
      </c>
      <c r="V3216" s="35" t="str">
        <f>VLOOKUP(Tabla1[[#This Row],[PROGRAMA]],Hoja1!A:B,2,FALSE)</f>
        <v>1651. Alumbrado público</v>
      </c>
      <c r="W3216" s="56" t="str">
        <f>MID(Tabla1[[#This Row],[Aplicación]],14,2)</f>
        <v>22</v>
      </c>
      <c r="X3216" s="56" t="str">
        <f>MID(Tabla1[[#This Row],[Aplicación]],14,6)</f>
        <v>22606</v>
      </c>
    </row>
    <row r="3217" spans="1:24" x14ac:dyDescent="0.25">
      <c r="A3217" s="62">
        <v>220230018635</v>
      </c>
      <c r="B3217" s="44" t="s">
        <v>1514</v>
      </c>
      <c r="C3217" s="64">
        <v>45055</v>
      </c>
      <c r="D3217" s="62">
        <v>22023001549</v>
      </c>
      <c r="E3217" s="44" t="s">
        <v>1515</v>
      </c>
      <c r="F3217" s="65">
        <v>66.400000000000006</v>
      </c>
      <c r="G3217" s="44" t="s">
        <v>2436</v>
      </c>
      <c r="H3217" s="44" t="s">
        <v>4918</v>
      </c>
      <c r="I3217" s="62" t="s">
        <v>1517</v>
      </c>
      <c r="J3217" s="44" t="s">
        <v>2438</v>
      </c>
      <c r="K3217" s="44" t="s">
        <v>1359</v>
      </c>
      <c r="L3217" s="44" t="s">
        <v>552</v>
      </c>
      <c r="M3217" s="44" t="s">
        <v>514</v>
      </c>
      <c r="N3217" s="44" t="s">
        <v>515</v>
      </c>
      <c r="O3217" s="45" t="s">
        <v>382</v>
      </c>
      <c r="P3217" s="45" t="s">
        <v>3760</v>
      </c>
      <c r="Q3217" s="59" t="str">
        <f>MID(Tabla1[[#This Row],[Aplicación]],14,1)</f>
        <v>2</v>
      </c>
      <c r="R3217" s="35" t="s">
        <v>298</v>
      </c>
      <c r="S3217" s="59" t="str">
        <f>MID(Tabla1[[#This Row],[Aplicación]],6,2)</f>
        <v>07</v>
      </c>
      <c r="T3217" s="35" t="str">
        <f>VLOOKUP(Tabla1[[#This Row],[AREA]],Hoja1!A:B,2,FALSE)</f>
        <v>07. Medio ambiente y desarrollo sostenible</v>
      </c>
      <c r="U3217" s="56" t="str">
        <f>MID(Tabla1[[#This Row],[Aplicación]],9,4)</f>
        <v>1711</v>
      </c>
      <c r="V3217" s="35" t="str">
        <f>VLOOKUP(Tabla1[[#This Row],[PROGRAMA]],Hoja1!A:B,2,FALSE)</f>
        <v>1711. Parques y jardines</v>
      </c>
      <c r="W3217" s="56" t="str">
        <f>MID(Tabla1[[#This Row],[Aplicación]],14,2)</f>
        <v>22</v>
      </c>
      <c r="X3217" s="56" t="str">
        <f>MID(Tabla1[[#This Row],[Aplicación]],14,6)</f>
        <v>22199</v>
      </c>
    </row>
    <row r="3218" spans="1:24" x14ac:dyDescent="0.25">
      <c r="A3218" s="62">
        <v>220230024841</v>
      </c>
      <c r="B3218" s="44" t="s">
        <v>1337</v>
      </c>
      <c r="C3218" s="64">
        <v>45070</v>
      </c>
      <c r="D3218" s="62">
        <v>22023000737</v>
      </c>
      <c r="E3218" s="44" t="s">
        <v>854</v>
      </c>
      <c r="F3218" s="65">
        <v>-46041.67</v>
      </c>
      <c r="G3218" s="44" t="s">
        <v>954</v>
      </c>
      <c r="H3218" s="44" t="s">
        <v>4919</v>
      </c>
      <c r="I3218" s="62" t="s">
        <v>511</v>
      </c>
      <c r="J3218" s="44" t="s">
        <v>956</v>
      </c>
      <c r="K3218" s="44" t="s">
        <v>512</v>
      </c>
      <c r="L3218" s="44" t="s">
        <v>552</v>
      </c>
      <c r="M3218" s="44" t="s">
        <v>514</v>
      </c>
      <c r="N3218" s="44" t="s">
        <v>515</v>
      </c>
      <c r="O3218" s="45" t="s">
        <v>371</v>
      </c>
      <c r="P3218" s="45" t="s">
        <v>3760</v>
      </c>
      <c r="Q3218" s="59" t="str">
        <f>MID(Tabla1[[#This Row],[Aplicación]],14,1)</f>
        <v>6</v>
      </c>
      <c r="R3218" s="35" t="s">
        <v>299</v>
      </c>
      <c r="S3218" s="59" t="str">
        <f>MID(Tabla1[[#This Row],[Aplicación]],6,2)</f>
        <v>11</v>
      </c>
      <c r="T3218" s="35" t="str">
        <f>VLOOKUP(Tabla1[[#This Row],[AREA]],Hoja1!A:B,2,FALSE)</f>
        <v>11. Salud pública y seguridad ciudadana</v>
      </c>
      <c r="U3218" s="56" t="str">
        <f>MID(Tabla1[[#This Row],[Aplicación]],9,4)</f>
        <v>1321</v>
      </c>
      <c r="V3218" s="35" t="str">
        <f>VLOOKUP(Tabla1[[#This Row],[PROGRAMA]],Hoja1!A:B,2,FALSE)</f>
        <v>1321. Policía municipal</v>
      </c>
      <c r="W3218" s="56" t="str">
        <f>MID(Tabla1[[#This Row],[Aplicación]],14,2)</f>
        <v>64</v>
      </c>
      <c r="X3218" s="56" t="str">
        <f>MID(Tabla1[[#This Row],[Aplicación]],14,6)</f>
        <v>641</v>
      </c>
    </row>
    <row r="3219" spans="1:24" x14ac:dyDescent="0.25">
      <c r="A3219" s="62">
        <v>220230018638</v>
      </c>
      <c r="B3219" s="44" t="s">
        <v>1514</v>
      </c>
      <c r="C3219" s="64">
        <v>45055</v>
      </c>
      <c r="D3219" s="62">
        <v>22023001468</v>
      </c>
      <c r="E3219" s="44" t="s">
        <v>1512</v>
      </c>
      <c r="F3219" s="65">
        <v>270.17</v>
      </c>
      <c r="G3219" s="44" t="s">
        <v>2436</v>
      </c>
      <c r="H3219" s="44" t="s">
        <v>4920</v>
      </c>
      <c r="I3219" s="62" t="s">
        <v>1517</v>
      </c>
      <c r="J3219" s="44" t="s">
        <v>2438</v>
      </c>
      <c r="K3219" s="44" t="s">
        <v>1359</v>
      </c>
      <c r="L3219" s="44" t="s">
        <v>552</v>
      </c>
      <c r="M3219" s="44" t="s">
        <v>514</v>
      </c>
      <c r="N3219" s="44" t="s">
        <v>515</v>
      </c>
      <c r="O3219" s="45" t="s">
        <v>382</v>
      </c>
      <c r="P3219" s="45" t="s">
        <v>3760</v>
      </c>
      <c r="Q3219" s="59" t="str">
        <f>MID(Tabla1[[#This Row],[Aplicación]],14,1)</f>
        <v>2</v>
      </c>
      <c r="R3219" s="35" t="s">
        <v>298</v>
      </c>
      <c r="S3219" s="59" t="str">
        <f>MID(Tabla1[[#This Row],[Aplicación]],6,2)</f>
        <v>10</v>
      </c>
      <c r="T3219" s="35" t="str">
        <f>VLOOKUP(Tabla1[[#This Row],[AREA]],Hoja1!A:B,2,FALSE)</f>
        <v>10. Servicios sociales y mediación comunitaria</v>
      </c>
      <c r="U3219" s="56" t="str">
        <f>MID(Tabla1[[#This Row],[Aplicación]],9,4)</f>
        <v>2312</v>
      </c>
      <c r="V3219" s="35" t="str">
        <f>VLOOKUP(Tabla1[[#This Row],[PROGRAMA]],Hoja1!A:B,2,FALSE)</f>
        <v>2312. Iniciativas sociales</v>
      </c>
      <c r="W3219" s="56" t="str">
        <f>MID(Tabla1[[#This Row],[Aplicación]],14,2)</f>
        <v>21</v>
      </c>
      <c r="X3219" s="56" t="str">
        <f>MID(Tabla1[[#This Row],[Aplicación]],14,6)</f>
        <v>212</v>
      </c>
    </row>
    <row r="3220" spans="1:24" x14ac:dyDescent="0.25">
      <c r="A3220" s="62">
        <v>220230020124</v>
      </c>
      <c r="B3220" s="44" t="s">
        <v>1514</v>
      </c>
      <c r="C3220" s="64">
        <v>45057</v>
      </c>
      <c r="D3220" s="62">
        <v>22023001466</v>
      </c>
      <c r="E3220" s="44" t="s">
        <v>2624</v>
      </c>
      <c r="F3220" s="65">
        <v>170.99</v>
      </c>
      <c r="G3220" s="44" t="s">
        <v>2436</v>
      </c>
      <c r="H3220" s="44" t="s">
        <v>4921</v>
      </c>
      <c r="I3220" s="62" t="s">
        <v>1517</v>
      </c>
      <c r="J3220" s="44" t="s">
        <v>2438</v>
      </c>
      <c r="K3220" s="44" t="s">
        <v>1359</v>
      </c>
      <c r="L3220" s="44" t="s">
        <v>552</v>
      </c>
      <c r="M3220" s="44" t="s">
        <v>514</v>
      </c>
      <c r="N3220" s="44" t="s">
        <v>515</v>
      </c>
      <c r="O3220" s="45" t="s">
        <v>382</v>
      </c>
      <c r="P3220" s="45" t="s">
        <v>3760</v>
      </c>
      <c r="Q3220" s="59" t="str">
        <f>MID(Tabla1[[#This Row],[Aplicación]],14,1)</f>
        <v>2</v>
      </c>
      <c r="R3220" s="35" t="s">
        <v>298</v>
      </c>
      <c r="S3220" s="59" t="str">
        <f>MID(Tabla1[[#This Row],[Aplicación]],6,2)</f>
        <v>11</v>
      </c>
      <c r="T3220" s="35" t="str">
        <f>VLOOKUP(Tabla1[[#This Row],[AREA]],Hoja1!A:B,2,FALSE)</f>
        <v>11. Salud pública y seguridad ciudadana</v>
      </c>
      <c r="U3220" s="56" t="str">
        <f>MID(Tabla1[[#This Row],[Aplicación]],9,4)</f>
        <v>1621</v>
      </c>
      <c r="V3220" s="35" t="str">
        <f>VLOOKUP(Tabla1[[#This Row],[PROGRAMA]],Hoja1!A:B,2,FALSE)</f>
        <v>1621. Servicio de limpieza</v>
      </c>
      <c r="W3220" s="56" t="str">
        <f>MID(Tabla1[[#This Row],[Aplicación]],14,2)</f>
        <v>22</v>
      </c>
      <c r="X3220" s="56" t="str">
        <f>MID(Tabla1[[#This Row],[Aplicación]],14,6)</f>
        <v>22199</v>
      </c>
    </row>
    <row r="3221" spans="1:24" x14ac:dyDescent="0.25">
      <c r="A3221" s="62">
        <v>220230013643</v>
      </c>
      <c r="B3221" s="44" t="s">
        <v>507</v>
      </c>
      <c r="C3221" s="64">
        <v>45026</v>
      </c>
      <c r="D3221" s="62">
        <v>22023003079</v>
      </c>
      <c r="E3221" s="44" t="s">
        <v>1341</v>
      </c>
      <c r="F3221" s="65">
        <v>2413.9499999999998</v>
      </c>
      <c r="G3221" s="44" t="s">
        <v>1879</v>
      </c>
      <c r="H3221" s="44" t="s">
        <v>3339</v>
      </c>
      <c r="I3221" s="62" t="s">
        <v>2168</v>
      </c>
      <c r="J3221" s="44" t="s">
        <v>545</v>
      </c>
      <c r="K3221" s="44" t="s">
        <v>545</v>
      </c>
      <c r="L3221" s="44" t="s">
        <v>520</v>
      </c>
      <c r="M3221" s="44" t="s">
        <v>514</v>
      </c>
      <c r="N3221" s="44" t="s">
        <v>515</v>
      </c>
      <c r="O3221" s="45" t="s">
        <v>382</v>
      </c>
      <c r="P3221" s="45" t="s">
        <v>3760</v>
      </c>
      <c r="Q3221" s="59" t="str">
        <f>MID(Tabla1[[#This Row],[Aplicación]],14,1)</f>
        <v>2</v>
      </c>
      <c r="R3221" s="35" t="s">
        <v>298</v>
      </c>
      <c r="S3221" s="59" t="str">
        <f>MID(Tabla1[[#This Row],[Aplicación]],6,2)</f>
        <v>05</v>
      </c>
      <c r="T3221" s="35" t="str">
        <f>VLOOKUP(Tabla1[[#This Row],[AREA]],Hoja1!A:B,2,FALSE)</f>
        <v>05. Innovación, desarrollo económico, empleo y comercio</v>
      </c>
      <c r="U3221" s="56" t="str">
        <f>MID(Tabla1[[#This Row],[Aplicación]],9,4)</f>
        <v>4331</v>
      </c>
      <c r="V3221" s="35" t="str">
        <f>VLOOKUP(Tabla1[[#This Row],[PROGRAMA]],Hoja1!A:B,2,FALSE)</f>
        <v>4331. Desarrollo empresarial</v>
      </c>
      <c r="W3221" s="56" t="str">
        <f>MID(Tabla1[[#This Row],[Aplicación]],14,2)</f>
        <v>22</v>
      </c>
      <c r="X3221" s="56" t="str">
        <f>MID(Tabla1[[#This Row],[Aplicación]],14,6)</f>
        <v>22602</v>
      </c>
    </row>
    <row r="3222" spans="1:24" x14ac:dyDescent="0.25">
      <c r="A3222" s="62">
        <v>220230026150</v>
      </c>
      <c r="B3222" s="44" t="s">
        <v>1514</v>
      </c>
      <c r="C3222" s="64">
        <v>45077</v>
      </c>
      <c r="D3222" s="62">
        <v>22023002739</v>
      </c>
      <c r="E3222" s="44" t="s">
        <v>1551</v>
      </c>
      <c r="F3222" s="65">
        <v>224.1</v>
      </c>
      <c r="G3222" s="44" t="s">
        <v>2443</v>
      </c>
      <c r="H3222" s="44" t="s">
        <v>4922</v>
      </c>
      <c r="I3222" s="62" t="s">
        <v>1517</v>
      </c>
      <c r="J3222" s="44" t="s">
        <v>519</v>
      </c>
      <c r="K3222" s="44" t="s">
        <v>519</v>
      </c>
      <c r="L3222" s="44" t="s">
        <v>552</v>
      </c>
      <c r="M3222" s="44" t="s">
        <v>514</v>
      </c>
      <c r="N3222" s="44" t="s">
        <v>515</v>
      </c>
      <c r="O3222" s="45" t="s">
        <v>382</v>
      </c>
      <c r="P3222" s="45" t="s">
        <v>3760</v>
      </c>
      <c r="Q3222" s="59" t="str">
        <f>MID(Tabla1[[#This Row],[Aplicación]],14,1)</f>
        <v>2</v>
      </c>
      <c r="R3222" s="35" t="s">
        <v>298</v>
      </c>
      <c r="S3222" s="59" t="str">
        <f>MID(Tabla1[[#This Row],[Aplicación]],6,2)</f>
        <v>02</v>
      </c>
      <c r="T3222" s="35" t="str">
        <f>VLOOKUP(Tabla1[[#This Row],[AREA]],Hoja1!A:B,2,FALSE)</f>
        <v>02. Planeamiento urbanístico y vivienda</v>
      </c>
      <c r="U3222" s="56" t="str">
        <f>MID(Tabla1[[#This Row],[Aplicación]],9,4)</f>
        <v>9332</v>
      </c>
      <c r="V3222" s="35" t="str">
        <f>VLOOKUP(Tabla1[[#This Row],[PROGRAMA]],Hoja1!A:B,2,FALSE)</f>
        <v>9332. Mantenimiento de edificios e instalaciones municipales</v>
      </c>
      <c r="W3222" s="56" t="str">
        <f>MID(Tabla1[[#This Row],[Aplicación]],14,2)</f>
        <v>21</v>
      </c>
      <c r="X3222" s="56" t="str">
        <f>MID(Tabla1[[#This Row],[Aplicación]],14,6)</f>
        <v>212</v>
      </c>
    </row>
    <row r="3223" spans="1:24" x14ac:dyDescent="0.25">
      <c r="A3223" s="62">
        <v>220230015996</v>
      </c>
      <c r="B3223" s="44" t="s">
        <v>1337</v>
      </c>
      <c r="C3223" s="64">
        <v>45042</v>
      </c>
      <c r="D3223" s="62">
        <v>22023001264</v>
      </c>
      <c r="E3223" s="44" t="s">
        <v>613</v>
      </c>
      <c r="F3223" s="65">
        <v>-3079.72</v>
      </c>
      <c r="G3223" s="44" t="s">
        <v>15</v>
      </c>
      <c r="H3223" s="44" t="s">
        <v>1162</v>
      </c>
      <c r="I3223" s="62" t="s">
        <v>511</v>
      </c>
      <c r="J3223" s="44" t="s">
        <v>519</v>
      </c>
      <c r="K3223" s="44" t="s">
        <v>519</v>
      </c>
      <c r="L3223" s="44" t="s">
        <v>520</v>
      </c>
      <c r="M3223" s="44" t="s">
        <v>514</v>
      </c>
      <c r="N3223" s="44" t="s">
        <v>515</v>
      </c>
      <c r="O3223" s="45" t="s">
        <v>371</v>
      </c>
      <c r="P3223" s="45" t="s">
        <v>3760</v>
      </c>
      <c r="Q3223" s="59" t="str">
        <f>MID(Tabla1[[#This Row],[Aplicación]],14,1)</f>
        <v>2</v>
      </c>
      <c r="R3223" s="35" t="s">
        <v>298</v>
      </c>
      <c r="S3223" s="59" t="str">
        <f>MID(Tabla1[[#This Row],[Aplicación]],6,2)</f>
        <v>10</v>
      </c>
      <c r="T3223" s="35" t="str">
        <f>VLOOKUP(Tabla1[[#This Row],[AREA]],Hoja1!A:B,2,FALSE)</f>
        <v>10. Servicios sociales y mediación comunitaria</v>
      </c>
      <c r="U3223" s="56" t="str">
        <f>MID(Tabla1[[#This Row],[Aplicación]],9,4)</f>
        <v>2312</v>
      </c>
      <c r="V3223" s="35" t="str">
        <f>VLOOKUP(Tabla1[[#This Row],[PROGRAMA]],Hoja1!A:B,2,FALSE)</f>
        <v>2312. Iniciativas sociales</v>
      </c>
      <c r="W3223" s="56" t="str">
        <f>MID(Tabla1[[#This Row],[Aplicación]],14,2)</f>
        <v>21</v>
      </c>
      <c r="X3223" s="56" t="str">
        <f>MID(Tabla1[[#This Row],[Aplicación]],14,6)</f>
        <v>213</v>
      </c>
    </row>
    <row r="3224" spans="1:24" x14ac:dyDescent="0.25">
      <c r="A3224" s="62">
        <v>220230020166</v>
      </c>
      <c r="B3224" s="44" t="s">
        <v>1514</v>
      </c>
      <c r="C3224" s="64">
        <v>45057</v>
      </c>
      <c r="D3224" s="62">
        <v>22023001466</v>
      </c>
      <c r="E3224" s="44" t="s">
        <v>2624</v>
      </c>
      <c r="F3224" s="65">
        <v>9.3699999999999992</v>
      </c>
      <c r="G3224" s="44" t="s">
        <v>2436</v>
      </c>
      <c r="H3224" s="44" t="s">
        <v>4923</v>
      </c>
      <c r="I3224" s="62" t="s">
        <v>1517</v>
      </c>
      <c r="J3224" s="44" t="s">
        <v>2438</v>
      </c>
      <c r="K3224" s="44" t="s">
        <v>1359</v>
      </c>
      <c r="L3224" s="44" t="s">
        <v>552</v>
      </c>
      <c r="M3224" s="44" t="s">
        <v>514</v>
      </c>
      <c r="N3224" s="44" t="s">
        <v>515</v>
      </c>
      <c r="O3224" s="45" t="s">
        <v>382</v>
      </c>
      <c r="P3224" s="45" t="s">
        <v>3760</v>
      </c>
      <c r="Q3224" s="59" t="str">
        <f>MID(Tabla1[[#This Row],[Aplicación]],14,1)</f>
        <v>2</v>
      </c>
      <c r="R3224" s="35" t="s">
        <v>298</v>
      </c>
      <c r="S3224" s="59" t="str">
        <f>MID(Tabla1[[#This Row],[Aplicación]],6,2)</f>
        <v>11</v>
      </c>
      <c r="T3224" s="35" t="str">
        <f>VLOOKUP(Tabla1[[#This Row],[AREA]],Hoja1!A:B,2,FALSE)</f>
        <v>11. Salud pública y seguridad ciudadana</v>
      </c>
      <c r="U3224" s="56" t="str">
        <f>MID(Tabla1[[#This Row],[Aplicación]],9,4)</f>
        <v>1621</v>
      </c>
      <c r="V3224" s="35" t="str">
        <f>VLOOKUP(Tabla1[[#This Row],[PROGRAMA]],Hoja1!A:B,2,FALSE)</f>
        <v>1621. Servicio de limpieza</v>
      </c>
      <c r="W3224" s="56" t="str">
        <f>MID(Tabla1[[#This Row],[Aplicación]],14,2)</f>
        <v>22</v>
      </c>
      <c r="X3224" s="56" t="str">
        <f>MID(Tabla1[[#This Row],[Aplicación]],14,6)</f>
        <v>22199</v>
      </c>
    </row>
    <row r="3225" spans="1:24" x14ac:dyDescent="0.25">
      <c r="A3225" s="62">
        <v>220230015943</v>
      </c>
      <c r="B3225" s="44" t="s">
        <v>1337</v>
      </c>
      <c r="C3225" s="64">
        <v>45042</v>
      </c>
      <c r="D3225" s="62">
        <v>22023003369</v>
      </c>
      <c r="E3225" s="44" t="s">
        <v>616</v>
      </c>
      <c r="F3225" s="65">
        <v>-3100</v>
      </c>
      <c r="G3225" s="44" t="s">
        <v>592</v>
      </c>
      <c r="H3225" s="44" t="s">
        <v>617</v>
      </c>
      <c r="I3225" s="62" t="s">
        <v>511</v>
      </c>
      <c r="J3225" s="44" t="s">
        <v>519</v>
      </c>
      <c r="K3225" s="44" t="s">
        <v>519</v>
      </c>
      <c r="L3225" s="44" t="s">
        <v>520</v>
      </c>
      <c r="M3225" s="44" t="s">
        <v>514</v>
      </c>
      <c r="N3225" s="44" t="s">
        <v>515</v>
      </c>
      <c r="O3225" s="45" t="s">
        <v>371</v>
      </c>
      <c r="P3225" s="45" t="s">
        <v>3760</v>
      </c>
      <c r="Q3225" s="59" t="str">
        <f>MID(Tabla1[[#This Row],[Aplicación]],14,1)</f>
        <v>2</v>
      </c>
      <c r="R3225" s="35" t="s">
        <v>298</v>
      </c>
      <c r="S3225" s="59" t="str">
        <f>MID(Tabla1[[#This Row],[Aplicación]],6,2)</f>
        <v>10</v>
      </c>
      <c r="T3225" s="35" t="str">
        <f>VLOOKUP(Tabla1[[#This Row],[AREA]],Hoja1!A:B,2,FALSE)</f>
        <v>10. Servicios sociales y mediación comunitaria</v>
      </c>
      <c r="U3225" s="56" t="str">
        <f>MID(Tabla1[[#This Row],[Aplicación]],9,4)</f>
        <v>2412</v>
      </c>
      <c r="V3225" s="35" t="str">
        <f>VLOOKUP(Tabla1[[#This Row],[PROGRAMA]],Hoja1!A:B,2,FALSE)</f>
        <v>2412. Formación para el empleo</v>
      </c>
      <c r="W3225" s="56" t="str">
        <f>MID(Tabla1[[#This Row],[Aplicación]],14,2)</f>
        <v>21</v>
      </c>
      <c r="X3225" s="56" t="str">
        <f>MID(Tabla1[[#This Row],[Aplicación]],14,6)</f>
        <v>213</v>
      </c>
    </row>
    <row r="3226" spans="1:24" x14ac:dyDescent="0.25">
      <c r="A3226" s="62">
        <v>220230020198</v>
      </c>
      <c r="B3226" s="44" t="s">
        <v>1514</v>
      </c>
      <c r="C3226" s="64">
        <v>45057</v>
      </c>
      <c r="D3226" s="62">
        <v>22023002739</v>
      </c>
      <c r="E3226" s="44" t="s">
        <v>1551</v>
      </c>
      <c r="F3226" s="65">
        <v>81.8</v>
      </c>
      <c r="G3226" s="44" t="s">
        <v>2436</v>
      </c>
      <c r="H3226" s="44" t="s">
        <v>4924</v>
      </c>
      <c r="I3226" s="62" t="s">
        <v>1517</v>
      </c>
      <c r="J3226" s="44" t="s">
        <v>2438</v>
      </c>
      <c r="K3226" s="44" t="s">
        <v>1359</v>
      </c>
      <c r="L3226" s="44" t="s">
        <v>552</v>
      </c>
      <c r="M3226" s="44" t="s">
        <v>514</v>
      </c>
      <c r="N3226" s="44" t="s">
        <v>515</v>
      </c>
      <c r="O3226" s="45" t="s">
        <v>382</v>
      </c>
      <c r="P3226" s="45" t="s">
        <v>3760</v>
      </c>
      <c r="Q3226" s="59" t="str">
        <f>MID(Tabla1[[#This Row],[Aplicación]],14,1)</f>
        <v>2</v>
      </c>
      <c r="R3226" s="35" t="s">
        <v>298</v>
      </c>
      <c r="S3226" s="59" t="str">
        <f>MID(Tabla1[[#This Row],[Aplicación]],6,2)</f>
        <v>02</v>
      </c>
      <c r="T3226" s="35" t="str">
        <f>VLOOKUP(Tabla1[[#This Row],[AREA]],Hoja1!A:B,2,FALSE)</f>
        <v>02. Planeamiento urbanístico y vivienda</v>
      </c>
      <c r="U3226" s="56" t="str">
        <f>MID(Tabla1[[#This Row],[Aplicación]],9,4)</f>
        <v>9332</v>
      </c>
      <c r="V3226" s="35" t="str">
        <f>VLOOKUP(Tabla1[[#This Row],[PROGRAMA]],Hoja1!A:B,2,FALSE)</f>
        <v>9332. Mantenimiento de edificios e instalaciones municipales</v>
      </c>
      <c r="W3226" s="56" t="str">
        <f>MID(Tabla1[[#This Row],[Aplicación]],14,2)</f>
        <v>21</v>
      </c>
      <c r="X3226" s="56" t="str">
        <f>MID(Tabla1[[#This Row],[Aplicación]],14,6)</f>
        <v>212</v>
      </c>
    </row>
    <row r="3227" spans="1:24" x14ac:dyDescent="0.25">
      <c r="A3227" s="62">
        <v>220230020239</v>
      </c>
      <c r="B3227" s="44" t="s">
        <v>1514</v>
      </c>
      <c r="C3227" s="64">
        <v>45057</v>
      </c>
      <c r="D3227" s="62">
        <v>22023002181</v>
      </c>
      <c r="E3227" s="44" t="s">
        <v>1305</v>
      </c>
      <c r="F3227" s="65">
        <v>61.08</v>
      </c>
      <c r="G3227" s="44" t="s">
        <v>2436</v>
      </c>
      <c r="H3227" s="44" t="s">
        <v>4925</v>
      </c>
      <c r="I3227" s="62" t="s">
        <v>1517</v>
      </c>
      <c r="J3227" s="44" t="s">
        <v>2438</v>
      </c>
      <c r="K3227" s="44" t="s">
        <v>1359</v>
      </c>
      <c r="L3227" s="44" t="s">
        <v>552</v>
      </c>
      <c r="M3227" s="44" t="s">
        <v>514</v>
      </c>
      <c r="N3227" s="44" t="s">
        <v>515</v>
      </c>
      <c r="O3227" s="45" t="s">
        <v>382</v>
      </c>
      <c r="P3227" s="45" t="s">
        <v>3760</v>
      </c>
      <c r="Q3227" s="59" t="str">
        <f>MID(Tabla1[[#This Row],[Aplicación]],14,1)</f>
        <v>2</v>
      </c>
      <c r="R3227" s="35" t="s">
        <v>298</v>
      </c>
      <c r="S3227" s="59" t="str">
        <f>MID(Tabla1[[#This Row],[Aplicación]],6,2)</f>
        <v>06</v>
      </c>
      <c r="T3227" s="35" t="str">
        <f>VLOOKUP(Tabla1[[#This Row],[AREA]],Hoja1!A:B,2,FALSE)</f>
        <v>06. Educación, infancia, juventud e igualdad</v>
      </c>
      <c r="U3227" s="56" t="str">
        <f>MID(Tabla1[[#This Row],[Aplicación]],9,4)</f>
        <v>3232</v>
      </c>
      <c r="V3227" s="35" t="str">
        <f>VLOOKUP(Tabla1[[#This Row],[PROGRAMA]],Hoja1!A:B,2,FALSE)</f>
        <v>3232. Conservación y mantenimiento centros educación infantil y primaria</v>
      </c>
      <c r="W3227" s="56" t="str">
        <f>MID(Tabla1[[#This Row],[Aplicación]],14,2)</f>
        <v>21</v>
      </c>
      <c r="X3227" s="56" t="str">
        <f>MID(Tabla1[[#This Row],[Aplicación]],14,6)</f>
        <v>212</v>
      </c>
    </row>
    <row r="3228" spans="1:24" x14ac:dyDescent="0.25">
      <c r="A3228" s="62">
        <v>220230020914</v>
      </c>
      <c r="B3228" s="44" t="s">
        <v>1514</v>
      </c>
      <c r="C3228" s="64">
        <v>45062</v>
      </c>
      <c r="D3228" s="62">
        <v>22023001412</v>
      </c>
      <c r="E3228" s="44" t="s">
        <v>1510</v>
      </c>
      <c r="F3228" s="65">
        <v>717.35</v>
      </c>
      <c r="G3228" s="44" t="s">
        <v>2436</v>
      </c>
      <c r="H3228" s="44" t="s">
        <v>4926</v>
      </c>
      <c r="I3228" s="62" t="s">
        <v>1517</v>
      </c>
      <c r="J3228" s="44" t="s">
        <v>2438</v>
      </c>
      <c r="K3228" s="44" t="s">
        <v>1359</v>
      </c>
      <c r="L3228" s="44" t="s">
        <v>552</v>
      </c>
      <c r="M3228" s="44" t="s">
        <v>514</v>
      </c>
      <c r="N3228" s="44" t="s">
        <v>515</v>
      </c>
      <c r="O3228" s="45" t="s">
        <v>382</v>
      </c>
      <c r="P3228" s="45" t="s">
        <v>3760</v>
      </c>
      <c r="Q3228" s="59" t="str">
        <f>MID(Tabla1[[#This Row],[Aplicación]],14,1)</f>
        <v>2</v>
      </c>
      <c r="R3228" s="35" t="s">
        <v>298</v>
      </c>
      <c r="S3228" s="59" t="str">
        <f>MID(Tabla1[[#This Row],[Aplicación]],6,2)</f>
        <v>10</v>
      </c>
      <c r="T3228" s="35" t="str">
        <f>VLOOKUP(Tabla1[[#This Row],[AREA]],Hoja1!A:B,2,FALSE)</f>
        <v>10. Servicios sociales y mediación comunitaria</v>
      </c>
      <c r="U3228" s="56" t="str">
        <f>MID(Tabla1[[#This Row],[Aplicación]],9,4)</f>
        <v>2311</v>
      </c>
      <c r="V3228" s="35" t="str">
        <f>VLOOKUP(Tabla1[[#This Row],[PROGRAMA]],Hoja1!A:B,2,FALSE)</f>
        <v>2311. Intervención social</v>
      </c>
      <c r="W3228" s="56" t="str">
        <f>MID(Tabla1[[#This Row],[Aplicación]],14,2)</f>
        <v>21</v>
      </c>
      <c r="X3228" s="56" t="str">
        <f>MID(Tabla1[[#This Row],[Aplicación]],14,6)</f>
        <v>212</v>
      </c>
    </row>
    <row r="3229" spans="1:24" x14ac:dyDescent="0.25">
      <c r="A3229" s="62">
        <v>220230020970</v>
      </c>
      <c r="B3229" s="44" t="s">
        <v>1514</v>
      </c>
      <c r="C3229" s="64">
        <v>45062</v>
      </c>
      <c r="D3229" s="62">
        <v>22023001343</v>
      </c>
      <c r="E3229" s="44" t="s">
        <v>1506</v>
      </c>
      <c r="F3229" s="65">
        <v>419.6</v>
      </c>
      <c r="G3229" s="44" t="s">
        <v>2436</v>
      </c>
      <c r="H3229" s="44" t="s">
        <v>4927</v>
      </c>
      <c r="I3229" s="62" t="s">
        <v>1517</v>
      </c>
      <c r="J3229" s="44" t="s">
        <v>2438</v>
      </c>
      <c r="K3229" s="44" t="s">
        <v>1359</v>
      </c>
      <c r="L3229" s="44" t="s">
        <v>552</v>
      </c>
      <c r="M3229" s="44" t="s">
        <v>514</v>
      </c>
      <c r="N3229" s="44" t="s">
        <v>604</v>
      </c>
      <c r="O3229" s="45" t="s">
        <v>382</v>
      </c>
      <c r="P3229" s="45" t="s">
        <v>3760</v>
      </c>
      <c r="Q3229" s="59" t="str">
        <f>MID(Tabla1[[#This Row],[Aplicación]],14,1)</f>
        <v>2</v>
      </c>
      <c r="R3229" s="35" t="s">
        <v>298</v>
      </c>
      <c r="S3229" s="59" t="str">
        <f>MID(Tabla1[[#This Row],[Aplicación]],6,2)</f>
        <v>03</v>
      </c>
      <c r="T3229" s="35" t="str">
        <f>VLOOKUP(Tabla1[[#This Row],[AREA]],Hoja1!A:B,2,FALSE)</f>
        <v>03. Participación ciudadana y deportes</v>
      </c>
      <c r="U3229" s="56" t="str">
        <f>MID(Tabla1[[#This Row],[Aplicación]],9,4)</f>
        <v>9241</v>
      </c>
      <c r="V3229" s="35" t="str">
        <f>VLOOKUP(Tabla1[[#This Row],[PROGRAMA]],Hoja1!A:B,2,FALSE)</f>
        <v>9241. Participación ciudadana</v>
      </c>
      <c r="W3229" s="56" t="str">
        <f>MID(Tabla1[[#This Row],[Aplicación]],14,2)</f>
        <v>21</v>
      </c>
      <c r="X3229" s="56" t="str">
        <f>MID(Tabla1[[#This Row],[Aplicación]],14,6)</f>
        <v>212</v>
      </c>
    </row>
    <row r="3230" spans="1:24" x14ac:dyDescent="0.25">
      <c r="A3230" s="62">
        <v>220230020978</v>
      </c>
      <c r="B3230" s="44" t="s">
        <v>1514</v>
      </c>
      <c r="C3230" s="64">
        <v>45062</v>
      </c>
      <c r="D3230" s="62">
        <v>22023001467</v>
      </c>
      <c r="E3230" s="44" t="s">
        <v>1512</v>
      </c>
      <c r="F3230" s="65">
        <v>45.85</v>
      </c>
      <c r="G3230" s="44" t="s">
        <v>2436</v>
      </c>
      <c r="H3230" s="44" t="s">
        <v>4928</v>
      </c>
      <c r="I3230" s="62" t="s">
        <v>1517</v>
      </c>
      <c r="J3230" s="44" t="s">
        <v>2438</v>
      </c>
      <c r="K3230" s="44" t="s">
        <v>1359</v>
      </c>
      <c r="L3230" s="44" t="s">
        <v>552</v>
      </c>
      <c r="M3230" s="44" t="s">
        <v>514</v>
      </c>
      <c r="N3230" s="44" t="s">
        <v>515</v>
      </c>
      <c r="O3230" s="45" t="s">
        <v>382</v>
      </c>
      <c r="P3230" s="45" t="s">
        <v>3760</v>
      </c>
      <c r="Q3230" s="59" t="str">
        <f>MID(Tabla1[[#This Row],[Aplicación]],14,1)</f>
        <v>2</v>
      </c>
      <c r="R3230" s="35" t="s">
        <v>298</v>
      </c>
      <c r="S3230" s="59" t="str">
        <f>MID(Tabla1[[#This Row],[Aplicación]],6,2)</f>
        <v>10</v>
      </c>
      <c r="T3230" s="35" t="str">
        <f>VLOOKUP(Tabla1[[#This Row],[AREA]],Hoja1!A:B,2,FALSE)</f>
        <v>10. Servicios sociales y mediación comunitaria</v>
      </c>
      <c r="U3230" s="56" t="str">
        <f>MID(Tabla1[[#This Row],[Aplicación]],9,4)</f>
        <v>2312</v>
      </c>
      <c r="V3230" s="35" t="str">
        <f>VLOOKUP(Tabla1[[#This Row],[PROGRAMA]],Hoja1!A:B,2,FALSE)</f>
        <v>2312. Iniciativas sociales</v>
      </c>
      <c r="W3230" s="56" t="str">
        <f>MID(Tabla1[[#This Row],[Aplicación]],14,2)</f>
        <v>21</v>
      </c>
      <c r="X3230" s="56" t="str">
        <f>MID(Tabla1[[#This Row],[Aplicación]],14,6)</f>
        <v>212</v>
      </c>
    </row>
    <row r="3231" spans="1:24" x14ac:dyDescent="0.25">
      <c r="A3231" s="62">
        <v>220230021005</v>
      </c>
      <c r="B3231" s="44" t="s">
        <v>1514</v>
      </c>
      <c r="C3231" s="64">
        <v>45062</v>
      </c>
      <c r="D3231" s="62">
        <v>22023001412</v>
      </c>
      <c r="E3231" s="44" t="s">
        <v>1510</v>
      </c>
      <c r="F3231" s="65">
        <v>256.06</v>
      </c>
      <c r="G3231" s="44" t="s">
        <v>2436</v>
      </c>
      <c r="H3231" s="44" t="s">
        <v>4929</v>
      </c>
      <c r="I3231" s="62" t="s">
        <v>1517</v>
      </c>
      <c r="J3231" s="44" t="s">
        <v>2438</v>
      </c>
      <c r="K3231" s="44" t="s">
        <v>1359</v>
      </c>
      <c r="L3231" s="44" t="s">
        <v>552</v>
      </c>
      <c r="M3231" s="44" t="s">
        <v>514</v>
      </c>
      <c r="N3231" s="44" t="s">
        <v>515</v>
      </c>
      <c r="O3231" s="45" t="s">
        <v>382</v>
      </c>
      <c r="P3231" s="45" t="s">
        <v>3760</v>
      </c>
      <c r="Q3231" s="59" t="str">
        <f>MID(Tabla1[[#This Row],[Aplicación]],14,1)</f>
        <v>2</v>
      </c>
      <c r="R3231" s="35" t="s">
        <v>298</v>
      </c>
      <c r="S3231" s="59" t="str">
        <f>MID(Tabla1[[#This Row],[Aplicación]],6,2)</f>
        <v>10</v>
      </c>
      <c r="T3231" s="35" t="str">
        <f>VLOOKUP(Tabla1[[#This Row],[AREA]],Hoja1!A:B,2,FALSE)</f>
        <v>10. Servicios sociales y mediación comunitaria</v>
      </c>
      <c r="U3231" s="56" t="str">
        <f>MID(Tabla1[[#This Row],[Aplicación]],9,4)</f>
        <v>2311</v>
      </c>
      <c r="V3231" s="35" t="str">
        <f>VLOOKUP(Tabla1[[#This Row],[PROGRAMA]],Hoja1!A:B,2,FALSE)</f>
        <v>2311. Intervención social</v>
      </c>
      <c r="W3231" s="56" t="str">
        <f>MID(Tabla1[[#This Row],[Aplicación]],14,2)</f>
        <v>21</v>
      </c>
      <c r="X3231" s="56" t="str">
        <f>MID(Tabla1[[#This Row],[Aplicación]],14,6)</f>
        <v>212</v>
      </c>
    </row>
    <row r="3232" spans="1:24" x14ac:dyDescent="0.25">
      <c r="A3232" s="62">
        <v>220230021007</v>
      </c>
      <c r="B3232" s="44" t="s">
        <v>1514</v>
      </c>
      <c r="C3232" s="64">
        <v>45062</v>
      </c>
      <c r="D3232" s="62">
        <v>22023002181</v>
      </c>
      <c r="E3232" s="44" t="s">
        <v>1305</v>
      </c>
      <c r="F3232" s="65">
        <v>1512.08</v>
      </c>
      <c r="G3232" s="44" t="s">
        <v>2436</v>
      </c>
      <c r="H3232" s="44" t="s">
        <v>4930</v>
      </c>
      <c r="I3232" s="62" t="s">
        <v>1517</v>
      </c>
      <c r="J3232" s="44" t="s">
        <v>2438</v>
      </c>
      <c r="K3232" s="44" t="s">
        <v>1359</v>
      </c>
      <c r="L3232" s="44" t="s">
        <v>552</v>
      </c>
      <c r="M3232" s="44" t="s">
        <v>514</v>
      </c>
      <c r="N3232" s="44" t="s">
        <v>515</v>
      </c>
      <c r="O3232" s="45" t="s">
        <v>382</v>
      </c>
      <c r="P3232" s="45" t="s">
        <v>3760</v>
      </c>
      <c r="Q3232" s="59" t="str">
        <f>MID(Tabla1[[#This Row],[Aplicación]],14,1)</f>
        <v>2</v>
      </c>
      <c r="R3232" s="35" t="s">
        <v>298</v>
      </c>
      <c r="S3232" s="59" t="str">
        <f>MID(Tabla1[[#This Row],[Aplicación]],6,2)</f>
        <v>06</v>
      </c>
      <c r="T3232" s="35" t="str">
        <f>VLOOKUP(Tabla1[[#This Row],[AREA]],Hoja1!A:B,2,FALSE)</f>
        <v>06. Educación, infancia, juventud e igualdad</v>
      </c>
      <c r="U3232" s="56" t="str">
        <f>MID(Tabla1[[#This Row],[Aplicación]],9,4)</f>
        <v>3232</v>
      </c>
      <c r="V3232" s="35" t="str">
        <f>VLOOKUP(Tabla1[[#This Row],[PROGRAMA]],Hoja1!A:B,2,FALSE)</f>
        <v>3232. Conservación y mantenimiento centros educación infantil y primaria</v>
      </c>
      <c r="W3232" s="56" t="str">
        <f>MID(Tabla1[[#This Row],[Aplicación]],14,2)</f>
        <v>21</v>
      </c>
      <c r="X3232" s="56" t="str">
        <f>MID(Tabla1[[#This Row],[Aplicación]],14,6)</f>
        <v>212</v>
      </c>
    </row>
    <row r="3233" spans="1:24" x14ac:dyDescent="0.25">
      <c r="A3233" s="62">
        <v>220230021013</v>
      </c>
      <c r="B3233" s="44" t="s">
        <v>1514</v>
      </c>
      <c r="C3233" s="64">
        <v>45062</v>
      </c>
      <c r="D3233" s="62">
        <v>22023002185</v>
      </c>
      <c r="E3233" s="44" t="s">
        <v>2458</v>
      </c>
      <c r="F3233" s="65">
        <v>156.43</v>
      </c>
      <c r="G3233" s="44" t="s">
        <v>2436</v>
      </c>
      <c r="H3233" s="44" t="s">
        <v>4931</v>
      </c>
      <c r="I3233" s="62" t="s">
        <v>1517</v>
      </c>
      <c r="J3233" s="44" t="s">
        <v>2438</v>
      </c>
      <c r="K3233" s="44" t="s">
        <v>1359</v>
      </c>
      <c r="L3233" s="44" t="s">
        <v>552</v>
      </c>
      <c r="M3233" s="44" t="s">
        <v>514</v>
      </c>
      <c r="N3233" s="44" t="s">
        <v>515</v>
      </c>
      <c r="O3233" s="45" t="s">
        <v>382</v>
      </c>
      <c r="P3233" s="45" t="s">
        <v>3760</v>
      </c>
      <c r="Q3233" s="59" t="str">
        <f>MID(Tabla1[[#This Row],[Aplicación]],14,1)</f>
        <v>2</v>
      </c>
      <c r="R3233" s="35" t="s">
        <v>298</v>
      </c>
      <c r="S3233" s="59" t="str">
        <f>MID(Tabla1[[#This Row],[Aplicación]],6,2)</f>
        <v>06</v>
      </c>
      <c r="T3233" s="35" t="str">
        <f>VLOOKUP(Tabla1[[#This Row],[AREA]],Hoja1!A:B,2,FALSE)</f>
        <v>06. Educación, infancia, juventud e igualdad</v>
      </c>
      <c r="U3233" s="56" t="str">
        <f>MID(Tabla1[[#This Row],[Aplicación]],9,4)</f>
        <v>3231</v>
      </c>
      <c r="V3233" s="35" t="str">
        <f>VLOOKUP(Tabla1[[#This Row],[PROGRAMA]],Hoja1!A:B,2,FALSE)</f>
        <v>3231. Escuelas infantiles</v>
      </c>
      <c r="W3233" s="56" t="str">
        <f>MID(Tabla1[[#This Row],[Aplicación]],14,2)</f>
        <v>21</v>
      </c>
      <c r="X3233" s="56" t="str">
        <f>MID(Tabla1[[#This Row],[Aplicación]],14,6)</f>
        <v>212</v>
      </c>
    </row>
    <row r="3234" spans="1:24" x14ac:dyDescent="0.25">
      <c r="A3234" s="62">
        <v>220230021015</v>
      </c>
      <c r="B3234" s="44" t="s">
        <v>1514</v>
      </c>
      <c r="C3234" s="64">
        <v>45062</v>
      </c>
      <c r="D3234" s="62">
        <v>22023002185</v>
      </c>
      <c r="E3234" s="44" t="s">
        <v>2458</v>
      </c>
      <c r="F3234" s="65">
        <v>220.39</v>
      </c>
      <c r="G3234" s="44" t="s">
        <v>2436</v>
      </c>
      <c r="H3234" s="44" t="s">
        <v>4932</v>
      </c>
      <c r="I3234" s="62" t="s">
        <v>1517</v>
      </c>
      <c r="J3234" s="44" t="s">
        <v>2438</v>
      </c>
      <c r="K3234" s="44" t="s">
        <v>1359</v>
      </c>
      <c r="L3234" s="44" t="s">
        <v>552</v>
      </c>
      <c r="M3234" s="44" t="s">
        <v>514</v>
      </c>
      <c r="N3234" s="44" t="s">
        <v>515</v>
      </c>
      <c r="O3234" s="45" t="s">
        <v>382</v>
      </c>
      <c r="P3234" s="45" t="s">
        <v>3760</v>
      </c>
      <c r="Q3234" s="59" t="str">
        <f>MID(Tabla1[[#This Row],[Aplicación]],14,1)</f>
        <v>2</v>
      </c>
      <c r="R3234" s="35" t="s">
        <v>298</v>
      </c>
      <c r="S3234" s="59" t="str">
        <f>MID(Tabla1[[#This Row],[Aplicación]],6,2)</f>
        <v>06</v>
      </c>
      <c r="T3234" s="35" t="str">
        <f>VLOOKUP(Tabla1[[#This Row],[AREA]],Hoja1!A:B,2,FALSE)</f>
        <v>06. Educación, infancia, juventud e igualdad</v>
      </c>
      <c r="U3234" s="56" t="str">
        <f>MID(Tabla1[[#This Row],[Aplicación]],9,4)</f>
        <v>3231</v>
      </c>
      <c r="V3234" s="35" t="str">
        <f>VLOOKUP(Tabla1[[#This Row],[PROGRAMA]],Hoja1!A:B,2,FALSE)</f>
        <v>3231. Escuelas infantiles</v>
      </c>
      <c r="W3234" s="56" t="str">
        <f>MID(Tabla1[[#This Row],[Aplicación]],14,2)</f>
        <v>21</v>
      </c>
      <c r="X3234" s="56" t="str">
        <f>MID(Tabla1[[#This Row],[Aplicación]],14,6)</f>
        <v>212</v>
      </c>
    </row>
    <row r="3235" spans="1:24" x14ac:dyDescent="0.25">
      <c r="A3235" s="62">
        <v>220230021953</v>
      </c>
      <c r="B3235" s="44" t="s">
        <v>1514</v>
      </c>
      <c r="C3235" s="64">
        <v>45064</v>
      </c>
      <c r="D3235" s="62">
        <v>22023001514</v>
      </c>
      <c r="E3235" s="44" t="s">
        <v>1285</v>
      </c>
      <c r="F3235" s="65">
        <v>71.959999999999994</v>
      </c>
      <c r="G3235" s="44" t="s">
        <v>2436</v>
      </c>
      <c r="H3235" s="44" t="s">
        <v>4933</v>
      </c>
      <c r="I3235" s="62" t="s">
        <v>1517</v>
      </c>
      <c r="J3235" s="44" t="s">
        <v>2438</v>
      </c>
      <c r="K3235" s="44" t="s">
        <v>1359</v>
      </c>
      <c r="L3235" s="44" t="s">
        <v>552</v>
      </c>
      <c r="M3235" s="44" t="s">
        <v>514</v>
      </c>
      <c r="N3235" s="44" t="s">
        <v>515</v>
      </c>
      <c r="O3235" s="45" t="s">
        <v>382</v>
      </c>
      <c r="P3235" s="45" t="s">
        <v>3760</v>
      </c>
      <c r="Q3235" s="59" t="str">
        <f>MID(Tabla1[[#This Row],[Aplicación]],14,1)</f>
        <v>2</v>
      </c>
      <c r="R3235" s="35" t="s">
        <v>298</v>
      </c>
      <c r="S3235" s="59" t="str">
        <f>MID(Tabla1[[#This Row],[Aplicación]],6,2)</f>
        <v>11</v>
      </c>
      <c r="T3235" s="35" t="str">
        <f>VLOOKUP(Tabla1[[#This Row],[AREA]],Hoja1!A:B,2,FALSE)</f>
        <v>11. Salud pública y seguridad ciudadana</v>
      </c>
      <c r="U3235" s="56" t="str">
        <f>MID(Tabla1[[#This Row],[Aplicación]],9,4)</f>
        <v>1361</v>
      </c>
      <c r="V3235" s="35" t="str">
        <f>VLOOKUP(Tabla1[[#This Row],[PROGRAMA]],Hoja1!A:B,2,FALSE)</f>
        <v>1361. Prevención y extinción de incencios</v>
      </c>
      <c r="W3235" s="56" t="str">
        <f>MID(Tabla1[[#This Row],[Aplicación]],14,2)</f>
        <v>22</v>
      </c>
      <c r="X3235" s="56" t="str">
        <f>MID(Tabla1[[#This Row],[Aplicación]],14,6)</f>
        <v>22199</v>
      </c>
    </row>
    <row r="3236" spans="1:24" x14ac:dyDescent="0.25">
      <c r="A3236" s="62">
        <v>220230016421</v>
      </c>
      <c r="B3236" s="44" t="s">
        <v>1249</v>
      </c>
      <c r="C3236" s="64">
        <v>45043</v>
      </c>
      <c r="D3236" s="62">
        <v>22023003784</v>
      </c>
      <c r="E3236" s="44" t="s">
        <v>3877</v>
      </c>
      <c r="F3236" s="65">
        <v>15</v>
      </c>
      <c r="G3236" s="44" t="s">
        <v>3656</v>
      </c>
      <c r="H3236" s="44" t="s">
        <v>4934</v>
      </c>
      <c r="I3236" s="62" t="s">
        <v>1251</v>
      </c>
      <c r="J3236" s="44" t="s">
        <v>947</v>
      </c>
      <c r="K3236" s="44" t="s">
        <v>947</v>
      </c>
      <c r="L3236" s="44" t="s">
        <v>520</v>
      </c>
      <c r="M3236" s="44" t="s">
        <v>976</v>
      </c>
      <c r="N3236" s="44" t="s">
        <v>839</v>
      </c>
      <c r="O3236" s="45" t="s">
        <v>383</v>
      </c>
      <c r="P3236" s="45" t="s">
        <v>3760</v>
      </c>
      <c r="Q3236" s="59" t="str">
        <f>MID(Tabla1[[#This Row],[Aplicación]],14,1)</f>
        <v>2</v>
      </c>
      <c r="R3236" s="35" t="s">
        <v>298</v>
      </c>
      <c r="S3236" s="59" t="str">
        <f>MID(Tabla1[[#This Row],[Aplicación]],6,2)</f>
        <v>10</v>
      </c>
      <c r="T3236" s="35" t="str">
        <f>VLOOKUP(Tabla1[[#This Row],[AREA]],Hoja1!A:B,2,FALSE)</f>
        <v>10. Servicios sociales y mediación comunitaria</v>
      </c>
      <c r="U3236" s="56" t="str">
        <f>MID(Tabla1[[#This Row],[Aplicación]],9,4)</f>
        <v>2312</v>
      </c>
      <c r="V3236" s="35" t="str">
        <f>VLOOKUP(Tabla1[[#This Row],[PROGRAMA]],Hoja1!A:B,2,FALSE)</f>
        <v>2312. Iniciativas sociales</v>
      </c>
      <c r="W3236" s="56" t="str">
        <f>MID(Tabla1[[#This Row],[Aplicación]],14,2)</f>
        <v>22</v>
      </c>
      <c r="X3236" s="56" t="str">
        <f>MID(Tabla1[[#This Row],[Aplicación]],14,6)</f>
        <v>22612</v>
      </c>
    </row>
    <row r="3237" spans="1:24" x14ac:dyDescent="0.25">
      <c r="A3237" s="62">
        <v>220230016422</v>
      </c>
      <c r="B3237" s="44" t="s">
        <v>1249</v>
      </c>
      <c r="C3237" s="64">
        <v>45043</v>
      </c>
      <c r="D3237" s="62">
        <v>22023003787</v>
      </c>
      <c r="E3237" s="44" t="s">
        <v>3877</v>
      </c>
      <c r="F3237" s="65">
        <v>30</v>
      </c>
      <c r="G3237" s="44" t="s">
        <v>3656</v>
      </c>
      <c r="H3237" s="44" t="s">
        <v>4935</v>
      </c>
      <c r="I3237" s="62" t="s">
        <v>1251</v>
      </c>
      <c r="J3237" s="44" t="s">
        <v>947</v>
      </c>
      <c r="K3237" s="44" t="s">
        <v>947</v>
      </c>
      <c r="L3237" s="44" t="s">
        <v>520</v>
      </c>
      <c r="M3237" s="44" t="s">
        <v>976</v>
      </c>
      <c r="N3237" s="44" t="s">
        <v>839</v>
      </c>
      <c r="O3237" s="45" t="s">
        <v>383</v>
      </c>
      <c r="P3237" s="45" t="s">
        <v>3760</v>
      </c>
      <c r="Q3237" s="59" t="str">
        <f>MID(Tabla1[[#This Row],[Aplicación]],14,1)</f>
        <v>2</v>
      </c>
      <c r="R3237" s="35" t="s">
        <v>298</v>
      </c>
      <c r="S3237" s="59" t="str">
        <f>MID(Tabla1[[#This Row],[Aplicación]],6,2)</f>
        <v>10</v>
      </c>
      <c r="T3237" s="35" t="str">
        <f>VLOOKUP(Tabla1[[#This Row],[AREA]],Hoja1!A:B,2,FALSE)</f>
        <v>10. Servicios sociales y mediación comunitaria</v>
      </c>
      <c r="U3237" s="56" t="str">
        <f>MID(Tabla1[[#This Row],[Aplicación]],9,4)</f>
        <v>2312</v>
      </c>
      <c r="V3237" s="35" t="str">
        <f>VLOOKUP(Tabla1[[#This Row],[PROGRAMA]],Hoja1!A:B,2,FALSE)</f>
        <v>2312. Iniciativas sociales</v>
      </c>
      <c r="W3237" s="56" t="str">
        <f>MID(Tabla1[[#This Row],[Aplicación]],14,2)</f>
        <v>22</v>
      </c>
      <c r="X3237" s="56" t="str">
        <f>MID(Tabla1[[#This Row],[Aplicación]],14,6)</f>
        <v>22612</v>
      </c>
    </row>
    <row r="3238" spans="1:24" x14ac:dyDescent="0.25">
      <c r="A3238" s="62">
        <v>220230022056</v>
      </c>
      <c r="B3238" s="44" t="s">
        <v>1514</v>
      </c>
      <c r="C3238" s="64">
        <v>45064</v>
      </c>
      <c r="D3238" s="62">
        <v>22023002182</v>
      </c>
      <c r="E3238" s="44" t="s">
        <v>2785</v>
      </c>
      <c r="F3238" s="65">
        <v>236.07</v>
      </c>
      <c r="G3238" s="44" t="s">
        <v>2436</v>
      </c>
      <c r="H3238" s="44" t="s">
        <v>4936</v>
      </c>
      <c r="I3238" s="62" t="s">
        <v>1517</v>
      </c>
      <c r="J3238" s="44" t="s">
        <v>2438</v>
      </c>
      <c r="K3238" s="44" t="s">
        <v>1359</v>
      </c>
      <c r="L3238" s="44" t="s">
        <v>552</v>
      </c>
      <c r="M3238" s="44" t="s">
        <v>514</v>
      </c>
      <c r="N3238" s="44" t="s">
        <v>515</v>
      </c>
      <c r="O3238" s="45" t="s">
        <v>382</v>
      </c>
      <c r="P3238" s="45" t="s">
        <v>3760</v>
      </c>
      <c r="Q3238" s="59" t="str">
        <f>MID(Tabla1[[#This Row],[Aplicación]],14,1)</f>
        <v>2</v>
      </c>
      <c r="R3238" s="35" t="s">
        <v>298</v>
      </c>
      <c r="S3238" s="59" t="str">
        <f>MID(Tabla1[[#This Row],[Aplicación]],6,2)</f>
        <v>06</v>
      </c>
      <c r="T3238" s="35" t="str">
        <f>VLOOKUP(Tabla1[[#This Row],[AREA]],Hoja1!A:B,2,FALSE)</f>
        <v>06. Educación, infancia, juventud e igualdad</v>
      </c>
      <c r="U3238" s="56" t="str">
        <f>MID(Tabla1[[#This Row],[Aplicación]],9,4)</f>
        <v>3321</v>
      </c>
      <c r="V3238" s="35" t="str">
        <f>VLOOKUP(Tabla1[[#This Row],[PROGRAMA]],Hoja1!A:B,2,FALSE)</f>
        <v>3321. Bibliotecas públicas</v>
      </c>
      <c r="W3238" s="56" t="str">
        <f>MID(Tabla1[[#This Row],[Aplicación]],14,2)</f>
        <v>21</v>
      </c>
      <c r="X3238" s="56" t="str">
        <f>MID(Tabla1[[#This Row],[Aplicación]],14,6)</f>
        <v>212</v>
      </c>
    </row>
    <row r="3239" spans="1:24" x14ac:dyDescent="0.25">
      <c r="A3239" s="62">
        <v>220230022385</v>
      </c>
      <c r="B3239" s="44" t="s">
        <v>1514</v>
      </c>
      <c r="C3239" s="64">
        <v>45065</v>
      </c>
      <c r="D3239" s="62">
        <v>22023000273</v>
      </c>
      <c r="E3239" s="44" t="s">
        <v>2310</v>
      </c>
      <c r="F3239" s="65">
        <v>88.52</v>
      </c>
      <c r="G3239" s="44" t="s">
        <v>2436</v>
      </c>
      <c r="H3239" s="44" t="s">
        <v>4937</v>
      </c>
      <c r="I3239" s="62" t="s">
        <v>1517</v>
      </c>
      <c r="J3239" s="44" t="s">
        <v>2438</v>
      </c>
      <c r="K3239" s="44" t="s">
        <v>1359</v>
      </c>
      <c r="L3239" s="44" t="s">
        <v>552</v>
      </c>
      <c r="M3239" s="44" t="s">
        <v>514</v>
      </c>
      <c r="N3239" s="44" t="s">
        <v>515</v>
      </c>
      <c r="O3239" s="45" t="s">
        <v>382</v>
      </c>
      <c r="P3239" s="45" t="s">
        <v>3760</v>
      </c>
      <c r="Q3239" s="59" t="str">
        <f>MID(Tabla1[[#This Row],[Aplicación]],14,1)</f>
        <v>2</v>
      </c>
      <c r="R3239" s="35" t="s">
        <v>298</v>
      </c>
      <c r="S3239" s="59" t="str">
        <f>MID(Tabla1[[#This Row],[Aplicación]],6,2)</f>
        <v>11</v>
      </c>
      <c r="T3239" s="35" t="str">
        <f>VLOOKUP(Tabla1[[#This Row],[AREA]],Hoja1!A:B,2,FALSE)</f>
        <v>11. Salud pública y seguridad ciudadana</v>
      </c>
      <c r="U3239" s="56" t="str">
        <f>MID(Tabla1[[#This Row],[Aplicación]],9,4)</f>
        <v>1321</v>
      </c>
      <c r="V3239" s="35" t="str">
        <f>VLOOKUP(Tabla1[[#This Row],[PROGRAMA]],Hoja1!A:B,2,FALSE)</f>
        <v>1321. Policía municipal</v>
      </c>
      <c r="W3239" s="56" t="str">
        <f>MID(Tabla1[[#This Row],[Aplicación]],14,2)</f>
        <v>22</v>
      </c>
      <c r="X3239" s="56" t="str">
        <f>MID(Tabla1[[#This Row],[Aplicación]],14,6)</f>
        <v>22199</v>
      </c>
    </row>
    <row r="3240" spans="1:24" x14ac:dyDescent="0.25">
      <c r="A3240" s="62">
        <v>220230026154</v>
      </c>
      <c r="B3240" s="44" t="s">
        <v>1514</v>
      </c>
      <c r="C3240" s="64">
        <v>45077</v>
      </c>
      <c r="D3240" s="62">
        <v>22023002740</v>
      </c>
      <c r="E3240" s="44" t="s">
        <v>1055</v>
      </c>
      <c r="F3240" s="65">
        <v>284.47000000000003</v>
      </c>
      <c r="G3240" s="44" t="s">
        <v>2436</v>
      </c>
      <c r="H3240" s="44" t="s">
        <v>4938</v>
      </c>
      <c r="I3240" s="62" t="s">
        <v>1517</v>
      </c>
      <c r="J3240" s="44" t="s">
        <v>2438</v>
      </c>
      <c r="K3240" s="44" t="s">
        <v>1359</v>
      </c>
      <c r="L3240" s="44" t="s">
        <v>552</v>
      </c>
      <c r="M3240" s="44" t="s">
        <v>514</v>
      </c>
      <c r="N3240" s="44" t="s">
        <v>515</v>
      </c>
      <c r="O3240" s="45" t="s">
        <v>382</v>
      </c>
      <c r="P3240" s="45" t="s">
        <v>3760</v>
      </c>
      <c r="Q3240" s="59" t="str">
        <f>MID(Tabla1[[#This Row],[Aplicación]],14,1)</f>
        <v>2</v>
      </c>
      <c r="R3240" s="35" t="s">
        <v>298</v>
      </c>
      <c r="S3240" s="59" t="str">
        <f>MID(Tabla1[[#This Row],[Aplicación]],6,2)</f>
        <v>02</v>
      </c>
      <c r="T3240" s="35" t="str">
        <f>VLOOKUP(Tabla1[[#This Row],[AREA]],Hoja1!A:B,2,FALSE)</f>
        <v>02. Planeamiento urbanístico y vivienda</v>
      </c>
      <c r="U3240" s="56" t="str">
        <f>MID(Tabla1[[#This Row],[Aplicación]],9,4)</f>
        <v>9332</v>
      </c>
      <c r="V3240" s="35" t="str">
        <f>VLOOKUP(Tabla1[[#This Row],[PROGRAMA]],Hoja1!A:B,2,FALSE)</f>
        <v>9332. Mantenimiento de edificios e instalaciones municipales</v>
      </c>
      <c r="W3240" s="56" t="str">
        <f>MID(Tabla1[[#This Row],[Aplicación]],14,2)</f>
        <v>21</v>
      </c>
      <c r="X3240" s="56" t="str">
        <f>MID(Tabla1[[#This Row],[Aplicación]],14,6)</f>
        <v>213</v>
      </c>
    </row>
    <row r="3241" spans="1:24" x14ac:dyDescent="0.25">
      <c r="A3241" s="62">
        <v>220230026239</v>
      </c>
      <c r="B3241" s="44" t="s">
        <v>1514</v>
      </c>
      <c r="C3241" s="64">
        <v>45077</v>
      </c>
      <c r="D3241" s="62">
        <v>22023001468</v>
      </c>
      <c r="E3241" s="44" t="s">
        <v>1512</v>
      </c>
      <c r="F3241" s="65">
        <v>32.020000000000003</v>
      </c>
      <c r="G3241" s="44" t="s">
        <v>2436</v>
      </c>
      <c r="H3241" s="44" t="s">
        <v>4939</v>
      </c>
      <c r="I3241" s="62" t="s">
        <v>1517</v>
      </c>
      <c r="J3241" s="44" t="s">
        <v>2438</v>
      </c>
      <c r="K3241" s="44" t="s">
        <v>1359</v>
      </c>
      <c r="L3241" s="44" t="s">
        <v>552</v>
      </c>
      <c r="M3241" s="44" t="s">
        <v>514</v>
      </c>
      <c r="N3241" s="44" t="s">
        <v>515</v>
      </c>
      <c r="O3241" s="45" t="s">
        <v>382</v>
      </c>
      <c r="P3241" s="45" t="s">
        <v>3760</v>
      </c>
      <c r="Q3241" s="59" t="str">
        <f>MID(Tabla1[[#This Row],[Aplicación]],14,1)</f>
        <v>2</v>
      </c>
      <c r="R3241" s="35" t="s">
        <v>298</v>
      </c>
      <c r="S3241" s="59" t="str">
        <f>MID(Tabla1[[#This Row],[Aplicación]],6,2)</f>
        <v>10</v>
      </c>
      <c r="T3241" s="35" t="str">
        <f>VLOOKUP(Tabla1[[#This Row],[AREA]],Hoja1!A:B,2,FALSE)</f>
        <v>10. Servicios sociales y mediación comunitaria</v>
      </c>
      <c r="U3241" s="56" t="str">
        <f>MID(Tabla1[[#This Row],[Aplicación]],9,4)</f>
        <v>2312</v>
      </c>
      <c r="V3241" s="35" t="str">
        <f>VLOOKUP(Tabla1[[#This Row],[PROGRAMA]],Hoja1!A:B,2,FALSE)</f>
        <v>2312. Iniciativas sociales</v>
      </c>
      <c r="W3241" s="56" t="str">
        <f>MID(Tabla1[[#This Row],[Aplicación]],14,2)</f>
        <v>21</v>
      </c>
      <c r="X3241" s="56" t="str">
        <f>MID(Tabla1[[#This Row],[Aplicación]],14,6)</f>
        <v>212</v>
      </c>
    </row>
    <row r="3242" spans="1:24" x14ac:dyDescent="0.25">
      <c r="A3242" s="62">
        <v>220230016070</v>
      </c>
      <c r="B3242" s="44" t="s">
        <v>1514</v>
      </c>
      <c r="C3242" s="64">
        <v>45043</v>
      </c>
      <c r="D3242" s="62">
        <v>22023002740</v>
      </c>
      <c r="E3242" s="44" t="s">
        <v>1055</v>
      </c>
      <c r="F3242" s="65">
        <v>44.04</v>
      </c>
      <c r="G3242" s="44" t="s">
        <v>101</v>
      </c>
      <c r="H3242" s="44" t="s">
        <v>4940</v>
      </c>
      <c r="I3242" s="62" t="s">
        <v>1517</v>
      </c>
      <c r="J3242" s="44" t="s">
        <v>519</v>
      </c>
      <c r="K3242" s="44" t="s">
        <v>519</v>
      </c>
      <c r="L3242" s="44" t="s">
        <v>552</v>
      </c>
      <c r="M3242" s="44" t="s">
        <v>514</v>
      </c>
      <c r="N3242" s="44" t="s">
        <v>515</v>
      </c>
      <c r="O3242" s="45" t="s">
        <v>382</v>
      </c>
      <c r="P3242" s="45" t="s">
        <v>3760</v>
      </c>
      <c r="Q3242" s="59" t="str">
        <f>MID(Tabla1[[#This Row],[Aplicación]],14,1)</f>
        <v>2</v>
      </c>
      <c r="R3242" s="35" t="s">
        <v>298</v>
      </c>
      <c r="S3242" s="59" t="str">
        <f>MID(Tabla1[[#This Row],[Aplicación]],6,2)</f>
        <v>02</v>
      </c>
      <c r="T3242" s="35" t="str">
        <f>VLOOKUP(Tabla1[[#This Row],[AREA]],Hoja1!A:B,2,FALSE)</f>
        <v>02. Planeamiento urbanístico y vivienda</v>
      </c>
      <c r="U3242" s="56" t="str">
        <f>MID(Tabla1[[#This Row],[Aplicación]],9,4)</f>
        <v>9332</v>
      </c>
      <c r="V3242" s="35" t="str">
        <f>VLOOKUP(Tabla1[[#This Row],[PROGRAMA]],Hoja1!A:B,2,FALSE)</f>
        <v>9332. Mantenimiento de edificios e instalaciones municipales</v>
      </c>
      <c r="W3242" s="56" t="str">
        <f>MID(Tabla1[[#This Row],[Aplicación]],14,2)</f>
        <v>21</v>
      </c>
      <c r="X3242" s="56" t="str">
        <f>MID(Tabla1[[#This Row],[Aplicación]],14,6)</f>
        <v>213</v>
      </c>
    </row>
    <row r="3243" spans="1:24" x14ac:dyDescent="0.25">
      <c r="A3243" s="62">
        <v>220230016085</v>
      </c>
      <c r="B3243" s="44" t="s">
        <v>1514</v>
      </c>
      <c r="C3243" s="64">
        <v>45043</v>
      </c>
      <c r="D3243" s="62">
        <v>22023001473</v>
      </c>
      <c r="E3243" s="44" t="s">
        <v>1683</v>
      </c>
      <c r="F3243" s="65">
        <v>3946.66</v>
      </c>
      <c r="G3243" s="44" t="s">
        <v>101</v>
      </c>
      <c r="H3243" s="44" t="s">
        <v>4941</v>
      </c>
      <c r="I3243" s="62" t="s">
        <v>1517</v>
      </c>
      <c r="J3243" s="44" t="s">
        <v>519</v>
      </c>
      <c r="K3243" s="44" t="s">
        <v>519</v>
      </c>
      <c r="L3243" s="44" t="s">
        <v>552</v>
      </c>
      <c r="M3243" s="44" t="s">
        <v>514</v>
      </c>
      <c r="N3243" s="44" t="s">
        <v>515</v>
      </c>
      <c r="O3243" s="45" t="s">
        <v>382</v>
      </c>
      <c r="P3243" s="45" t="s">
        <v>3760</v>
      </c>
      <c r="Q3243" s="59" t="str">
        <f>MID(Tabla1[[#This Row],[Aplicación]],14,1)</f>
        <v>2</v>
      </c>
      <c r="R3243" s="35" t="s">
        <v>298</v>
      </c>
      <c r="S3243" s="59" t="str">
        <f>MID(Tabla1[[#This Row],[Aplicación]],6,2)</f>
        <v>11</v>
      </c>
      <c r="T3243" s="35" t="str">
        <f>VLOOKUP(Tabla1[[#This Row],[AREA]],Hoja1!A:B,2,FALSE)</f>
        <v>11. Salud pública y seguridad ciudadana</v>
      </c>
      <c r="U3243" s="56" t="str">
        <f>MID(Tabla1[[#This Row],[Aplicación]],9,4)</f>
        <v>1631</v>
      </c>
      <c r="V3243" s="35" t="str">
        <f>VLOOKUP(Tabla1[[#This Row],[PROGRAMA]],Hoja1!A:B,2,FALSE)</f>
        <v>1631. Limpieza viaria</v>
      </c>
      <c r="W3243" s="56" t="str">
        <f>MID(Tabla1[[#This Row],[Aplicación]],14,2)</f>
        <v>21</v>
      </c>
      <c r="X3243" s="56" t="str">
        <f>MID(Tabla1[[#This Row],[Aplicación]],14,6)</f>
        <v>214</v>
      </c>
    </row>
    <row r="3244" spans="1:24" x14ac:dyDescent="0.25">
      <c r="A3244" s="62">
        <v>220230016107</v>
      </c>
      <c r="B3244" s="44" t="s">
        <v>1514</v>
      </c>
      <c r="C3244" s="64">
        <v>45043</v>
      </c>
      <c r="D3244" s="62">
        <v>22023001476</v>
      </c>
      <c r="E3244" s="44" t="s">
        <v>2662</v>
      </c>
      <c r="F3244" s="65">
        <v>682.52</v>
      </c>
      <c r="G3244" s="44" t="s">
        <v>101</v>
      </c>
      <c r="H3244" s="44" t="s">
        <v>4942</v>
      </c>
      <c r="I3244" s="62" t="s">
        <v>1517</v>
      </c>
      <c r="J3244" s="44" t="s">
        <v>519</v>
      </c>
      <c r="K3244" s="44" t="s">
        <v>519</v>
      </c>
      <c r="L3244" s="44" t="s">
        <v>552</v>
      </c>
      <c r="M3244" s="44" t="s">
        <v>514</v>
      </c>
      <c r="N3244" s="44" t="s">
        <v>515</v>
      </c>
      <c r="O3244" s="45" t="s">
        <v>382</v>
      </c>
      <c r="P3244" s="45" t="s">
        <v>3760</v>
      </c>
      <c r="Q3244" s="59" t="str">
        <f>MID(Tabla1[[#This Row],[Aplicación]],14,1)</f>
        <v>2</v>
      </c>
      <c r="R3244" s="35" t="s">
        <v>298</v>
      </c>
      <c r="S3244" s="59" t="str">
        <f>MID(Tabla1[[#This Row],[Aplicación]],6,2)</f>
        <v>11</v>
      </c>
      <c r="T3244" s="35" t="str">
        <f>VLOOKUP(Tabla1[[#This Row],[AREA]],Hoja1!A:B,2,FALSE)</f>
        <v>11. Salud pública y seguridad ciudadana</v>
      </c>
      <c r="U3244" s="56" t="str">
        <f>MID(Tabla1[[#This Row],[Aplicación]],9,4)</f>
        <v>1631</v>
      </c>
      <c r="V3244" s="35" t="str">
        <f>VLOOKUP(Tabla1[[#This Row],[PROGRAMA]],Hoja1!A:B,2,FALSE)</f>
        <v>1631. Limpieza viaria</v>
      </c>
      <c r="W3244" s="56" t="str">
        <f>MID(Tabla1[[#This Row],[Aplicación]],14,2)</f>
        <v>22</v>
      </c>
      <c r="X3244" s="56" t="str">
        <f>MID(Tabla1[[#This Row],[Aplicación]],14,6)</f>
        <v>22199</v>
      </c>
    </row>
    <row r="3245" spans="1:24" x14ac:dyDescent="0.25">
      <c r="A3245" s="62">
        <v>220230016168</v>
      </c>
      <c r="B3245" s="44" t="s">
        <v>1514</v>
      </c>
      <c r="C3245" s="64">
        <v>45043</v>
      </c>
      <c r="D3245" s="62">
        <v>22023001514</v>
      </c>
      <c r="E3245" s="44" t="s">
        <v>1285</v>
      </c>
      <c r="F3245" s="65">
        <v>141.57</v>
      </c>
      <c r="G3245" s="44" t="s">
        <v>101</v>
      </c>
      <c r="H3245" s="44" t="s">
        <v>4943</v>
      </c>
      <c r="I3245" s="62" t="s">
        <v>1517</v>
      </c>
      <c r="J3245" s="44" t="s">
        <v>519</v>
      </c>
      <c r="K3245" s="44" t="s">
        <v>519</v>
      </c>
      <c r="L3245" s="44" t="s">
        <v>552</v>
      </c>
      <c r="M3245" s="44" t="s">
        <v>514</v>
      </c>
      <c r="N3245" s="44" t="s">
        <v>515</v>
      </c>
      <c r="O3245" s="45" t="s">
        <v>382</v>
      </c>
      <c r="P3245" s="45" t="s">
        <v>3760</v>
      </c>
      <c r="Q3245" s="59" t="str">
        <f>MID(Tabla1[[#This Row],[Aplicación]],14,1)</f>
        <v>2</v>
      </c>
      <c r="R3245" s="35" t="s">
        <v>298</v>
      </c>
      <c r="S3245" s="59" t="str">
        <f>MID(Tabla1[[#This Row],[Aplicación]],6,2)</f>
        <v>11</v>
      </c>
      <c r="T3245" s="35" t="str">
        <f>VLOOKUP(Tabla1[[#This Row],[AREA]],Hoja1!A:B,2,FALSE)</f>
        <v>11. Salud pública y seguridad ciudadana</v>
      </c>
      <c r="U3245" s="56" t="str">
        <f>MID(Tabla1[[#This Row],[Aplicación]],9,4)</f>
        <v>1361</v>
      </c>
      <c r="V3245" s="35" t="str">
        <f>VLOOKUP(Tabla1[[#This Row],[PROGRAMA]],Hoja1!A:B,2,FALSE)</f>
        <v>1361. Prevención y extinción de incencios</v>
      </c>
      <c r="W3245" s="56" t="str">
        <f>MID(Tabla1[[#This Row],[Aplicación]],14,2)</f>
        <v>22</v>
      </c>
      <c r="X3245" s="56" t="str">
        <f>MID(Tabla1[[#This Row],[Aplicación]],14,6)</f>
        <v>22199</v>
      </c>
    </row>
    <row r="3246" spans="1:24" x14ac:dyDescent="0.25">
      <c r="A3246" s="62">
        <v>220230016504</v>
      </c>
      <c r="B3246" s="44" t="s">
        <v>1514</v>
      </c>
      <c r="C3246" s="64">
        <v>45043</v>
      </c>
      <c r="D3246" s="62">
        <v>22023001129</v>
      </c>
      <c r="E3246" s="44" t="s">
        <v>4944</v>
      </c>
      <c r="F3246" s="65">
        <v>1027.33</v>
      </c>
      <c r="G3246" s="44" t="s">
        <v>101</v>
      </c>
      <c r="H3246" s="44" t="s">
        <v>4945</v>
      </c>
      <c r="I3246" s="62" t="s">
        <v>1517</v>
      </c>
      <c r="J3246" s="44" t="s">
        <v>519</v>
      </c>
      <c r="K3246" s="44" t="s">
        <v>519</v>
      </c>
      <c r="L3246" s="44" t="s">
        <v>552</v>
      </c>
      <c r="M3246" s="44" t="s">
        <v>514</v>
      </c>
      <c r="N3246" s="44" t="s">
        <v>515</v>
      </c>
      <c r="O3246" s="45" t="s">
        <v>382</v>
      </c>
      <c r="P3246" s="45" t="s">
        <v>3760</v>
      </c>
      <c r="Q3246" s="59" t="str">
        <f>MID(Tabla1[[#This Row],[Aplicación]],14,1)</f>
        <v>2</v>
      </c>
      <c r="R3246" s="35" t="s">
        <v>298</v>
      </c>
      <c r="S3246" s="59" t="str">
        <f>MID(Tabla1[[#This Row],[Aplicación]],6,2)</f>
        <v>07</v>
      </c>
      <c r="T3246" s="35" t="str">
        <f>VLOOKUP(Tabla1[[#This Row],[AREA]],Hoja1!A:B,2,FALSE)</f>
        <v>07. Medio ambiente y desarrollo sostenible</v>
      </c>
      <c r="U3246" s="56" t="str">
        <f>MID(Tabla1[[#This Row],[Aplicación]],9,4)</f>
        <v>1721</v>
      </c>
      <c r="V3246" s="35" t="str">
        <f>VLOOKUP(Tabla1[[#This Row],[PROGRAMA]],Hoja1!A:B,2,FALSE)</f>
        <v>1721. Protección del medio ambiente</v>
      </c>
      <c r="W3246" s="56" t="str">
        <f>MID(Tabla1[[#This Row],[Aplicación]],14,2)</f>
        <v>22</v>
      </c>
      <c r="X3246" s="56" t="str">
        <f>MID(Tabla1[[#This Row],[Aplicación]],14,6)</f>
        <v>22104</v>
      </c>
    </row>
    <row r="3247" spans="1:24" x14ac:dyDescent="0.25">
      <c r="A3247" s="62">
        <v>220230018559</v>
      </c>
      <c r="B3247" s="44" t="s">
        <v>1514</v>
      </c>
      <c r="C3247" s="64">
        <v>45055</v>
      </c>
      <c r="D3247" s="62">
        <v>22023001466</v>
      </c>
      <c r="E3247" s="44" t="s">
        <v>2624</v>
      </c>
      <c r="F3247" s="65">
        <v>2423.21</v>
      </c>
      <c r="G3247" s="44" t="s">
        <v>101</v>
      </c>
      <c r="H3247" s="44" t="s">
        <v>4946</v>
      </c>
      <c r="I3247" s="62" t="s">
        <v>1517</v>
      </c>
      <c r="J3247" s="44" t="s">
        <v>519</v>
      </c>
      <c r="K3247" s="44" t="s">
        <v>519</v>
      </c>
      <c r="L3247" s="44" t="s">
        <v>552</v>
      </c>
      <c r="M3247" s="44" t="s">
        <v>514</v>
      </c>
      <c r="N3247" s="44" t="s">
        <v>515</v>
      </c>
      <c r="O3247" s="45" t="s">
        <v>382</v>
      </c>
      <c r="P3247" s="45" t="s">
        <v>3760</v>
      </c>
      <c r="Q3247" s="59" t="str">
        <f>MID(Tabla1[[#This Row],[Aplicación]],14,1)</f>
        <v>2</v>
      </c>
      <c r="R3247" s="35" t="s">
        <v>298</v>
      </c>
      <c r="S3247" s="59" t="str">
        <f>MID(Tabla1[[#This Row],[Aplicación]],6,2)</f>
        <v>11</v>
      </c>
      <c r="T3247" s="35" t="str">
        <f>VLOOKUP(Tabla1[[#This Row],[AREA]],Hoja1!A:B,2,FALSE)</f>
        <v>11. Salud pública y seguridad ciudadana</v>
      </c>
      <c r="U3247" s="56" t="str">
        <f>MID(Tabla1[[#This Row],[Aplicación]],9,4)</f>
        <v>1621</v>
      </c>
      <c r="V3247" s="35" t="str">
        <f>VLOOKUP(Tabla1[[#This Row],[PROGRAMA]],Hoja1!A:B,2,FALSE)</f>
        <v>1621. Servicio de limpieza</v>
      </c>
      <c r="W3247" s="56" t="str">
        <f>MID(Tabla1[[#This Row],[Aplicación]],14,2)</f>
        <v>22</v>
      </c>
      <c r="X3247" s="56" t="str">
        <f>MID(Tabla1[[#This Row],[Aplicación]],14,6)</f>
        <v>22199</v>
      </c>
    </row>
    <row r="3248" spans="1:24" x14ac:dyDescent="0.25">
      <c r="A3248" s="62">
        <v>220230016423</v>
      </c>
      <c r="B3248" s="44" t="s">
        <v>1249</v>
      </c>
      <c r="C3248" s="64">
        <v>45043</v>
      </c>
      <c r="D3248" s="62">
        <v>22023003789</v>
      </c>
      <c r="E3248" s="44" t="s">
        <v>3877</v>
      </c>
      <c r="F3248" s="65">
        <v>42</v>
      </c>
      <c r="G3248" s="44" t="s">
        <v>3656</v>
      </c>
      <c r="H3248" s="44" t="s">
        <v>4947</v>
      </c>
      <c r="I3248" s="62" t="s">
        <v>1251</v>
      </c>
      <c r="J3248" s="44" t="s">
        <v>947</v>
      </c>
      <c r="K3248" s="44" t="s">
        <v>947</v>
      </c>
      <c r="L3248" s="44" t="s">
        <v>520</v>
      </c>
      <c r="M3248" s="44" t="s">
        <v>976</v>
      </c>
      <c r="N3248" s="44" t="s">
        <v>839</v>
      </c>
      <c r="O3248" s="45" t="s">
        <v>383</v>
      </c>
      <c r="P3248" s="45" t="s">
        <v>3760</v>
      </c>
      <c r="Q3248" s="59" t="str">
        <f>MID(Tabla1[[#This Row],[Aplicación]],14,1)</f>
        <v>2</v>
      </c>
      <c r="R3248" s="35" t="s">
        <v>298</v>
      </c>
      <c r="S3248" s="59" t="str">
        <f>MID(Tabla1[[#This Row],[Aplicación]],6,2)</f>
        <v>10</v>
      </c>
      <c r="T3248" s="35" t="str">
        <f>VLOOKUP(Tabla1[[#This Row],[AREA]],Hoja1!A:B,2,FALSE)</f>
        <v>10. Servicios sociales y mediación comunitaria</v>
      </c>
      <c r="U3248" s="56" t="str">
        <f>MID(Tabla1[[#This Row],[Aplicación]],9,4)</f>
        <v>2312</v>
      </c>
      <c r="V3248" s="35" t="str">
        <f>VLOOKUP(Tabla1[[#This Row],[PROGRAMA]],Hoja1!A:B,2,FALSE)</f>
        <v>2312. Iniciativas sociales</v>
      </c>
      <c r="W3248" s="56" t="str">
        <f>MID(Tabla1[[#This Row],[Aplicación]],14,2)</f>
        <v>22</v>
      </c>
      <c r="X3248" s="56" t="str">
        <f>MID(Tabla1[[#This Row],[Aplicación]],14,6)</f>
        <v>22612</v>
      </c>
    </row>
    <row r="3249" spans="1:24" x14ac:dyDescent="0.25">
      <c r="A3249" s="63">
        <v>220230031303</v>
      </c>
      <c r="B3249" s="44" t="s">
        <v>507</v>
      </c>
      <c r="C3249" s="64">
        <v>45100</v>
      </c>
      <c r="D3249" s="62">
        <v>22023005081</v>
      </c>
      <c r="E3249" s="44" t="s">
        <v>2732</v>
      </c>
      <c r="F3249" s="65">
        <v>45939.28</v>
      </c>
      <c r="G3249" s="44" t="s">
        <v>4948</v>
      </c>
      <c r="H3249" s="44" t="s">
        <v>4949</v>
      </c>
      <c r="I3249" s="62" t="s">
        <v>511</v>
      </c>
      <c r="J3249" s="44" t="s">
        <v>1771</v>
      </c>
      <c r="K3249" s="44" t="s">
        <v>519</v>
      </c>
      <c r="L3249" s="44" t="s">
        <v>527</v>
      </c>
      <c r="M3249" s="44" t="s">
        <v>976</v>
      </c>
      <c r="N3249" s="44" t="s">
        <v>839</v>
      </c>
      <c r="O3249" s="45" t="s">
        <v>383</v>
      </c>
      <c r="P3249" s="45" t="s">
        <v>3760</v>
      </c>
      <c r="Q3249" s="59" t="str">
        <f>MID(Tabla1[[#This Row],[Aplicación]],14,1)</f>
        <v>6</v>
      </c>
      <c r="R3249" s="35" t="s">
        <v>299</v>
      </c>
      <c r="S3249" s="59" t="str">
        <f>MID(Tabla1[[#This Row],[Aplicación]],6,2)</f>
        <v>06</v>
      </c>
      <c r="T3249" s="35" t="str">
        <f>VLOOKUP(Tabla1[[#This Row],[AREA]],Hoja1!A:B,2,FALSE)</f>
        <v>06. Educación, infancia, juventud e igualdad</v>
      </c>
      <c r="U3249" s="56" t="str">
        <f>MID(Tabla1[[#This Row],[Aplicación]],9,4)</f>
        <v>3232</v>
      </c>
      <c r="V3249" s="35" t="str">
        <f>VLOOKUP(Tabla1[[#This Row],[PROGRAMA]],Hoja1!A:B,2,FALSE)</f>
        <v>3232. Conservación y mantenimiento centros educación infantil y primaria</v>
      </c>
      <c r="W3249" s="56" t="str">
        <f>MID(Tabla1[[#This Row],[Aplicación]],14,2)</f>
        <v>63</v>
      </c>
      <c r="X3249" s="56" t="str">
        <f>MID(Tabla1[[#This Row],[Aplicación]],14,6)</f>
        <v>632</v>
      </c>
    </row>
    <row r="3250" spans="1:24" x14ac:dyDescent="0.25">
      <c r="A3250" s="62">
        <v>220230018562</v>
      </c>
      <c r="B3250" s="44" t="s">
        <v>1514</v>
      </c>
      <c r="C3250" s="64">
        <v>45055</v>
      </c>
      <c r="D3250" s="62">
        <v>22023001462</v>
      </c>
      <c r="E3250" s="44" t="s">
        <v>1290</v>
      </c>
      <c r="F3250" s="65">
        <v>1185.26</v>
      </c>
      <c r="G3250" s="44" t="s">
        <v>101</v>
      </c>
      <c r="H3250" s="44" t="s">
        <v>4950</v>
      </c>
      <c r="I3250" s="62" t="s">
        <v>1517</v>
      </c>
      <c r="J3250" s="44" t="s">
        <v>519</v>
      </c>
      <c r="K3250" s="44" t="s">
        <v>519</v>
      </c>
      <c r="L3250" s="44" t="s">
        <v>552</v>
      </c>
      <c r="M3250" s="44" t="s">
        <v>514</v>
      </c>
      <c r="N3250" s="44" t="s">
        <v>515</v>
      </c>
      <c r="O3250" s="45" t="s">
        <v>382</v>
      </c>
      <c r="P3250" s="45" t="s">
        <v>3760</v>
      </c>
      <c r="Q3250" s="59" t="str">
        <f>MID(Tabla1[[#This Row],[Aplicación]],14,1)</f>
        <v>2</v>
      </c>
      <c r="R3250" s="35" t="s">
        <v>298</v>
      </c>
      <c r="S3250" s="59" t="str">
        <f>MID(Tabla1[[#This Row],[Aplicación]],6,2)</f>
        <v>11</v>
      </c>
      <c r="T3250" s="35" t="str">
        <f>VLOOKUP(Tabla1[[#This Row],[AREA]],Hoja1!A:B,2,FALSE)</f>
        <v>11. Salud pública y seguridad ciudadana</v>
      </c>
      <c r="U3250" s="56" t="str">
        <f>MID(Tabla1[[#This Row],[Aplicación]],9,4)</f>
        <v>1621</v>
      </c>
      <c r="V3250" s="35" t="str">
        <f>VLOOKUP(Tabla1[[#This Row],[PROGRAMA]],Hoja1!A:B,2,FALSE)</f>
        <v>1621. Servicio de limpieza</v>
      </c>
      <c r="W3250" s="56" t="str">
        <f>MID(Tabla1[[#This Row],[Aplicación]],14,2)</f>
        <v>21</v>
      </c>
      <c r="X3250" s="56" t="str">
        <f>MID(Tabla1[[#This Row],[Aplicación]],14,6)</f>
        <v>214</v>
      </c>
    </row>
    <row r="3251" spans="1:24" x14ac:dyDescent="0.25">
      <c r="A3251" s="62">
        <v>220230018564</v>
      </c>
      <c r="B3251" s="44" t="s">
        <v>1514</v>
      </c>
      <c r="C3251" s="64">
        <v>45055</v>
      </c>
      <c r="D3251" s="62">
        <v>22023001475</v>
      </c>
      <c r="E3251" s="44" t="s">
        <v>2693</v>
      </c>
      <c r="F3251" s="65">
        <v>2044.9</v>
      </c>
      <c r="G3251" s="44" t="s">
        <v>101</v>
      </c>
      <c r="H3251" s="44" t="s">
        <v>4951</v>
      </c>
      <c r="I3251" s="62" t="s">
        <v>1517</v>
      </c>
      <c r="J3251" s="44" t="s">
        <v>519</v>
      </c>
      <c r="K3251" s="44" t="s">
        <v>519</v>
      </c>
      <c r="L3251" s="44" t="s">
        <v>552</v>
      </c>
      <c r="M3251" s="44" t="s">
        <v>514</v>
      </c>
      <c r="N3251" s="44" t="s">
        <v>515</v>
      </c>
      <c r="O3251" s="45" t="s">
        <v>382</v>
      </c>
      <c r="P3251" s="45" t="s">
        <v>3760</v>
      </c>
      <c r="Q3251" s="59" t="str">
        <f>MID(Tabla1[[#This Row],[Aplicación]],14,1)</f>
        <v>2</v>
      </c>
      <c r="R3251" s="35" t="s">
        <v>298</v>
      </c>
      <c r="S3251" s="59" t="str">
        <f>MID(Tabla1[[#This Row],[Aplicación]],6,2)</f>
        <v>11</v>
      </c>
      <c r="T3251" s="35" t="str">
        <f>VLOOKUP(Tabla1[[#This Row],[AREA]],Hoja1!A:B,2,FALSE)</f>
        <v>11. Salud pública y seguridad ciudadana</v>
      </c>
      <c r="U3251" s="56" t="str">
        <f>MID(Tabla1[[#This Row],[Aplicación]],9,4)</f>
        <v>1631</v>
      </c>
      <c r="V3251" s="35" t="str">
        <f>VLOOKUP(Tabla1[[#This Row],[PROGRAMA]],Hoja1!A:B,2,FALSE)</f>
        <v>1631. Limpieza viaria</v>
      </c>
      <c r="W3251" s="56" t="str">
        <f>MID(Tabla1[[#This Row],[Aplicación]],14,2)</f>
        <v>22</v>
      </c>
      <c r="X3251" s="56" t="str">
        <f>MID(Tabla1[[#This Row],[Aplicación]],14,6)</f>
        <v>22110</v>
      </c>
    </row>
    <row r="3252" spans="1:24" x14ac:dyDescent="0.25">
      <c r="A3252" s="62">
        <v>220230018566</v>
      </c>
      <c r="B3252" s="44" t="s">
        <v>1514</v>
      </c>
      <c r="C3252" s="64">
        <v>45055</v>
      </c>
      <c r="D3252" s="62">
        <v>22023001476</v>
      </c>
      <c r="E3252" s="44" t="s">
        <v>2662</v>
      </c>
      <c r="F3252" s="65">
        <v>3308.65</v>
      </c>
      <c r="G3252" s="44" t="s">
        <v>101</v>
      </c>
      <c r="H3252" s="44" t="s">
        <v>4952</v>
      </c>
      <c r="I3252" s="62" t="s">
        <v>1517</v>
      </c>
      <c r="J3252" s="44" t="s">
        <v>519</v>
      </c>
      <c r="K3252" s="44" t="s">
        <v>519</v>
      </c>
      <c r="L3252" s="44" t="s">
        <v>552</v>
      </c>
      <c r="M3252" s="44" t="s">
        <v>514</v>
      </c>
      <c r="N3252" s="44" t="s">
        <v>515</v>
      </c>
      <c r="O3252" s="45" t="s">
        <v>382</v>
      </c>
      <c r="P3252" s="45" t="s">
        <v>3760</v>
      </c>
      <c r="Q3252" s="59" t="str">
        <f>MID(Tabla1[[#This Row],[Aplicación]],14,1)</f>
        <v>2</v>
      </c>
      <c r="R3252" s="35" t="s">
        <v>298</v>
      </c>
      <c r="S3252" s="59" t="str">
        <f>MID(Tabla1[[#This Row],[Aplicación]],6,2)</f>
        <v>11</v>
      </c>
      <c r="T3252" s="35" t="str">
        <f>VLOOKUP(Tabla1[[#This Row],[AREA]],Hoja1!A:B,2,FALSE)</f>
        <v>11. Salud pública y seguridad ciudadana</v>
      </c>
      <c r="U3252" s="56" t="str">
        <f>MID(Tabla1[[#This Row],[Aplicación]],9,4)</f>
        <v>1631</v>
      </c>
      <c r="V3252" s="35" t="str">
        <f>VLOOKUP(Tabla1[[#This Row],[PROGRAMA]],Hoja1!A:B,2,FALSE)</f>
        <v>1631. Limpieza viaria</v>
      </c>
      <c r="W3252" s="56" t="str">
        <f>MID(Tabla1[[#This Row],[Aplicación]],14,2)</f>
        <v>22</v>
      </c>
      <c r="X3252" s="56" t="str">
        <f>MID(Tabla1[[#This Row],[Aplicación]],14,6)</f>
        <v>22199</v>
      </c>
    </row>
    <row r="3253" spans="1:24" x14ac:dyDescent="0.25">
      <c r="A3253" s="62">
        <v>220230026286</v>
      </c>
      <c r="B3253" s="44" t="s">
        <v>1514</v>
      </c>
      <c r="C3253" s="64">
        <v>45077</v>
      </c>
      <c r="D3253" s="62">
        <v>22023001466</v>
      </c>
      <c r="E3253" s="44" t="s">
        <v>2624</v>
      </c>
      <c r="F3253" s="65">
        <v>176.18</v>
      </c>
      <c r="G3253" s="44" t="s">
        <v>101</v>
      </c>
      <c r="H3253" s="44" t="s">
        <v>4953</v>
      </c>
      <c r="I3253" s="62" t="s">
        <v>1517</v>
      </c>
      <c r="J3253" s="44" t="s">
        <v>519</v>
      </c>
      <c r="K3253" s="44" t="s">
        <v>519</v>
      </c>
      <c r="L3253" s="44" t="s">
        <v>552</v>
      </c>
      <c r="M3253" s="44" t="s">
        <v>514</v>
      </c>
      <c r="N3253" s="44" t="s">
        <v>515</v>
      </c>
      <c r="O3253" s="45" t="s">
        <v>382</v>
      </c>
      <c r="P3253" s="45" t="s">
        <v>3760</v>
      </c>
      <c r="Q3253" s="59" t="str">
        <f>MID(Tabla1[[#This Row],[Aplicación]],14,1)</f>
        <v>2</v>
      </c>
      <c r="R3253" s="35" t="s">
        <v>298</v>
      </c>
      <c r="S3253" s="59" t="str">
        <f>MID(Tabla1[[#This Row],[Aplicación]],6,2)</f>
        <v>11</v>
      </c>
      <c r="T3253" s="35" t="str">
        <f>VLOOKUP(Tabla1[[#This Row],[AREA]],Hoja1!A:B,2,FALSE)</f>
        <v>11. Salud pública y seguridad ciudadana</v>
      </c>
      <c r="U3253" s="56" t="str">
        <f>MID(Tabla1[[#This Row],[Aplicación]],9,4)</f>
        <v>1621</v>
      </c>
      <c r="V3253" s="35" t="str">
        <f>VLOOKUP(Tabla1[[#This Row],[PROGRAMA]],Hoja1!A:B,2,FALSE)</f>
        <v>1621. Servicio de limpieza</v>
      </c>
      <c r="W3253" s="56" t="str">
        <f>MID(Tabla1[[#This Row],[Aplicación]],14,2)</f>
        <v>22</v>
      </c>
      <c r="X3253" s="56" t="str">
        <f>MID(Tabla1[[#This Row],[Aplicación]],14,6)</f>
        <v>22199</v>
      </c>
    </row>
    <row r="3254" spans="1:24" x14ac:dyDescent="0.25">
      <c r="A3254" s="62">
        <v>220230026289</v>
      </c>
      <c r="B3254" s="44" t="s">
        <v>1514</v>
      </c>
      <c r="C3254" s="64">
        <v>45077</v>
      </c>
      <c r="D3254" s="62">
        <v>22023001473</v>
      </c>
      <c r="E3254" s="44" t="s">
        <v>1683</v>
      </c>
      <c r="F3254" s="65">
        <v>1899.76</v>
      </c>
      <c r="G3254" s="44" t="s">
        <v>101</v>
      </c>
      <c r="H3254" s="44" t="s">
        <v>4954</v>
      </c>
      <c r="I3254" s="62" t="s">
        <v>1517</v>
      </c>
      <c r="J3254" s="44" t="s">
        <v>519</v>
      </c>
      <c r="K3254" s="44" t="s">
        <v>519</v>
      </c>
      <c r="L3254" s="44" t="s">
        <v>552</v>
      </c>
      <c r="M3254" s="44" t="s">
        <v>514</v>
      </c>
      <c r="N3254" s="44" t="s">
        <v>515</v>
      </c>
      <c r="O3254" s="45" t="s">
        <v>382</v>
      </c>
      <c r="P3254" s="45" t="s">
        <v>3760</v>
      </c>
      <c r="Q3254" s="59" t="str">
        <f>MID(Tabla1[[#This Row],[Aplicación]],14,1)</f>
        <v>2</v>
      </c>
      <c r="R3254" s="35" t="s">
        <v>298</v>
      </c>
      <c r="S3254" s="59" t="str">
        <f>MID(Tabla1[[#This Row],[Aplicación]],6,2)</f>
        <v>11</v>
      </c>
      <c r="T3254" s="35" t="str">
        <f>VLOOKUP(Tabla1[[#This Row],[AREA]],Hoja1!A:B,2,FALSE)</f>
        <v>11. Salud pública y seguridad ciudadana</v>
      </c>
      <c r="U3254" s="56" t="str">
        <f>MID(Tabla1[[#This Row],[Aplicación]],9,4)</f>
        <v>1631</v>
      </c>
      <c r="V3254" s="35" t="str">
        <f>VLOOKUP(Tabla1[[#This Row],[PROGRAMA]],Hoja1!A:B,2,FALSE)</f>
        <v>1631. Limpieza viaria</v>
      </c>
      <c r="W3254" s="56" t="str">
        <f>MID(Tabla1[[#This Row],[Aplicación]],14,2)</f>
        <v>21</v>
      </c>
      <c r="X3254" s="56" t="str">
        <f>MID(Tabla1[[#This Row],[Aplicación]],14,6)</f>
        <v>214</v>
      </c>
    </row>
    <row r="3255" spans="1:24" x14ac:dyDescent="0.25">
      <c r="A3255" s="62">
        <v>220230026291</v>
      </c>
      <c r="B3255" s="44" t="s">
        <v>1514</v>
      </c>
      <c r="C3255" s="64">
        <v>45077</v>
      </c>
      <c r="D3255" s="62">
        <v>22023001475</v>
      </c>
      <c r="E3255" s="44" t="s">
        <v>2693</v>
      </c>
      <c r="F3255" s="65">
        <v>2044.9</v>
      </c>
      <c r="G3255" s="44" t="s">
        <v>101</v>
      </c>
      <c r="H3255" s="44" t="s">
        <v>4955</v>
      </c>
      <c r="I3255" s="62" t="s">
        <v>1517</v>
      </c>
      <c r="J3255" s="44" t="s">
        <v>519</v>
      </c>
      <c r="K3255" s="44" t="s">
        <v>519</v>
      </c>
      <c r="L3255" s="44" t="s">
        <v>552</v>
      </c>
      <c r="M3255" s="44" t="s">
        <v>514</v>
      </c>
      <c r="N3255" s="44" t="s">
        <v>515</v>
      </c>
      <c r="O3255" s="45" t="s">
        <v>382</v>
      </c>
      <c r="P3255" s="45" t="s">
        <v>3760</v>
      </c>
      <c r="Q3255" s="59" t="str">
        <f>MID(Tabla1[[#This Row],[Aplicación]],14,1)</f>
        <v>2</v>
      </c>
      <c r="R3255" s="35" t="s">
        <v>298</v>
      </c>
      <c r="S3255" s="59" t="str">
        <f>MID(Tabla1[[#This Row],[Aplicación]],6,2)</f>
        <v>11</v>
      </c>
      <c r="T3255" s="35" t="str">
        <f>VLOOKUP(Tabla1[[#This Row],[AREA]],Hoja1!A:B,2,FALSE)</f>
        <v>11. Salud pública y seguridad ciudadana</v>
      </c>
      <c r="U3255" s="56" t="str">
        <f>MID(Tabla1[[#This Row],[Aplicación]],9,4)</f>
        <v>1631</v>
      </c>
      <c r="V3255" s="35" t="str">
        <f>VLOOKUP(Tabla1[[#This Row],[PROGRAMA]],Hoja1!A:B,2,FALSE)</f>
        <v>1631. Limpieza viaria</v>
      </c>
      <c r="W3255" s="56" t="str">
        <f>MID(Tabla1[[#This Row],[Aplicación]],14,2)</f>
        <v>22</v>
      </c>
      <c r="X3255" s="56" t="str">
        <f>MID(Tabla1[[#This Row],[Aplicación]],14,6)</f>
        <v>22110</v>
      </c>
    </row>
    <row r="3256" spans="1:24" x14ac:dyDescent="0.25">
      <c r="A3256" s="63">
        <v>220230031302</v>
      </c>
      <c r="B3256" s="44" t="s">
        <v>507</v>
      </c>
      <c r="C3256" s="64">
        <v>45100</v>
      </c>
      <c r="D3256" s="62">
        <v>22023005078</v>
      </c>
      <c r="E3256" s="44" t="s">
        <v>2732</v>
      </c>
      <c r="F3256" s="65">
        <v>45361.31</v>
      </c>
      <c r="G3256" s="44" t="s">
        <v>4956</v>
      </c>
      <c r="H3256" s="44" t="s">
        <v>4957</v>
      </c>
      <c r="I3256" s="62" t="s">
        <v>511</v>
      </c>
      <c r="J3256" s="44" t="s">
        <v>519</v>
      </c>
      <c r="K3256" s="44" t="s">
        <v>519</v>
      </c>
      <c r="L3256" s="44" t="s">
        <v>527</v>
      </c>
      <c r="M3256" s="44" t="s">
        <v>976</v>
      </c>
      <c r="N3256" s="44" t="s">
        <v>839</v>
      </c>
      <c r="O3256" s="45" t="s">
        <v>383</v>
      </c>
      <c r="P3256" s="45" t="s">
        <v>3760</v>
      </c>
      <c r="Q3256" s="59" t="str">
        <f>MID(Tabla1[[#This Row],[Aplicación]],14,1)</f>
        <v>6</v>
      </c>
      <c r="R3256" s="35" t="s">
        <v>299</v>
      </c>
      <c r="S3256" s="59" t="str">
        <f>MID(Tabla1[[#This Row],[Aplicación]],6,2)</f>
        <v>06</v>
      </c>
      <c r="T3256" s="35" t="str">
        <f>VLOOKUP(Tabla1[[#This Row],[AREA]],Hoja1!A:B,2,FALSE)</f>
        <v>06. Educación, infancia, juventud e igualdad</v>
      </c>
      <c r="U3256" s="56" t="str">
        <f>MID(Tabla1[[#This Row],[Aplicación]],9,4)</f>
        <v>3232</v>
      </c>
      <c r="V3256" s="35" t="str">
        <f>VLOOKUP(Tabla1[[#This Row],[PROGRAMA]],Hoja1!A:B,2,FALSE)</f>
        <v>3232. Conservación y mantenimiento centros educación infantil y primaria</v>
      </c>
      <c r="W3256" s="56" t="str">
        <f>MID(Tabla1[[#This Row],[Aplicación]],14,2)</f>
        <v>63</v>
      </c>
      <c r="X3256" s="56" t="str">
        <f>MID(Tabla1[[#This Row],[Aplicación]],14,6)</f>
        <v>632</v>
      </c>
    </row>
    <row r="3257" spans="1:24" x14ac:dyDescent="0.25">
      <c r="A3257" s="62">
        <v>220230026646</v>
      </c>
      <c r="B3257" s="44" t="s">
        <v>1514</v>
      </c>
      <c r="C3257" s="64">
        <v>45077</v>
      </c>
      <c r="D3257" s="62">
        <v>22023001466</v>
      </c>
      <c r="E3257" s="44" t="s">
        <v>2624</v>
      </c>
      <c r="F3257" s="65">
        <v>832.9</v>
      </c>
      <c r="G3257" s="44" t="s">
        <v>101</v>
      </c>
      <c r="H3257" s="44" t="s">
        <v>4958</v>
      </c>
      <c r="I3257" s="62" t="s">
        <v>1517</v>
      </c>
      <c r="J3257" s="44" t="s">
        <v>519</v>
      </c>
      <c r="K3257" s="44" t="s">
        <v>519</v>
      </c>
      <c r="L3257" s="44" t="s">
        <v>552</v>
      </c>
      <c r="M3257" s="44" t="s">
        <v>514</v>
      </c>
      <c r="N3257" s="44" t="s">
        <v>515</v>
      </c>
      <c r="O3257" s="45" t="s">
        <v>382</v>
      </c>
      <c r="P3257" s="45" t="s">
        <v>3760</v>
      </c>
      <c r="Q3257" s="59" t="str">
        <f>MID(Tabla1[[#This Row],[Aplicación]],14,1)</f>
        <v>2</v>
      </c>
      <c r="R3257" s="35" t="s">
        <v>298</v>
      </c>
      <c r="S3257" s="59" t="str">
        <f>MID(Tabla1[[#This Row],[Aplicación]],6,2)</f>
        <v>11</v>
      </c>
      <c r="T3257" s="35" t="str">
        <f>VLOOKUP(Tabla1[[#This Row],[AREA]],Hoja1!A:B,2,FALSE)</f>
        <v>11. Salud pública y seguridad ciudadana</v>
      </c>
      <c r="U3257" s="56" t="str">
        <f>MID(Tabla1[[#This Row],[Aplicación]],9,4)</f>
        <v>1621</v>
      </c>
      <c r="V3257" s="35" t="str">
        <f>VLOOKUP(Tabla1[[#This Row],[PROGRAMA]],Hoja1!A:B,2,FALSE)</f>
        <v>1621. Servicio de limpieza</v>
      </c>
      <c r="W3257" s="56" t="str">
        <f>MID(Tabla1[[#This Row],[Aplicación]],14,2)</f>
        <v>22</v>
      </c>
      <c r="X3257" s="56" t="str">
        <f>MID(Tabla1[[#This Row],[Aplicación]],14,6)</f>
        <v>22199</v>
      </c>
    </row>
    <row r="3258" spans="1:24" x14ac:dyDescent="0.25">
      <c r="A3258" s="62">
        <v>220230026650</v>
      </c>
      <c r="B3258" s="44" t="s">
        <v>1514</v>
      </c>
      <c r="C3258" s="64">
        <v>45077</v>
      </c>
      <c r="D3258" s="62">
        <v>22023001476</v>
      </c>
      <c r="E3258" s="44" t="s">
        <v>2662</v>
      </c>
      <c r="F3258" s="65">
        <v>148.35</v>
      </c>
      <c r="G3258" s="44" t="s">
        <v>101</v>
      </c>
      <c r="H3258" s="44" t="s">
        <v>4959</v>
      </c>
      <c r="I3258" s="62" t="s">
        <v>1517</v>
      </c>
      <c r="J3258" s="44" t="s">
        <v>519</v>
      </c>
      <c r="K3258" s="44" t="s">
        <v>519</v>
      </c>
      <c r="L3258" s="44" t="s">
        <v>552</v>
      </c>
      <c r="M3258" s="44" t="s">
        <v>514</v>
      </c>
      <c r="N3258" s="44" t="s">
        <v>515</v>
      </c>
      <c r="O3258" s="45" t="s">
        <v>382</v>
      </c>
      <c r="P3258" s="45" t="s">
        <v>3760</v>
      </c>
      <c r="Q3258" s="59" t="str">
        <f>MID(Tabla1[[#This Row],[Aplicación]],14,1)</f>
        <v>2</v>
      </c>
      <c r="R3258" s="35" t="s">
        <v>298</v>
      </c>
      <c r="S3258" s="59" t="str">
        <f>MID(Tabla1[[#This Row],[Aplicación]],6,2)</f>
        <v>11</v>
      </c>
      <c r="T3258" s="35" t="str">
        <f>VLOOKUP(Tabla1[[#This Row],[AREA]],Hoja1!A:B,2,FALSE)</f>
        <v>11. Salud pública y seguridad ciudadana</v>
      </c>
      <c r="U3258" s="56" t="str">
        <f>MID(Tabla1[[#This Row],[Aplicación]],9,4)</f>
        <v>1631</v>
      </c>
      <c r="V3258" s="35" t="str">
        <f>VLOOKUP(Tabla1[[#This Row],[PROGRAMA]],Hoja1!A:B,2,FALSE)</f>
        <v>1631. Limpieza viaria</v>
      </c>
      <c r="W3258" s="56" t="str">
        <f>MID(Tabla1[[#This Row],[Aplicación]],14,2)</f>
        <v>22</v>
      </c>
      <c r="X3258" s="56" t="str">
        <f>MID(Tabla1[[#This Row],[Aplicación]],14,6)</f>
        <v>22199</v>
      </c>
    </row>
    <row r="3259" spans="1:24" x14ac:dyDescent="0.25">
      <c r="A3259" s="62">
        <v>220230026661</v>
      </c>
      <c r="B3259" s="44" t="s">
        <v>1514</v>
      </c>
      <c r="C3259" s="64">
        <v>45077</v>
      </c>
      <c r="D3259" s="62">
        <v>22023004048</v>
      </c>
      <c r="E3259" s="44" t="s">
        <v>1683</v>
      </c>
      <c r="F3259" s="65">
        <v>1992.99</v>
      </c>
      <c r="G3259" s="44" t="s">
        <v>101</v>
      </c>
      <c r="H3259" s="44" t="s">
        <v>4960</v>
      </c>
      <c r="I3259" s="62" t="s">
        <v>1517</v>
      </c>
      <c r="J3259" s="44" t="s">
        <v>519</v>
      </c>
      <c r="K3259" s="44" t="s">
        <v>519</v>
      </c>
      <c r="L3259" s="44" t="s">
        <v>552</v>
      </c>
      <c r="M3259" s="44" t="s">
        <v>514</v>
      </c>
      <c r="N3259" s="44" t="s">
        <v>515</v>
      </c>
      <c r="O3259" s="45" t="s">
        <v>382</v>
      </c>
      <c r="P3259" s="45" t="s">
        <v>3760</v>
      </c>
      <c r="Q3259" s="59" t="str">
        <f>MID(Tabla1[[#This Row],[Aplicación]],14,1)</f>
        <v>2</v>
      </c>
      <c r="R3259" s="35" t="s">
        <v>298</v>
      </c>
      <c r="S3259" s="59" t="str">
        <f>MID(Tabla1[[#This Row],[Aplicación]],6,2)</f>
        <v>11</v>
      </c>
      <c r="T3259" s="35" t="str">
        <f>VLOOKUP(Tabla1[[#This Row],[AREA]],Hoja1!A:B,2,FALSE)</f>
        <v>11. Salud pública y seguridad ciudadana</v>
      </c>
      <c r="U3259" s="56" t="str">
        <f>MID(Tabla1[[#This Row],[Aplicación]],9,4)</f>
        <v>1631</v>
      </c>
      <c r="V3259" s="35" t="str">
        <f>VLOOKUP(Tabla1[[#This Row],[PROGRAMA]],Hoja1!A:B,2,FALSE)</f>
        <v>1631. Limpieza viaria</v>
      </c>
      <c r="W3259" s="56" t="str">
        <f>MID(Tabla1[[#This Row],[Aplicación]],14,2)</f>
        <v>21</v>
      </c>
      <c r="X3259" s="56" t="str">
        <f>MID(Tabla1[[#This Row],[Aplicación]],14,6)</f>
        <v>214</v>
      </c>
    </row>
    <row r="3260" spans="1:24" x14ac:dyDescent="0.25">
      <c r="A3260" s="62">
        <v>220230016843</v>
      </c>
      <c r="B3260" s="44" t="s">
        <v>507</v>
      </c>
      <c r="C3260" s="64">
        <v>45048</v>
      </c>
      <c r="D3260" s="62">
        <v>22023004125</v>
      </c>
      <c r="E3260" s="44" t="s">
        <v>1382</v>
      </c>
      <c r="F3260" s="65">
        <v>7260</v>
      </c>
      <c r="G3260" s="44" t="s">
        <v>3742</v>
      </c>
      <c r="H3260" s="44" t="s">
        <v>4961</v>
      </c>
      <c r="I3260" s="62" t="s">
        <v>511</v>
      </c>
      <c r="J3260" s="44" t="s">
        <v>519</v>
      </c>
      <c r="K3260" s="44" t="s">
        <v>519</v>
      </c>
      <c r="L3260" s="44" t="s">
        <v>520</v>
      </c>
      <c r="M3260" s="44" t="s">
        <v>976</v>
      </c>
      <c r="N3260" s="44" t="s">
        <v>839</v>
      </c>
      <c r="O3260" s="45" t="s">
        <v>383</v>
      </c>
      <c r="P3260" s="45" t="s">
        <v>3760</v>
      </c>
      <c r="Q3260" s="59" t="str">
        <f>MID(Tabla1[[#This Row],[Aplicación]],14,1)</f>
        <v>2</v>
      </c>
      <c r="R3260" s="35" t="s">
        <v>298</v>
      </c>
      <c r="S3260" s="59" t="str">
        <f>MID(Tabla1[[#This Row],[Aplicación]],6,2)</f>
        <v>03</v>
      </c>
      <c r="T3260" s="35" t="str">
        <f>VLOOKUP(Tabla1[[#This Row],[AREA]],Hoja1!A:B,2,FALSE)</f>
        <v>03. Participación ciudadana y deportes</v>
      </c>
      <c r="U3260" s="56" t="str">
        <f>MID(Tabla1[[#This Row],[Aplicación]],9,4)</f>
        <v>9241</v>
      </c>
      <c r="V3260" s="35" t="str">
        <f>VLOOKUP(Tabla1[[#This Row],[PROGRAMA]],Hoja1!A:B,2,FALSE)</f>
        <v>9241. Participación ciudadana</v>
      </c>
      <c r="W3260" s="56" t="str">
        <f>MID(Tabla1[[#This Row],[Aplicación]],14,2)</f>
        <v>22</v>
      </c>
      <c r="X3260" s="56" t="str">
        <f>MID(Tabla1[[#This Row],[Aplicación]],14,6)</f>
        <v>22699</v>
      </c>
    </row>
    <row r="3261" spans="1:24" x14ac:dyDescent="0.25">
      <c r="A3261" s="62">
        <v>220230024844</v>
      </c>
      <c r="B3261" s="44" t="s">
        <v>1337</v>
      </c>
      <c r="C3261" s="64">
        <v>45070</v>
      </c>
      <c r="D3261" s="62">
        <v>22023000456</v>
      </c>
      <c r="E3261" s="44" t="s">
        <v>762</v>
      </c>
      <c r="F3261" s="65">
        <v>-12737.31</v>
      </c>
      <c r="G3261" s="44" t="s">
        <v>906</v>
      </c>
      <c r="H3261" s="44" t="s">
        <v>4962</v>
      </c>
      <c r="I3261" s="62" t="s">
        <v>511</v>
      </c>
      <c r="J3261" s="44" t="s">
        <v>908</v>
      </c>
      <c r="K3261" s="44" t="s">
        <v>908</v>
      </c>
      <c r="L3261" s="44" t="s">
        <v>552</v>
      </c>
      <c r="M3261" s="44" t="s">
        <v>514</v>
      </c>
      <c r="N3261" s="44" t="s">
        <v>515</v>
      </c>
      <c r="O3261" s="45" t="s">
        <v>371</v>
      </c>
      <c r="P3261" s="45" t="s">
        <v>3760</v>
      </c>
      <c r="Q3261" s="59" t="str">
        <f>MID(Tabla1[[#This Row],[Aplicación]],14,1)</f>
        <v>2</v>
      </c>
      <c r="R3261" s="35" t="s">
        <v>298</v>
      </c>
      <c r="S3261" s="59" t="str">
        <f>MID(Tabla1[[#This Row],[Aplicación]],6,2)</f>
        <v>11</v>
      </c>
      <c r="T3261" s="35" t="str">
        <f>VLOOKUP(Tabla1[[#This Row],[AREA]],Hoja1!A:B,2,FALSE)</f>
        <v>11. Salud pública y seguridad ciudadana</v>
      </c>
      <c r="U3261" s="56" t="str">
        <f>MID(Tabla1[[#This Row],[Aplicación]],9,4)</f>
        <v>1321</v>
      </c>
      <c r="V3261" s="35" t="str">
        <f>VLOOKUP(Tabla1[[#This Row],[PROGRAMA]],Hoja1!A:B,2,FALSE)</f>
        <v>1321. Policía municipal</v>
      </c>
      <c r="W3261" s="56" t="str">
        <f>MID(Tabla1[[#This Row],[Aplicación]],14,2)</f>
        <v>20</v>
      </c>
      <c r="X3261" s="56" t="str">
        <f>MID(Tabla1[[#This Row],[Aplicación]],14,6)</f>
        <v>204</v>
      </c>
    </row>
    <row r="3262" spans="1:24" x14ac:dyDescent="0.25">
      <c r="A3262" s="63">
        <v>220230031185</v>
      </c>
      <c r="B3262" s="44" t="s">
        <v>507</v>
      </c>
      <c r="C3262" s="64">
        <v>45099</v>
      </c>
      <c r="D3262" s="62">
        <v>22023003704</v>
      </c>
      <c r="E3262" s="44" t="s">
        <v>3940</v>
      </c>
      <c r="F3262" s="65">
        <v>38205.79</v>
      </c>
      <c r="G3262" s="44" t="s">
        <v>329</v>
      </c>
      <c r="H3262" s="44" t="s">
        <v>4963</v>
      </c>
      <c r="I3262" s="62" t="s">
        <v>511</v>
      </c>
      <c r="J3262" s="44" t="s">
        <v>519</v>
      </c>
      <c r="K3262" s="44" t="s">
        <v>519</v>
      </c>
      <c r="L3262" s="44" t="s">
        <v>527</v>
      </c>
      <c r="M3262" s="44" t="s">
        <v>976</v>
      </c>
      <c r="N3262" s="44" t="s">
        <v>839</v>
      </c>
      <c r="O3262" s="45" t="s">
        <v>383</v>
      </c>
      <c r="P3262" s="45" t="s">
        <v>3760</v>
      </c>
      <c r="Q3262" s="59" t="str">
        <f>MID(Tabla1[[#This Row],[Aplicación]],14,1)</f>
        <v>6</v>
      </c>
      <c r="R3262" s="35" t="s">
        <v>299</v>
      </c>
      <c r="S3262" s="59" t="str">
        <f>MID(Tabla1[[#This Row],[Aplicación]],6,2)</f>
        <v>06</v>
      </c>
      <c r="T3262" s="35" t="str">
        <f>VLOOKUP(Tabla1[[#This Row],[AREA]],Hoja1!A:B,2,FALSE)</f>
        <v>06. Educación, infancia, juventud e igualdad</v>
      </c>
      <c r="U3262" s="56" t="str">
        <f>MID(Tabla1[[#This Row],[Aplicación]],9,4)</f>
        <v>3231</v>
      </c>
      <c r="V3262" s="35" t="str">
        <f>VLOOKUP(Tabla1[[#This Row],[PROGRAMA]],Hoja1!A:B,2,FALSE)</f>
        <v>3231. Escuelas infantiles</v>
      </c>
      <c r="W3262" s="56" t="str">
        <f>MID(Tabla1[[#This Row],[Aplicación]],14,2)</f>
        <v>63</v>
      </c>
      <c r="X3262" s="56" t="str">
        <f>MID(Tabla1[[#This Row],[Aplicación]],14,6)</f>
        <v>632</v>
      </c>
    </row>
    <row r="3263" spans="1:24" x14ac:dyDescent="0.25">
      <c r="A3263" s="62">
        <v>220230016034</v>
      </c>
      <c r="B3263" s="44" t="s">
        <v>1514</v>
      </c>
      <c r="C3263" s="64">
        <v>45043</v>
      </c>
      <c r="D3263" s="62">
        <v>22023000263</v>
      </c>
      <c r="E3263" s="44" t="s">
        <v>3146</v>
      </c>
      <c r="F3263" s="65">
        <v>542.39</v>
      </c>
      <c r="G3263" s="44" t="s">
        <v>1857</v>
      </c>
      <c r="H3263" s="44" t="s">
        <v>4964</v>
      </c>
      <c r="I3263" s="62" t="s">
        <v>1517</v>
      </c>
      <c r="J3263" s="44" t="s">
        <v>519</v>
      </c>
      <c r="K3263" s="44" t="s">
        <v>519</v>
      </c>
      <c r="L3263" s="44" t="s">
        <v>520</v>
      </c>
      <c r="M3263" s="44" t="s">
        <v>514</v>
      </c>
      <c r="N3263" s="44" t="s">
        <v>515</v>
      </c>
      <c r="O3263" s="45" t="s">
        <v>382</v>
      </c>
      <c r="P3263" s="45" t="s">
        <v>3760</v>
      </c>
      <c r="Q3263" s="59" t="str">
        <f>MID(Tabla1[[#This Row],[Aplicación]],14,1)</f>
        <v>2</v>
      </c>
      <c r="R3263" s="35" t="s">
        <v>298</v>
      </c>
      <c r="S3263" s="59" t="str">
        <f>MID(Tabla1[[#This Row],[Aplicación]],6,2)</f>
        <v>02</v>
      </c>
      <c r="T3263" s="35" t="str">
        <f>VLOOKUP(Tabla1[[#This Row],[AREA]],Hoja1!A:B,2,FALSE)</f>
        <v>02. Planeamiento urbanístico y vivienda</v>
      </c>
      <c r="U3263" s="56" t="str">
        <f>MID(Tabla1[[#This Row],[Aplicación]],9,4)</f>
        <v>9332</v>
      </c>
      <c r="V3263" s="35" t="str">
        <f>VLOOKUP(Tabla1[[#This Row],[PROGRAMA]],Hoja1!A:B,2,FALSE)</f>
        <v>9332. Mantenimiento de edificios e instalaciones municipales</v>
      </c>
      <c r="W3263" s="56" t="str">
        <f>MID(Tabla1[[#This Row],[Aplicación]],14,2)</f>
        <v>21</v>
      </c>
      <c r="X3263" s="56" t="str">
        <f>MID(Tabla1[[#This Row],[Aplicación]],14,6)</f>
        <v>214</v>
      </c>
    </row>
    <row r="3264" spans="1:24" x14ac:dyDescent="0.25">
      <c r="A3264" s="63">
        <v>220230016805</v>
      </c>
      <c r="B3264" s="44" t="s">
        <v>3284</v>
      </c>
      <c r="C3264" s="64">
        <v>45044</v>
      </c>
      <c r="D3264" s="62">
        <v>22023001314</v>
      </c>
      <c r="E3264" s="44" t="s">
        <v>539</v>
      </c>
      <c r="F3264" s="65">
        <v>-11383.99</v>
      </c>
      <c r="G3264" s="44" t="s">
        <v>540</v>
      </c>
      <c r="H3264" s="44" t="s">
        <v>4965</v>
      </c>
      <c r="I3264" s="62" t="s">
        <v>3286</v>
      </c>
      <c r="J3264" s="44" t="s">
        <v>512</v>
      </c>
      <c r="K3264" s="44" t="s">
        <v>512</v>
      </c>
      <c r="L3264" s="44" t="s">
        <v>520</v>
      </c>
      <c r="M3264" s="44" t="s">
        <v>514</v>
      </c>
      <c r="N3264" s="44" t="s">
        <v>515</v>
      </c>
      <c r="O3264" s="45" t="s">
        <v>371</v>
      </c>
      <c r="P3264" s="45" t="s">
        <v>3760</v>
      </c>
      <c r="Q3264" s="59" t="str">
        <f>MID(Tabla1[[#This Row],[Aplicación]],14,1)</f>
        <v>2</v>
      </c>
      <c r="R3264" s="35" t="s">
        <v>298</v>
      </c>
      <c r="S3264" s="59" t="str">
        <f>MID(Tabla1[[#This Row],[Aplicación]],6,2)</f>
        <v>10</v>
      </c>
      <c r="T3264" s="35" t="str">
        <f>VLOOKUP(Tabla1[[#This Row],[AREA]],Hoja1!A:B,2,FALSE)</f>
        <v>10. Servicios sociales y mediación comunitaria</v>
      </c>
      <c r="U3264" s="56" t="str">
        <f>MID(Tabla1[[#This Row],[Aplicación]],9,4)</f>
        <v>2312</v>
      </c>
      <c r="V3264" s="35" t="str">
        <f>VLOOKUP(Tabla1[[#This Row],[PROGRAMA]],Hoja1!A:B,2,FALSE)</f>
        <v>2312. Iniciativas sociales</v>
      </c>
      <c r="W3264" s="56" t="str">
        <f>MID(Tabla1[[#This Row],[Aplicación]],14,2)</f>
        <v>22</v>
      </c>
      <c r="X3264" s="56" t="str">
        <f>MID(Tabla1[[#This Row],[Aplicación]],14,6)</f>
        <v>22799</v>
      </c>
    </row>
    <row r="3265" spans="1:24" x14ac:dyDescent="0.25">
      <c r="A3265" s="62">
        <v>220230016275</v>
      </c>
      <c r="B3265" s="44" t="s">
        <v>1514</v>
      </c>
      <c r="C3265" s="64">
        <v>45043</v>
      </c>
      <c r="D3265" s="62">
        <v>22023001513</v>
      </c>
      <c r="E3265" s="44" t="s">
        <v>2019</v>
      </c>
      <c r="F3265" s="65">
        <v>136.79</v>
      </c>
      <c r="G3265" s="44" t="s">
        <v>1857</v>
      </c>
      <c r="H3265" s="44" t="s">
        <v>4966</v>
      </c>
      <c r="I3265" s="62" t="s">
        <v>1517</v>
      </c>
      <c r="J3265" s="44" t="s">
        <v>519</v>
      </c>
      <c r="K3265" s="44" t="s">
        <v>519</v>
      </c>
      <c r="L3265" s="44" t="s">
        <v>520</v>
      </c>
      <c r="M3265" s="44" t="s">
        <v>514</v>
      </c>
      <c r="N3265" s="44" t="s">
        <v>515</v>
      </c>
      <c r="O3265" s="45" t="s">
        <v>382</v>
      </c>
      <c r="P3265" s="45" t="s">
        <v>3760</v>
      </c>
      <c r="Q3265" s="59" t="str">
        <f>MID(Tabla1[[#This Row],[Aplicación]],14,1)</f>
        <v>2</v>
      </c>
      <c r="R3265" s="35" t="s">
        <v>298</v>
      </c>
      <c r="S3265" s="59" t="str">
        <f>MID(Tabla1[[#This Row],[Aplicación]],6,2)</f>
        <v>11</v>
      </c>
      <c r="T3265" s="35" t="str">
        <f>VLOOKUP(Tabla1[[#This Row],[AREA]],Hoja1!A:B,2,FALSE)</f>
        <v>11. Salud pública y seguridad ciudadana</v>
      </c>
      <c r="U3265" s="56" t="str">
        <f>MID(Tabla1[[#This Row],[Aplicación]],9,4)</f>
        <v>1361</v>
      </c>
      <c r="V3265" s="35" t="str">
        <f>VLOOKUP(Tabla1[[#This Row],[PROGRAMA]],Hoja1!A:B,2,FALSE)</f>
        <v>1361. Prevención y extinción de incencios</v>
      </c>
      <c r="W3265" s="56" t="str">
        <f>MID(Tabla1[[#This Row],[Aplicación]],14,2)</f>
        <v>21</v>
      </c>
      <c r="X3265" s="56" t="str">
        <f>MID(Tabla1[[#This Row],[Aplicación]],14,6)</f>
        <v>214</v>
      </c>
    </row>
    <row r="3266" spans="1:24" x14ac:dyDescent="0.25">
      <c r="A3266" s="62">
        <v>220230023349</v>
      </c>
      <c r="B3266" s="44" t="s">
        <v>1249</v>
      </c>
      <c r="C3266" s="64">
        <v>45068</v>
      </c>
      <c r="D3266" s="62">
        <v>22023002626</v>
      </c>
      <c r="E3266" s="44" t="s">
        <v>1356</v>
      </c>
      <c r="F3266" s="65">
        <v>411527.58</v>
      </c>
      <c r="G3266" s="44" t="s">
        <v>2940</v>
      </c>
      <c r="H3266" s="44" t="s">
        <v>4967</v>
      </c>
      <c r="I3266" s="62" t="s">
        <v>2942</v>
      </c>
      <c r="J3266" s="44" t="s">
        <v>519</v>
      </c>
      <c r="K3266" s="44" t="s">
        <v>519</v>
      </c>
      <c r="L3266" s="44" t="s">
        <v>2943</v>
      </c>
      <c r="M3266" s="44" t="s">
        <v>514</v>
      </c>
      <c r="N3266" s="44" t="s">
        <v>515</v>
      </c>
      <c r="O3266" s="45" t="s">
        <v>371</v>
      </c>
      <c r="P3266" s="45" t="s">
        <v>3760</v>
      </c>
      <c r="Q3266" s="59" t="str">
        <f>MID(Tabla1[[#This Row],[Aplicación]],14,1)</f>
        <v>2</v>
      </c>
      <c r="R3266" s="35" t="s">
        <v>298</v>
      </c>
      <c r="S3266" s="59" t="str">
        <f>MID(Tabla1[[#This Row],[Aplicación]],6,2)</f>
        <v>07</v>
      </c>
      <c r="T3266" s="35" t="str">
        <f>VLOOKUP(Tabla1[[#This Row],[AREA]],Hoja1!A:B,2,FALSE)</f>
        <v>07. Medio ambiente y desarrollo sostenible</v>
      </c>
      <c r="U3266" s="56" t="str">
        <f>MID(Tabla1[[#This Row],[Aplicación]],9,4)</f>
        <v>1623</v>
      </c>
      <c r="V3266" s="35" t="str">
        <f>VLOOKUP(Tabla1[[#This Row],[PROGRAMA]],Hoja1!A:B,2,FALSE)</f>
        <v>1623. Tratamiento de residuos</v>
      </c>
      <c r="W3266" s="56" t="str">
        <f>MID(Tabla1[[#This Row],[Aplicación]],14,2)</f>
        <v>22</v>
      </c>
      <c r="X3266" s="56" t="str">
        <f>MID(Tabla1[[#This Row],[Aplicación]],14,6)</f>
        <v>22700</v>
      </c>
    </row>
    <row r="3267" spans="1:24" x14ac:dyDescent="0.25">
      <c r="A3267" s="62">
        <v>220230023350</v>
      </c>
      <c r="B3267" s="44" t="s">
        <v>1249</v>
      </c>
      <c r="C3267" s="64">
        <v>45068</v>
      </c>
      <c r="D3267" s="62">
        <v>22023002626</v>
      </c>
      <c r="E3267" s="44" t="s">
        <v>1356</v>
      </c>
      <c r="F3267" s="65">
        <v>387709.39</v>
      </c>
      <c r="G3267" s="44" t="s">
        <v>2940</v>
      </c>
      <c r="H3267" s="44" t="s">
        <v>4968</v>
      </c>
      <c r="I3267" s="62" t="s">
        <v>2942</v>
      </c>
      <c r="J3267" s="44" t="s">
        <v>519</v>
      </c>
      <c r="K3267" s="44" t="s">
        <v>519</v>
      </c>
      <c r="L3267" s="44" t="s">
        <v>2943</v>
      </c>
      <c r="M3267" s="44" t="s">
        <v>514</v>
      </c>
      <c r="N3267" s="44" t="s">
        <v>515</v>
      </c>
      <c r="O3267" s="45" t="s">
        <v>371</v>
      </c>
      <c r="P3267" s="45" t="s">
        <v>3760</v>
      </c>
      <c r="Q3267" s="59" t="str">
        <f>MID(Tabla1[[#This Row],[Aplicación]],14,1)</f>
        <v>2</v>
      </c>
      <c r="R3267" s="35" t="s">
        <v>298</v>
      </c>
      <c r="S3267" s="59" t="str">
        <f>MID(Tabla1[[#This Row],[Aplicación]],6,2)</f>
        <v>07</v>
      </c>
      <c r="T3267" s="35" t="str">
        <f>VLOOKUP(Tabla1[[#This Row],[AREA]],Hoja1!A:B,2,FALSE)</f>
        <v>07. Medio ambiente y desarrollo sostenible</v>
      </c>
      <c r="U3267" s="56" t="str">
        <f>MID(Tabla1[[#This Row],[Aplicación]],9,4)</f>
        <v>1623</v>
      </c>
      <c r="V3267" s="35" t="str">
        <f>VLOOKUP(Tabla1[[#This Row],[PROGRAMA]],Hoja1!A:B,2,FALSE)</f>
        <v>1623. Tratamiento de residuos</v>
      </c>
      <c r="W3267" s="56" t="str">
        <f>MID(Tabla1[[#This Row],[Aplicación]],14,2)</f>
        <v>22</v>
      </c>
      <c r="X3267" s="56" t="str">
        <f>MID(Tabla1[[#This Row],[Aplicación]],14,6)</f>
        <v>22700</v>
      </c>
    </row>
    <row r="3268" spans="1:24" x14ac:dyDescent="0.25">
      <c r="A3268" s="62">
        <v>220230016366</v>
      </c>
      <c r="B3268" s="44" t="s">
        <v>1249</v>
      </c>
      <c r="C3268" s="64">
        <v>45043</v>
      </c>
      <c r="D3268" s="62">
        <v>22023003726</v>
      </c>
      <c r="E3268" s="44" t="s">
        <v>516</v>
      </c>
      <c r="F3268" s="65">
        <v>28303.01</v>
      </c>
      <c r="G3268" s="44" t="s">
        <v>743</v>
      </c>
      <c r="H3268" s="44" t="s">
        <v>4969</v>
      </c>
      <c r="I3268" s="62" t="s">
        <v>1251</v>
      </c>
      <c r="J3268" s="44" t="s">
        <v>519</v>
      </c>
      <c r="K3268" s="44" t="s">
        <v>519</v>
      </c>
      <c r="L3268" s="44" t="s">
        <v>520</v>
      </c>
      <c r="M3268" s="44" t="s">
        <v>514</v>
      </c>
      <c r="N3268" s="44" t="s">
        <v>515</v>
      </c>
      <c r="O3268" s="45" t="s">
        <v>371</v>
      </c>
      <c r="P3268" s="45" t="s">
        <v>3760</v>
      </c>
      <c r="Q3268" s="59" t="str">
        <f>MID(Tabla1[[#This Row],[Aplicación]],14,1)</f>
        <v>2</v>
      </c>
      <c r="R3268" s="35" t="s">
        <v>298</v>
      </c>
      <c r="S3268" s="59" t="str">
        <f>MID(Tabla1[[#This Row],[Aplicación]],6,2)</f>
        <v>10</v>
      </c>
      <c r="T3268" s="35" t="str">
        <f>VLOOKUP(Tabla1[[#This Row],[AREA]],Hoja1!A:B,2,FALSE)</f>
        <v>10. Servicios sociales y mediación comunitaria</v>
      </c>
      <c r="U3268" s="56" t="str">
        <f>MID(Tabla1[[#This Row],[Aplicación]],9,4)</f>
        <v>2311</v>
      </c>
      <c r="V3268" s="35" t="str">
        <f>VLOOKUP(Tabla1[[#This Row],[PROGRAMA]],Hoja1!A:B,2,FALSE)</f>
        <v>2311. Intervención social</v>
      </c>
      <c r="W3268" s="56" t="str">
        <f>MID(Tabla1[[#This Row],[Aplicación]],14,2)</f>
        <v>22</v>
      </c>
      <c r="X3268" s="56" t="str">
        <f>MID(Tabla1[[#This Row],[Aplicación]],14,6)</f>
        <v>22799</v>
      </c>
    </row>
    <row r="3269" spans="1:24" x14ac:dyDescent="0.25">
      <c r="A3269" s="62">
        <v>220230023202</v>
      </c>
      <c r="B3269" s="44" t="s">
        <v>1514</v>
      </c>
      <c r="C3269" s="64">
        <v>45068</v>
      </c>
      <c r="D3269" s="62">
        <v>22023000213</v>
      </c>
      <c r="E3269" s="44" t="s">
        <v>1694</v>
      </c>
      <c r="F3269" s="65">
        <v>68.430000000000007</v>
      </c>
      <c r="G3269" s="44" t="s">
        <v>1857</v>
      </c>
      <c r="H3269" s="44" t="s">
        <v>4970</v>
      </c>
      <c r="I3269" s="62" t="s">
        <v>1517</v>
      </c>
      <c r="J3269" s="44" t="s">
        <v>519</v>
      </c>
      <c r="K3269" s="44" t="s">
        <v>519</v>
      </c>
      <c r="L3269" s="44" t="s">
        <v>520</v>
      </c>
      <c r="M3269" s="44" t="s">
        <v>514</v>
      </c>
      <c r="N3269" s="44" t="s">
        <v>515</v>
      </c>
      <c r="O3269" s="45" t="s">
        <v>382</v>
      </c>
      <c r="P3269" s="45" t="s">
        <v>3760</v>
      </c>
      <c r="Q3269" s="59" t="str">
        <f>MID(Tabla1[[#This Row],[Aplicación]],14,1)</f>
        <v>2</v>
      </c>
      <c r="R3269" s="35" t="s">
        <v>298</v>
      </c>
      <c r="S3269" s="59" t="str">
        <f>MID(Tabla1[[#This Row],[Aplicación]],6,2)</f>
        <v>11</v>
      </c>
      <c r="T3269" s="35" t="str">
        <f>VLOOKUP(Tabla1[[#This Row],[AREA]],Hoja1!A:B,2,FALSE)</f>
        <v>11. Salud pública y seguridad ciudadana</v>
      </c>
      <c r="U3269" s="56" t="str">
        <f>MID(Tabla1[[#This Row],[Aplicación]],9,4)</f>
        <v>1321</v>
      </c>
      <c r="V3269" s="35" t="str">
        <f>VLOOKUP(Tabla1[[#This Row],[PROGRAMA]],Hoja1!A:B,2,FALSE)</f>
        <v>1321. Policía municipal</v>
      </c>
      <c r="W3269" s="56" t="str">
        <f>MID(Tabla1[[#This Row],[Aplicación]],14,2)</f>
        <v>21</v>
      </c>
      <c r="X3269" s="56" t="str">
        <f>MID(Tabla1[[#This Row],[Aplicación]],14,6)</f>
        <v>214</v>
      </c>
    </row>
    <row r="3270" spans="1:24" x14ac:dyDescent="0.25">
      <c r="A3270" s="62">
        <v>220230023205</v>
      </c>
      <c r="B3270" s="44" t="s">
        <v>1514</v>
      </c>
      <c r="C3270" s="64">
        <v>45068</v>
      </c>
      <c r="D3270" s="62">
        <v>22023000213</v>
      </c>
      <c r="E3270" s="44" t="s">
        <v>1694</v>
      </c>
      <c r="F3270" s="65">
        <v>211.75</v>
      </c>
      <c r="G3270" s="44" t="s">
        <v>1857</v>
      </c>
      <c r="H3270" s="44" t="s">
        <v>4971</v>
      </c>
      <c r="I3270" s="62" t="s">
        <v>1517</v>
      </c>
      <c r="J3270" s="44" t="s">
        <v>519</v>
      </c>
      <c r="K3270" s="44" t="s">
        <v>519</v>
      </c>
      <c r="L3270" s="44" t="s">
        <v>520</v>
      </c>
      <c r="M3270" s="44" t="s">
        <v>514</v>
      </c>
      <c r="N3270" s="44" t="s">
        <v>515</v>
      </c>
      <c r="O3270" s="45" t="s">
        <v>382</v>
      </c>
      <c r="P3270" s="45" t="s">
        <v>3760</v>
      </c>
      <c r="Q3270" s="59" t="str">
        <f>MID(Tabla1[[#This Row],[Aplicación]],14,1)</f>
        <v>2</v>
      </c>
      <c r="R3270" s="35" t="s">
        <v>298</v>
      </c>
      <c r="S3270" s="59" t="str">
        <f>MID(Tabla1[[#This Row],[Aplicación]],6,2)</f>
        <v>11</v>
      </c>
      <c r="T3270" s="35" t="str">
        <f>VLOOKUP(Tabla1[[#This Row],[AREA]],Hoja1!A:B,2,FALSE)</f>
        <v>11. Salud pública y seguridad ciudadana</v>
      </c>
      <c r="U3270" s="56" t="str">
        <f>MID(Tabla1[[#This Row],[Aplicación]],9,4)</f>
        <v>1321</v>
      </c>
      <c r="V3270" s="35" t="str">
        <f>VLOOKUP(Tabla1[[#This Row],[PROGRAMA]],Hoja1!A:B,2,FALSE)</f>
        <v>1321. Policía municipal</v>
      </c>
      <c r="W3270" s="56" t="str">
        <f>MID(Tabla1[[#This Row],[Aplicación]],14,2)</f>
        <v>21</v>
      </c>
      <c r="X3270" s="56" t="str">
        <f>MID(Tabla1[[#This Row],[Aplicación]],14,6)</f>
        <v>214</v>
      </c>
    </row>
    <row r="3271" spans="1:24" x14ac:dyDescent="0.25">
      <c r="A3271" s="62">
        <v>220230023208</v>
      </c>
      <c r="B3271" s="44" t="s">
        <v>1514</v>
      </c>
      <c r="C3271" s="64">
        <v>45068</v>
      </c>
      <c r="D3271" s="62">
        <v>22023000213</v>
      </c>
      <c r="E3271" s="44" t="s">
        <v>1694</v>
      </c>
      <c r="F3271" s="65">
        <v>1941.49</v>
      </c>
      <c r="G3271" s="44" t="s">
        <v>1857</v>
      </c>
      <c r="H3271" s="44" t="s">
        <v>4972</v>
      </c>
      <c r="I3271" s="62" t="s">
        <v>1517</v>
      </c>
      <c r="J3271" s="44" t="s">
        <v>519</v>
      </c>
      <c r="K3271" s="44" t="s">
        <v>519</v>
      </c>
      <c r="L3271" s="44" t="s">
        <v>520</v>
      </c>
      <c r="M3271" s="44" t="s">
        <v>514</v>
      </c>
      <c r="N3271" s="44" t="s">
        <v>515</v>
      </c>
      <c r="O3271" s="45" t="s">
        <v>382</v>
      </c>
      <c r="P3271" s="45" t="s">
        <v>3760</v>
      </c>
      <c r="Q3271" s="59" t="str">
        <f>MID(Tabla1[[#This Row],[Aplicación]],14,1)</f>
        <v>2</v>
      </c>
      <c r="R3271" s="35" t="s">
        <v>298</v>
      </c>
      <c r="S3271" s="59" t="str">
        <f>MID(Tabla1[[#This Row],[Aplicación]],6,2)</f>
        <v>11</v>
      </c>
      <c r="T3271" s="35" t="str">
        <f>VLOOKUP(Tabla1[[#This Row],[AREA]],Hoja1!A:B,2,FALSE)</f>
        <v>11. Salud pública y seguridad ciudadana</v>
      </c>
      <c r="U3271" s="56" t="str">
        <f>MID(Tabla1[[#This Row],[Aplicación]],9,4)</f>
        <v>1321</v>
      </c>
      <c r="V3271" s="35" t="str">
        <f>VLOOKUP(Tabla1[[#This Row],[PROGRAMA]],Hoja1!A:B,2,FALSE)</f>
        <v>1321. Policía municipal</v>
      </c>
      <c r="W3271" s="56" t="str">
        <f>MID(Tabla1[[#This Row],[Aplicación]],14,2)</f>
        <v>21</v>
      </c>
      <c r="X3271" s="56" t="str">
        <f>MID(Tabla1[[#This Row],[Aplicación]],14,6)</f>
        <v>214</v>
      </c>
    </row>
    <row r="3272" spans="1:24" x14ac:dyDescent="0.25">
      <c r="A3272" s="62">
        <v>220230026146</v>
      </c>
      <c r="B3272" s="44" t="s">
        <v>1514</v>
      </c>
      <c r="C3272" s="64">
        <v>45077</v>
      </c>
      <c r="D3272" s="62">
        <v>22023000263</v>
      </c>
      <c r="E3272" s="44" t="s">
        <v>3146</v>
      </c>
      <c r="F3272" s="65">
        <v>111.13</v>
      </c>
      <c r="G3272" s="44" t="s">
        <v>1857</v>
      </c>
      <c r="H3272" s="44" t="s">
        <v>4973</v>
      </c>
      <c r="I3272" s="62" t="s">
        <v>1517</v>
      </c>
      <c r="J3272" s="44" t="s">
        <v>519</v>
      </c>
      <c r="K3272" s="44" t="s">
        <v>519</v>
      </c>
      <c r="L3272" s="44" t="s">
        <v>552</v>
      </c>
      <c r="M3272" s="44" t="s">
        <v>514</v>
      </c>
      <c r="N3272" s="44" t="s">
        <v>515</v>
      </c>
      <c r="O3272" s="45" t="s">
        <v>382</v>
      </c>
      <c r="P3272" s="45" t="s">
        <v>3760</v>
      </c>
      <c r="Q3272" s="59" t="str">
        <f>MID(Tabla1[[#This Row],[Aplicación]],14,1)</f>
        <v>2</v>
      </c>
      <c r="R3272" s="35" t="s">
        <v>298</v>
      </c>
      <c r="S3272" s="59" t="str">
        <f>MID(Tabla1[[#This Row],[Aplicación]],6,2)</f>
        <v>02</v>
      </c>
      <c r="T3272" s="35" t="str">
        <f>VLOOKUP(Tabla1[[#This Row],[AREA]],Hoja1!A:B,2,FALSE)</f>
        <v>02. Planeamiento urbanístico y vivienda</v>
      </c>
      <c r="U3272" s="56" t="str">
        <f>MID(Tabla1[[#This Row],[Aplicación]],9,4)</f>
        <v>9332</v>
      </c>
      <c r="V3272" s="35" t="str">
        <f>VLOOKUP(Tabla1[[#This Row],[PROGRAMA]],Hoja1!A:B,2,FALSE)</f>
        <v>9332. Mantenimiento de edificios e instalaciones municipales</v>
      </c>
      <c r="W3272" s="56" t="str">
        <f>MID(Tabla1[[#This Row],[Aplicación]],14,2)</f>
        <v>21</v>
      </c>
      <c r="X3272" s="56" t="str">
        <f>MID(Tabla1[[#This Row],[Aplicación]],14,6)</f>
        <v>214</v>
      </c>
    </row>
    <row r="3273" spans="1:24" x14ac:dyDescent="0.25">
      <c r="A3273" s="62">
        <v>220230018442</v>
      </c>
      <c r="B3273" s="44" t="s">
        <v>1514</v>
      </c>
      <c r="C3273" s="64">
        <v>45055</v>
      </c>
      <c r="D3273" s="62">
        <v>22023001459</v>
      </c>
      <c r="E3273" s="44" t="s">
        <v>1290</v>
      </c>
      <c r="F3273" s="65">
        <v>1536.7</v>
      </c>
      <c r="G3273" s="44" t="s">
        <v>3301</v>
      </c>
      <c r="H3273" s="44" t="s">
        <v>4974</v>
      </c>
      <c r="I3273" s="62" t="s">
        <v>1517</v>
      </c>
      <c r="J3273" s="44" t="s">
        <v>519</v>
      </c>
      <c r="K3273" s="44" t="s">
        <v>519</v>
      </c>
      <c r="L3273" s="44" t="s">
        <v>520</v>
      </c>
      <c r="M3273" s="44" t="s">
        <v>514</v>
      </c>
      <c r="N3273" s="44" t="s">
        <v>515</v>
      </c>
      <c r="O3273" s="45" t="s">
        <v>382</v>
      </c>
      <c r="P3273" s="45" t="s">
        <v>3760</v>
      </c>
      <c r="Q3273" s="59" t="str">
        <f>MID(Tabla1[[#This Row],[Aplicación]],14,1)</f>
        <v>2</v>
      </c>
      <c r="R3273" s="35" t="s">
        <v>298</v>
      </c>
      <c r="S3273" s="59" t="str">
        <f>MID(Tabla1[[#This Row],[Aplicación]],6,2)</f>
        <v>11</v>
      </c>
      <c r="T3273" s="35" t="str">
        <f>VLOOKUP(Tabla1[[#This Row],[AREA]],Hoja1!A:B,2,FALSE)</f>
        <v>11. Salud pública y seguridad ciudadana</v>
      </c>
      <c r="U3273" s="56" t="str">
        <f>MID(Tabla1[[#This Row],[Aplicación]],9,4)</f>
        <v>1621</v>
      </c>
      <c r="V3273" s="35" t="str">
        <f>VLOOKUP(Tabla1[[#This Row],[PROGRAMA]],Hoja1!A:B,2,FALSE)</f>
        <v>1621. Servicio de limpieza</v>
      </c>
      <c r="W3273" s="56" t="str">
        <f>MID(Tabla1[[#This Row],[Aplicación]],14,2)</f>
        <v>21</v>
      </c>
      <c r="X3273" s="56" t="str">
        <f>MID(Tabla1[[#This Row],[Aplicación]],14,6)</f>
        <v>214</v>
      </c>
    </row>
    <row r="3274" spans="1:24" x14ac:dyDescent="0.25">
      <c r="A3274" s="62">
        <v>220230026494</v>
      </c>
      <c r="B3274" s="44" t="s">
        <v>1514</v>
      </c>
      <c r="C3274" s="64">
        <v>45077</v>
      </c>
      <c r="D3274" s="62">
        <v>22023001459</v>
      </c>
      <c r="E3274" s="44" t="s">
        <v>1290</v>
      </c>
      <c r="F3274" s="65">
        <v>2538.33</v>
      </c>
      <c r="G3274" s="44" t="s">
        <v>3301</v>
      </c>
      <c r="H3274" s="44" t="s">
        <v>4975</v>
      </c>
      <c r="I3274" s="62" t="s">
        <v>1517</v>
      </c>
      <c r="J3274" s="44" t="s">
        <v>519</v>
      </c>
      <c r="K3274" s="44" t="s">
        <v>519</v>
      </c>
      <c r="L3274" s="44" t="s">
        <v>520</v>
      </c>
      <c r="M3274" s="44" t="s">
        <v>514</v>
      </c>
      <c r="N3274" s="44" t="s">
        <v>515</v>
      </c>
      <c r="O3274" s="45" t="s">
        <v>382</v>
      </c>
      <c r="P3274" s="45" t="s">
        <v>3760</v>
      </c>
      <c r="Q3274" s="59" t="str">
        <f>MID(Tabla1[[#This Row],[Aplicación]],14,1)</f>
        <v>2</v>
      </c>
      <c r="R3274" s="35" t="s">
        <v>298</v>
      </c>
      <c r="S3274" s="59" t="str">
        <f>MID(Tabla1[[#This Row],[Aplicación]],6,2)</f>
        <v>11</v>
      </c>
      <c r="T3274" s="35" t="str">
        <f>VLOOKUP(Tabla1[[#This Row],[AREA]],Hoja1!A:B,2,FALSE)</f>
        <v>11. Salud pública y seguridad ciudadana</v>
      </c>
      <c r="U3274" s="56" t="str">
        <f>MID(Tabla1[[#This Row],[Aplicación]],9,4)</f>
        <v>1621</v>
      </c>
      <c r="V3274" s="35" t="str">
        <f>VLOOKUP(Tabla1[[#This Row],[PROGRAMA]],Hoja1!A:B,2,FALSE)</f>
        <v>1621. Servicio de limpieza</v>
      </c>
      <c r="W3274" s="56" t="str">
        <f>MID(Tabla1[[#This Row],[Aplicación]],14,2)</f>
        <v>21</v>
      </c>
      <c r="X3274" s="56" t="str">
        <f>MID(Tabla1[[#This Row],[Aplicación]],14,6)</f>
        <v>214</v>
      </c>
    </row>
    <row r="3275" spans="1:24" x14ac:dyDescent="0.25">
      <c r="A3275" s="62">
        <v>220230013499</v>
      </c>
      <c r="B3275" s="44" t="s">
        <v>1514</v>
      </c>
      <c r="C3275" s="64">
        <v>45021</v>
      </c>
      <c r="D3275" s="62">
        <v>22023002053</v>
      </c>
      <c r="E3275" s="44" t="s">
        <v>2107</v>
      </c>
      <c r="F3275" s="65">
        <v>354.77</v>
      </c>
      <c r="G3275" s="44" t="s">
        <v>2120</v>
      </c>
      <c r="H3275" s="44" t="s">
        <v>4976</v>
      </c>
      <c r="I3275" s="62" t="s">
        <v>1517</v>
      </c>
      <c r="J3275" s="44" t="s">
        <v>519</v>
      </c>
      <c r="K3275" s="44" t="s">
        <v>519</v>
      </c>
      <c r="L3275" s="44" t="s">
        <v>520</v>
      </c>
      <c r="M3275" s="44" t="s">
        <v>514</v>
      </c>
      <c r="N3275" s="44" t="s">
        <v>515</v>
      </c>
      <c r="O3275" s="45" t="s">
        <v>382</v>
      </c>
      <c r="P3275" s="45" t="s">
        <v>3760</v>
      </c>
      <c r="Q3275" s="59" t="str">
        <f>MID(Tabla1[[#This Row],[Aplicación]],14,1)</f>
        <v>2</v>
      </c>
      <c r="R3275" s="35" t="s">
        <v>298</v>
      </c>
      <c r="S3275" s="59" t="str">
        <f>MID(Tabla1[[#This Row],[Aplicación]],6,2)</f>
        <v>07</v>
      </c>
      <c r="T3275" s="35" t="str">
        <f>VLOOKUP(Tabla1[[#This Row],[AREA]],Hoja1!A:B,2,FALSE)</f>
        <v>07. Medio ambiente y desarrollo sostenible</v>
      </c>
      <c r="U3275" s="56" t="str">
        <f>MID(Tabla1[[#This Row],[Aplicación]],9,4)</f>
        <v>1711</v>
      </c>
      <c r="V3275" s="35" t="str">
        <f>VLOOKUP(Tabla1[[#This Row],[PROGRAMA]],Hoja1!A:B,2,FALSE)</f>
        <v>1711. Parques y jardines</v>
      </c>
      <c r="W3275" s="56" t="str">
        <f>MID(Tabla1[[#This Row],[Aplicación]],14,2)</f>
        <v>21</v>
      </c>
      <c r="X3275" s="56" t="str">
        <f>MID(Tabla1[[#This Row],[Aplicación]],14,6)</f>
        <v>213</v>
      </c>
    </row>
    <row r="3276" spans="1:24" x14ac:dyDescent="0.25">
      <c r="A3276" s="62">
        <v>220230014129</v>
      </c>
      <c r="B3276" s="44" t="s">
        <v>1514</v>
      </c>
      <c r="C3276" s="64">
        <v>45035</v>
      </c>
      <c r="D3276" s="62">
        <v>22023002053</v>
      </c>
      <c r="E3276" s="44" t="s">
        <v>2107</v>
      </c>
      <c r="F3276" s="65">
        <v>21.71</v>
      </c>
      <c r="G3276" s="44" t="s">
        <v>2120</v>
      </c>
      <c r="H3276" s="44" t="s">
        <v>4977</v>
      </c>
      <c r="I3276" s="62" t="s">
        <v>1517</v>
      </c>
      <c r="J3276" s="44" t="s">
        <v>519</v>
      </c>
      <c r="K3276" s="44" t="s">
        <v>519</v>
      </c>
      <c r="L3276" s="44" t="s">
        <v>520</v>
      </c>
      <c r="M3276" s="44" t="s">
        <v>514</v>
      </c>
      <c r="N3276" s="44" t="s">
        <v>515</v>
      </c>
      <c r="O3276" s="45" t="s">
        <v>382</v>
      </c>
      <c r="P3276" s="45" t="s">
        <v>3760</v>
      </c>
      <c r="Q3276" s="59" t="str">
        <f>MID(Tabla1[[#This Row],[Aplicación]],14,1)</f>
        <v>2</v>
      </c>
      <c r="R3276" s="35" t="s">
        <v>298</v>
      </c>
      <c r="S3276" s="59" t="str">
        <f>MID(Tabla1[[#This Row],[Aplicación]],6,2)</f>
        <v>07</v>
      </c>
      <c r="T3276" s="35" t="str">
        <f>VLOOKUP(Tabla1[[#This Row],[AREA]],Hoja1!A:B,2,FALSE)</f>
        <v>07. Medio ambiente y desarrollo sostenible</v>
      </c>
      <c r="U3276" s="56" t="str">
        <f>MID(Tabla1[[#This Row],[Aplicación]],9,4)</f>
        <v>1711</v>
      </c>
      <c r="V3276" s="35" t="str">
        <f>VLOOKUP(Tabla1[[#This Row],[PROGRAMA]],Hoja1!A:B,2,FALSE)</f>
        <v>1711. Parques y jardines</v>
      </c>
      <c r="W3276" s="56" t="str">
        <f>MID(Tabla1[[#This Row],[Aplicación]],14,2)</f>
        <v>21</v>
      </c>
      <c r="X3276" s="56" t="str">
        <f>MID(Tabla1[[#This Row],[Aplicación]],14,6)</f>
        <v>213</v>
      </c>
    </row>
    <row r="3277" spans="1:24" x14ac:dyDescent="0.25">
      <c r="A3277" s="62">
        <v>220230016415</v>
      </c>
      <c r="B3277" s="44" t="s">
        <v>1514</v>
      </c>
      <c r="C3277" s="64">
        <v>45043</v>
      </c>
      <c r="D3277" s="62">
        <v>22023002053</v>
      </c>
      <c r="E3277" s="44" t="s">
        <v>2107</v>
      </c>
      <c r="F3277" s="65">
        <v>94.02</v>
      </c>
      <c r="G3277" s="44" t="s">
        <v>2120</v>
      </c>
      <c r="H3277" s="44" t="s">
        <v>4978</v>
      </c>
      <c r="I3277" s="62" t="s">
        <v>1517</v>
      </c>
      <c r="J3277" s="44" t="s">
        <v>519</v>
      </c>
      <c r="K3277" s="44" t="s">
        <v>519</v>
      </c>
      <c r="L3277" s="44" t="s">
        <v>520</v>
      </c>
      <c r="M3277" s="44" t="s">
        <v>514</v>
      </c>
      <c r="N3277" s="44" t="s">
        <v>515</v>
      </c>
      <c r="O3277" s="45" t="s">
        <v>382</v>
      </c>
      <c r="P3277" s="45" t="s">
        <v>3760</v>
      </c>
      <c r="Q3277" s="59" t="str">
        <f>MID(Tabla1[[#This Row],[Aplicación]],14,1)</f>
        <v>2</v>
      </c>
      <c r="R3277" s="35" t="s">
        <v>298</v>
      </c>
      <c r="S3277" s="59" t="str">
        <f>MID(Tabla1[[#This Row],[Aplicación]],6,2)</f>
        <v>07</v>
      </c>
      <c r="T3277" s="35" t="str">
        <f>VLOOKUP(Tabla1[[#This Row],[AREA]],Hoja1!A:B,2,FALSE)</f>
        <v>07. Medio ambiente y desarrollo sostenible</v>
      </c>
      <c r="U3277" s="56" t="str">
        <f>MID(Tabla1[[#This Row],[Aplicación]],9,4)</f>
        <v>1711</v>
      </c>
      <c r="V3277" s="35" t="str">
        <f>VLOOKUP(Tabla1[[#This Row],[PROGRAMA]],Hoja1!A:B,2,FALSE)</f>
        <v>1711. Parques y jardines</v>
      </c>
      <c r="W3277" s="56" t="str">
        <f>MID(Tabla1[[#This Row],[Aplicación]],14,2)</f>
        <v>21</v>
      </c>
      <c r="X3277" s="56" t="str">
        <f>MID(Tabla1[[#This Row],[Aplicación]],14,6)</f>
        <v>213</v>
      </c>
    </row>
    <row r="3278" spans="1:24" x14ac:dyDescent="0.25">
      <c r="A3278" s="62">
        <v>220230020994</v>
      </c>
      <c r="B3278" s="44" t="s">
        <v>1514</v>
      </c>
      <c r="C3278" s="64">
        <v>45062</v>
      </c>
      <c r="D3278" s="62">
        <v>22023002161</v>
      </c>
      <c r="E3278" s="44" t="s">
        <v>2107</v>
      </c>
      <c r="F3278" s="65">
        <v>752.45</v>
      </c>
      <c r="G3278" s="44" t="s">
        <v>2120</v>
      </c>
      <c r="H3278" s="44" t="s">
        <v>4979</v>
      </c>
      <c r="I3278" s="62" t="s">
        <v>1517</v>
      </c>
      <c r="J3278" s="44" t="s">
        <v>519</v>
      </c>
      <c r="K3278" s="44" t="s">
        <v>519</v>
      </c>
      <c r="L3278" s="44" t="s">
        <v>520</v>
      </c>
      <c r="M3278" s="44" t="s">
        <v>514</v>
      </c>
      <c r="N3278" s="44" t="s">
        <v>515</v>
      </c>
      <c r="O3278" s="45" t="s">
        <v>382</v>
      </c>
      <c r="P3278" s="45" t="s">
        <v>3760</v>
      </c>
      <c r="Q3278" s="59" t="str">
        <f>MID(Tabla1[[#This Row],[Aplicación]],14,1)</f>
        <v>2</v>
      </c>
      <c r="R3278" s="35" t="s">
        <v>298</v>
      </c>
      <c r="S3278" s="59" t="str">
        <f>MID(Tabla1[[#This Row],[Aplicación]],6,2)</f>
        <v>07</v>
      </c>
      <c r="T3278" s="35" t="str">
        <f>VLOOKUP(Tabla1[[#This Row],[AREA]],Hoja1!A:B,2,FALSE)</f>
        <v>07. Medio ambiente y desarrollo sostenible</v>
      </c>
      <c r="U3278" s="56" t="str">
        <f>MID(Tabla1[[#This Row],[Aplicación]],9,4)</f>
        <v>1711</v>
      </c>
      <c r="V3278" s="35" t="str">
        <f>VLOOKUP(Tabla1[[#This Row],[PROGRAMA]],Hoja1!A:B,2,FALSE)</f>
        <v>1711. Parques y jardines</v>
      </c>
      <c r="W3278" s="56" t="str">
        <f>MID(Tabla1[[#This Row],[Aplicación]],14,2)</f>
        <v>21</v>
      </c>
      <c r="X3278" s="56" t="str">
        <f>MID(Tabla1[[#This Row],[Aplicación]],14,6)</f>
        <v>213</v>
      </c>
    </row>
    <row r="3279" spans="1:24" x14ac:dyDescent="0.25">
      <c r="A3279" s="62">
        <v>220230021061</v>
      </c>
      <c r="B3279" s="44" t="s">
        <v>1514</v>
      </c>
      <c r="C3279" s="64">
        <v>45062</v>
      </c>
      <c r="D3279" s="62">
        <v>22023002053</v>
      </c>
      <c r="E3279" s="44" t="s">
        <v>2107</v>
      </c>
      <c r="F3279" s="65">
        <v>109.93</v>
      </c>
      <c r="G3279" s="44" t="s">
        <v>2120</v>
      </c>
      <c r="H3279" s="44" t="s">
        <v>4980</v>
      </c>
      <c r="I3279" s="62" t="s">
        <v>1517</v>
      </c>
      <c r="J3279" s="44" t="s">
        <v>519</v>
      </c>
      <c r="K3279" s="44" t="s">
        <v>519</v>
      </c>
      <c r="L3279" s="44" t="s">
        <v>520</v>
      </c>
      <c r="M3279" s="44" t="s">
        <v>514</v>
      </c>
      <c r="N3279" s="44" t="s">
        <v>515</v>
      </c>
      <c r="O3279" s="45" t="s">
        <v>382</v>
      </c>
      <c r="P3279" s="45" t="s">
        <v>3760</v>
      </c>
      <c r="Q3279" s="59" t="str">
        <f>MID(Tabla1[[#This Row],[Aplicación]],14,1)</f>
        <v>2</v>
      </c>
      <c r="R3279" s="35" t="s">
        <v>298</v>
      </c>
      <c r="S3279" s="59" t="str">
        <f>MID(Tabla1[[#This Row],[Aplicación]],6,2)</f>
        <v>07</v>
      </c>
      <c r="T3279" s="35" t="str">
        <f>VLOOKUP(Tabla1[[#This Row],[AREA]],Hoja1!A:B,2,FALSE)</f>
        <v>07. Medio ambiente y desarrollo sostenible</v>
      </c>
      <c r="U3279" s="56" t="str">
        <f>MID(Tabla1[[#This Row],[Aplicación]],9,4)</f>
        <v>1711</v>
      </c>
      <c r="V3279" s="35" t="str">
        <f>VLOOKUP(Tabla1[[#This Row],[PROGRAMA]],Hoja1!A:B,2,FALSE)</f>
        <v>1711. Parques y jardines</v>
      </c>
      <c r="W3279" s="56" t="str">
        <f>MID(Tabla1[[#This Row],[Aplicación]],14,2)</f>
        <v>21</v>
      </c>
      <c r="X3279" s="56" t="str">
        <f>MID(Tabla1[[#This Row],[Aplicación]],14,6)</f>
        <v>213</v>
      </c>
    </row>
    <row r="3280" spans="1:24" x14ac:dyDescent="0.25">
      <c r="A3280" s="63">
        <v>220230016805</v>
      </c>
      <c r="B3280" s="44" t="s">
        <v>3284</v>
      </c>
      <c r="C3280" s="64">
        <v>45044</v>
      </c>
      <c r="D3280" s="62">
        <v>22023001315</v>
      </c>
      <c r="E3280" s="44" t="s">
        <v>539</v>
      </c>
      <c r="F3280" s="65">
        <v>-56919.99</v>
      </c>
      <c r="G3280" s="44" t="s">
        <v>540</v>
      </c>
      <c r="H3280" s="44" t="s">
        <v>4965</v>
      </c>
      <c r="I3280" s="62" t="s">
        <v>3286</v>
      </c>
      <c r="J3280" s="44" t="s">
        <v>512</v>
      </c>
      <c r="K3280" s="44" t="s">
        <v>512</v>
      </c>
      <c r="L3280" s="44" t="s">
        <v>520</v>
      </c>
      <c r="M3280" s="44" t="s">
        <v>514</v>
      </c>
      <c r="N3280" s="44" t="s">
        <v>515</v>
      </c>
      <c r="O3280" s="45" t="s">
        <v>371</v>
      </c>
      <c r="P3280" s="45" t="s">
        <v>3760</v>
      </c>
      <c r="Q3280" s="59" t="str">
        <f>MID(Tabla1[[#This Row],[Aplicación]],14,1)</f>
        <v>2</v>
      </c>
      <c r="R3280" s="35" t="s">
        <v>298</v>
      </c>
      <c r="S3280" s="59" t="str">
        <f>MID(Tabla1[[#This Row],[Aplicación]],6,2)</f>
        <v>10</v>
      </c>
      <c r="T3280" s="35" t="str">
        <f>VLOOKUP(Tabla1[[#This Row],[AREA]],Hoja1!A:B,2,FALSE)</f>
        <v>10. Servicios sociales y mediación comunitaria</v>
      </c>
      <c r="U3280" s="56" t="str">
        <f>MID(Tabla1[[#This Row],[Aplicación]],9,4)</f>
        <v>2312</v>
      </c>
      <c r="V3280" s="35" t="str">
        <f>VLOOKUP(Tabla1[[#This Row],[PROGRAMA]],Hoja1!A:B,2,FALSE)</f>
        <v>2312. Iniciativas sociales</v>
      </c>
      <c r="W3280" s="56" t="str">
        <f>MID(Tabla1[[#This Row],[Aplicación]],14,2)</f>
        <v>22</v>
      </c>
      <c r="X3280" s="56" t="str">
        <f>MID(Tabla1[[#This Row],[Aplicación]],14,6)</f>
        <v>22799</v>
      </c>
    </row>
    <row r="3281" spans="1:24" x14ac:dyDescent="0.25">
      <c r="A3281" s="62">
        <v>220230023252</v>
      </c>
      <c r="B3281" s="44" t="s">
        <v>1514</v>
      </c>
      <c r="C3281" s="64">
        <v>45068</v>
      </c>
      <c r="D3281" s="62">
        <v>22023001412</v>
      </c>
      <c r="E3281" s="44" t="s">
        <v>1510</v>
      </c>
      <c r="F3281" s="65">
        <v>296.45</v>
      </c>
      <c r="G3281" s="44" t="s">
        <v>23</v>
      </c>
      <c r="H3281" s="44" t="s">
        <v>4981</v>
      </c>
      <c r="I3281" s="62" t="s">
        <v>1517</v>
      </c>
      <c r="J3281" s="44" t="s">
        <v>519</v>
      </c>
      <c r="K3281" s="44" t="s">
        <v>519</v>
      </c>
      <c r="L3281" s="44" t="s">
        <v>552</v>
      </c>
      <c r="M3281" s="44" t="s">
        <v>514</v>
      </c>
      <c r="N3281" s="44" t="s">
        <v>515</v>
      </c>
      <c r="O3281" s="45" t="s">
        <v>382</v>
      </c>
      <c r="P3281" s="45" t="s">
        <v>3760</v>
      </c>
      <c r="Q3281" s="59" t="str">
        <f>MID(Tabla1[[#This Row],[Aplicación]],14,1)</f>
        <v>2</v>
      </c>
      <c r="R3281" s="35" t="s">
        <v>298</v>
      </c>
      <c r="S3281" s="59" t="str">
        <f>MID(Tabla1[[#This Row],[Aplicación]],6,2)</f>
        <v>10</v>
      </c>
      <c r="T3281" s="35" t="str">
        <f>VLOOKUP(Tabla1[[#This Row],[AREA]],Hoja1!A:B,2,FALSE)</f>
        <v>10. Servicios sociales y mediación comunitaria</v>
      </c>
      <c r="U3281" s="56" t="str">
        <f>MID(Tabla1[[#This Row],[Aplicación]],9,4)</f>
        <v>2311</v>
      </c>
      <c r="V3281" s="35" t="str">
        <f>VLOOKUP(Tabla1[[#This Row],[PROGRAMA]],Hoja1!A:B,2,FALSE)</f>
        <v>2311. Intervención social</v>
      </c>
      <c r="W3281" s="56" t="str">
        <f>MID(Tabla1[[#This Row],[Aplicación]],14,2)</f>
        <v>21</v>
      </c>
      <c r="X3281" s="56" t="str">
        <f>MID(Tabla1[[#This Row],[Aplicación]],14,6)</f>
        <v>212</v>
      </c>
    </row>
    <row r="3282" spans="1:24" x14ac:dyDescent="0.25">
      <c r="A3282" s="62">
        <v>220230016256</v>
      </c>
      <c r="B3282" s="44" t="s">
        <v>1514</v>
      </c>
      <c r="C3282" s="64">
        <v>45043</v>
      </c>
      <c r="D3282" s="62">
        <v>22023001609</v>
      </c>
      <c r="E3282" s="44" t="s">
        <v>663</v>
      </c>
      <c r="F3282" s="65">
        <v>528.16999999999996</v>
      </c>
      <c r="G3282" s="44" t="s">
        <v>324</v>
      </c>
      <c r="H3282" s="44" t="s">
        <v>4982</v>
      </c>
      <c r="I3282" s="62" t="s">
        <v>1517</v>
      </c>
      <c r="J3282" s="44" t="s">
        <v>519</v>
      </c>
      <c r="K3282" s="44" t="s">
        <v>519</v>
      </c>
      <c r="L3282" s="44" t="s">
        <v>552</v>
      </c>
      <c r="M3282" s="44" t="s">
        <v>514</v>
      </c>
      <c r="N3282" s="44" t="s">
        <v>515</v>
      </c>
      <c r="O3282" s="45" t="s">
        <v>382</v>
      </c>
      <c r="P3282" s="45" t="s">
        <v>3760</v>
      </c>
      <c r="Q3282" s="59" t="str">
        <f>MID(Tabla1[[#This Row],[Aplicación]],14,1)</f>
        <v>2</v>
      </c>
      <c r="R3282" s="35" t="s">
        <v>298</v>
      </c>
      <c r="S3282" s="59" t="str">
        <f>MID(Tabla1[[#This Row],[Aplicación]],6,2)</f>
        <v>08</v>
      </c>
      <c r="T3282" s="35" t="str">
        <f>VLOOKUP(Tabla1[[#This Row],[AREA]],Hoja1!A:B,2,FALSE)</f>
        <v>08. Movilidad y espacio urbano</v>
      </c>
      <c r="U3282" s="56" t="str">
        <f>MID(Tabla1[[#This Row],[Aplicación]],9,4)</f>
        <v>1532</v>
      </c>
      <c r="V3282" s="35" t="str">
        <f>VLOOKUP(Tabla1[[#This Row],[PROGRAMA]],Hoja1!A:B,2,FALSE)</f>
        <v>1532. Pavimentación vias públicas y otros servicios urbanísticos</v>
      </c>
      <c r="W3282" s="56" t="str">
        <f>MID(Tabla1[[#This Row],[Aplicación]],14,2)</f>
        <v>20</v>
      </c>
      <c r="X3282" s="56" t="str">
        <f>MID(Tabla1[[#This Row],[Aplicación]],14,6)</f>
        <v>203</v>
      </c>
    </row>
    <row r="3283" spans="1:24" x14ac:dyDescent="0.25">
      <c r="A3283" s="62">
        <v>220230016229</v>
      </c>
      <c r="B3283" s="44" t="s">
        <v>1514</v>
      </c>
      <c r="C3283" s="64">
        <v>45043</v>
      </c>
      <c r="D3283" s="62">
        <v>22023000213</v>
      </c>
      <c r="E3283" s="44" t="s">
        <v>1694</v>
      </c>
      <c r="F3283" s="65">
        <v>99.05</v>
      </c>
      <c r="G3283" s="44" t="s">
        <v>317</v>
      </c>
      <c r="H3283" s="44" t="s">
        <v>4983</v>
      </c>
      <c r="I3283" s="62" t="s">
        <v>1517</v>
      </c>
      <c r="J3283" s="44" t="s">
        <v>519</v>
      </c>
      <c r="K3283" s="44" t="s">
        <v>519</v>
      </c>
      <c r="L3283" s="44" t="s">
        <v>520</v>
      </c>
      <c r="M3283" s="44" t="s">
        <v>514</v>
      </c>
      <c r="N3283" s="44" t="s">
        <v>515</v>
      </c>
      <c r="O3283" s="45" t="s">
        <v>382</v>
      </c>
      <c r="P3283" s="45" t="s">
        <v>3760</v>
      </c>
      <c r="Q3283" s="59" t="str">
        <f>MID(Tabla1[[#This Row],[Aplicación]],14,1)</f>
        <v>2</v>
      </c>
      <c r="R3283" s="35" t="s">
        <v>298</v>
      </c>
      <c r="S3283" s="59" t="str">
        <f>MID(Tabla1[[#This Row],[Aplicación]],6,2)</f>
        <v>11</v>
      </c>
      <c r="T3283" s="35" t="str">
        <f>VLOOKUP(Tabla1[[#This Row],[AREA]],Hoja1!A:B,2,FALSE)</f>
        <v>11. Salud pública y seguridad ciudadana</v>
      </c>
      <c r="U3283" s="56" t="str">
        <f>MID(Tabla1[[#This Row],[Aplicación]],9,4)</f>
        <v>1321</v>
      </c>
      <c r="V3283" s="35" t="str">
        <f>VLOOKUP(Tabla1[[#This Row],[PROGRAMA]],Hoja1!A:B,2,FALSE)</f>
        <v>1321. Policía municipal</v>
      </c>
      <c r="W3283" s="56" t="str">
        <f>MID(Tabla1[[#This Row],[Aplicación]],14,2)</f>
        <v>21</v>
      </c>
      <c r="X3283" s="56" t="str">
        <f>MID(Tabla1[[#This Row],[Aplicación]],14,6)</f>
        <v>214</v>
      </c>
    </row>
    <row r="3284" spans="1:24" x14ac:dyDescent="0.25">
      <c r="A3284" s="62">
        <v>220230016231</v>
      </c>
      <c r="B3284" s="44" t="s">
        <v>1514</v>
      </c>
      <c r="C3284" s="64">
        <v>45043</v>
      </c>
      <c r="D3284" s="62">
        <v>22023000213</v>
      </c>
      <c r="E3284" s="44" t="s">
        <v>1694</v>
      </c>
      <c r="F3284" s="65">
        <v>43.85</v>
      </c>
      <c r="G3284" s="44" t="s">
        <v>317</v>
      </c>
      <c r="H3284" s="44" t="s">
        <v>4984</v>
      </c>
      <c r="I3284" s="62" t="s">
        <v>1517</v>
      </c>
      <c r="J3284" s="44" t="s">
        <v>519</v>
      </c>
      <c r="K3284" s="44" t="s">
        <v>519</v>
      </c>
      <c r="L3284" s="44" t="s">
        <v>520</v>
      </c>
      <c r="M3284" s="44" t="s">
        <v>514</v>
      </c>
      <c r="N3284" s="44" t="s">
        <v>515</v>
      </c>
      <c r="O3284" s="45" t="s">
        <v>382</v>
      </c>
      <c r="P3284" s="45" t="s">
        <v>3760</v>
      </c>
      <c r="Q3284" s="59" t="str">
        <f>MID(Tabla1[[#This Row],[Aplicación]],14,1)</f>
        <v>2</v>
      </c>
      <c r="R3284" s="35" t="s">
        <v>298</v>
      </c>
      <c r="S3284" s="59" t="str">
        <f>MID(Tabla1[[#This Row],[Aplicación]],6,2)</f>
        <v>11</v>
      </c>
      <c r="T3284" s="35" t="str">
        <f>VLOOKUP(Tabla1[[#This Row],[AREA]],Hoja1!A:B,2,FALSE)</f>
        <v>11. Salud pública y seguridad ciudadana</v>
      </c>
      <c r="U3284" s="56" t="str">
        <f>MID(Tabla1[[#This Row],[Aplicación]],9,4)</f>
        <v>1321</v>
      </c>
      <c r="V3284" s="35" t="str">
        <f>VLOOKUP(Tabla1[[#This Row],[PROGRAMA]],Hoja1!A:B,2,FALSE)</f>
        <v>1321. Policía municipal</v>
      </c>
      <c r="W3284" s="56" t="str">
        <f>MID(Tabla1[[#This Row],[Aplicación]],14,2)</f>
        <v>21</v>
      </c>
      <c r="X3284" s="56" t="str">
        <f>MID(Tabla1[[#This Row],[Aplicación]],14,6)</f>
        <v>214</v>
      </c>
    </row>
    <row r="3285" spans="1:24" x14ac:dyDescent="0.25">
      <c r="A3285" s="62">
        <v>220230018649</v>
      </c>
      <c r="B3285" s="44" t="s">
        <v>1514</v>
      </c>
      <c r="C3285" s="64">
        <v>45055</v>
      </c>
      <c r="D3285" s="62">
        <v>22023001956</v>
      </c>
      <c r="E3285" s="44" t="s">
        <v>1982</v>
      </c>
      <c r="F3285" s="65">
        <v>157.11000000000001</v>
      </c>
      <c r="G3285" s="44" t="s">
        <v>317</v>
      </c>
      <c r="H3285" s="44" t="s">
        <v>4985</v>
      </c>
      <c r="I3285" s="62" t="s">
        <v>1517</v>
      </c>
      <c r="J3285" s="44" t="s">
        <v>519</v>
      </c>
      <c r="K3285" s="44" t="s">
        <v>519</v>
      </c>
      <c r="L3285" s="44" t="s">
        <v>520</v>
      </c>
      <c r="M3285" s="44" t="s">
        <v>514</v>
      </c>
      <c r="N3285" s="44" t="s">
        <v>515</v>
      </c>
      <c r="O3285" s="45" t="s">
        <v>382</v>
      </c>
      <c r="P3285" s="45" t="s">
        <v>3760</v>
      </c>
      <c r="Q3285" s="59" t="str">
        <f>MID(Tabla1[[#This Row],[Aplicación]],14,1)</f>
        <v>2</v>
      </c>
      <c r="R3285" s="35" t="s">
        <v>298</v>
      </c>
      <c r="S3285" s="59" t="str">
        <f>MID(Tabla1[[#This Row],[Aplicación]],6,2)</f>
        <v>07</v>
      </c>
      <c r="T3285" s="35" t="str">
        <f>VLOOKUP(Tabla1[[#This Row],[AREA]],Hoja1!A:B,2,FALSE)</f>
        <v>07. Medio ambiente y desarrollo sostenible</v>
      </c>
      <c r="U3285" s="56" t="str">
        <f>MID(Tabla1[[#This Row],[Aplicación]],9,4)</f>
        <v>1711</v>
      </c>
      <c r="V3285" s="35" t="str">
        <f>VLOOKUP(Tabla1[[#This Row],[PROGRAMA]],Hoja1!A:B,2,FALSE)</f>
        <v>1711. Parques y jardines</v>
      </c>
      <c r="W3285" s="56" t="str">
        <f>MID(Tabla1[[#This Row],[Aplicación]],14,2)</f>
        <v>21</v>
      </c>
      <c r="X3285" s="56" t="str">
        <f>MID(Tabla1[[#This Row],[Aplicación]],14,6)</f>
        <v>214</v>
      </c>
    </row>
    <row r="3286" spans="1:24" x14ac:dyDescent="0.25">
      <c r="A3286" s="62">
        <v>220230018651</v>
      </c>
      <c r="B3286" s="44" t="s">
        <v>1514</v>
      </c>
      <c r="C3286" s="64">
        <v>45055</v>
      </c>
      <c r="D3286" s="62">
        <v>22023001956</v>
      </c>
      <c r="E3286" s="44" t="s">
        <v>1982</v>
      </c>
      <c r="F3286" s="65">
        <v>157.11000000000001</v>
      </c>
      <c r="G3286" s="44" t="s">
        <v>317</v>
      </c>
      <c r="H3286" s="44" t="s">
        <v>4986</v>
      </c>
      <c r="I3286" s="62" t="s">
        <v>1517</v>
      </c>
      <c r="J3286" s="44" t="s">
        <v>519</v>
      </c>
      <c r="K3286" s="44" t="s">
        <v>519</v>
      </c>
      <c r="L3286" s="44" t="s">
        <v>520</v>
      </c>
      <c r="M3286" s="44" t="s">
        <v>514</v>
      </c>
      <c r="N3286" s="44" t="s">
        <v>515</v>
      </c>
      <c r="O3286" s="45" t="s">
        <v>382</v>
      </c>
      <c r="P3286" s="45" t="s">
        <v>3760</v>
      </c>
      <c r="Q3286" s="59" t="str">
        <f>MID(Tabla1[[#This Row],[Aplicación]],14,1)</f>
        <v>2</v>
      </c>
      <c r="R3286" s="35" t="s">
        <v>298</v>
      </c>
      <c r="S3286" s="59" t="str">
        <f>MID(Tabla1[[#This Row],[Aplicación]],6,2)</f>
        <v>07</v>
      </c>
      <c r="T3286" s="35" t="str">
        <f>VLOOKUP(Tabla1[[#This Row],[AREA]],Hoja1!A:B,2,FALSE)</f>
        <v>07. Medio ambiente y desarrollo sostenible</v>
      </c>
      <c r="U3286" s="56" t="str">
        <f>MID(Tabla1[[#This Row],[Aplicación]],9,4)</f>
        <v>1711</v>
      </c>
      <c r="V3286" s="35" t="str">
        <f>VLOOKUP(Tabla1[[#This Row],[PROGRAMA]],Hoja1!A:B,2,FALSE)</f>
        <v>1711. Parques y jardines</v>
      </c>
      <c r="W3286" s="56" t="str">
        <f>MID(Tabla1[[#This Row],[Aplicación]],14,2)</f>
        <v>21</v>
      </c>
      <c r="X3286" s="56" t="str">
        <f>MID(Tabla1[[#This Row],[Aplicación]],14,6)</f>
        <v>214</v>
      </c>
    </row>
    <row r="3287" spans="1:24" x14ac:dyDescent="0.25">
      <c r="A3287" s="62">
        <v>220230018653</v>
      </c>
      <c r="B3287" s="44" t="s">
        <v>1514</v>
      </c>
      <c r="C3287" s="64">
        <v>45055</v>
      </c>
      <c r="D3287" s="62">
        <v>22023001956</v>
      </c>
      <c r="E3287" s="44" t="s">
        <v>1982</v>
      </c>
      <c r="F3287" s="65">
        <v>169.09</v>
      </c>
      <c r="G3287" s="44" t="s">
        <v>317</v>
      </c>
      <c r="H3287" s="44" t="s">
        <v>4987</v>
      </c>
      <c r="I3287" s="62" t="s">
        <v>1517</v>
      </c>
      <c r="J3287" s="44" t="s">
        <v>519</v>
      </c>
      <c r="K3287" s="44" t="s">
        <v>519</v>
      </c>
      <c r="L3287" s="44" t="s">
        <v>520</v>
      </c>
      <c r="M3287" s="44" t="s">
        <v>514</v>
      </c>
      <c r="N3287" s="44" t="s">
        <v>515</v>
      </c>
      <c r="O3287" s="45" t="s">
        <v>382</v>
      </c>
      <c r="P3287" s="45" t="s">
        <v>3760</v>
      </c>
      <c r="Q3287" s="59" t="str">
        <f>MID(Tabla1[[#This Row],[Aplicación]],14,1)</f>
        <v>2</v>
      </c>
      <c r="R3287" s="35" t="s">
        <v>298</v>
      </c>
      <c r="S3287" s="59" t="str">
        <f>MID(Tabla1[[#This Row],[Aplicación]],6,2)</f>
        <v>07</v>
      </c>
      <c r="T3287" s="35" t="str">
        <f>VLOOKUP(Tabla1[[#This Row],[AREA]],Hoja1!A:B,2,FALSE)</f>
        <v>07. Medio ambiente y desarrollo sostenible</v>
      </c>
      <c r="U3287" s="56" t="str">
        <f>MID(Tabla1[[#This Row],[Aplicación]],9,4)</f>
        <v>1711</v>
      </c>
      <c r="V3287" s="35" t="str">
        <f>VLOOKUP(Tabla1[[#This Row],[PROGRAMA]],Hoja1!A:B,2,FALSE)</f>
        <v>1711. Parques y jardines</v>
      </c>
      <c r="W3287" s="56" t="str">
        <f>MID(Tabla1[[#This Row],[Aplicación]],14,2)</f>
        <v>21</v>
      </c>
      <c r="X3287" s="56" t="str">
        <f>MID(Tabla1[[#This Row],[Aplicación]],14,6)</f>
        <v>214</v>
      </c>
    </row>
    <row r="3288" spans="1:24" x14ac:dyDescent="0.25">
      <c r="A3288" s="62">
        <v>220230026220</v>
      </c>
      <c r="B3288" s="44" t="s">
        <v>1514</v>
      </c>
      <c r="C3288" s="64">
        <v>45077</v>
      </c>
      <c r="D3288" s="62">
        <v>22023001956</v>
      </c>
      <c r="E3288" s="44" t="s">
        <v>1982</v>
      </c>
      <c r="F3288" s="65">
        <v>33.18</v>
      </c>
      <c r="G3288" s="44" t="s">
        <v>317</v>
      </c>
      <c r="H3288" s="44" t="s">
        <v>4988</v>
      </c>
      <c r="I3288" s="62" t="s">
        <v>1517</v>
      </c>
      <c r="J3288" s="44" t="s">
        <v>519</v>
      </c>
      <c r="K3288" s="44" t="s">
        <v>519</v>
      </c>
      <c r="L3288" s="44" t="s">
        <v>552</v>
      </c>
      <c r="M3288" s="44" t="s">
        <v>514</v>
      </c>
      <c r="N3288" s="44" t="s">
        <v>515</v>
      </c>
      <c r="O3288" s="45" t="s">
        <v>382</v>
      </c>
      <c r="P3288" s="45" t="s">
        <v>3760</v>
      </c>
      <c r="Q3288" s="59" t="str">
        <f>MID(Tabla1[[#This Row],[Aplicación]],14,1)</f>
        <v>2</v>
      </c>
      <c r="R3288" s="35" t="s">
        <v>298</v>
      </c>
      <c r="S3288" s="59" t="str">
        <f>MID(Tabla1[[#This Row],[Aplicación]],6,2)</f>
        <v>07</v>
      </c>
      <c r="T3288" s="35" t="str">
        <f>VLOOKUP(Tabla1[[#This Row],[AREA]],Hoja1!A:B,2,FALSE)</f>
        <v>07. Medio ambiente y desarrollo sostenible</v>
      </c>
      <c r="U3288" s="56" t="str">
        <f>MID(Tabla1[[#This Row],[Aplicación]],9,4)</f>
        <v>1711</v>
      </c>
      <c r="V3288" s="35" t="str">
        <f>VLOOKUP(Tabla1[[#This Row],[PROGRAMA]],Hoja1!A:B,2,FALSE)</f>
        <v>1711. Parques y jardines</v>
      </c>
      <c r="W3288" s="56" t="str">
        <f>MID(Tabla1[[#This Row],[Aplicación]],14,2)</f>
        <v>21</v>
      </c>
      <c r="X3288" s="56" t="str">
        <f>MID(Tabla1[[#This Row],[Aplicación]],14,6)</f>
        <v>214</v>
      </c>
    </row>
    <row r="3289" spans="1:24" x14ac:dyDescent="0.25">
      <c r="A3289" s="62">
        <v>220230026222</v>
      </c>
      <c r="B3289" s="44" t="s">
        <v>1514</v>
      </c>
      <c r="C3289" s="64">
        <v>45077</v>
      </c>
      <c r="D3289" s="62">
        <v>22023001956</v>
      </c>
      <c r="E3289" s="44" t="s">
        <v>1982</v>
      </c>
      <c r="F3289" s="65">
        <v>33.18</v>
      </c>
      <c r="G3289" s="44" t="s">
        <v>317</v>
      </c>
      <c r="H3289" s="44" t="s">
        <v>4989</v>
      </c>
      <c r="I3289" s="62" t="s">
        <v>1517</v>
      </c>
      <c r="J3289" s="44" t="s">
        <v>519</v>
      </c>
      <c r="K3289" s="44" t="s">
        <v>519</v>
      </c>
      <c r="L3289" s="44" t="s">
        <v>520</v>
      </c>
      <c r="M3289" s="44" t="s">
        <v>514</v>
      </c>
      <c r="N3289" s="44" t="s">
        <v>515</v>
      </c>
      <c r="O3289" s="45" t="s">
        <v>382</v>
      </c>
      <c r="P3289" s="45" t="s">
        <v>3760</v>
      </c>
      <c r="Q3289" s="59" t="str">
        <f>MID(Tabla1[[#This Row],[Aplicación]],14,1)</f>
        <v>2</v>
      </c>
      <c r="R3289" s="35" t="s">
        <v>298</v>
      </c>
      <c r="S3289" s="59" t="str">
        <f>MID(Tabla1[[#This Row],[Aplicación]],6,2)</f>
        <v>07</v>
      </c>
      <c r="T3289" s="35" t="str">
        <f>VLOOKUP(Tabla1[[#This Row],[AREA]],Hoja1!A:B,2,FALSE)</f>
        <v>07. Medio ambiente y desarrollo sostenible</v>
      </c>
      <c r="U3289" s="56" t="str">
        <f>MID(Tabla1[[#This Row],[Aplicación]],9,4)</f>
        <v>1711</v>
      </c>
      <c r="V3289" s="35" t="str">
        <f>VLOOKUP(Tabla1[[#This Row],[PROGRAMA]],Hoja1!A:B,2,FALSE)</f>
        <v>1711. Parques y jardines</v>
      </c>
      <c r="W3289" s="56" t="str">
        <f>MID(Tabla1[[#This Row],[Aplicación]],14,2)</f>
        <v>21</v>
      </c>
      <c r="X3289" s="56" t="str">
        <f>MID(Tabla1[[#This Row],[Aplicación]],14,6)</f>
        <v>214</v>
      </c>
    </row>
    <row r="3290" spans="1:24" x14ac:dyDescent="0.25">
      <c r="A3290" s="62">
        <v>220230024843</v>
      </c>
      <c r="B3290" s="44" t="s">
        <v>1337</v>
      </c>
      <c r="C3290" s="64">
        <v>45070</v>
      </c>
      <c r="D3290" s="62">
        <v>22023000455</v>
      </c>
      <c r="E3290" s="44" t="s">
        <v>762</v>
      </c>
      <c r="F3290" s="65">
        <v>-62381.19</v>
      </c>
      <c r="G3290" s="44" t="s">
        <v>763</v>
      </c>
      <c r="H3290" s="44" t="s">
        <v>4990</v>
      </c>
      <c r="I3290" s="62" t="s">
        <v>511</v>
      </c>
      <c r="J3290" s="44" t="s">
        <v>765</v>
      </c>
      <c r="K3290" s="44" t="s">
        <v>512</v>
      </c>
      <c r="L3290" s="44" t="s">
        <v>552</v>
      </c>
      <c r="M3290" s="44" t="s">
        <v>514</v>
      </c>
      <c r="N3290" s="44" t="s">
        <v>515</v>
      </c>
      <c r="O3290" s="45" t="s">
        <v>371</v>
      </c>
      <c r="P3290" s="45" t="s">
        <v>3760</v>
      </c>
      <c r="Q3290" s="59" t="str">
        <f>MID(Tabla1[[#This Row],[Aplicación]],14,1)</f>
        <v>2</v>
      </c>
      <c r="R3290" s="35" t="s">
        <v>298</v>
      </c>
      <c r="S3290" s="59" t="str">
        <f>MID(Tabla1[[#This Row],[Aplicación]],6,2)</f>
        <v>11</v>
      </c>
      <c r="T3290" s="35" t="str">
        <f>VLOOKUP(Tabla1[[#This Row],[AREA]],Hoja1!A:B,2,FALSE)</f>
        <v>11. Salud pública y seguridad ciudadana</v>
      </c>
      <c r="U3290" s="56" t="str">
        <f>MID(Tabla1[[#This Row],[Aplicación]],9,4)</f>
        <v>1321</v>
      </c>
      <c r="V3290" s="35" t="str">
        <f>VLOOKUP(Tabla1[[#This Row],[PROGRAMA]],Hoja1!A:B,2,FALSE)</f>
        <v>1321. Policía municipal</v>
      </c>
      <c r="W3290" s="56" t="str">
        <f>MID(Tabla1[[#This Row],[Aplicación]],14,2)</f>
        <v>20</v>
      </c>
      <c r="X3290" s="56" t="str">
        <f>MID(Tabla1[[#This Row],[Aplicación]],14,6)</f>
        <v>204</v>
      </c>
    </row>
    <row r="3291" spans="1:24" x14ac:dyDescent="0.25">
      <c r="A3291" s="62">
        <v>220230026224</v>
      </c>
      <c r="B3291" s="44" t="s">
        <v>1514</v>
      </c>
      <c r="C3291" s="64">
        <v>45077</v>
      </c>
      <c r="D3291" s="62">
        <v>22023001956</v>
      </c>
      <c r="E3291" s="44" t="s">
        <v>1982</v>
      </c>
      <c r="F3291" s="65">
        <v>31.77</v>
      </c>
      <c r="G3291" s="44" t="s">
        <v>317</v>
      </c>
      <c r="H3291" s="44" t="s">
        <v>4991</v>
      </c>
      <c r="I3291" s="62" t="s">
        <v>1517</v>
      </c>
      <c r="J3291" s="44" t="s">
        <v>519</v>
      </c>
      <c r="K3291" s="44" t="s">
        <v>519</v>
      </c>
      <c r="L3291" s="44" t="s">
        <v>520</v>
      </c>
      <c r="M3291" s="44" t="s">
        <v>514</v>
      </c>
      <c r="N3291" s="44" t="s">
        <v>515</v>
      </c>
      <c r="O3291" s="45" t="s">
        <v>382</v>
      </c>
      <c r="P3291" s="45" t="s">
        <v>3760</v>
      </c>
      <c r="Q3291" s="59" t="str">
        <f>MID(Tabla1[[#This Row],[Aplicación]],14,1)</f>
        <v>2</v>
      </c>
      <c r="R3291" s="35" t="s">
        <v>298</v>
      </c>
      <c r="S3291" s="59" t="str">
        <f>MID(Tabla1[[#This Row],[Aplicación]],6,2)</f>
        <v>07</v>
      </c>
      <c r="T3291" s="35" t="str">
        <f>VLOOKUP(Tabla1[[#This Row],[AREA]],Hoja1!A:B,2,FALSE)</f>
        <v>07. Medio ambiente y desarrollo sostenible</v>
      </c>
      <c r="U3291" s="56" t="str">
        <f>MID(Tabla1[[#This Row],[Aplicación]],9,4)</f>
        <v>1711</v>
      </c>
      <c r="V3291" s="35" t="str">
        <f>VLOOKUP(Tabla1[[#This Row],[PROGRAMA]],Hoja1!A:B,2,FALSE)</f>
        <v>1711. Parques y jardines</v>
      </c>
      <c r="W3291" s="56" t="str">
        <f>MID(Tabla1[[#This Row],[Aplicación]],14,2)</f>
        <v>21</v>
      </c>
      <c r="X3291" s="56" t="str">
        <f>MID(Tabla1[[#This Row],[Aplicación]],14,6)</f>
        <v>214</v>
      </c>
    </row>
    <row r="3292" spans="1:24" x14ac:dyDescent="0.25">
      <c r="A3292" s="62">
        <v>220230026388</v>
      </c>
      <c r="B3292" s="44" t="s">
        <v>1514</v>
      </c>
      <c r="C3292" s="64">
        <v>45077</v>
      </c>
      <c r="D3292" s="62">
        <v>22023000213</v>
      </c>
      <c r="E3292" s="44" t="s">
        <v>1694</v>
      </c>
      <c r="F3292" s="65">
        <v>57.93</v>
      </c>
      <c r="G3292" s="44" t="s">
        <v>317</v>
      </c>
      <c r="H3292" s="44" t="s">
        <v>4992</v>
      </c>
      <c r="I3292" s="62" t="s">
        <v>1517</v>
      </c>
      <c r="J3292" s="44" t="s">
        <v>519</v>
      </c>
      <c r="K3292" s="44" t="s">
        <v>519</v>
      </c>
      <c r="L3292" s="44" t="s">
        <v>520</v>
      </c>
      <c r="M3292" s="44" t="s">
        <v>514</v>
      </c>
      <c r="N3292" s="44" t="s">
        <v>515</v>
      </c>
      <c r="O3292" s="45" t="s">
        <v>382</v>
      </c>
      <c r="P3292" s="45" t="s">
        <v>3760</v>
      </c>
      <c r="Q3292" s="59" t="str">
        <f>MID(Tabla1[[#This Row],[Aplicación]],14,1)</f>
        <v>2</v>
      </c>
      <c r="R3292" s="35" t="s">
        <v>298</v>
      </c>
      <c r="S3292" s="59" t="str">
        <f>MID(Tabla1[[#This Row],[Aplicación]],6,2)</f>
        <v>11</v>
      </c>
      <c r="T3292" s="35" t="str">
        <f>VLOOKUP(Tabla1[[#This Row],[AREA]],Hoja1!A:B,2,FALSE)</f>
        <v>11. Salud pública y seguridad ciudadana</v>
      </c>
      <c r="U3292" s="56" t="str">
        <f>MID(Tabla1[[#This Row],[Aplicación]],9,4)</f>
        <v>1321</v>
      </c>
      <c r="V3292" s="35" t="str">
        <f>VLOOKUP(Tabla1[[#This Row],[PROGRAMA]],Hoja1!A:B,2,FALSE)</f>
        <v>1321. Policía municipal</v>
      </c>
      <c r="W3292" s="56" t="str">
        <f>MID(Tabla1[[#This Row],[Aplicación]],14,2)</f>
        <v>21</v>
      </c>
      <c r="X3292" s="56" t="str">
        <f>MID(Tabla1[[#This Row],[Aplicación]],14,6)</f>
        <v>214</v>
      </c>
    </row>
    <row r="3293" spans="1:24" x14ac:dyDescent="0.25">
      <c r="A3293" s="62">
        <v>220230016046</v>
      </c>
      <c r="B3293" s="44" t="s">
        <v>1514</v>
      </c>
      <c r="C3293" s="64">
        <v>45043</v>
      </c>
      <c r="D3293" s="62">
        <v>22023000213</v>
      </c>
      <c r="E3293" s="44" t="s">
        <v>1694</v>
      </c>
      <c r="F3293" s="65">
        <v>1996.79</v>
      </c>
      <c r="G3293" s="44" t="s">
        <v>2705</v>
      </c>
      <c r="H3293" s="44" t="s">
        <v>4993</v>
      </c>
      <c r="I3293" s="62" t="s">
        <v>1517</v>
      </c>
      <c r="J3293" s="44" t="s">
        <v>519</v>
      </c>
      <c r="K3293" s="44" t="s">
        <v>519</v>
      </c>
      <c r="L3293" s="44" t="s">
        <v>520</v>
      </c>
      <c r="M3293" s="44" t="s">
        <v>514</v>
      </c>
      <c r="N3293" s="44" t="s">
        <v>515</v>
      </c>
      <c r="O3293" s="45" t="s">
        <v>382</v>
      </c>
      <c r="P3293" s="45" t="s">
        <v>3760</v>
      </c>
      <c r="Q3293" s="59" t="str">
        <f>MID(Tabla1[[#This Row],[Aplicación]],14,1)</f>
        <v>2</v>
      </c>
      <c r="R3293" s="35" t="s">
        <v>298</v>
      </c>
      <c r="S3293" s="59" t="str">
        <f>MID(Tabla1[[#This Row],[Aplicación]],6,2)</f>
        <v>11</v>
      </c>
      <c r="T3293" s="35" t="str">
        <f>VLOOKUP(Tabla1[[#This Row],[AREA]],Hoja1!A:B,2,FALSE)</f>
        <v>11. Salud pública y seguridad ciudadana</v>
      </c>
      <c r="U3293" s="56" t="str">
        <f>MID(Tabla1[[#This Row],[Aplicación]],9,4)</f>
        <v>1321</v>
      </c>
      <c r="V3293" s="35" t="str">
        <f>VLOOKUP(Tabla1[[#This Row],[PROGRAMA]],Hoja1!A:B,2,FALSE)</f>
        <v>1321. Policía municipal</v>
      </c>
      <c r="W3293" s="56" t="str">
        <f>MID(Tabla1[[#This Row],[Aplicación]],14,2)</f>
        <v>21</v>
      </c>
      <c r="X3293" s="56" t="str">
        <f>MID(Tabla1[[#This Row],[Aplicación]],14,6)</f>
        <v>214</v>
      </c>
    </row>
    <row r="3294" spans="1:24" x14ac:dyDescent="0.25">
      <c r="A3294" s="62">
        <v>220230018963</v>
      </c>
      <c r="B3294" s="44" t="s">
        <v>1514</v>
      </c>
      <c r="C3294" s="64">
        <v>45056</v>
      </c>
      <c r="D3294" s="62">
        <v>22023001608</v>
      </c>
      <c r="E3294" s="44" t="s">
        <v>1728</v>
      </c>
      <c r="F3294" s="65">
        <v>145.72999999999999</v>
      </c>
      <c r="G3294" s="44" t="s">
        <v>2705</v>
      </c>
      <c r="H3294" s="44" t="s">
        <v>4994</v>
      </c>
      <c r="I3294" s="62" t="s">
        <v>1517</v>
      </c>
      <c r="J3294" s="44" t="s">
        <v>519</v>
      </c>
      <c r="K3294" s="44" t="s">
        <v>519</v>
      </c>
      <c r="L3294" s="44" t="s">
        <v>520</v>
      </c>
      <c r="M3294" s="44" t="s">
        <v>514</v>
      </c>
      <c r="N3294" s="44" t="s">
        <v>515</v>
      </c>
      <c r="O3294" s="45" t="s">
        <v>382</v>
      </c>
      <c r="P3294" s="45" t="s">
        <v>3760</v>
      </c>
      <c r="Q3294" s="59" t="str">
        <f>MID(Tabla1[[#This Row],[Aplicación]],14,1)</f>
        <v>2</v>
      </c>
      <c r="R3294" s="35" t="s">
        <v>298</v>
      </c>
      <c r="S3294" s="59" t="str">
        <f>MID(Tabla1[[#This Row],[Aplicación]],6,2)</f>
        <v>08</v>
      </c>
      <c r="T3294" s="35" t="str">
        <f>VLOOKUP(Tabla1[[#This Row],[AREA]],Hoja1!A:B,2,FALSE)</f>
        <v>08. Movilidad y espacio urbano</v>
      </c>
      <c r="U3294" s="56" t="str">
        <f>MID(Tabla1[[#This Row],[Aplicación]],9,4)</f>
        <v>1532</v>
      </c>
      <c r="V3294" s="35" t="str">
        <f>VLOOKUP(Tabla1[[#This Row],[PROGRAMA]],Hoja1!A:B,2,FALSE)</f>
        <v>1532. Pavimentación vias públicas y otros servicios urbanísticos</v>
      </c>
      <c r="W3294" s="56" t="str">
        <f>MID(Tabla1[[#This Row],[Aplicación]],14,2)</f>
        <v>21</v>
      </c>
      <c r="X3294" s="56" t="str">
        <f>MID(Tabla1[[#This Row],[Aplicación]],14,6)</f>
        <v>214</v>
      </c>
    </row>
    <row r="3295" spans="1:24" x14ac:dyDescent="0.25">
      <c r="A3295" s="62">
        <v>220230016114</v>
      </c>
      <c r="B3295" s="44" t="s">
        <v>1514</v>
      </c>
      <c r="C3295" s="64">
        <v>45043</v>
      </c>
      <c r="D3295" s="62">
        <v>22023001469</v>
      </c>
      <c r="E3295" s="44" t="s">
        <v>1683</v>
      </c>
      <c r="F3295" s="65">
        <v>425.23</v>
      </c>
      <c r="G3295" s="44" t="s">
        <v>2707</v>
      </c>
      <c r="H3295" s="44" t="s">
        <v>4995</v>
      </c>
      <c r="I3295" s="62" t="s">
        <v>1517</v>
      </c>
      <c r="J3295" s="44" t="s">
        <v>988</v>
      </c>
      <c r="K3295" s="44" t="s">
        <v>519</v>
      </c>
      <c r="L3295" s="44" t="s">
        <v>520</v>
      </c>
      <c r="M3295" s="44" t="s">
        <v>514</v>
      </c>
      <c r="N3295" s="44" t="s">
        <v>515</v>
      </c>
      <c r="O3295" s="45" t="s">
        <v>382</v>
      </c>
      <c r="P3295" s="45" t="s">
        <v>3760</v>
      </c>
      <c r="Q3295" s="59" t="str">
        <f>MID(Tabla1[[#This Row],[Aplicación]],14,1)</f>
        <v>2</v>
      </c>
      <c r="R3295" s="35" t="s">
        <v>298</v>
      </c>
      <c r="S3295" s="59" t="str">
        <f>MID(Tabla1[[#This Row],[Aplicación]],6,2)</f>
        <v>11</v>
      </c>
      <c r="T3295" s="35" t="str">
        <f>VLOOKUP(Tabla1[[#This Row],[AREA]],Hoja1!A:B,2,FALSE)</f>
        <v>11. Salud pública y seguridad ciudadana</v>
      </c>
      <c r="U3295" s="56" t="str">
        <f>MID(Tabla1[[#This Row],[Aplicación]],9,4)</f>
        <v>1631</v>
      </c>
      <c r="V3295" s="35" t="str">
        <f>VLOOKUP(Tabla1[[#This Row],[PROGRAMA]],Hoja1!A:B,2,FALSE)</f>
        <v>1631. Limpieza viaria</v>
      </c>
      <c r="W3295" s="56" t="str">
        <f>MID(Tabla1[[#This Row],[Aplicación]],14,2)</f>
        <v>21</v>
      </c>
      <c r="X3295" s="56" t="str">
        <f>MID(Tabla1[[#This Row],[Aplicación]],14,6)</f>
        <v>214</v>
      </c>
    </row>
    <row r="3296" spans="1:24" x14ac:dyDescent="0.25">
      <c r="A3296" s="62">
        <v>220230016412</v>
      </c>
      <c r="B3296" s="44" t="s">
        <v>1514</v>
      </c>
      <c r="C3296" s="64">
        <v>45043</v>
      </c>
      <c r="D3296" s="62">
        <v>22023001956</v>
      </c>
      <c r="E3296" s="44" t="s">
        <v>1982</v>
      </c>
      <c r="F3296" s="65">
        <v>57.96</v>
      </c>
      <c r="G3296" s="44" t="s">
        <v>2707</v>
      </c>
      <c r="H3296" s="44" t="s">
        <v>4996</v>
      </c>
      <c r="I3296" s="62" t="s">
        <v>1517</v>
      </c>
      <c r="J3296" s="44" t="s">
        <v>988</v>
      </c>
      <c r="K3296" s="44" t="s">
        <v>519</v>
      </c>
      <c r="L3296" s="44" t="s">
        <v>520</v>
      </c>
      <c r="M3296" s="44" t="s">
        <v>514</v>
      </c>
      <c r="N3296" s="44" t="s">
        <v>515</v>
      </c>
      <c r="O3296" s="45" t="s">
        <v>382</v>
      </c>
      <c r="P3296" s="45" t="s">
        <v>3760</v>
      </c>
      <c r="Q3296" s="59" t="str">
        <f>MID(Tabla1[[#This Row],[Aplicación]],14,1)</f>
        <v>2</v>
      </c>
      <c r="R3296" s="35" t="s">
        <v>298</v>
      </c>
      <c r="S3296" s="59" t="str">
        <f>MID(Tabla1[[#This Row],[Aplicación]],6,2)</f>
        <v>07</v>
      </c>
      <c r="T3296" s="35" t="str">
        <f>VLOOKUP(Tabla1[[#This Row],[AREA]],Hoja1!A:B,2,FALSE)</f>
        <v>07. Medio ambiente y desarrollo sostenible</v>
      </c>
      <c r="U3296" s="56" t="str">
        <f>MID(Tabla1[[#This Row],[Aplicación]],9,4)</f>
        <v>1711</v>
      </c>
      <c r="V3296" s="35" t="str">
        <f>VLOOKUP(Tabla1[[#This Row],[PROGRAMA]],Hoja1!A:B,2,FALSE)</f>
        <v>1711. Parques y jardines</v>
      </c>
      <c r="W3296" s="56" t="str">
        <f>MID(Tabla1[[#This Row],[Aplicación]],14,2)</f>
        <v>21</v>
      </c>
      <c r="X3296" s="56" t="str">
        <f>MID(Tabla1[[#This Row],[Aplicación]],14,6)</f>
        <v>214</v>
      </c>
    </row>
    <row r="3297" spans="1:24" x14ac:dyDescent="0.25">
      <c r="A3297" s="62">
        <v>220230022589</v>
      </c>
      <c r="B3297" s="44" t="s">
        <v>1514</v>
      </c>
      <c r="C3297" s="64">
        <v>45065</v>
      </c>
      <c r="D3297" s="62">
        <v>22023001608</v>
      </c>
      <c r="E3297" s="44" t="s">
        <v>1728</v>
      </c>
      <c r="F3297" s="65">
        <v>787.29</v>
      </c>
      <c r="G3297" s="44" t="s">
        <v>2707</v>
      </c>
      <c r="H3297" s="44" t="s">
        <v>4997</v>
      </c>
      <c r="I3297" s="62" t="s">
        <v>1517</v>
      </c>
      <c r="J3297" s="44" t="s">
        <v>988</v>
      </c>
      <c r="K3297" s="44" t="s">
        <v>519</v>
      </c>
      <c r="L3297" s="44" t="s">
        <v>520</v>
      </c>
      <c r="M3297" s="44" t="s">
        <v>514</v>
      </c>
      <c r="N3297" s="44" t="s">
        <v>515</v>
      </c>
      <c r="O3297" s="45" t="s">
        <v>382</v>
      </c>
      <c r="P3297" s="45" t="s">
        <v>3760</v>
      </c>
      <c r="Q3297" s="59" t="str">
        <f>MID(Tabla1[[#This Row],[Aplicación]],14,1)</f>
        <v>2</v>
      </c>
      <c r="R3297" s="35" t="s">
        <v>298</v>
      </c>
      <c r="S3297" s="59" t="str">
        <f>MID(Tabla1[[#This Row],[Aplicación]],6,2)</f>
        <v>08</v>
      </c>
      <c r="T3297" s="35" t="str">
        <f>VLOOKUP(Tabla1[[#This Row],[AREA]],Hoja1!A:B,2,FALSE)</f>
        <v>08. Movilidad y espacio urbano</v>
      </c>
      <c r="U3297" s="56" t="str">
        <f>MID(Tabla1[[#This Row],[Aplicación]],9,4)</f>
        <v>1532</v>
      </c>
      <c r="V3297" s="35" t="str">
        <f>VLOOKUP(Tabla1[[#This Row],[PROGRAMA]],Hoja1!A:B,2,FALSE)</f>
        <v>1532. Pavimentación vias públicas y otros servicios urbanísticos</v>
      </c>
      <c r="W3297" s="56" t="str">
        <f>MID(Tabla1[[#This Row],[Aplicación]],14,2)</f>
        <v>21</v>
      </c>
      <c r="X3297" s="56" t="str">
        <f>MID(Tabla1[[#This Row],[Aplicación]],14,6)</f>
        <v>214</v>
      </c>
    </row>
    <row r="3298" spans="1:24" x14ac:dyDescent="0.25">
      <c r="A3298" s="62">
        <v>220230026408</v>
      </c>
      <c r="B3298" s="44" t="s">
        <v>1514</v>
      </c>
      <c r="C3298" s="64">
        <v>45077</v>
      </c>
      <c r="D3298" s="62">
        <v>22023001469</v>
      </c>
      <c r="E3298" s="44" t="s">
        <v>1683</v>
      </c>
      <c r="F3298" s="65">
        <v>109.26</v>
      </c>
      <c r="G3298" s="44" t="s">
        <v>2707</v>
      </c>
      <c r="H3298" s="44" t="s">
        <v>4998</v>
      </c>
      <c r="I3298" s="62" t="s">
        <v>1517</v>
      </c>
      <c r="J3298" s="44" t="s">
        <v>988</v>
      </c>
      <c r="K3298" s="44" t="s">
        <v>519</v>
      </c>
      <c r="L3298" s="44" t="s">
        <v>520</v>
      </c>
      <c r="M3298" s="44" t="s">
        <v>514</v>
      </c>
      <c r="N3298" s="44" t="s">
        <v>515</v>
      </c>
      <c r="O3298" s="45" t="s">
        <v>382</v>
      </c>
      <c r="P3298" s="45" t="s">
        <v>3760</v>
      </c>
      <c r="Q3298" s="59" t="str">
        <f>MID(Tabla1[[#This Row],[Aplicación]],14,1)</f>
        <v>2</v>
      </c>
      <c r="R3298" s="35" t="s">
        <v>298</v>
      </c>
      <c r="S3298" s="59" t="str">
        <f>MID(Tabla1[[#This Row],[Aplicación]],6,2)</f>
        <v>11</v>
      </c>
      <c r="T3298" s="35" t="str">
        <f>VLOOKUP(Tabla1[[#This Row],[AREA]],Hoja1!A:B,2,FALSE)</f>
        <v>11. Salud pública y seguridad ciudadana</v>
      </c>
      <c r="U3298" s="56" t="str">
        <f>MID(Tabla1[[#This Row],[Aplicación]],9,4)</f>
        <v>1631</v>
      </c>
      <c r="V3298" s="35" t="str">
        <f>VLOOKUP(Tabla1[[#This Row],[PROGRAMA]],Hoja1!A:B,2,FALSE)</f>
        <v>1631. Limpieza viaria</v>
      </c>
      <c r="W3298" s="56" t="str">
        <f>MID(Tabla1[[#This Row],[Aplicación]],14,2)</f>
        <v>21</v>
      </c>
      <c r="X3298" s="56" t="str">
        <f>MID(Tabla1[[#This Row],[Aplicación]],14,6)</f>
        <v>214</v>
      </c>
    </row>
    <row r="3299" spans="1:24" x14ac:dyDescent="0.25">
      <c r="A3299" s="62">
        <v>220230026411</v>
      </c>
      <c r="B3299" s="44" t="s">
        <v>1514</v>
      </c>
      <c r="C3299" s="64">
        <v>45077</v>
      </c>
      <c r="D3299" s="62">
        <v>22023001469</v>
      </c>
      <c r="E3299" s="44" t="s">
        <v>1683</v>
      </c>
      <c r="F3299" s="65">
        <v>412.61</v>
      </c>
      <c r="G3299" s="44" t="s">
        <v>2707</v>
      </c>
      <c r="H3299" s="44" t="s">
        <v>4999</v>
      </c>
      <c r="I3299" s="62" t="s">
        <v>1517</v>
      </c>
      <c r="J3299" s="44" t="s">
        <v>988</v>
      </c>
      <c r="K3299" s="44" t="s">
        <v>519</v>
      </c>
      <c r="L3299" s="44" t="s">
        <v>520</v>
      </c>
      <c r="M3299" s="44" t="s">
        <v>514</v>
      </c>
      <c r="N3299" s="44" t="s">
        <v>515</v>
      </c>
      <c r="O3299" s="45" t="s">
        <v>382</v>
      </c>
      <c r="P3299" s="45" t="s">
        <v>3760</v>
      </c>
      <c r="Q3299" s="59" t="str">
        <f>MID(Tabla1[[#This Row],[Aplicación]],14,1)</f>
        <v>2</v>
      </c>
      <c r="R3299" s="35" t="s">
        <v>298</v>
      </c>
      <c r="S3299" s="59" t="str">
        <f>MID(Tabla1[[#This Row],[Aplicación]],6,2)</f>
        <v>11</v>
      </c>
      <c r="T3299" s="35" t="str">
        <f>VLOOKUP(Tabla1[[#This Row],[AREA]],Hoja1!A:B,2,FALSE)</f>
        <v>11. Salud pública y seguridad ciudadana</v>
      </c>
      <c r="U3299" s="56" t="str">
        <f>MID(Tabla1[[#This Row],[Aplicación]],9,4)</f>
        <v>1631</v>
      </c>
      <c r="V3299" s="35" t="str">
        <f>VLOOKUP(Tabla1[[#This Row],[PROGRAMA]],Hoja1!A:B,2,FALSE)</f>
        <v>1631. Limpieza viaria</v>
      </c>
      <c r="W3299" s="56" t="str">
        <f>MID(Tabla1[[#This Row],[Aplicación]],14,2)</f>
        <v>21</v>
      </c>
      <c r="X3299" s="56" t="str">
        <f>MID(Tabla1[[#This Row],[Aplicación]],14,6)</f>
        <v>214</v>
      </c>
    </row>
    <row r="3300" spans="1:24" x14ac:dyDescent="0.25">
      <c r="A3300" s="62">
        <v>220230018795</v>
      </c>
      <c r="B3300" s="44" t="s">
        <v>1514</v>
      </c>
      <c r="C3300" s="64">
        <v>45055</v>
      </c>
      <c r="D3300" s="62">
        <v>22023002188</v>
      </c>
      <c r="E3300" s="44" t="s">
        <v>529</v>
      </c>
      <c r="F3300" s="65">
        <v>34726.65</v>
      </c>
      <c r="G3300" s="44" t="s">
        <v>414</v>
      </c>
      <c r="H3300" s="44" t="s">
        <v>5000</v>
      </c>
      <c r="I3300" s="62" t="s">
        <v>1517</v>
      </c>
      <c r="J3300" s="44" t="s">
        <v>572</v>
      </c>
      <c r="K3300" s="44" t="s">
        <v>573</v>
      </c>
      <c r="L3300" s="44" t="s">
        <v>520</v>
      </c>
      <c r="M3300" s="44" t="s">
        <v>514</v>
      </c>
      <c r="N3300" s="44" t="s">
        <v>515</v>
      </c>
      <c r="O3300" s="45" t="s">
        <v>371</v>
      </c>
      <c r="P3300" s="45" t="s">
        <v>3760</v>
      </c>
      <c r="Q3300" s="59" t="str">
        <f>MID(Tabla1[[#This Row],[Aplicación]],14,1)</f>
        <v>6</v>
      </c>
      <c r="R3300" s="35" t="s">
        <v>299</v>
      </c>
      <c r="S3300" s="59" t="str">
        <f>MID(Tabla1[[#This Row],[Aplicación]],6,2)</f>
        <v>07</v>
      </c>
      <c r="T3300" s="35" t="str">
        <f>VLOOKUP(Tabla1[[#This Row],[AREA]],Hoja1!A:B,2,FALSE)</f>
        <v>07. Medio ambiente y desarrollo sostenible</v>
      </c>
      <c r="U3300" s="56" t="str">
        <f>MID(Tabla1[[#This Row],[Aplicación]],9,4)</f>
        <v>1711</v>
      </c>
      <c r="V3300" s="35" t="str">
        <f>VLOOKUP(Tabla1[[#This Row],[PROGRAMA]],Hoja1!A:B,2,FALSE)</f>
        <v>1711. Parques y jardines</v>
      </c>
      <c r="W3300" s="56" t="str">
        <f>MID(Tabla1[[#This Row],[Aplicación]],14,2)</f>
        <v>61</v>
      </c>
      <c r="X3300" s="56" t="str">
        <f>MID(Tabla1[[#This Row],[Aplicación]],14,6)</f>
        <v>610</v>
      </c>
    </row>
    <row r="3301" spans="1:24" x14ac:dyDescent="0.25">
      <c r="A3301" s="62">
        <v>220230015974</v>
      </c>
      <c r="B3301" s="44" t="s">
        <v>507</v>
      </c>
      <c r="C3301" s="64">
        <v>45042</v>
      </c>
      <c r="D3301" s="62">
        <v>22023004058</v>
      </c>
      <c r="E3301" s="44" t="s">
        <v>1055</v>
      </c>
      <c r="F3301" s="65">
        <v>476.21</v>
      </c>
      <c r="G3301" s="44" t="s">
        <v>2187</v>
      </c>
      <c r="H3301" s="44" t="s">
        <v>5001</v>
      </c>
      <c r="I3301" s="62" t="s">
        <v>511</v>
      </c>
      <c r="J3301" s="44" t="s">
        <v>519</v>
      </c>
      <c r="K3301" s="44" t="s">
        <v>519</v>
      </c>
      <c r="L3301" s="44" t="s">
        <v>520</v>
      </c>
      <c r="M3301" s="44" t="s">
        <v>976</v>
      </c>
      <c r="N3301" s="44" t="s">
        <v>839</v>
      </c>
      <c r="O3301" s="45" t="s">
        <v>383</v>
      </c>
      <c r="P3301" s="45" t="s">
        <v>3760</v>
      </c>
      <c r="Q3301" s="59" t="str">
        <f>MID(Tabla1[[#This Row],[Aplicación]],14,1)</f>
        <v>2</v>
      </c>
      <c r="R3301" s="35" t="s">
        <v>298</v>
      </c>
      <c r="S3301" s="59" t="str">
        <f>MID(Tabla1[[#This Row],[Aplicación]],6,2)</f>
        <v>02</v>
      </c>
      <c r="T3301" s="35" t="str">
        <f>VLOOKUP(Tabla1[[#This Row],[AREA]],Hoja1!A:B,2,FALSE)</f>
        <v>02. Planeamiento urbanístico y vivienda</v>
      </c>
      <c r="U3301" s="56" t="str">
        <f>MID(Tabla1[[#This Row],[Aplicación]],9,4)</f>
        <v>9332</v>
      </c>
      <c r="V3301" s="35" t="str">
        <f>VLOOKUP(Tabla1[[#This Row],[PROGRAMA]],Hoja1!A:B,2,FALSE)</f>
        <v>9332. Mantenimiento de edificios e instalaciones municipales</v>
      </c>
      <c r="W3301" s="56" t="str">
        <f>MID(Tabla1[[#This Row],[Aplicación]],14,2)</f>
        <v>21</v>
      </c>
      <c r="X3301" s="56" t="str">
        <f>MID(Tabla1[[#This Row],[Aplicación]],14,6)</f>
        <v>213</v>
      </c>
    </row>
    <row r="3302" spans="1:24" x14ac:dyDescent="0.25">
      <c r="A3302" s="62">
        <v>220230015964</v>
      </c>
      <c r="B3302" s="44" t="s">
        <v>507</v>
      </c>
      <c r="C3302" s="64">
        <v>45042</v>
      </c>
      <c r="D3302" s="62">
        <v>22023002401</v>
      </c>
      <c r="E3302" s="44" t="s">
        <v>2722</v>
      </c>
      <c r="F3302" s="65">
        <v>500</v>
      </c>
      <c r="G3302" s="44" t="s">
        <v>109</v>
      </c>
      <c r="H3302" s="44" t="s">
        <v>5002</v>
      </c>
      <c r="I3302" s="62" t="s">
        <v>511</v>
      </c>
      <c r="J3302" s="44" t="s">
        <v>519</v>
      </c>
      <c r="K3302" s="44" t="s">
        <v>519</v>
      </c>
      <c r="L3302" s="44" t="s">
        <v>520</v>
      </c>
      <c r="M3302" s="44" t="s">
        <v>976</v>
      </c>
      <c r="N3302" s="44" t="s">
        <v>839</v>
      </c>
      <c r="O3302" s="45" t="s">
        <v>383</v>
      </c>
      <c r="P3302" s="45" t="s">
        <v>3760</v>
      </c>
      <c r="Q3302" s="59" t="str">
        <f>MID(Tabla1[[#This Row],[Aplicación]],14,1)</f>
        <v>2</v>
      </c>
      <c r="R3302" s="35" t="s">
        <v>298</v>
      </c>
      <c r="S3302" s="59" t="str">
        <f>MID(Tabla1[[#This Row],[Aplicación]],6,2)</f>
        <v>06</v>
      </c>
      <c r="T3302" s="35" t="str">
        <f>VLOOKUP(Tabla1[[#This Row],[AREA]],Hoja1!A:B,2,FALSE)</f>
        <v>06. Educación, infancia, juventud e igualdad</v>
      </c>
      <c r="U3302" s="56" t="str">
        <f>MID(Tabla1[[#This Row],[Aplicación]],9,4)</f>
        <v>3321</v>
      </c>
      <c r="V3302" s="35" t="str">
        <f>VLOOKUP(Tabla1[[#This Row],[PROGRAMA]],Hoja1!A:B,2,FALSE)</f>
        <v>3321. Bibliotecas públicas</v>
      </c>
      <c r="W3302" s="56" t="str">
        <f>MID(Tabla1[[#This Row],[Aplicación]],14,2)</f>
        <v>22</v>
      </c>
      <c r="X3302" s="56" t="str">
        <f>MID(Tabla1[[#This Row],[Aplicación]],14,6)</f>
        <v>223</v>
      </c>
    </row>
    <row r="3303" spans="1:24" x14ac:dyDescent="0.25">
      <c r="A3303" s="63">
        <v>220230030680</v>
      </c>
      <c r="B3303" s="44" t="s">
        <v>507</v>
      </c>
      <c r="C3303" s="64">
        <v>45097</v>
      </c>
      <c r="D3303" s="62">
        <v>22023004955</v>
      </c>
      <c r="E3303" s="44" t="s">
        <v>4040</v>
      </c>
      <c r="F3303" s="65">
        <v>6191.79</v>
      </c>
      <c r="G3303" s="44" t="s">
        <v>315</v>
      </c>
      <c r="H3303" s="44" t="s">
        <v>5003</v>
      </c>
      <c r="I3303" s="62" t="s">
        <v>511</v>
      </c>
      <c r="J3303" s="44" t="s">
        <v>519</v>
      </c>
      <c r="K3303" s="44" t="s">
        <v>519</v>
      </c>
      <c r="L3303" s="44" t="s">
        <v>520</v>
      </c>
      <c r="M3303" s="44" t="s">
        <v>514</v>
      </c>
      <c r="N3303" s="44" t="s">
        <v>604</v>
      </c>
      <c r="O3303" s="45" t="s">
        <v>382</v>
      </c>
      <c r="P3303" s="45" t="s">
        <v>3760</v>
      </c>
      <c r="Q3303" s="59">
        <v>2</v>
      </c>
      <c r="R3303" s="35" t="s">
        <v>298</v>
      </c>
      <c r="S3303" s="59" t="str">
        <f>MID(Tabla1[[#This Row],[Aplicación]],6,2)</f>
        <v>08</v>
      </c>
      <c r="T3303" s="35" t="str">
        <f>VLOOKUP(Tabla1[[#This Row],[AREA]],Hoja1!A:B,2,FALSE)</f>
        <v>08. Movilidad y espacio urbano</v>
      </c>
      <c r="U3303" s="56" t="str">
        <f>MID(Tabla1[[#This Row],[Aplicación]],9,4)</f>
        <v>0 13</v>
      </c>
      <c r="V3303" s="59">
        <v>1301</v>
      </c>
      <c r="W3303" s="59">
        <v>22</v>
      </c>
      <c r="X3303" s="59">
        <v>22706</v>
      </c>
    </row>
    <row r="3304" spans="1:24" x14ac:dyDescent="0.25">
      <c r="A3304" s="63">
        <v>220230031289</v>
      </c>
      <c r="B3304" s="44" t="s">
        <v>1514</v>
      </c>
      <c r="C3304" s="64">
        <v>45100</v>
      </c>
      <c r="D3304" s="62">
        <v>22023000008</v>
      </c>
      <c r="E3304" s="44" t="s">
        <v>1443</v>
      </c>
      <c r="F3304" s="65">
        <v>36298.79</v>
      </c>
      <c r="G3304" s="44" t="s">
        <v>5004</v>
      </c>
      <c r="H3304" s="44" t="s">
        <v>5005</v>
      </c>
      <c r="I3304" s="62" t="s">
        <v>1517</v>
      </c>
      <c r="J3304" s="44" t="s">
        <v>5006</v>
      </c>
      <c r="K3304" s="44" t="s">
        <v>5006</v>
      </c>
      <c r="L3304" s="44" t="s">
        <v>520</v>
      </c>
      <c r="M3304" s="44" t="s">
        <v>514</v>
      </c>
      <c r="N3304" s="44" t="s">
        <v>515</v>
      </c>
      <c r="O3304" s="45" t="s">
        <v>371</v>
      </c>
      <c r="P3304" s="45" t="s">
        <v>3760</v>
      </c>
      <c r="Q3304" s="59">
        <v>2</v>
      </c>
      <c r="R3304" s="35" t="s">
        <v>298</v>
      </c>
      <c r="S3304" s="59" t="str">
        <f>MID(Tabla1[[#This Row],[Aplicación]],6,2)</f>
        <v>05</v>
      </c>
      <c r="T3304" s="35" t="str">
        <f>VLOOKUP(Tabla1[[#This Row],[AREA]],Hoja1!A:B,2,FALSE)</f>
        <v>05. Innovación, desarrollo económico, empleo y comercio</v>
      </c>
      <c r="U3304" s="56" t="str">
        <f>MID(Tabla1[[#This Row],[Aplicación]],9,4)</f>
        <v>0 43</v>
      </c>
      <c r="V3304" s="59">
        <v>4312</v>
      </c>
      <c r="W3304" s="59">
        <v>22</v>
      </c>
      <c r="X3304" s="59">
        <v>22799</v>
      </c>
    </row>
    <row r="3305" spans="1:24" x14ac:dyDescent="0.25">
      <c r="A3305" s="63">
        <v>220230030683</v>
      </c>
      <c r="B3305" s="44" t="s">
        <v>507</v>
      </c>
      <c r="C3305" s="64">
        <v>45097</v>
      </c>
      <c r="D3305" s="62">
        <v>22023004958</v>
      </c>
      <c r="E3305" s="44" t="s">
        <v>4040</v>
      </c>
      <c r="F3305" s="65">
        <v>1153.29</v>
      </c>
      <c r="G3305" s="44" t="s">
        <v>315</v>
      </c>
      <c r="H3305" s="44" t="s">
        <v>4041</v>
      </c>
      <c r="I3305" s="62" t="s">
        <v>511</v>
      </c>
      <c r="J3305" s="44" t="s">
        <v>519</v>
      </c>
      <c r="K3305" s="44" t="s">
        <v>519</v>
      </c>
      <c r="L3305" s="44" t="s">
        <v>520</v>
      </c>
      <c r="M3305" s="44" t="s">
        <v>514</v>
      </c>
      <c r="N3305" s="44" t="s">
        <v>604</v>
      </c>
      <c r="O3305" s="45" t="s">
        <v>382</v>
      </c>
      <c r="P3305" s="45" t="s">
        <v>3760</v>
      </c>
      <c r="Q3305" s="59">
        <v>2</v>
      </c>
      <c r="R3305" s="35" t="s">
        <v>298</v>
      </c>
      <c r="S3305" s="59" t="str">
        <f>MID(Tabla1[[#This Row],[Aplicación]],6,2)</f>
        <v>08</v>
      </c>
      <c r="T3305" s="35" t="str">
        <f>VLOOKUP(Tabla1[[#This Row],[AREA]],Hoja1!A:B,2,FALSE)</f>
        <v>08. Movilidad y espacio urbano</v>
      </c>
      <c r="U3305" s="56" t="str">
        <f>MID(Tabla1[[#This Row],[Aplicación]],9,4)</f>
        <v>0 13</v>
      </c>
      <c r="V3305" s="59">
        <v>1301</v>
      </c>
      <c r="W3305" s="59">
        <v>22</v>
      </c>
      <c r="X3305" s="59">
        <v>22706</v>
      </c>
    </row>
    <row r="3306" spans="1:24" x14ac:dyDescent="0.25">
      <c r="A3306" s="63">
        <v>220230030681</v>
      </c>
      <c r="B3306" s="44" t="s">
        <v>507</v>
      </c>
      <c r="C3306" s="64">
        <v>45097</v>
      </c>
      <c r="D3306" s="62">
        <v>22023004956</v>
      </c>
      <c r="E3306" s="44" t="s">
        <v>4040</v>
      </c>
      <c r="F3306" s="65">
        <v>1092.3499999999999</v>
      </c>
      <c r="G3306" s="44" t="s">
        <v>315</v>
      </c>
      <c r="H3306" s="44" t="s">
        <v>5003</v>
      </c>
      <c r="I3306" s="62" t="s">
        <v>511</v>
      </c>
      <c r="J3306" s="44" t="s">
        <v>519</v>
      </c>
      <c r="K3306" s="44" t="s">
        <v>519</v>
      </c>
      <c r="L3306" s="44" t="s">
        <v>520</v>
      </c>
      <c r="M3306" s="44" t="s">
        <v>514</v>
      </c>
      <c r="N3306" s="44" t="s">
        <v>604</v>
      </c>
      <c r="O3306" s="45" t="s">
        <v>382</v>
      </c>
      <c r="P3306" s="45" t="s">
        <v>3760</v>
      </c>
      <c r="Q3306" s="59">
        <v>2</v>
      </c>
      <c r="R3306" s="35" t="s">
        <v>298</v>
      </c>
      <c r="S3306" s="59" t="str">
        <f>MID(Tabla1[[#This Row],[Aplicación]],6,2)</f>
        <v>08</v>
      </c>
      <c r="T3306" s="35" t="str">
        <f>VLOOKUP(Tabla1[[#This Row],[AREA]],Hoja1!A:B,2,FALSE)</f>
        <v>08. Movilidad y espacio urbano</v>
      </c>
      <c r="U3306" s="56" t="str">
        <f>MID(Tabla1[[#This Row],[Aplicación]],9,4)</f>
        <v>0 13</v>
      </c>
      <c r="V3306" s="59">
        <v>1301</v>
      </c>
      <c r="W3306" s="59">
        <v>22</v>
      </c>
      <c r="X3306" s="59">
        <v>22706</v>
      </c>
    </row>
    <row r="3307" spans="1:24" x14ac:dyDescent="0.25">
      <c r="A3307" s="63">
        <v>220230031225</v>
      </c>
      <c r="B3307" s="44" t="s">
        <v>507</v>
      </c>
      <c r="C3307" s="64">
        <v>45099</v>
      </c>
      <c r="D3307" s="62">
        <v>22023001880</v>
      </c>
      <c r="E3307" s="44" t="s">
        <v>671</v>
      </c>
      <c r="F3307" s="65">
        <v>1488.3</v>
      </c>
      <c r="G3307" s="44" t="s">
        <v>45</v>
      </c>
      <c r="H3307" s="44" t="s">
        <v>5007</v>
      </c>
      <c r="I3307" s="62" t="s">
        <v>511</v>
      </c>
      <c r="J3307" s="44" t="s">
        <v>519</v>
      </c>
      <c r="K3307" s="44" t="s">
        <v>519</v>
      </c>
      <c r="L3307" s="44" t="s">
        <v>520</v>
      </c>
      <c r="M3307" s="44" t="s">
        <v>514</v>
      </c>
      <c r="N3307" s="44" t="s">
        <v>515</v>
      </c>
      <c r="O3307" s="45" t="s">
        <v>371</v>
      </c>
      <c r="P3307" s="45" t="s">
        <v>3760</v>
      </c>
      <c r="Q3307" s="59" t="str">
        <f>MID(Tabla1[[#This Row],[Aplicación]],14,1)</f>
        <v>2</v>
      </c>
      <c r="R3307" s="35" t="s">
        <v>298</v>
      </c>
      <c r="S3307" s="59" t="str">
        <f>MID(Tabla1[[#This Row],[Aplicación]],6,2)</f>
        <v>06</v>
      </c>
      <c r="T3307" s="35" t="str">
        <f>VLOOKUP(Tabla1[[#This Row],[AREA]],Hoja1!A:B,2,FALSE)</f>
        <v>06. Educación, infancia, juventud e igualdad</v>
      </c>
      <c r="U3307" s="56" t="str">
        <f>MID(Tabla1[[#This Row],[Aplicación]],9,4)</f>
        <v>3321</v>
      </c>
      <c r="V3307" s="35" t="str">
        <f>VLOOKUP(Tabla1[[#This Row],[PROGRAMA]],Hoja1!A:B,2,FALSE)</f>
        <v>3321. Bibliotecas públicas</v>
      </c>
      <c r="W3307" s="56" t="str">
        <f>MID(Tabla1[[#This Row],[Aplicación]],14,2)</f>
        <v>21</v>
      </c>
      <c r="X3307" s="56" t="str">
        <f>MID(Tabla1[[#This Row],[Aplicación]],14,6)</f>
        <v>213</v>
      </c>
    </row>
    <row r="3308" spans="1:24" x14ac:dyDescent="0.25">
      <c r="A3308" s="63">
        <v>220230031269</v>
      </c>
      <c r="B3308" s="44" t="s">
        <v>1514</v>
      </c>
      <c r="C3308" s="64">
        <v>45099</v>
      </c>
      <c r="D3308" s="62">
        <v>22023002298</v>
      </c>
      <c r="E3308" s="44" t="s">
        <v>693</v>
      </c>
      <c r="F3308" s="65">
        <v>605</v>
      </c>
      <c r="G3308" s="44" t="s">
        <v>390</v>
      </c>
      <c r="H3308" s="44" t="s">
        <v>5008</v>
      </c>
      <c r="I3308" s="62" t="s">
        <v>1517</v>
      </c>
      <c r="J3308" s="44" t="s">
        <v>519</v>
      </c>
      <c r="K3308" s="44" t="s">
        <v>519</v>
      </c>
      <c r="L3308" s="44" t="s">
        <v>520</v>
      </c>
      <c r="M3308" s="44" t="s">
        <v>514</v>
      </c>
      <c r="N3308" s="44" t="s">
        <v>515</v>
      </c>
      <c r="O3308" s="45" t="s">
        <v>371</v>
      </c>
      <c r="P3308" s="45" t="s">
        <v>3760</v>
      </c>
      <c r="Q3308" s="59" t="str">
        <f>MID(Tabla1[[#This Row],[Aplicación]],14,1)</f>
        <v>2</v>
      </c>
      <c r="R3308" s="35" t="s">
        <v>298</v>
      </c>
      <c r="S3308" s="59" t="str">
        <f>MID(Tabla1[[#This Row],[Aplicación]],6,2)</f>
        <v>11</v>
      </c>
      <c r="T3308" s="35" t="str">
        <f>VLOOKUP(Tabla1[[#This Row],[AREA]],Hoja1!A:B,2,FALSE)</f>
        <v>11. Salud pública y seguridad ciudadana</v>
      </c>
      <c r="U3308" s="56" t="str">
        <f>MID(Tabla1[[#This Row],[Aplicación]],9,4)</f>
        <v>1361</v>
      </c>
      <c r="V3308" s="35" t="str">
        <f>VLOOKUP(Tabla1[[#This Row],[PROGRAMA]],Hoja1!A:B,2,FALSE)</f>
        <v>1361. Prevención y extinción de incencios</v>
      </c>
      <c r="W3308" s="56" t="str">
        <f>MID(Tabla1[[#This Row],[Aplicación]],14,2)</f>
        <v>21</v>
      </c>
      <c r="X3308" s="56" t="str">
        <f>MID(Tabla1[[#This Row],[Aplicación]],14,6)</f>
        <v>213</v>
      </c>
    </row>
    <row r="3309" spans="1:24" x14ac:dyDescent="0.25">
      <c r="A3309" s="63">
        <v>220230031294</v>
      </c>
      <c r="B3309" s="44" t="s">
        <v>507</v>
      </c>
      <c r="C3309" s="64">
        <v>45100</v>
      </c>
      <c r="D3309" s="62">
        <v>22023002097</v>
      </c>
      <c r="E3309" s="44" t="s">
        <v>1502</v>
      </c>
      <c r="F3309" s="65">
        <v>700</v>
      </c>
      <c r="G3309" s="44" t="s">
        <v>78</v>
      </c>
      <c r="H3309" s="44" t="s">
        <v>4751</v>
      </c>
      <c r="I3309" s="62" t="s">
        <v>511</v>
      </c>
      <c r="J3309" s="44" t="s">
        <v>519</v>
      </c>
      <c r="K3309" s="44" t="s">
        <v>519</v>
      </c>
      <c r="L3309" s="44" t="s">
        <v>552</v>
      </c>
      <c r="M3309" s="44" t="s">
        <v>976</v>
      </c>
      <c r="N3309" s="44" t="s">
        <v>839</v>
      </c>
      <c r="O3309" s="45" t="s">
        <v>383</v>
      </c>
      <c r="P3309" s="45" t="s">
        <v>3760</v>
      </c>
      <c r="Q3309" s="59" t="str">
        <f>MID(Tabla1[[#This Row],[Aplicación]],14,1)</f>
        <v>2</v>
      </c>
      <c r="R3309" s="35" t="s">
        <v>298</v>
      </c>
      <c r="S3309" s="59" t="str">
        <f>MID(Tabla1[[#This Row],[Aplicación]],6,2)</f>
        <v>10</v>
      </c>
      <c r="T3309" s="35" t="str">
        <f>VLOOKUP(Tabla1[[#This Row],[AREA]],Hoja1!A:B,2,FALSE)</f>
        <v>10. Servicios sociales y mediación comunitaria</v>
      </c>
      <c r="U3309" s="56" t="str">
        <f>MID(Tabla1[[#This Row],[Aplicación]],9,4)</f>
        <v>2412</v>
      </c>
      <c r="V3309" s="35" t="str">
        <f>VLOOKUP(Tabla1[[#This Row],[PROGRAMA]],Hoja1!A:B,2,FALSE)</f>
        <v>2412. Formación para el empleo</v>
      </c>
      <c r="W3309" s="56" t="str">
        <f>MID(Tabla1[[#This Row],[Aplicación]],14,2)</f>
        <v>22</v>
      </c>
      <c r="X3309" s="56" t="str">
        <f>MID(Tabla1[[#This Row],[Aplicación]],14,6)</f>
        <v>22199</v>
      </c>
    </row>
    <row r="3310" spans="1:24" x14ac:dyDescent="0.25">
      <c r="A3310" s="63">
        <v>220230031294</v>
      </c>
      <c r="B3310" s="44" t="s">
        <v>507</v>
      </c>
      <c r="C3310" s="64">
        <v>45100</v>
      </c>
      <c r="D3310" s="62">
        <v>22023002098</v>
      </c>
      <c r="E3310" s="44" t="s">
        <v>1502</v>
      </c>
      <c r="F3310" s="65">
        <v>104.54</v>
      </c>
      <c r="G3310" s="44" t="s">
        <v>78</v>
      </c>
      <c r="H3310" s="44" t="s">
        <v>4751</v>
      </c>
      <c r="I3310" s="62" t="s">
        <v>511</v>
      </c>
      <c r="J3310" s="44" t="s">
        <v>519</v>
      </c>
      <c r="K3310" s="44" t="s">
        <v>519</v>
      </c>
      <c r="L3310" s="44" t="s">
        <v>552</v>
      </c>
      <c r="M3310" s="44" t="s">
        <v>976</v>
      </c>
      <c r="N3310" s="44" t="s">
        <v>839</v>
      </c>
      <c r="O3310" s="45" t="s">
        <v>383</v>
      </c>
      <c r="P3310" s="45" t="s">
        <v>3760</v>
      </c>
      <c r="Q3310" s="59" t="str">
        <f>MID(Tabla1[[#This Row],[Aplicación]],14,1)</f>
        <v>2</v>
      </c>
      <c r="R3310" s="35" t="s">
        <v>298</v>
      </c>
      <c r="S3310" s="59" t="str">
        <f>MID(Tabla1[[#This Row],[Aplicación]],6,2)</f>
        <v>10</v>
      </c>
      <c r="T3310" s="35" t="str">
        <f>VLOOKUP(Tabla1[[#This Row],[AREA]],Hoja1!A:B,2,FALSE)</f>
        <v>10. Servicios sociales y mediación comunitaria</v>
      </c>
      <c r="U3310" s="56" t="str">
        <f>MID(Tabla1[[#This Row],[Aplicación]],9,4)</f>
        <v>2412</v>
      </c>
      <c r="V3310" s="35" t="str">
        <f>VLOOKUP(Tabla1[[#This Row],[PROGRAMA]],Hoja1!A:B,2,FALSE)</f>
        <v>2412. Formación para el empleo</v>
      </c>
      <c r="W3310" s="56" t="str">
        <f>MID(Tabla1[[#This Row],[Aplicación]],14,2)</f>
        <v>22</v>
      </c>
      <c r="X3310" s="56" t="str">
        <f>MID(Tabla1[[#This Row],[Aplicación]],14,6)</f>
        <v>22199</v>
      </c>
    </row>
    <row r="3311" spans="1:24" x14ac:dyDescent="0.25">
      <c r="A3311" s="63">
        <v>220230031294</v>
      </c>
      <c r="B3311" s="44" t="s">
        <v>507</v>
      </c>
      <c r="C3311" s="64">
        <v>45100</v>
      </c>
      <c r="D3311" s="62">
        <v>22023002095</v>
      </c>
      <c r="E3311" s="44" t="s">
        <v>1502</v>
      </c>
      <c r="F3311" s="65">
        <v>60</v>
      </c>
      <c r="G3311" s="44" t="s">
        <v>78</v>
      </c>
      <c r="H3311" s="44" t="s">
        <v>4751</v>
      </c>
      <c r="I3311" s="62" t="s">
        <v>511</v>
      </c>
      <c r="J3311" s="44" t="s">
        <v>519</v>
      </c>
      <c r="K3311" s="44" t="s">
        <v>519</v>
      </c>
      <c r="L3311" s="44" t="s">
        <v>552</v>
      </c>
      <c r="M3311" s="44" t="s">
        <v>976</v>
      </c>
      <c r="N3311" s="44" t="s">
        <v>839</v>
      </c>
      <c r="O3311" s="45" t="s">
        <v>383</v>
      </c>
      <c r="P3311" s="45" t="s">
        <v>3760</v>
      </c>
      <c r="Q3311" s="59" t="str">
        <f>MID(Tabla1[[#This Row],[Aplicación]],14,1)</f>
        <v>2</v>
      </c>
      <c r="R3311" s="35" t="s">
        <v>298</v>
      </c>
      <c r="S3311" s="59" t="str">
        <f>MID(Tabla1[[#This Row],[Aplicación]],6,2)</f>
        <v>10</v>
      </c>
      <c r="T3311" s="35" t="str">
        <f>VLOOKUP(Tabla1[[#This Row],[AREA]],Hoja1!A:B,2,FALSE)</f>
        <v>10. Servicios sociales y mediación comunitaria</v>
      </c>
      <c r="U3311" s="56" t="str">
        <f>MID(Tabla1[[#This Row],[Aplicación]],9,4)</f>
        <v>2412</v>
      </c>
      <c r="V3311" s="35" t="str">
        <f>VLOOKUP(Tabla1[[#This Row],[PROGRAMA]],Hoja1!A:B,2,FALSE)</f>
        <v>2412. Formación para el empleo</v>
      </c>
      <c r="W3311" s="56" t="str">
        <f>MID(Tabla1[[#This Row],[Aplicación]],14,2)</f>
        <v>22</v>
      </c>
      <c r="X3311" s="56" t="str">
        <f>MID(Tabla1[[#This Row],[Aplicación]],14,6)</f>
        <v>22199</v>
      </c>
    </row>
    <row r="3312" spans="1:24" x14ac:dyDescent="0.25">
      <c r="A3312" s="63">
        <v>220230031294</v>
      </c>
      <c r="B3312" s="44" t="s">
        <v>507</v>
      </c>
      <c r="C3312" s="64">
        <v>45100</v>
      </c>
      <c r="D3312" s="62">
        <v>22023002096</v>
      </c>
      <c r="E3312" s="44" t="s">
        <v>1502</v>
      </c>
      <c r="F3312" s="65">
        <v>60</v>
      </c>
      <c r="G3312" s="44" t="s">
        <v>78</v>
      </c>
      <c r="H3312" s="44" t="s">
        <v>4751</v>
      </c>
      <c r="I3312" s="62" t="s">
        <v>511</v>
      </c>
      <c r="J3312" s="44" t="s">
        <v>519</v>
      </c>
      <c r="K3312" s="44" t="s">
        <v>519</v>
      </c>
      <c r="L3312" s="44" t="s">
        <v>552</v>
      </c>
      <c r="M3312" s="44" t="s">
        <v>976</v>
      </c>
      <c r="N3312" s="44" t="s">
        <v>839</v>
      </c>
      <c r="O3312" s="45" t="s">
        <v>383</v>
      </c>
      <c r="P3312" s="45" t="s">
        <v>3760</v>
      </c>
      <c r="Q3312" s="59" t="str">
        <f>MID(Tabla1[[#This Row],[Aplicación]],14,1)</f>
        <v>2</v>
      </c>
      <c r="R3312" s="35" t="s">
        <v>298</v>
      </c>
      <c r="S3312" s="59" t="str">
        <f>MID(Tabla1[[#This Row],[Aplicación]],6,2)</f>
        <v>10</v>
      </c>
      <c r="T3312" s="35" t="str">
        <f>VLOOKUP(Tabla1[[#This Row],[AREA]],Hoja1!A:B,2,FALSE)</f>
        <v>10. Servicios sociales y mediación comunitaria</v>
      </c>
      <c r="U3312" s="56" t="str">
        <f>MID(Tabla1[[#This Row],[Aplicación]],9,4)</f>
        <v>2412</v>
      </c>
      <c r="V3312" s="35" t="str">
        <f>VLOOKUP(Tabla1[[#This Row],[PROGRAMA]],Hoja1!A:B,2,FALSE)</f>
        <v>2412. Formación para el empleo</v>
      </c>
      <c r="W3312" s="56" t="str">
        <f>MID(Tabla1[[#This Row],[Aplicación]],14,2)</f>
        <v>22</v>
      </c>
      <c r="X3312" s="56" t="str">
        <f>MID(Tabla1[[#This Row],[Aplicación]],14,6)</f>
        <v>22199</v>
      </c>
    </row>
    <row r="3313" spans="1:24" x14ac:dyDescent="0.25">
      <c r="A3313" s="63">
        <v>220230028346</v>
      </c>
      <c r="B3313" s="44" t="s">
        <v>1514</v>
      </c>
      <c r="C3313" s="64">
        <v>45084</v>
      </c>
      <c r="D3313" s="62">
        <v>22023003832</v>
      </c>
      <c r="E3313" s="44" t="s">
        <v>1502</v>
      </c>
      <c r="F3313" s="65">
        <v>250.47</v>
      </c>
      <c r="G3313" s="44" t="s">
        <v>2936</v>
      </c>
      <c r="H3313" s="44" t="s">
        <v>5009</v>
      </c>
      <c r="I3313" s="62" t="s">
        <v>1517</v>
      </c>
      <c r="J3313" s="44" t="s">
        <v>2938</v>
      </c>
      <c r="K3313" s="44" t="s">
        <v>519</v>
      </c>
      <c r="L3313" s="44" t="s">
        <v>552</v>
      </c>
      <c r="M3313" s="44" t="s">
        <v>514</v>
      </c>
      <c r="N3313" s="44" t="s">
        <v>515</v>
      </c>
      <c r="O3313" s="45" t="s">
        <v>382</v>
      </c>
      <c r="P3313" s="45" t="s">
        <v>3760</v>
      </c>
      <c r="Q3313" s="59" t="str">
        <f>MID(Tabla1[[#This Row],[Aplicación]],14,1)</f>
        <v>2</v>
      </c>
      <c r="R3313" s="35" t="s">
        <v>298</v>
      </c>
      <c r="S3313" s="59" t="str">
        <f>MID(Tabla1[[#This Row],[Aplicación]],6,2)</f>
        <v>10</v>
      </c>
      <c r="T3313" s="35" t="str">
        <f>VLOOKUP(Tabla1[[#This Row],[AREA]],Hoja1!A:B,2,FALSE)</f>
        <v>10. Servicios sociales y mediación comunitaria</v>
      </c>
      <c r="U3313" s="56" t="str">
        <f>MID(Tabla1[[#This Row],[Aplicación]],9,4)</f>
        <v>2412</v>
      </c>
      <c r="V3313" s="35" t="str">
        <f>VLOOKUP(Tabla1[[#This Row],[PROGRAMA]],Hoja1!A:B,2,FALSE)</f>
        <v>2412. Formación para el empleo</v>
      </c>
      <c r="W3313" s="56" t="str">
        <f>MID(Tabla1[[#This Row],[Aplicación]],14,2)</f>
        <v>22</v>
      </c>
      <c r="X3313" s="56" t="str">
        <f>MID(Tabla1[[#This Row],[Aplicación]],14,6)</f>
        <v>22199</v>
      </c>
    </row>
    <row r="3314" spans="1:24" x14ac:dyDescent="0.25">
      <c r="A3314" s="63">
        <v>220230030065</v>
      </c>
      <c r="B3314" s="44" t="s">
        <v>1514</v>
      </c>
      <c r="C3314" s="64">
        <v>45093</v>
      </c>
      <c r="D3314" s="62">
        <v>22023003832</v>
      </c>
      <c r="E3314" s="44" t="s">
        <v>1502</v>
      </c>
      <c r="F3314" s="65">
        <v>462.97</v>
      </c>
      <c r="G3314" s="44" t="s">
        <v>2936</v>
      </c>
      <c r="H3314" s="44" t="s">
        <v>5010</v>
      </c>
      <c r="I3314" s="62" t="s">
        <v>1517</v>
      </c>
      <c r="J3314" s="44" t="s">
        <v>2938</v>
      </c>
      <c r="K3314" s="44" t="s">
        <v>519</v>
      </c>
      <c r="L3314" s="44" t="s">
        <v>552</v>
      </c>
      <c r="M3314" s="44" t="s">
        <v>514</v>
      </c>
      <c r="N3314" s="44" t="s">
        <v>515</v>
      </c>
      <c r="O3314" s="45" t="s">
        <v>382</v>
      </c>
      <c r="P3314" s="45" t="s">
        <v>3760</v>
      </c>
      <c r="Q3314" s="59" t="str">
        <f>MID(Tabla1[[#This Row],[Aplicación]],14,1)</f>
        <v>2</v>
      </c>
      <c r="R3314" s="35" t="s">
        <v>298</v>
      </c>
      <c r="S3314" s="59" t="str">
        <f>MID(Tabla1[[#This Row],[Aplicación]],6,2)</f>
        <v>10</v>
      </c>
      <c r="T3314" s="35" t="str">
        <f>VLOOKUP(Tabla1[[#This Row],[AREA]],Hoja1!A:B,2,FALSE)</f>
        <v>10. Servicios sociales y mediación comunitaria</v>
      </c>
      <c r="U3314" s="56" t="str">
        <f>MID(Tabla1[[#This Row],[Aplicación]],9,4)</f>
        <v>2412</v>
      </c>
      <c r="V3314" s="35" t="str">
        <f>VLOOKUP(Tabla1[[#This Row],[PROGRAMA]],Hoja1!A:B,2,FALSE)</f>
        <v>2412. Formación para el empleo</v>
      </c>
      <c r="W3314" s="56" t="str">
        <f>MID(Tabla1[[#This Row],[Aplicación]],14,2)</f>
        <v>22</v>
      </c>
      <c r="X3314" s="56" t="str">
        <f>MID(Tabla1[[#This Row],[Aplicación]],14,6)</f>
        <v>22199</v>
      </c>
    </row>
    <row r="3315" spans="1:24" x14ac:dyDescent="0.25">
      <c r="A3315" s="63">
        <v>220230030108</v>
      </c>
      <c r="B3315" s="44" t="s">
        <v>1514</v>
      </c>
      <c r="C3315" s="64">
        <v>45093</v>
      </c>
      <c r="D3315" s="62">
        <v>22023003932</v>
      </c>
      <c r="E3315" s="44" t="s">
        <v>1515</v>
      </c>
      <c r="F3315" s="65">
        <v>2167.62</v>
      </c>
      <c r="G3315" s="44" t="s">
        <v>2936</v>
      </c>
      <c r="H3315" s="44" t="s">
        <v>5011</v>
      </c>
      <c r="I3315" s="62" t="s">
        <v>1517</v>
      </c>
      <c r="J3315" s="44" t="s">
        <v>2938</v>
      </c>
      <c r="K3315" s="44" t="s">
        <v>519</v>
      </c>
      <c r="L3315" s="44" t="s">
        <v>552</v>
      </c>
      <c r="M3315" s="44" t="s">
        <v>514</v>
      </c>
      <c r="N3315" s="44" t="s">
        <v>515</v>
      </c>
      <c r="O3315" s="45" t="s">
        <v>382</v>
      </c>
      <c r="P3315" s="45" t="s">
        <v>3760</v>
      </c>
      <c r="Q3315" s="59" t="str">
        <f>MID(Tabla1[[#This Row],[Aplicación]],14,1)</f>
        <v>2</v>
      </c>
      <c r="R3315" s="35" t="s">
        <v>298</v>
      </c>
      <c r="S3315" s="59" t="str">
        <f>MID(Tabla1[[#This Row],[Aplicación]],6,2)</f>
        <v>07</v>
      </c>
      <c r="T3315" s="35" t="str">
        <f>VLOOKUP(Tabla1[[#This Row],[AREA]],Hoja1!A:B,2,FALSE)</f>
        <v>07. Medio ambiente y desarrollo sostenible</v>
      </c>
      <c r="U3315" s="56" t="str">
        <f>MID(Tabla1[[#This Row],[Aplicación]],9,4)</f>
        <v>1711</v>
      </c>
      <c r="V3315" s="35" t="str">
        <f>VLOOKUP(Tabla1[[#This Row],[PROGRAMA]],Hoja1!A:B,2,FALSE)</f>
        <v>1711. Parques y jardines</v>
      </c>
      <c r="W3315" s="56" t="str">
        <f>MID(Tabla1[[#This Row],[Aplicación]],14,2)</f>
        <v>22</v>
      </c>
      <c r="X3315" s="56" t="str">
        <f>MID(Tabla1[[#This Row],[Aplicación]],14,6)</f>
        <v>22199</v>
      </c>
    </row>
    <row r="3316" spans="1:24" x14ac:dyDescent="0.25">
      <c r="A3316" s="63">
        <v>220230032509</v>
      </c>
      <c r="B3316" s="44" t="s">
        <v>1514</v>
      </c>
      <c r="C3316" s="64">
        <v>45107</v>
      </c>
      <c r="D3316" s="62">
        <v>22023003932</v>
      </c>
      <c r="E3316" s="44" t="s">
        <v>1515</v>
      </c>
      <c r="F3316" s="65">
        <v>2044.9</v>
      </c>
      <c r="G3316" s="44" t="s">
        <v>2936</v>
      </c>
      <c r="H3316" s="44" t="s">
        <v>5012</v>
      </c>
      <c r="I3316" s="62" t="s">
        <v>1517</v>
      </c>
      <c r="J3316" s="44" t="s">
        <v>2938</v>
      </c>
      <c r="K3316" s="44" t="s">
        <v>519</v>
      </c>
      <c r="L3316" s="44" t="s">
        <v>520</v>
      </c>
      <c r="M3316" s="44" t="s">
        <v>514</v>
      </c>
      <c r="N3316" s="44" t="s">
        <v>515</v>
      </c>
      <c r="O3316" s="45" t="s">
        <v>382</v>
      </c>
      <c r="P3316" s="45" t="s">
        <v>3760</v>
      </c>
      <c r="Q3316" s="59" t="str">
        <f>MID(Tabla1[[#This Row],[Aplicación]],14,1)</f>
        <v>2</v>
      </c>
      <c r="R3316" s="35" t="s">
        <v>298</v>
      </c>
      <c r="S3316" s="59" t="str">
        <f>MID(Tabla1[[#This Row],[Aplicación]],6,2)</f>
        <v>07</v>
      </c>
      <c r="T3316" s="35" t="str">
        <f>VLOOKUP(Tabla1[[#This Row],[AREA]],Hoja1!A:B,2,FALSE)</f>
        <v>07. Medio ambiente y desarrollo sostenible</v>
      </c>
      <c r="U3316" s="56" t="str">
        <f>MID(Tabla1[[#This Row],[Aplicación]],9,4)</f>
        <v>1711</v>
      </c>
      <c r="V3316" s="35" t="str">
        <f>VLOOKUP(Tabla1[[#This Row],[PROGRAMA]],Hoja1!A:B,2,FALSE)</f>
        <v>1711. Parques y jardines</v>
      </c>
      <c r="W3316" s="56" t="str">
        <f>MID(Tabla1[[#This Row],[Aplicación]],14,2)</f>
        <v>22</v>
      </c>
      <c r="X3316" s="56" t="str">
        <f>MID(Tabla1[[#This Row],[Aplicación]],14,6)</f>
        <v>22199</v>
      </c>
    </row>
    <row r="3317" spans="1:24" x14ac:dyDescent="0.25">
      <c r="A3317" s="63">
        <v>220230032527</v>
      </c>
      <c r="B3317" s="44" t="s">
        <v>1514</v>
      </c>
      <c r="C3317" s="64">
        <v>45107</v>
      </c>
      <c r="D3317" s="62">
        <v>22023003932</v>
      </c>
      <c r="E3317" s="44" t="s">
        <v>1515</v>
      </c>
      <c r="F3317" s="65">
        <v>210.07</v>
      </c>
      <c r="G3317" s="44" t="s">
        <v>2477</v>
      </c>
      <c r="H3317" s="44" t="s">
        <v>3374</v>
      </c>
      <c r="I3317" s="62" t="s">
        <v>1517</v>
      </c>
      <c r="J3317" s="44" t="s">
        <v>519</v>
      </c>
      <c r="K3317" s="44" t="s">
        <v>519</v>
      </c>
      <c r="L3317" s="44" t="s">
        <v>552</v>
      </c>
      <c r="M3317" s="44" t="s">
        <v>976</v>
      </c>
      <c r="N3317" s="44" t="s">
        <v>839</v>
      </c>
      <c r="O3317" s="45" t="s">
        <v>383</v>
      </c>
      <c r="P3317" s="45" t="s">
        <v>3760</v>
      </c>
      <c r="Q3317" s="59" t="str">
        <f>MID(Tabla1[[#This Row],[Aplicación]],14,1)</f>
        <v>2</v>
      </c>
      <c r="R3317" s="35" t="s">
        <v>298</v>
      </c>
      <c r="S3317" s="59" t="str">
        <f>MID(Tabla1[[#This Row],[Aplicación]],6,2)</f>
        <v>07</v>
      </c>
      <c r="T3317" s="35" t="str">
        <f>VLOOKUP(Tabla1[[#This Row],[AREA]],Hoja1!A:B,2,FALSE)</f>
        <v>07. Medio ambiente y desarrollo sostenible</v>
      </c>
      <c r="U3317" s="56" t="str">
        <f>MID(Tabla1[[#This Row],[Aplicación]],9,4)</f>
        <v>1711</v>
      </c>
      <c r="V3317" s="35" t="str">
        <f>VLOOKUP(Tabla1[[#This Row],[PROGRAMA]],Hoja1!A:B,2,FALSE)</f>
        <v>1711. Parques y jardines</v>
      </c>
      <c r="W3317" s="56" t="str">
        <f>MID(Tabla1[[#This Row],[Aplicación]],14,2)</f>
        <v>22</v>
      </c>
      <c r="X3317" s="56" t="str">
        <f>MID(Tabla1[[#This Row],[Aplicación]],14,6)</f>
        <v>22199</v>
      </c>
    </row>
    <row r="3318" spans="1:24" x14ac:dyDescent="0.25">
      <c r="A3318" s="63">
        <v>220230031272</v>
      </c>
      <c r="B3318" s="44" t="s">
        <v>1514</v>
      </c>
      <c r="C3318" s="64">
        <v>45099</v>
      </c>
      <c r="D3318" s="62">
        <v>22023002304</v>
      </c>
      <c r="E3318" s="44" t="s">
        <v>693</v>
      </c>
      <c r="F3318" s="65">
        <v>242</v>
      </c>
      <c r="G3318" s="44" t="s">
        <v>18</v>
      </c>
      <c r="H3318" s="44" t="s">
        <v>5013</v>
      </c>
      <c r="I3318" s="62" t="s">
        <v>1517</v>
      </c>
      <c r="J3318" s="44" t="s">
        <v>519</v>
      </c>
      <c r="K3318" s="44" t="s">
        <v>519</v>
      </c>
      <c r="L3318" s="44" t="s">
        <v>520</v>
      </c>
      <c r="M3318" s="44" t="s">
        <v>514</v>
      </c>
      <c r="N3318" s="44" t="s">
        <v>515</v>
      </c>
      <c r="O3318" s="45" t="s">
        <v>371</v>
      </c>
      <c r="P3318" s="45" t="s">
        <v>3760</v>
      </c>
      <c r="Q3318" s="59" t="str">
        <f>MID(Tabla1[[#This Row],[Aplicación]],14,1)</f>
        <v>2</v>
      </c>
      <c r="R3318" s="35" t="s">
        <v>298</v>
      </c>
      <c r="S3318" s="59" t="str">
        <f>MID(Tabla1[[#This Row],[Aplicación]],6,2)</f>
        <v>11</v>
      </c>
      <c r="T3318" s="35" t="str">
        <f>VLOOKUP(Tabla1[[#This Row],[AREA]],Hoja1!A:B,2,FALSE)</f>
        <v>11. Salud pública y seguridad ciudadana</v>
      </c>
      <c r="U3318" s="56" t="str">
        <f>MID(Tabla1[[#This Row],[Aplicación]],9,4)</f>
        <v>1361</v>
      </c>
      <c r="V3318" s="35" t="str">
        <f>VLOOKUP(Tabla1[[#This Row],[PROGRAMA]],Hoja1!A:B,2,FALSE)</f>
        <v>1361. Prevención y extinción de incencios</v>
      </c>
      <c r="W3318" s="56" t="str">
        <f>MID(Tabla1[[#This Row],[Aplicación]],14,2)</f>
        <v>21</v>
      </c>
      <c r="X3318" s="56" t="str">
        <f>MID(Tabla1[[#This Row],[Aplicación]],14,6)</f>
        <v>213</v>
      </c>
    </row>
    <row r="3319" spans="1:24" x14ac:dyDescent="0.25">
      <c r="A3319" s="63">
        <v>220230031241</v>
      </c>
      <c r="B3319" s="44" t="s">
        <v>507</v>
      </c>
      <c r="C3319" s="64">
        <v>45099</v>
      </c>
      <c r="D3319" s="62">
        <v>22023005000</v>
      </c>
      <c r="E3319" s="44" t="s">
        <v>1965</v>
      </c>
      <c r="F3319" s="65">
        <v>18089.5</v>
      </c>
      <c r="G3319" s="44" t="s">
        <v>5014</v>
      </c>
      <c r="H3319" s="44" t="s">
        <v>5015</v>
      </c>
      <c r="I3319" s="62" t="s">
        <v>511</v>
      </c>
      <c r="J3319" s="44" t="s">
        <v>512</v>
      </c>
      <c r="K3319" s="44" t="s">
        <v>512</v>
      </c>
      <c r="L3319" s="44" t="s">
        <v>520</v>
      </c>
      <c r="M3319" s="44" t="s">
        <v>976</v>
      </c>
      <c r="N3319" s="44" t="s">
        <v>839</v>
      </c>
      <c r="O3319" s="45" t="s">
        <v>383</v>
      </c>
      <c r="P3319" s="45" t="s">
        <v>3760</v>
      </c>
      <c r="Q3319" s="59" t="str">
        <f>MID(Tabla1[[#This Row],[Aplicación]],14,1)</f>
        <v>2</v>
      </c>
      <c r="R3319" s="35" t="s">
        <v>298</v>
      </c>
      <c r="S3319" s="59" t="str">
        <f>MID(Tabla1[[#This Row],[Aplicación]],6,2)</f>
        <v>02</v>
      </c>
      <c r="T3319" s="35" t="str">
        <f>VLOOKUP(Tabla1[[#This Row],[AREA]],Hoja1!A:B,2,FALSE)</f>
        <v>02. Planeamiento urbanístico y vivienda</v>
      </c>
      <c r="U3319" s="56" t="str">
        <f>MID(Tabla1[[#This Row],[Aplicación]],9,4)</f>
        <v>1511</v>
      </c>
      <c r="V3319" s="35" t="str">
        <f>VLOOKUP(Tabla1[[#This Row],[PROGRAMA]],Hoja1!A:B,2,FALSE)</f>
        <v>1511. Planficación y gestión del urbanismo</v>
      </c>
      <c r="W3319" s="56" t="str">
        <f>MID(Tabla1[[#This Row],[Aplicación]],14,2)</f>
        <v>22</v>
      </c>
      <c r="X3319" s="56" t="str">
        <f>MID(Tabla1[[#This Row],[Aplicación]],14,6)</f>
        <v>22706</v>
      </c>
    </row>
    <row r="3320" spans="1:24" x14ac:dyDescent="0.25">
      <c r="A3320" s="63">
        <v>220230031283</v>
      </c>
      <c r="B3320" s="44" t="s">
        <v>507</v>
      </c>
      <c r="C3320" s="64">
        <v>45100</v>
      </c>
      <c r="D3320" s="62">
        <v>22023004981</v>
      </c>
      <c r="E3320" s="44" t="s">
        <v>1378</v>
      </c>
      <c r="F3320" s="65">
        <v>16761.75</v>
      </c>
      <c r="G3320" s="44" t="s">
        <v>2868</v>
      </c>
      <c r="H3320" s="44" t="s">
        <v>5016</v>
      </c>
      <c r="I3320" s="62" t="s">
        <v>511</v>
      </c>
      <c r="J3320" s="44" t="s">
        <v>512</v>
      </c>
      <c r="K3320" s="44" t="s">
        <v>512</v>
      </c>
      <c r="L3320" s="44" t="s">
        <v>552</v>
      </c>
      <c r="M3320" s="44" t="s">
        <v>976</v>
      </c>
      <c r="N3320" s="44" t="s">
        <v>839</v>
      </c>
      <c r="O3320" s="45" t="s">
        <v>383</v>
      </c>
      <c r="P3320" s="45" t="s">
        <v>3760</v>
      </c>
      <c r="Q3320" s="59" t="str">
        <f>MID(Tabla1[[#This Row],[Aplicación]],14,1)</f>
        <v>6</v>
      </c>
      <c r="R3320" s="35" t="s">
        <v>299</v>
      </c>
      <c r="S3320" s="59" t="str">
        <f>MID(Tabla1[[#This Row],[Aplicación]],6,2)</f>
        <v>11</v>
      </c>
      <c r="T3320" s="35" t="str">
        <f>VLOOKUP(Tabla1[[#This Row],[AREA]],Hoja1!A:B,2,FALSE)</f>
        <v>11. Salud pública y seguridad ciudadana</v>
      </c>
      <c r="U3320" s="56" t="str">
        <f>MID(Tabla1[[#This Row],[Aplicación]],9,4)</f>
        <v>1361</v>
      </c>
      <c r="V3320" s="35" t="str">
        <f>VLOOKUP(Tabla1[[#This Row],[PROGRAMA]],Hoja1!A:B,2,FALSE)</f>
        <v>1361. Prevención y extinción de incencios</v>
      </c>
      <c r="W3320" s="56" t="str">
        <f>MID(Tabla1[[#This Row],[Aplicación]],14,2)</f>
        <v>62</v>
      </c>
      <c r="X3320" s="56" t="str">
        <f>MID(Tabla1[[#This Row],[Aplicación]],14,6)</f>
        <v>623</v>
      </c>
    </row>
    <row r="3321" spans="1:24" x14ac:dyDescent="0.25">
      <c r="A3321" s="63">
        <v>220230028624</v>
      </c>
      <c r="B3321" s="44" t="s">
        <v>507</v>
      </c>
      <c r="C3321" s="64">
        <v>45085</v>
      </c>
      <c r="D3321" s="62">
        <v>22023004535</v>
      </c>
      <c r="E3321" s="44" t="s">
        <v>931</v>
      </c>
      <c r="F3321" s="65">
        <v>15932.68</v>
      </c>
      <c r="G3321" s="44" t="s">
        <v>74</v>
      </c>
      <c r="H3321" s="44" t="s">
        <v>5017</v>
      </c>
      <c r="I3321" s="62" t="s">
        <v>511</v>
      </c>
      <c r="J3321" s="44" t="s">
        <v>940</v>
      </c>
      <c r="K3321" s="44" t="s">
        <v>519</v>
      </c>
      <c r="L3321" s="44" t="s">
        <v>520</v>
      </c>
      <c r="M3321" s="44" t="s">
        <v>976</v>
      </c>
      <c r="N3321" s="44" t="s">
        <v>839</v>
      </c>
      <c r="O3321" s="45" t="s">
        <v>383</v>
      </c>
      <c r="P3321" s="45" t="s">
        <v>3760</v>
      </c>
      <c r="Q3321" s="59" t="str">
        <f>MID(Tabla1[[#This Row],[Aplicación]],14,1)</f>
        <v>2</v>
      </c>
      <c r="R3321" s="35" t="s">
        <v>298</v>
      </c>
      <c r="S3321" s="59" t="str">
        <f>MID(Tabla1[[#This Row],[Aplicación]],6,2)</f>
        <v>09</v>
      </c>
      <c r="T3321" s="35" t="str">
        <f>VLOOKUP(Tabla1[[#This Row],[AREA]],Hoja1!A:B,2,FALSE)</f>
        <v>09. Cultura y turismo</v>
      </c>
      <c r="U3321" s="56" t="str">
        <f>MID(Tabla1[[#This Row],[Aplicación]],9,4)</f>
        <v>3341</v>
      </c>
      <c r="V3321" s="35" t="str">
        <f>VLOOKUP(Tabla1[[#This Row],[PROGRAMA]],Hoja1!A:B,2,FALSE)</f>
        <v>3341. Coordinación de políticas culturales</v>
      </c>
      <c r="W3321" s="56" t="str">
        <f>MID(Tabla1[[#This Row],[Aplicación]],14,2)</f>
        <v>22</v>
      </c>
      <c r="X3321" s="56" t="str">
        <f>MID(Tabla1[[#This Row],[Aplicación]],14,6)</f>
        <v>22799</v>
      </c>
    </row>
    <row r="3322" spans="1:24" x14ac:dyDescent="0.25">
      <c r="A3322" s="63">
        <v>220230031192</v>
      </c>
      <c r="B3322" s="44" t="s">
        <v>507</v>
      </c>
      <c r="C3322" s="64">
        <v>45099</v>
      </c>
      <c r="D3322" s="62">
        <v>22023005147</v>
      </c>
      <c r="E3322" s="44" t="s">
        <v>4000</v>
      </c>
      <c r="F3322" s="65">
        <v>15730</v>
      </c>
      <c r="G3322" s="44" t="s">
        <v>2723</v>
      </c>
      <c r="H3322" s="44" t="s">
        <v>5018</v>
      </c>
      <c r="I3322" s="62" t="s">
        <v>511</v>
      </c>
      <c r="J3322" s="44" t="s">
        <v>519</v>
      </c>
      <c r="K3322" s="44" t="s">
        <v>519</v>
      </c>
      <c r="L3322" s="44" t="s">
        <v>520</v>
      </c>
      <c r="M3322" s="44" t="s">
        <v>976</v>
      </c>
      <c r="N3322" s="44" t="s">
        <v>839</v>
      </c>
      <c r="O3322" s="45" t="s">
        <v>383</v>
      </c>
      <c r="P3322" s="45" t="s">
        <v>3760</v>
      </c>
      <c r="Q3322" s="59" t="str">
        <f>MID(Tabla1[[#This Row],[Aplicación]],14,1)</f>
        <v>2</v>
      </c>
      <c r="R3322" s="35" t="s">
        <v>298</v>
      </c>
      <c r="S3322" s="59" t="str">
        <f>MID(Tabla1[[#This Row],[Aplicación]],6,2)</f>
        <v>04</v>
      </c>
      <c r="T3322" s="35" t="str">
        <f>VLOOKUP(Tabla1[[#This Row],[AREA]],Hoja1!A:B,2,FALSE)</f>
        <v>04. Planificación y recursos</v>
      </c>
      <c r="U3322" s="56" t="str">
        <f>MID(Tabla1[[#This Row],[Aplicación]],9,4)</f>
        <v>9231</v>
      </c>
      <c r="V3322" s="35" t="str">
        <f>VLOOKUP(Tabla1[[#This Row],[PROGRAMA]],Hoja1!A:B,2,FALSE)</f>
        <v>9231. Información, registro y gestión del padrón</v>
      </c>
      <c r="W3322" s="56" t="str">
        <f>MID(Tabla1[[#This Row],[Aplicación]],14,2)</f>
        <v>22</v>
      </c>
      <c r="X3322" s="56" t="str">
        <f>MID(Tabla1[[#This Row],[Aplicación]],14,6)</f>
        <v>22705</v>
      </c>
    </row>
    <row r="3323" spans="1:24" x14ac:dyDescent="0.25">
      <c r="A3323" s="62">
        <v>220230014121</v>
      </c>
      <c r="B3323" s="44" t="s">
        <v>1249</v>
      </c>
      <c r="C3323" s="64">
        <v>45035</v>
      </c>
      <c r="D3323" s="62">
        <v>22023002626</v>
      </c>
      <c r="E3323" s="44" t="s">
        <v>1356</v>
      </c>
      <c r="F3323" s="65">
        <v>367408.01</v>
      </c>
      <c r="G3323" s="44" t="s">
        <v>2940</v>
      </c>
      <c r="H3323" s="44" t="s">
        <v>5019</v>
      </c>
      <c r="I3323" s="62" t="s">
        <v>2942</v>
      </c>
      <c r="J3323" s="44" t="s">
        <v>519</v>
      </c>
      <c r="K3323" s="44" t="s">
        <v>519</v>
      </c>
      <c r="L3323" s="44" t="s">
        <v>2943</v>
      </c>
      <c r="M3323" s="44" t="s">
        <v>514</v>
      </c>
      <c r="N3323" s="44" t="s">
        <v>515</v>
      </c>
      <c r="O3323" s="45" t="s">
        <v>371</v>
      </c>
      <c r="P3323" s="45" t="s">
        <v>3760</v>
      </c>
      <c r="Q3323" s="59" t="str">
        <f>MID(Tabla1[[#This Row],[Aplicación]],14,1)</f>
        <v>2</v>
      </c>
      <c r="R3323" s="35" t="s">
        <v>298</v>
      </c>
      <c r="S3323" s="59" t="str">
        <f>MID(Tabla1[[#This Row],[Aplicación]],6,2)</f>
        <v>07</v>
      </c>
      <c r="T3323" s="35" t="str">
        <f>VLOOKUP(Tabla1[[#This Row],[AREA]],Hoja1!A:B,2,FALSE)</f>
        <v>07. Medio ambiente y desarrollo sostenible</v>
      </c>
      <c r="U3323" s="56" t="str">
        <f>MID(Tabla1[[#This Row],[Aplicación]],9,4)</f>
        <v>1623</v>
      </c>
      <c r="V3323" s="35" t="str">
        <f>VLOOKUP(Tabla1[[#This Row],[PROGRAMA]],Hoja1!A:B,2,FALSE)</f>
        <v>1623. Tratamiento de residuos</v>
      </c>
      <c r="W3323" s="56" t="str">
        <f>MID(Tabla1[[#This Row],[Aplicación]],14,2)</f>
        <v>22</v>
      </c>
      <c r="X3323" s="56" t="str">
        <f>MID(Tabla1[[#This Row],[Aplicación]],14,6)</f>
        <v>22700</v>
      </c>
    </row>
    <row r="3324" spans="1:24" x14ac:dyDescent="0.25">
      <c r="A3324" s="63">
        <v>220230031212</v>
      </c>
      <c r="B3324" s="44" t="s">
        <v>507</v>
      </c>
      <c r="C3324" s="64">
        <v>45099</v>
      </c>
      <c r="D3324" s="62">
        <v>22023005083</v>
      </c>
      <c r="E3324" s="44" t="s">
        <v>2732</v>
      </c>
      <c r="F3324" s="65">
        <v>178.62</v>
      </c>
      <c r="G3324" s="44" t="s">
        <v>476</v>
      </c>
      <c r="H3324" s="44" t="s">
        <v>5020</v>
      </c>
      <c r="I3324" s="62" t="s">
        <v>511</v>
      </c>
      <c r="J3324" s="44" t="s">
        <v>947</v>
      </c>
      <c r="K3324" s="44" t="s">
        <v>947</v>
      </c>
      <c r="L3324" s="44" t="s">
        <v>520</v>
      </c>
      <c r="M3324" s="44" t="s">
        <v>514</v>
      </c>
      <c r="N3324" s="44" t="s">
        <v>515</v>
      </c>
      <c r="O3324" s="45" t="s">
        <v>382</v>
      </c>
      <c r="P3324" s="45" t="s">
        <v>3760</v>
      </c>
      <c r="Q3324" s="59" t="str">
        <f>MID(Tabla1[[#This Row],[Aplicación]],14,1)</f>
        <v>6</v>
      </c>
      <c r="R3324" s="35" t="s">
        <v>299</v>
      </c>
      <c r="S3324" s="59" t="str">
        <f>MID(Tabla1[[#This Row],[Aplicación]],6,2)</f>
        <v>06</v>
      </c>
      <c r="T3324" s="35" t="str">
        <f>VLOOKUP(Tabla1[[#This Row],[AREA]],Hoja1!A:B,2,FALSE)</f>
        <v>06. Educación, infancia, juventud e igualdad</v>
      </c>
      <c r="U3324" s="56" t="str">
        <f>MID(Tabla1[[#This Row],[Aplicación]],9,4)</f>
        <v>3232</v>
      </c>
      <c r="V3324" s="35" t="str">
        <f>VLOOKUP(Tabla1[[#This Row],[PROGRAMA]],Hoja1!A:B,2,FALSE)</f>
        <v>3232. Conservación y mantenimiento centros educación infantil y primaria</v>
      </c>
      <c r="W3324" s="56" t="str">
        <f>MID(Tabla1[[#This Row],[Aplicación]],14,2)</f>
        <v>63</v>
      </c>
      <c r="X3324" s="56" t="str">
        <f>MID(Tabla1[[#This Row],[Aplicación]],14,6)</f>
        <v>632</v>
      </c>
    </row>
    <row r="3325" spans="1:24" x14ac:dyDescent="0.25">
      <c r="A3325" s="63">
        <v>220230031264</v>
      </c>
      <c r="B3325" s="44" t="s">
        <v>1514</v>
      </c>
      <c r="C3325" s="64">
        <v>45099</v>
      </c>
      <c r="D3325" s="62">
        <v>22022008399</v>
      </c>
      <c r="E3325" s="44" t="s">
        <v>1460</v>
      </c>
      <c r="F3325" s="65">
        <v>64.180000000000007</v>
      </c>
      <c r="G3325" s="44" t="s">
        <v>476</v>
      </c>
      <c r="H3325" s="44" t="s">
        <v>5021</v>
      </c>
      <c r="I3325" s="62" t="s">
        <v>1517</v>
      </c>
      <c r="J3325" s="44" t="s">
        <v>947</v>
      </c>
      <c r="K3325" s="44" t="s">
        <v>947</v>
      </c>
      <c r="L3325" s="44" t="s">
        <v>520</v>
      </c>
      <c r="M3325" s="44" t="s">
        <v>514</v>
      </c>
      <c r="N3325" s="44" t="s">
        <v>515</v>
      </c>
      <c r="O3325" s="45" t="s">
        <v>382</v>
      </c>
      <c r="P3325" s="45" t="s">
        <v>3760</v>
      </c>
      <c r="Q3325" s="59" t="str">
        <f>MID(Tabla1[[#This Row],[Aplicación]],14,1)</f>
        <v>6</v>
      </c>
      <c r="R3325" s="35" t="s">
        <v>299</v>
      </c>
      <c r="S3325" s="59" t="str">
        <f>MID(Tabla1[[#This Row],[Aplicación]],6,2)</f>
        <v>03</v>
      </c>
      <c r="T3325" s="35" t="str">
        <f>VLOOKUP(Tabla1[[#This Row],[AREA]],Hoja1!A:B,2,FALSE)</f>
        <v>03. Participación ciudadana y deportes</v>
      </c>
      <c r="U3325" s="56" t="str">
        <f>MID(Tabla1[[#This Row],[Aplicación]],9,4)</f>
        <v>9241</v>
      </c>
      <c r="V3325" s="35" t="str">
        <f>VLOOKUP(Tabla1[[#This Row],[PROGRAMA]],Hoja1!A:B,2,FALSE)</f>
        <v>9241. Participación ciudadana</v>
      </c>
      <c r="W3325" s="56" t="str">
        <f>MID(Tabla1[[#This Row],[Aplicación]],14,2)</f>
        <v>63</v>
      </c>
      <c r="X3325" s="56" t="str">
        <f>MID(Tabla1[[#This Row],[Aplicación]],14,6)</f>
        <v>633</v>
      </c>
    </row>
    <row r="3326" spans="1:24" x14ac:dyDescent="0.25">
      <c r="A3326" s="63">
        <v>220230032375</v>
      </c>
      <c r="B3326" s="44" t="s">
        <v>1514</v>
      </c>
      <c r="C3326" s="64">
        <v>45107</v>
      </c>
      <c r="D3326" s="62">
        <v>22023004048</v>
      </c>
      <c r="E3326" s="44" t="s">
        <v>1683</v>
      </c>
      <c r="F3326" s="65">
        <v>2680.55</v>
      </c>
      <c r="G3326" s="44" t="s">
        <v>4734</v>
      </c>
      <c r="H3326" s="44" t="s">
        <v>5022</v>
      </c>
      <c r="I3326" s="62" t="s">
        <v>1517</v>
      </c>
      <c r="J3326" s="44" t="s">
        <v>519</v>
      </c>
      <c r="K3326" s="44" t="s">
        <v>519</v>
      </c>
      <c r="L3326" s="44" t="s">
        <v>552</v>
      </c>
      <c r="M3326" s="44" t="s">
        <v>514</v>
      </c>
      <c r="N3326" s="44" t="s">
        <v>515</v>
      </c>
      <c r="O3326" s="45" t="s">
        <v>382</v>
      </c>
      <c r="P3326" s="45" t="s">
        <v>3760</v>
      </c>
      <c r="Q3326" s="59" t="str">
        <f>MID(Tabla1[[#This Row],[Aplicación]],14,1)</f>
        <v>2</v>
      </c>
      <c r="R3326" s="35" t="s">
        <v>298</v>
      </c>
      <c r="S3326" s="59" t="str">
        <f>MID(Tabla1[[#This Row],[Aplicación]],6,2)</f>
        <v>11</v>
      </c>
      <c r="T3326" s="35" t="str">
        <f>VLOOKUP(Tabla1[[#This Row],[AREA]],Hoja1!A:B,2,FALSE)</f>
        <v>11. Salud pública y seguridad ciudadana</v>
      </c>
      <c r="U3326" s="56" t="str">
        <f>MID(Tabla1[[#This Row],[Aplicación]],9,4)</f>
        <v>1631</v>
      </c>
      <c r="V3326" s="35" t="str">
        <f>VLOOKUP(Tabla1[[#This Row],[PROGRAMA]],Hoja1!A:B,2,FALSE)</f>
        <v>1631. Limpieza viaria</v>
      </c>
      <c r="W3326" s="56" t="str">
        <f>MID(Tabla1[[#This Row],[Aplicación]],14,2)</f>
        <v>21</v>
      </c>
      <c r="X3326" s="56" t="str">
        <f>MID(Tabla1[[#This Row],[Aplicación]],14,6)</f>
        <v>214</v>
      </c>
    </row>
    <row r="3327" spans="1:24" x14ac:dyDescent="0.25">
      <c r="A3327" s="63">
        <v>220230032403</v>
      </c>
      <c r="B3327" s="44" t="s">
        <v>1249</v>
      </c>
      <c r="C3327" s="64">
        <v>45107</v>
      </c>
      <c r="D3327" s="62">
        <v>22023004989</v>
      </c>
      <c r="E3327" s="44" t="s">
        <v>1911</v>
      </c>
      <c r="F3327" s="65">
        <v>14520</v>
      </c>
      <c r="G3327" s="44" t="s">
        <v>5023</v>
      </c>
      <c r="H3327" s="44" t="s">
        <v>5024</v>
      </c>
      <c r="I3327" s="62" t="s">
        <v>1251</v>
      </c>
      <c r="J3327" s="44" t="s">
        <v>512</v>
      </c>
      <c r="K3327" s="44" t="s">
        <v>512</v>
      </c>
      <c r="L3327" s="44" t="s">
        <v>520</v>
      </c>
      <c r="M3327" s="44" t="s">
        <v>976</v>
      </c>
      <c r="N3327" s="44" t="s">
        <v>839</v>
      </c>
      <c r="O3327" s="45" t="s">
        <v>383</v>
      </c>
      <c r="P3327" s="45" t="s">
        <v>3760</v>
      </c>
      <c r="Q3327" s="59" t="str">
        <f>MID(Tabla1[[#This Row],[Aplicación]],14,1)</f>
        <v>2</v>
      </c>
      <c r="R3327" s="35" t="s">
        <v>298</v>
      </c>
      <c r="S3327" s="59" t="str">
        <f>MID(Tabla1[[#This Row],[Aplicación]],6,2)</f>
        <v>11</v>
      </c>
      <c r="T3327" s="35" t="str">
        <f>VLOOKUP(Tabla1[[#This Row],[AREA]],Hoja1!A:B,2,FALSE)</f>
        <v>11. Salud pública y seguridad ciudadana</v>
      </c>
      <c r="U3327" s="56" t="str">
        <f>MID(Tabla1[[#This Row],[Aplicación]],9,4)</f>
        <v>1621</v>
      </c>
      <c r="V3327" s="35" t="str">
        <f>VLOOKUP(Tabla1[[#This Row],[PROGRAMA]],Hoja1!A:B,2,FALSE)</f>
        <v>1621. Servicio de limpieza</v>
      </c>
      <c r="W3327" s="56" t="str">
        <f>MID(Tabla1[[#This Row],[Aplicación]],14,2)</f>
        <v>22</v>
      </c>
      <c r="X3327" s="56" t="str">
        <f>MID(Tabla1[[#This Row],[Aplicación]],14,6)</f>
        <v>22706</v>
      </c>
    </row>
    <row r="3328" spans="1:24" x14ac:dyDescent="0.25">
      <c r="A3328" s="63">
        <v>220230029587</v>
      </c>
      <c r="B3328" s="44" t="s">
        <v>507</v>
      </c>
      <c r="C3328" s="64">
        <v>45091</v>
      </c>
      <c r="D3328" s="62">
        <v>22023004692</v>
      </c>
      <c r="E3328" s="44" t="s">
        <v>5025</v>
      </c>
      <c r="F3328" s="65">
        <v>13455.2</v>
      </c>
      <c r="G3328" s="44" t="s">
        <v>5026</v>
      </c>
      <c r="H3328" s="44" t="s">
        <v>5027</v>
      </c>
      <c r="I3328" s="62" t="s">
        <v>511</v>
      </c>
      <c r="J3328" s="44" t="s">
        <v>519</v>
      </c>
      <c r="K3328" s="44" t="s">
        <v>519</v>
      </c>
      <c r="L3328" s="44" t="s">
        <v>652</v>
      </c>
      <c r="M3328" s="44" t="s">
        <v>976</v>
      </c>
      <c r="N3328" s="44" t="s">
        <v>839</v>
      </c>
      <c r="O3328" s="45" t="s">
        <v>383</v>
      </c>
      <c r="P3328" s="45" t="s">
        <v>3760</v>
      </c>
      <c r="Q3328" s="59" t="str">
        <f>MID(Tabla1[[#This Row],[Aplicación]],14,1)</f>
        <v>2</v>
      </c>
      <c r="R3328" s="35" t="s">
        <v>298</v>
      </c>
      <c r="S3328" s="59" t="str">
        <f>MID(Tabla1[[#This Row],[Aplicación]],6,2)</f>
        <v>01</v>
      </c>
      <c r="T3328" s="35" t="str">
        <f>VLOOKUP(Tabla1[[#This Row],[AREA]],Hoja1!A:B,2,FALSE)</f>
        <v>01. Alcaldía</v>
      </c>
      <c r="U3328" s="56" t="str">
        <f>MID(Tabla1[[#This Row],[Aplicación]],9,4)</f>
        <v>9121</v>
      </c>
      <c r="V3328" s="35" t="str">
        <f>VLOOKUP(Tabla1[[#This Row],[PROGRAMA]],Hoja1!A:B,2,FALSE)</f>
        <v>9121. Organos de Gobierno</v>
      </c>
      <c r="W3328" s="56" t="str">
        <f>MID(Tabla1[[#This Row],[Aplicación]],14,2)</f>
        <v>22</v>
      </c>
      <c r="X3328" s="56" t="str">
        <f>MID(Tabla1[[#This Row],[Aplicación]],14,6)</f>
        <v>22601</v>
      </c>
    </row>
    <row r="3329" spans="1:24" x14ac:dyDescent="0.25">
      <c r="A3329" s="63">
        <v>220230031290</v>
      </c>
      <c r="B3329" s="44" t="s">
        <v>1514</v>
      </c>
      <c r="C3329" s="64">
        <v>45100</v>
      </c>
      <c r="D3329" s="62">
        <v>22023000008</v>
      </c>
      <c r="E3329" s="44" t="s">
        <v>1443</v>
      </c>
      <c r="F3329" s="65">
        <v>10409.1</v>
      </c>
      <c r="G3329" s="44" t="s">
        <v>5028</v>
      </c>
      <c r="H3329" s="44" t="s">
        <v>5029</v>
      </c>
      <c r="I3329" s="62" t="s">
        <v>1517</v>
      </c>
      <c r="J3329" s="44" t="s">
        <v>1025</v>
      </c>
      <c r="K3329" s="44" t="s">
        <v>717</v>
      </c>
      <c r="L3329" s="44" t="s">
        <v>520</v>
      </c>
      <c r="M3329" s="44" t="s">
        <v>514</v>
      </c>
      <c r="N3329" s="44" t="s">
        <v>515</v>
      </c>
      <c r="O3329" s="45" t="s">
        <v>371</v>
      </c>
      <c r="P3329" s="45" t="s">
        <v>3760</v>
      </c>
      <c r="Q3329" s="59">
        <v>2</v>
      </c>
      <c r="R3329" s="35" t="s">
        <v>298</v>
      </c>
      <c r="S3329" s="59" t="str">
        <f>MID(Tabla1[[#This Row],[Aplicación]],6,2)</f>
        <v>05</v>
      </c>
      <c r="T3329" s="35" t="str">
        <f>VLOOKUP(Tabla1[[#This Row],[AREA]],Hoja1!A:B,2,FALSE)</f>
        <v>05. Innovación, desarrollo económico, empleo y comercio</v>
      </c>
      <c r="U3329" s="56" t="str">
        <f>MID(Tabla1[[#This Row],[Aplicación]],9,4)</f>
        <v>0 43</v>
      </c>
      <c r="V3329" s="59">
        <v>4312</v>
      </c>
      <c r="W3329" s="59">
        <v>22</v>
      </c>
      <c r="X3329" s="59">
        <v>22799</v>
      </c>
    </row>
    <row r="3330" spans="1:24" x14ac:dyDescent="0.25">
      <c r="A3330" s="63">
        <v>220230031267</v>
      </c>
      <c r="B3330" s="44" t="s">
        <v>1514</v>
      </c>
      <c r="C3330" s="64">
        <v>45099</v>
      </c>
      <c r="D3330" s="62">
        <v>22023002296</v>
      </c>
      <c r="E3330" s="44" t="s">
        <v>693</v>
      </c>
      <c r="F3330" s="65">
        <v>5445</v>
      </c>
      <c r="G3330" s="44" t="s">
        <v>2868</v>
      </c>
      <c r="H3330" s="44" t="s">
        <v>5030</v>
      </c>
      <c r="I3330" s="62" t="s">
        <v>1517</v>
      </c>
      <c r="J3330" s="44" t="s">
        <v>512</v>
      </c>
      <c r="K3330" s="44" t="s">
        <v>512</v>
      </c>
      <c r="L3330" s="44" t="s">
        <v>520</v>
      </c>
      <c r="M3330" s="44" t="s">
        <v>514</v>
      </c>
      <c r="N3330" s="44" t="s">
        <v>515</v>
      </c>
      <c r="O3330" s="45" t="s">
        <v>371</v>
      </c>
      <c r="P3330" s="45" t="s">
        <v>3760</v>
      </c>
      <c r="Q3330" s="59" t="str">
        <f>MID(Tabla1[[#This Row],[Aplicación]],14,1)</f>
        <v>2</v>
      </c>
      <c r="R3330" s="35" t="s">
        <v>298</v>
      </c>
      <c r="S3330" s="59" t="str">
        <f>MID(Tabla1[[#This Row],[Aplicación]],6,2)</f>
        <v>11</v>
      </c>
      <c r="T3330" s="35" t="str">
        <f>VLOOKUP(Tabla1[[#This Row],[AREA]],Hoja1!A:B,2,FALSE)</f>
        <v>11. Salud pública y seguridad ciudadana</v>
      </c>
      <c r="U3330" s="56" t="str">
        <f>MID(Tabla1[[#This Row],[Aplicación]],9,4)</f>
        <v>1361</v>
      </c>
      <c r="V3330" s="35" t="str">
        <f>VLOOKUP(Tabla1[[#This Row],[PROGRAMA]],Hoja1!A:B,2,FALSE)</f>
        <v>1361. Prevención y extinción de incencios</v>
      </c>
      <c r="W3330" s="56" t="str">
        <f>MID(Tabla1[[#This Row],[Aplicación]],14,2)</f>
        <v>21</v>
      </c>
      <c r="X3330" s="56" t="str">
        <f>MID(Tabla1[[#This Row],[Aplicación]],14,6)</f>
        <v>213</v>
      </c>
    </row>
    <row r="3331" spans="1:24" x14ac:dyDescent="0.25">
      <c r="A3331" s="63">
        <v>220230031226</v>
      </c>
      <c r="B3331" s="44" t="s">
        <v>507</v>
      </c>
      <c r="C3331" s="64">
        <v>45099</v>
      </c>
      <c r="D3331" s="62">
        <v>22023001876</v>
      </c>
      <c r="E3331" s="44" t="s">
        <v>1241</v>
      </c>
      <c r="F3331" s="65">
        <v>750</v>
      </c>
      <c r="G3331" s="44" t="s">
        <v>65</v>
      </c>
      <c r="H3331" s="44" t="s">
        <v>5031</v>
      </c>
      <c r="I3331" s="62" t="s">
        <v>511</v>
      </c>
      <c r="J3331" s="44" t="s">
        <v>519</v>
      </c>
      <c r="K3331" s="44" t="s">
        <v>519</v>
      </c>
      <c r="L3331" s="44" t="s">
        <v>520</v>
      </c>
      <c r="M3331" s="44" t="s">
        <v>514</v>
      </c>
      <c r="N3331" s="44" t="s">
        <v>515</v>
      </c>
      <c r="O3331" s="45" t="s">
        <v>371</v>
      </c>
      <c r="P3331" s="45" t="s">
        <v>3760</v>
      </c>
      <c r="Q3331" s="59" t="str">
        <f>MID(Tabla1[[#This Row],[Aplicación]],14,1)</f>
        <v>2</v>
      </c>
      <c r="R3331" s="35" t="s">
        <v>298</v>
      </c>
      <c r="S3331" s="59" t="str">
        <f>MID(Tabla1[[#This Row],[Aplicación]],6,2)</f>
        <v>06</v>
      </c>
      <c r="T3331" s="35" t="str">
        <f>VLOOKUP(Tabla1[[#This Row],[AREA]],Hoja1!A:B,2,FALSE)</f>
        <v>06. Educación, infancia, juventud e igualdad</v>
      </c>
      <c r="U3331" s="56" t="str">
        <f>MID(Tabla1[[#This Row],[Aplicación]],9,4)</f>
        <v>3231</v>
      </c>
      <c r="V3331" s="35" t="str">
        <f>VLOOKUP(Tabla1[[#This Row],[PROGRAMA]],Hoja1!A:B,2,FALSE)</f>
        <v>3231. Escuelas infantiles</v>
      </c>
      <c r="W3331" s="56" t="str">
        <f>MID(Tabla1[[#This Row],[Aplicación]],14,2)</f>
        <v>21</v>
      </c>
      <c r="X3331" s="56" t="str">
        <f>MID(Tabla1[[#This Row],[Aplicación]],14,6)</f>
        <v>213</v>
      </c>
    </row>
    <row r="3332" spans="1:24" x14ac:dyDescent="0.25">
      <c r="A3332" s="63">
        <v>220230030098</v>
      </c>
      <c r="B3332" s="44" t="s">
        <v>1514</v>
      </c>
      <c r="C3332" s="64">
        <v>45093</v>
      </c>
      <c r="D3332" s="62">
        <v>22023000263</v>
      </c>
      <c r="E3332" s="44" t="s">
        <v>3146</v>
      </c>
      <c r="F3332" s="65">
        <v>173.76</v>
      </c>
      <c r="G3332" s="44" t="s">
        <v>3848</v>
      </c>
      <c r="H3332" s="44" t="s">
        <v>5032</v>
      </c>
      <c r="I3332" s="62" t="s">
        <v>1517</v>
      </c>
      <c r="J3332" s="44" t="s">
        <v>1487</v>
      </c>
      <c r="K3332" s="44" t="s">
        <v>519</v>
      </c>
      <c r="L3332" s="44" t="s">
        <v>552</v>
      </c>
      <c r="M3332" s="44" t="s">
        <v>514</v>
      </c>
      <c r="N3332" s="44" t="s">
        <v>515</v>
      </c>
      <c r="O3332" s="45" t="s">
        <v>382</v>
      </c>
      <c r="P3332" s="45" t="s">
        <v>3760</v>
      </c>
      <c r="Q3332" s="59" t="str">
        <f>MID(Tabla1[[#This Row],[Aplicación]],14,1)</f>
        <v>2</v>
      </c>
      <c r="R3332" s="35" t="s">
        <v>298</v>
      </c>
      <c r="S3332" s="59" t="str">
        <f>MID(Tabla1[[#This Row],[Aplicación]],6,2)</f>
        <v>02</v>
      </c>
      <c r="T3332" s="35" t="str">
        <f>VLOOKUP(Tabla1[[#This Row],[AREA]],Hoja1!A:B,2,FALSE)</f>
        <v>02. Planeamiento urbanístico y vivienda</v>
      </c>
      <c r="U3332" s="56" t="str">
        <f>MID(Tabla1[[#This Row],[Aplicación]],9,4)</f>
        <v>9332</v>
      </c>
      <c r="V3332" s="35" t="str">
        <f>VLOOKUP(Tabla1[[#This Row],[PROGRAMA]],Hoja1!A:B,2,FALSE)</f>
        <v>9332. Mantenimiento de edificios e instalaciones municipales</v>
      </c>
      <c r="W3332" s="56" t="str">
        <f>MID(Tabla1[[#This Row],[Aplicación]],14,2)</f>
        <v>21</v>
      </c>
      <c r="X3332" s="56" t="str">
        <f>MID(Tabla1[[#This Row],[Aplicación]],14,6)</f>
        <v>214</v>
      </c>
    </row>
    <row r="3333" spans="1:24" x14ac:dyDescent="0.25">
      <c r="A3333" s="63">
        <v>220230030693</v>
      </c>
      <c r="B3333" s="44" t="s">
        <v>507</v>
      </c>
      <c r="C3333" s="64">
        <v>45097</v>
      </c>
      <c r="D3333" s="62">
        <v>22023004852</v>
      </c>
      <c r="E3333" s="44" t="s">
        <v>4752</v>
      </c>
      <c r="F3333" s="65">
        <v>444.52</v>
      </c>
      <c r="G3333" s="44" t="s">
        <v>3848</v>
      </c>
      <c r="H3333" s="44" t="s">
        <v>5033</v>
      </c>
      <c r="I3333" s="62" t="s">
        <v>511</v>
      </c>
      <c r="J3333" s="44" t="s">
        <v>1487</v>
      </c>
      <c r="K3333" s="44" t="s">
        <v>519</v>
      </c>
      <c r="L3333" s="44" t="s">
        <v>520</v>
      </c>
      <c r="M3333" s="44" t="s">
        <v>514</v>
      </c>
      <c r="N3333" s="44" t="s">
        <v>515</v>
      </c>
      <c r="O3333" s="45" t="s">
        <v>382</v>
      </c>
      <c r="P3333" s="45" t="s">
        <v>3760</v>
      </c>
      <c r="Q3333" s="59" t="str">
        <f>MID(Tabla1[[#This Row],[Aplicación]],14,1)</f>
        <v>2</v>
      </c>
      <c r="R3333" s="35" t="s">
        <v>298</v>
      </c>
      <c r="S3333" s="59" t="str">
        <f>MID(Tabla1[[#This Row],[Aplicación]],6,2)</f>
        <v>05</v>
      </c>
      <c r="T3333" s="35" t="str">
        <f>VLOOKUP(Tabla1[[#This Row],[AREA]],Hoja1!A:B,2,FALSE)</f>
        <v>05. Innovación, desarrollo económico, empleo y comercio</v>
      </c>
      <c r="U3333" s="56" t="str">
        <f>MID(Tabla1[[#This Row],[Aplicación]],9,4)</f>
        <v>4331</v>
      </c>
      <c r="V3333" s="35" t="str">
        <f>VLOOKUP(Tabla1[[#This Row],[PROGRAMA]],Hoja1!A:B,2,FALSE)</f>
        <v>4331. Desarrollo empresarial</v>
      </c>
      <c r="W3333" s="56" t="str">
        <f>MID(Tabla1[[#This Row],[Aplicación]],14,2)</f>
        <v>21</v>
      </c>
      <c r="X3333" s="56" t="str">
        <f>MID(Tabla1[[#This Row],[Aplicación]],14,6)</f>
        <v>214</v>
      </c>
    </row>
    <row r="3334" spans="1:24" x14ac:dyDescent="0.25">
      <c r="A3334" s="63">
        <v>220230026831</v>
      </c>
      <c r="B3334" s="44" t="s">
        <v>507</v>
      </c>
      <c r="C3334" s="64">
        <v>45078</v>
      </c>
      <c r="D3334" s="62">
        <v>22023004731</v>
      </c>
      <c r="E3334" s="44" t="s">
        <v>1378</v>
      </c>
      <c r="F3334" s="65">
        <v>8159.03</v>
      </c>
      <c r="G3334" s="44" t="s">
        <v>468</v>
      </c>
      <c r="H3334" s="44" t="s">
        <v>5034</v>
      </c>
      <c r="I3334" s="62" t="s">
        <v>511</v>
      </c>
      <c r="J3334" s="44" t="s">
        <v>2863</v>
      </c>
      <c r="K3334" s="44" t="s">
        <v>729</v>
      </c>
      <c r="L3334" s="44" t="s">
        <v>552</v>
      </c>
      <c r="M3334" s="44" t="s">
        <v>976</v>
      </c>
      <c r="N3334" s="44" t="s">
        <v>839</v>
      </c>
      <c r="O3334" s="45" t="s">
        <v>383</v>
      </c>
      <c r="P3334" s="45" t="s">
        <v>3760</v>
      </c>
      <c r="Q3334" s="59" t="str">
        <f>MID(Tabla1[[#This Row],[Aplicación]],14,1)</f>
        <v>6</v>
      </c>
      <c r="R3334" s="35" t="s">
        <v>299</v>
      </c>
      <c r="S3334" s="59" t="str">
        <f>MID(Tabla1[[#This Row],[Aplicación]],6,2)</f>
        <v>11</v>
      </c>
      <c r="T3334" s="35" t="str">
        <f>VLOOKUP(Tabla1[[#This Row],[AREA]],Hoja1!A:B,2,FALSE)</f>
        <v>11. Salud pública y seguridad ciudadana</v>
      </c>
      <c r="U3334" s="56" t="str">
        <f>MID(Tabla1[[#This Row],[Aplicación]],9,4)</f>
        <v>1361</v>
      </c>
      <c r="V3334" s="35" t="str">
        <f>VLOOKUP(Tabla1[[#This Row],[PROGRAMA]],Hoja1!A:B,2,FALSE)</f>
        <v>1361. Prevención y extinción de incencios</v>
      </c>
      <c r="W3334" s="56" t="str">
        <f>MID(Tabla1[[#This Row],[Aplicación]],14,2)</f>
        <v>62</v>
      </c>
      <c r="X3334" s="56" t="str">
        <f>MID(Tabla1[[#This Row],[Aplicación]],14,6)</f>
        <v>623</v>
      </c>
    </row>
    <row r="3335" spans="1:24" x14ac:dyDescent="0.25">
      <c r="A3335" s="63">
        <v>220230031291</v>
      </c>
      <c r="B3335" s="44" t="s">
        <v>507</v>
      </c>
      <c r="C3335" s="64">
        <v>45100</v>
      </c>
      <c r="D3335" s="62">
        <v>22023004925</v>
      </c>
      <c r="E3335" s="44" t="s">
        <v>1401</v>
      </c>
      <c r="F3335" s="65">
        <v>7525.5</v>
      </c>
      <c r="G3335" s="44" t="s">
        <v>5035</v>
      </c>
      <c r="H3335" s="44" t="s">
        <v>5036</v>
      </c>
      <c r="I3335" s="62" t="s">
        <v>511</v>
      </c>
      <c r="J3335" s="44" t="s">
        <v>519</v>
      </c>
      <c r="K3335" s="44" t="s">
        <v>519</v>
      </c>
      <c r="L3335" s="44" t="s">
        <v>527</v>
      </c>
      <c r="M3335" s="44" t="s">
        <v>976</v>
      </c>
      <c r="N3335" s="44" t="s">
        <v>839</v>
      </c>
      <c r="O3335" s="45" t="s">
        <v>383</v>
      </c>
      <c r="P3335" s="45" t="s">
        <v>3760</v>
      </c>
      <c r="Q3335" s="59" t="str">
        <f>MID(Tabla1[[#This Row],[Aplicación]],14,1)</f>
        <v>2</v>
      </c>
      <c r="R3335" s="35" t="s">
        <v>298</v>
      </c>
      <c r="S3335" s="59" t="str">
        <f>MID(Tabla1[[#This Row],[Aplicación]],6,2)</f>
        <v>11</v>
      </c>
      <c r="T3335" s="35" t="str">
        <f>VLOOKUP(Tabla1[[#This Row],[AREA]],Hoja1!A:B,2,FALSE)</f>
        <v>11. Salud pública y seguridad ciudadana</v>
      </c>
      <c r="U3335" s="56" t="str">
        <f>MID(Tabla1[[#This Row],[Aplicación]],9,4)</f>
        <v>1321</v>
      </c>
      <c r="V3335" s="35" t="str">
        <f>VLOOKUP(Tabla1[[#This Row],[PROGRAMA]],Hoja1!A:B,2,FALSE)</f>
        <v>1321. Policía municipal</v>
      </c>
      <c r="W3335" s="56" t="str">
        <f>MID(Tabla1[[#This Row],[Aplicación]],14,2)</f>
        <v>21</v>
      </c>
      <c r="X3335" s="56" t="str">
        <f>MID(Tabla1[[#This Row],[Aplicación]],14,6)</f>
        <v>212</v>
      </c>
    </row>
    <row r="3336" spans="1:24" x14ac:dyDescent="0.25">
      <c r="A3336" s="63">
        <v>220230031197</v>
      </c>
      <c r="B3336" s="44" t="s">
        <v>507</v>
      </c>
      <c r="C3336" s="64">
        <v>45099</v>
      </c>
      <c r="D3336" s="62">
        <v>22023005158</v>
      </c>
      <c r="E3336" s="44" t="s">
        <v>1305</v>
      </c>
      <c r="F3336" s="65">
        <v>7260</v>
      </c>
      <c r="G3336" s="44" t="s">
        <v>5037</v>
      </c>
      <c r="H3336" s="44" t="s">
        <v>1917</v>
      </c>
      <c r="I3336" s="62" t="s">
        <v>511</v>
      </c>
      <c r="J3336" s="44" t="s">
        <v>519</v>
      </c>
      <c r="K3336" s="44" t="s">
        <v>519</v>
      </c>
      <c r="L3336" s="44" t="s">
        <v>552</v>
      </c>
      <c r="M3336" s="44" t="s">
        <v>976</v>
      </c>
      <c r="N3336" s="44" t="s">
        <v>839</v>
      </c>
      <c r="O3336" s="45" t="s">
        <v>383</v>
      </c>
      <c r="P3336" s="45" t="s">
        <v>3760</v>
      </c>
      <c r="Q3336" s="59" t="str">
        <f>MID(Tabla1[[#This Row],[Aplicación]],14,1)</f>
        <v>2</v>
      </c>
      <c r="R3336" s="35" t="s">
        <v>298</v>
      </c>
      <c r="S3336" s="59" t="str">
        <f>MID(Tabla1[[#This Row],[Aplicación]],6,2)</f>
        <v>06</v>
      </c>
      <c r="T3336" s="35" t="str">
        <f>VLOOKUP(Tabla1[[#This Row],[AREA]],Hoja1!A:B,2,FALSE)</f>
        <v>06. Educación, infancia, juventud e igualdad</v>
      </c>
      <c r="U3336" s="56" t="str">
        <f>MID(Tabla1[[#This Row],[Aplicación]],9,4)</f>
        <v>3232</v>
      </c>
      <c r="V3336" s="35" t="str">
        <f>VLOOKUP(Tabla1[[#This Row],[PROGRAMA]],Hoja1!A:B,2,FALSE)</f>
        <v>3232. Conservación y mantenimiento centros educación infantil y primaria</v>
      </c>
      <c r="W3336" s="56" t="str">
        <f>MID(Tabla1[[#This Row],[Aplicación]],14,2)</f>
        <v>21</v>
      </c>
      <c r="X3336" s="56" t="str">
        <f>MID(Tabla1[[#This Row],[Aplicación]],14,6)</f>
        <v>212</v>
      </c>
    </row>
    <row r="3337" spans="1:24" x14ac:dyDescent="0.25">
      <c r="A3337" s="63">
        <v>220230031286</v>
      </c>
      <c r="B3337" s="44" t="s">
        <v>507</v>
      </c>
      <c r="C3337" s="64">
        <v>45100</v>
      </c>
      <c r="D3337" s="62">
        <v>22023005223</v>
      </c>
      <c r="E3337" s="44" t="s">
        <v>5038</v>
      </c>
      <c r="F3337" s="65">
        <v>7258.79</v>
      </c>
      <c r="G3337" s="44" t="s">
        <v>5039</v>
      </c>
      <c r="H3337" s="44" t="s">
        <v>5040</v>
      </c>
      <c r="I3337" s="62" t="s">
        <v>511</v>
      </c>
      <c r="J3337" s="44" t="s">
        <v>5041</v>
      </c>
      <c r="K3337" s="44" t="s">
        <v>837</v>
      </c>
      <c r="L3337" s="44" t="s">
        <v>520</v>
      </c>
      <c r="M3337" s="44" t="s">
        <v>976</v>
      </c>
      <c r="N3337" s="44" t="s">
        <v>839</v>
      </c>
      <c r="O3337" s="45" t="s">
        <v>383</v>
      </c>
      <c r="P3337" s="45" t="s">
        <v>3760</v>
      </c>
      <c r="Q3337" s="59" t="str">
        <f>MID(Tabla1[[#This Row],[Aplicación]],14,1)</f>
        <v>6</v>
      </c>
      <c r="R3337" s="35" t="s">
        <v>299</v>
      </c>
      <c r="S3337" s="59" t="str">
        <f>MID(Tabla1[[#This Row],[Aplicación]],6,2)</f>
        <v>06</v>
      </c>
      <c r="T3337" s="35" t="str">
        <f>VLOOKUP(Tabla1[[#This Row],[AREA]],Hoja1!A:B,2,FALSE)</f>
        <v>06. Educación, infancia, juventud e igualdad</v>
      </c>
      <c r="U3337" s="56" t="str">
        <f>MID(Tabla1[[#This Row],[Aplicación]],9,4)</f>
        <v>2314</v>
      </c>
      <c r="V3337" s="35" t="str">
        <f>VLOOKUP(Tabla1[[#This Row],[PROGRAMA]],Hoja1!A:B,2,FALSE)</f>
        <v>2314. Centro de programas juveniles</v>
      </c>
      <c r="W3337" s="56" t="str">
        <f>MID(Tabla1[[#This Row],[Aplicación]],14,2)</f>
        <v>62</v>
      </c>
      <c r="X3337" s="56" t="str">
        <f>MID(Tabla1[[#This Row],[Aplicación]],14,6)</f>
        <v>625</v>
      </c>
    </row>
    <row r="3338" spans="1:24" x14ac:dyDescent="0.25">
      <c r="A3338" s="63">
        <v>220230026822</v>
      </c>
      <c r="B3338" s="44" t="s">
        <v>507</v>
      </c>
      <c r="C3338" s="64">
        <v>45078</v>
      </c>
      <c r="D3338" s="62">
        <v>22023004764</v>
      </c>
      <c r="E3338" s="44" t="s">
        <v>2562</v>
      </c>
      <c r="F3338" s="65">
        <v>7253.95</v>
      </c>
      <c r="G3338" s="44" t="s">
        <v>1750</v>
      </c>
      <c r="H3338" s="44" t="s">
        <v>5042</v>
      </c>
      <c r="I3338" s="62" t="s">
        <v>511</v>
      </c>
      <c r="J3338" s="44" t="s">
        <v>519</v>
      </c>
      <c r="K3338" s="44" t="s">
        <v>519</v>
      </c>
      <c r="L3338" s="44" t="s">
        <v>552</v>
      </c>
      <c r="M3338" s="44" t="s">
        <v>976</v>
      </c>
      <c r="N3338" s="44" t="s">
        <v>839</v>
      </c>
      <c r="O3338" s="45" t="s">
        <v>383</v>
      </c>
      <c r="P3338" s="45" t="s">
        <v>3760</v>
      </c>
      <c r="Q3338" s="59" t="str">
        <f>MID(Tabla1[[#This Row],[Aplicación]],14,1)</f>
        <v>2</v>
      </c>
      <c r="R3338" s="35" t="s">
        <v>298</v>
      </c>
      <c r="S3338" s="59" t="str">
        <f>MID(Tabla1[[#This Row],[Aplicación]],6,2)</f>
        <v>06</v>
      </c>
      <c r="T3338" s="35" t="str">
        <f>VLOOKUP(Tabla1[[#This Row],[AREA]],Hoja1!A:B,2,FALSE)</f>
        <v>06. Educación, infancia, juventud e igualdad</v>
      </c>
      <c r="U3338" s="56" t="str">
        <f>MID(Tabla1[[#This Row],[Aplicación]],9,4)</f>
        <v>2315</v>
      </c>
      <c r="V3338" s="35" t="str">
        <f>VLOOKUP(Tabla1[[#This Row],[PROGRAMA]],Hoja1!A:B,2,FALSE)</f>
        <v>2315. Políticas de Igualdad e infancia</v>
      </c>
      <c r="W3338" s="56" t="str">
        <f>MID(Tabla1[[#This Row],[Aplicación]],14,2)</f>
        <v>22</v>
      </c>
      <c r="X3338" s="56" t="str">
        <f>MID(Tabla1[[#This Row],[Aplicación]],14,6)</f>
        <v>22699</v>
      </c>
    </row>
    <row r="3339" spans="1:24" x14ac:dyDescent="0.25">
      <c r="A3339" s="63">
        <v>220230026807</v>
      </c>
      <c r="B3339" s="44" t="s">
        <v>507</v>
      </c>
      <c r="C3339" s="64">
        <v>45078</v>
      </c>
      <c r="D3339" s="62">
        <v>22023004709</v>
      </c>
      <c r="E3339" s="44" t="s">
        <v>726</v>
      </c>
      <c r="F3339" s="65">
        <v>7246.69</v>
      </c>
      <c r="G3339" s="44" t="s">
        <v>1019</v>
      </c>
      <c r="H3339" s="44" t="s">
        <v>5043</v>
      </c>
      <c r="I3339" s="62" t="s">
        <v>511</v>
      </c>
      <c r="J3339" s="44" t="s">
        <v>1021</v>
      </c>
      <c r="K3339" s="44" t="s">
        <v>729</v>
      </c>
      <c r="L3339" s="44" t="s">
        <v>520</v>
      </c>
      <c r="M3339" s="44" t="s">
        <v>976</v>
      </c>
      <c r="N3339" s="44" t="s">
        <v>839</v>
      </c>
      <c r="O3339" s="45" t="s">
        <v>383</v>
      </c>
      <c r="P3339" s="45" t="s">
        <v>3760</v>
      </c>
      <c r="Q3339" s="59" t="str">
        <f>MID(Tabla1[[#This Row],[Aplicación]],14,1)</f>
        <v>6</v>
      </c>
      <c r="R3339" s="35" t="s">
        <v>299</v>
      </c>
      <c r="S3339" s="59" t="str">
        <f>MID(Tabla1[[#This Row],[Aplicación]],6,2)</f>
        <v>04</v>
      </c>
      <c r="T3339" s="35" t="str">
        <f>VLOOKUP(Tabla1[[#This Row],[AREA]],Hoja1!A:B,2,FALSE)</f>
        <v>04. Planificación y recursos</v>
      </c>
      <c r="U3339" s="56" t="str">
        <f>MID(Tabla1[[#This Row],[Aplicación]],9,4)</f>
        <v>9204</v>
      </c>
      <c r="V3339" s="35" t="str">
        <f>VLOOKUP(Tabla1[[#This Row],[PROGRAMA]],Hoja1!A:B,2,FALSE)</f>
        <v>9204. Tecnologías de la información y comunicación</v>
      </c>
      <c r="W3339" s="56" t="str">
        <f>MID(Tabla1[[#This Row],[Aplicación]],14,2)</f>
        <v>64</v>
      </c>
      <c r="X3339" s="56" t="str">
        <f>MID(Tabla1[[#This Row],[Aplicación]],14,6)</f>
        <v>641</v>
      </c>
    </row>
    <row r="3340" spans="1:24" x14ac:dyDescent="0.25">
      <c r="A3340" s="63">
        <v>220230028286</v>
      </c>
      <c r="B3340" s="44" t="s">
        <v>1514</v>
      </c>
      <c r="C3340" s="64">
        <v>45084</v>
      </c>
      <c r="D3340" s="62">
        <v>22023001459</v>
      </c>
      <c r="E3340" s="44" t="s">
        <v>1290</v>
      </c>
      <c r="F3340" s="65">
        <v>2977.86</v>
      </c>
      <c r="G3340" s="44" t="s">
        <v>2391</v>
      </c>
      <c r="H3340" s="44" t="s">
        <v>5044</v>
      </c>
      <c r="I3340" s="62" t="s">
        <v>1517</v>
      </c>
      <c r="J3340" s="44" t="s">
        <v>519</v>
      </c>
      <c r="K3340" s="44" t="s">
        <v>519</v>
      </c>
      <c r="L3340" s="44" t="s">
        <v>520</v>
      </c>
      <c r="M3340" s="44" t="s">
        <v>514</v>
      </c>
      <c r="N3340" s="44" t="s">
        <v>515</v>
      </c>
      <c r="O3340" s="45" t="s">
        <v>382</v>
      </c>
      <c r="P3340" s="45" t="s">
        <v>3760</v>
      </c>
      <c r="Q3340" s="59" t="str">
        <f>MID(Tabla1[[#This Row],[Aplicación]],14,1)</f>
        <v>2</v>
      </c>
      <c r="R3340" s="35" t="s">
        <v>298</v>
      </c>
      <c r="S3340" s="59" t="str">
        <f>MID(Tabla1[[#This Row],[Aplicación]],6,2)</f>
        <v>11</v>
      </c>
      <c r="T3340" s="35" t="str">
        <f>VLOOKUP(Tabla1[[#This Row],[AREA]],Hoja1!A:B,2,FALSE)</f>
        <v>11. Salud pública y seguridad ciudadana</v>
      </c>
      <c r="U3340" s="56" t="str">
        <f>MID(Tabla1[[#This Row],[Aplicación]],9,4)</f>
        <v>1621</v>
      </c>
      <c r="V3340" s="35" t="str">
        <f>VLOOKUP(Tabla1[[#This Row],[PROGRAMA]],Hoja1!A:B,2,FALSE)</f>
        <v>1621. Servicio de limpieza</v>
      </c>
      <c r="W3340" s="56" t="str">
        <f>MID(Tabla1[[#This Row],[Aplicación]],14,2)</f>
        <v>21</v>
      </c>
      <c r="X3340" s="56" t="str">
        <f>MID(Tabla1[[#This Row],[Aplicación]],14,6)</f>
        <v>214</v>
      </c>
    </row>
    <row r="3341" spans="1:24" x14ac:dyDescent="0.25">
      <c r="A3341" s="63">
        <v>220230026811</v>
      </c>
      <c r="B3341" s="44" t="s">
        <v>507</v>
      </c>
      <c r="C3341" s="64">
        <v>45078</v>
      </c>
      <c r="D3341" s="62">
        <v>22023004817</v>
      </c>
      <c r="E3341" s="44" t="s">
        <v>1150</v>
      </c>
      <c r="F3341" s="65">
        <v>7088.46</v>
      </c>
      <c r="G3341" s="44" t="s">
        <v>20</v>
      </c>
      <c r="H3341" s="44" t="s">
        <v>5045</v>
      </c>
      <c r="I3341" s="62" t="s">
        <v>511</v>
      </c>
      <c r="J3341" s="44" t="s">
        <v>519</v>
      </c>
      <c r="K3341" s="44" t="s">
        <v>519</v>
      </c>
      <c r="L3341" s="44" t="s">
        <v>552</v>
      </c>
      <c r="M3341" s="44" t="s">
        <v>976</v>
      </c>
      <c r="N3341" s="44" t="s">
        <v>839</v>
      </c>
      <c r="O3341" s="45" t="s">
        <v>383</v>
      </c>
      <c r="P3341" s="45" t="s">
        <v>3760</v>
      </c>
      <c r="Q3341" s="59" t="str">
        <f>MID(Tabla1[[#This Row],[Aplicación]],14,1)</f>
        <v>2</v>
      </c>
      <c r="R3341" s="35" t="s">
        <v>298</v>
      </c>
      <c r="S3341" s="59" t="str">
        <f>MID(Tabla1[[#This Row],[Aplicación]],6,2)</f>
        <v>03</v>
      </c>
      <c r="T3341" s="35" t="str">
        <f>VLOOKUP(Tabla1[[#This Row],[AREA]],Hoja1!A:B,2,FALSE)</f>
        <v>03. Participación ciudadana y deportes</v>
      </c>
      <c r="U3341" s="56" t="str">
        <f>MID(Tabla1[[#This Row],[Aplicación]],9,4)</f>
        <v>9241</v>
      </c>
      <c r="V3341" s="35" t="str">
        <f>VLOOKUP(Tabla1[[#This Row],[PROGRAMA]],Hoja1!A:B,2,FALSE)</f>
        <v>9241. Participación ciudadana</v>
      </c>
      <c r="W3341" s="56" t="str">
        <f>MID(Tabla1[[#This Row],[Aplicación]],14,2)</f>
        <v>21</v>
      </c>
      <c r="X3341" s="56" t="str">
        <f>MID(Tabla1[[#This Row],[Aplicación]],14,6)</f>
        <v>213</v>
      </c>
    </row>
    <row r="3342" spans="1:24" x14ac:dyDescent="0.25">
      <c r="A3342" s="63">
        <v>220230031271</v>
      </c>
      <c r="B3342" s="44" t="s">
        <v>1514</v>
      </c>
      <c r="C3342" s="64">
        <v>45099</v>
      </c>
      <c r="D3342" s="62">
        <v>22023002303</v>
      </c>
      <c r="E3342" s="44" t="s">
        <v>693</v>
      </c>
      <c r="F3342" s="65">
        <v>605</v>
      </c>
      <c r="G3342" s="44" t="s">
        <v>1521</v>
      </c>
      <c r="H3342" s="44" t="s">
        <v>5046</v>
      </c>
      <c r="I3342" s="62" t="s">
        <v>1517</v>
      </c>
      <c r="J3342" s="44" t="s">
        <v>512</v>
      </c>
      <c r="K3342" s="44" t="s">
        <v>512</v>
      </c>
      <c r="L3342" s="44" t="s">
        <v>520</v>
      </c>
      <c r="M3342" s="44" t="s">
        <v>514</v>
      </c>
      <c r="N3342" s="44" t="s">
        <v>515</v>
      </c>
      <c r="O3342" s="45" t="s">
        <v>371</v>
      </c>
      <c r="P3342" s="45" t="s">
        <v>3760</v>
      </c>
      <c r="Q3342" s="59" t="str">
        <f>MID(Tabla1[[#This Row],[Aplicación]],14,1)</f>
        <v>2</v>
      </c>
      <c r="R3342" s="35" t="s">
        <v>298</v>
      </c>
      <c r="S3342" s="59" t="str">
        <f>MID(Tabla1[[#This Row],[Aplicación]],6,2)</f>
        <v>11</v>
      </c>
      <c r="T3342" s="35" t="str">
        <f>VLOOKUP(Tabla1[[#This Row],[AREA]],Hoja1!A:B,2,FALSE)</f>
        <v>11. Salud pública y seguridad ciudadana</v>
      </c>
      <c r="U3342" s="56" t="str">
        <f>MID(Tabla1[[#This Row],[Aplicación]],9,4)</f>
        <v>1361</v>
      </c>
      <c r="V3342" s="35" t="str">
        <f>VLOOKUP(Tabla1[[#This Row],[PROGRAMA]],Hoja1!A:B,2,FALSE)</f>
        <v>1361. Prevención y extinción de incencios</v>
      </c>
      <c r="W3342" s="56" t="str">
        <f>MID(Tabla1[[#This Row],[Aplicación]],14,2)</f>
        <v>21</v>
      </c>
      <c r="X3342" s="56" t="str">
        <f>MID(Tabla1[[#This Row],[Aplicación]],14,6)</f>
        <v>213</v>
      </c>
    </row>
    <row r="3343" spans="1:24" x14ac:dyDescent="0.25">
      <c r="A3343" s="63">
        <v>220230026826</v>
      </c>
      <c r="B3343" s="44" t="s">
        <v>507</v>
      </c>
      <c r="C3343" s="64">
        <v>45078</v>
      </c>
      <c r="D3343" s="62">
        <v>22023004719</v>
      </c>
      <c r="E3343" s="44" t="s">
        <v>732</v>
      </c>
      <c r="F3343" s="65">
        <v>5994</v>
      </c>
      <c r="G3343" s="44" t="s">
        <v>737</v>
      </c>
      <c r="H3343" s="44" t="s">
        <v>5047</v>
      </c>
      <c r="I3343" s="62" t="s">
        <v>511</v>
      </c>
      <c r="J3343" s="44" t="s">
        <v>519</v>
      </c>
      <c r="K3343" s="44" t="s">
        <v>519</v>
      </c>
      <c r="L3343" s="44" t="s">
        <v>520</v>
      </c>
      <c r="M3343" s="44" t="s">
        <v>976</v>
      </c>
      <c r="N3343" s="44" t="s">
        <v>839</v>
      </c>
      <c r="O3343" s="45" t="s">
        <v>383</v>
      </c>
      <c r="P3343" s="45" t="s">
        <v>3760</v>
      </c>
      <c r="Q3343" s="59" t="str">
        <f>MID(Tabla1[[#This Row],[Aplicación]],14,1)</f>
        <v>2</v>
      </c>
      <c r="R3343" s="35" t="s">
        <v>298</v>
      </c>
      <c r="S3343" s="59" t="str">
        <f>MID(Tabla1[[#This Row],[Aplicación]],6,2)</f>
        <v>06</v>
      </c>
      <c r="T3343" s="35" t="str">
        <f>VLOOKUP(Tabla1[[#This Row],[AREA]],Hoja1!A:B,2,FALSE)</f>
        <v>06. Educación, infancia, juventud e igualdad</v>
      </c>
      <c r="U3343" s="56" t="str">
        <f>MID(Tabla1[[#This Row],[Aplicación]],9,4)</f>
        <v>3321</v>
      </c>
      <c r="V3343" s="35" t="str">
        <f>VLOOKUP(Tabla1[[#This Row],[PROGRAMA]],Hoja1!A:B,2,FALSE)</f>
        <v>3321. Bibliotecas públicas</v>
      </c>
      <c r="W3343" s="56" t="str">
        <f>MID(Tabla1[[#This Row],[Aplicación]],14,2)</f>
        <v>22</v>
      </c>
      <c r="X3343" s="56" t="str">
        <f>MID(Tabla1[[#This Row],[Aplicación]],14,6)</f>
        <v>22799</v>
      </c>
    </row>
    <row r="3344" spans="1:24" x14ac:dyDescent="0.25">
      <c r="A3344" s="63">
        <v>220230026820</v>
      </c>
      <c r="B3344" s="44" t="s">
        <v>507</v>
      </c>
      <c r="C3344" s="64">
        <v>45078</v>
      </c>
      <c r="D3344" s="62">
        <v>22023004761</v>
      </c>
      <c r="E3344" s="44" t="s">
        <v>835</v>
      </c>
      <c r="F3344" s="65">
        <v>5945.38</v>
      </c>
      <c r="G3344" s="44" t="s">
        <v>1590</v>
      </c>
      <c r="H3344" s="44" t="s">
        <v>5048</v>
      </c>
      <c r="I3344" s="62" t="s">
        <v>511</v>
      </c>
      <c r="J3344" s="44" t="s">
        <v>519</v>
      </c>
      <c r="K3344" s="44" t="s">
        <v>519</v>
      </c>
      <c r="L3344" s="44" t="s">
        <v>520</v>
      </c>
      <c r="M3344" s="44" t="s">
        <v>976</v>
      </c>
      <c r="N3344" s="44" t="s">
        <v>839</v>
      </c>
      <c r="O3344" s="45" t="s">
        <v>383</v>
      </c>
      <c r="P3344" s="45" t="s">
        <v>3760</v>
      </c>
      <c r="Q3344" s="59" t="str">
        <f>MID(Tabla1[[#This Row],[Aplicación]],14,1)</f>
        <v>2</v>
      </c>
      <c r="R3344" s="35" t="s">
        <v>298</v>
      </c>
      <c r="S3344" s="59" t="str">
        <f>MID(Tabla1[[#This Row],[Aplicación]],6,2)</f>
        <v>05</v>
      </c>
      <c r="T3344" s="35" t="str">
        <f>VLOOKUP(Tabla1[[#This Row],[AREA]],Hoja1!A:B,2,FALSE)</f>
        <v>05. Innovación, desarrollo económico, empleo y comercio</v>
      </c>
      <c r="U3344" s="56" t="str">
        <f>MID(Tabla1[[#This Row],[Aplicación]],9,4)</f>
        <v>4331</v>
      </c>
      <c r="V3344" s="35" t="str">
        <f>VLOOKUP(Tabla1[[#This Row],[PROGRAMA]],Hoja1!A:B,2,FALSE)</f>
        <v>4331. Desarrollo empresarial</v>
      </c>
      <c r="W3344" s="56" t="str">
        <f>MID(Tabla1[[#This Row],[Aplicación]],14,2)</f>
        <v>22</v>
      </c>
      <c r="X3344" s="56" t="str">
        <f>MID(Tabla1[[#This Row],[Aplicación]],14,6)</f>
        <v>22799</v>
      </c>
    </row>
    <row r="3345" spans="1:24" x14ac:dyDescent="0.25">
      <c r="A3345" s="63">
        <v>220230028635</v>
      </c>
      <c r="B3345" s="44" t="s">
        <v>507</v>
      </c>
      <c r="C3345" s="64">
        <v>45085</v>
      </c>
      <c r="D3345" s="62">
        <v>22023004881</v>
      </c>
      <c r="E3345" s="44" t="s">
        <v>613</v>
      </c>
      <c r="F3345" s="65">
        <v>5929</v>
      </c>
      <c r="G3345" s="44" t="s">
        <v>15</v>
      </c>
      <c r="H3345" s="44" t="s">
        <v>5049</v>
      </c>
      <c r="I3345" s="62" t="s">
        <v>511</v>
      </c>
      <c r="J3345" s="44" t="s">
        <v>519</v>
      </c>
      <c r="K3345" s="44" t="s">
        <v>519</v>
      </c>
      <c r="L3345" s="44" t="s">
        <v>552</v>
      </c>
      <c r="M3345" s="44" t="s">
        <v>976</v>
      </c>
      <c r="N3345" s="44" t="s">
        <v>839</v>
      </c>
      <c r="O3345" s="45" t="s">
        <v>383</v>
      </c>
      <c r="P3345" s="45" t="s">
        <v>3760</v>
      </c>
      <c r="Q3345" s="59" t="str">
        <f>MID(Tabla1[[#This Row],[Aplicación]],14,1)</f>
        <v>2</v>
      </c>
      <c r="R3345" s="35" t="s">
        <v>298</v>
      </c>
      <c r="S3345" s="59" t="str">
        <f>MID(Tabla1[[#This Row],[Aplicación]],6,2)</f>
        <v>10</v>
      </c>
      <c r="T3345" s="35" t="str">
        <f>VLOOKUP(Tabla1[[#This Row],[AREA]],Hoja1!A:B,2,FALSE)</f>
        <v>10. Servicios sociales y mediación comunitaria</v>
      </c>
      <c r="U3345" s="56" t="str">
        <f>MID(Tabla1[[#This Row],[Aplicación]],9,4)</f>
        <v>2312</v>
      </c>
      <c r="V3345" s="35" t="str">
        <f>VLOOKUP(Tabla1[[#This Row],[PROGRAMA]],Hoja1!A:B,2,FALSE)</f>
        <v>2312. Iniciativas sociales</v>
      </c>
      <c r="W3345" s="56" t="str">
        <f>MID(Tabla1[[#This Row],[Aplicación]],14,2)</f>
        <v>21</v>
      </c>
      <c r="X3345" s="56" t="str">
        <f>MID(Tabla1[[#This Row],[Aplicación]],14,6)</f>
        <v>213</v>
      </c>
    </row>
    <row r="3346" spans="1:24" x14ac:dyDescent="0.25">
      <c r="A3346" s="63">
        <v>220230028621</v>
      </c>
      <c r="B3346" s="44" t="s">
        <v>1514</v>
      </c>
      <c r="C3346" s="64">
        <v>45085</v>
      </c>
      <c r="D3346" s="62">
        <v>22023002697</v>
      </c>
      <c r="E3346" s="44" t="s">
        <v>726</v>
      </c>
      <c r="F3346" s="65">
        <v>82172.800000000003</v>
      </c>
      <c r="G3346" s="44" t="s">
        <v>1019</v>
      </c>
      <c r="H3346" s="44" t="s">
        <v>5050</v>
      </c>
      <c r="I3346" s="62" t="s">
        <v>1517</v>
      </c>
      <c r="J3346" s="44" t="s">
        <v>1021</v>
      </c>
      <c r="K3346" s="44" t="s">
        <v>729</v>
      </c>
      <c r="L3346" s="44" t="s">
        <v>520</v>
      </c>
      <c r="M3346" s="44" t="s">
        <v>838</v>
      </c>
      <c r="N3346" s="44" t="s">
        <v>839</v>
      </c>
      <c r="O3346" s="45" t="s">
        <v>373</v>
      </c>
      <c r="P3346" s="45" t="s">
        <v>3760</v>
      </c>
      <c r="Q3346" s="59" t="str">
        <f>MID(Tabla1[[#This Row],[Aplicación]],14,1)</f>
        <v>6</v>
      </c>
      <c r="R3346" s="35" t="s">
        <v>299</v>
      </c>
      <c r="S3346" s="59" t="str">
        <f>MID(Tabla1[[#This Row],[Aplicación]],6,2)</f>
        <v>04</v>
      </c>
      <c r="T3346" s="35" t="str">
        <f>VLOOKUP(Tabla1[[#This Row],[AREA]],Hoja1!A:B,2,FALSE)</f>
        <v>04. Planificación y recursos</v>
      </c>
      <c r="U3346" s="56" t="str">
        <f>MID(Tabla1[[#This Row],[Aplicación]],9,4)</f>
        <v>9204</v>
      </c>
      <c r="V3346" s="35" t="str">
        <f>VLOOKUP(Tabla1[[#This Row],[PROGRAMA]],Hoja1!A:B,2,FALSE)</f>
        <v>9204. Tecnologías de la información y comunicación</v>
      </c>
      <c r="W3346" s="56" t="str">
        <f>MID(Tabla1[[#This Row],[Aplicación]],14,2)</f>
        <v>64</v>
      </c>
      <c r="X3346" s="56" t="str">
        <f>MID(Tabla1[[#This Row],[Aplicación]],14,6)</f>
        <v>641</v>
      </c>
    </row>
    <row r="3347" spans="1:24" x14ac:dyDescent="0.25">
      <c r="A3347" s="63">
        <v>220230030096</v>
      </c>
      <c r="B3347" s="44" t="s">
        <v>1514</v>
      </c>
      <c r="C3347" s="64">
        <v>45093</v>
      </c>
      <c r="D3347" s="62">
        <v>22023004435</v>
      </c>
      <c r="E3347" s="44" t="s">
        <v>1551</v>
      </c>
      <c r="F3347" s="65">
        <v>665.1</v>
      </c>
      <c r="G3347" s="44" t="s">
        <v>111</v>
      </c>
      <c r="H3347" s="44" t="s">
        <v>5051</v>
      </c>
      <c r="I3347" s="62" t="s">
        <v>1517</v>
      </c>
      <c r="J3347" s="44" t="s">
        <v>519</v>
      </c>
      <c r="K3347" s="44" t="s">
        <v>519</v>
      </c>
      <c r="L3347" s="44" t="s">
        <v>552</v>
      </c>
      <c r="M3347" s="44" t="s">
        <v>976</v>
      </c>
      <c r="N3347" s="44" t="s">
        <v>839</v>
      </c>
      <c r="O3347" s="45" t="s">
        <v>383</v>
      </c>
      <c r="P3347" s="45" t="s">
        <v>3760</v>
      </c>
      <c r="Q3347" s="59" t="str">
        <f>MID(Tabla1[[#This Row],[Aplicación]],14,1)</f>
        <v>2</v>
      </c>
      <c r="R3347" s="35" t="s">
        <v>298</v>
      </c>
      <c r="S3347" s="59" t="str">
        <f>MID(Tabla1[[#This Row],[Aplicación]],6,2)</f>
        <v>02</v>
      </c>
      <c r="T3347" s="35" t="str">
        <f>VLOOKUP(Tabla1[[#This Row],[AREA]],Hoja1!A:B,2,FALSE)</f>
        <v>02. Planeamiento urbanístico y vivienda</v>
      </c>
      <c r="U3347" s="56" t="str">
        <f>MID(Tabla1[[#This Row],[Aplicación]],9,4)</f>
        <v>9332</v>
      </c>
      <c r="V3347" s="35" t="str">
        <f>VLOOKUP(Tabla1[[#This Row],[PROGRAMA]],Hoja1!A:B,2,FALSE)</f>
        <v>9332. Mantenimiento de edificios e instalaciones municipales</v>
      </c>
      <c r="W3347" s="56" t="str">
        <f>MID(Tabla1[[#This Row],[Aplicación]],14,2)</f>
        <v>21</v>
      </c>
      <c r="X3347" s="56" t="str">
        <f>MID(Tabla1[[#This Row],[Aplicación]],14,6)</f>
        <v>212</v>
      </c>
    </row>
    <row r="3348" spans="1:24" x14ac:dyDescent="0.25">
      <c r="A3348" s="63">
        <v>220230028630</v>
      </c>
      <c r="B3348" s="44" t="s">
        <v>507</v>
      </c>
      <c r="C3348" s="64">
        <v>45085</v>
      </c>
      <c r="D3348" s="62">
        <v>22023004836</v>
      </c>
      <c r="E3348" s="44" t="s">
        <v>732</v>
      </c>
      <c r="F3348" s="65">
        <v>5747.5</v>
      </c>
      <c r="G3348" s="44" t="s">
        <v>2042</v>
      </c>
      <c r="H3348" s="44" t="s">
        <v>5052</v>
      </c>
      <c r="I3348" s="62" t="s">
        <v>511</v>
      </c>
      <c r="J3348" s="44" t="s">
        <v>519</v>
      </c>
      <c r="K3348" s="44" t="s">
        <v>519</v>
      </c>
      <c r="L3348" s="44" t="s">
        <v>520</v>
      </c>
      <c r="M3348" s="44" t="s">
        <v>976</v>
      </c>
      <c r="N3348" s="44" t="s">
        <v>839</v>
      </c>
      <c r="O3348" s="45" t="s">
        <v>383</v>
      </c>
      <c r="P3348" s="45" t="s">
        <v>3760</v>
      </c>
      <c r="Q3348" s="59" t="str">
        <f>MID(Tabla1[[#This Row],[Aplicación]],14,1)</f>
        <v>2</v>
      </c>
      <c r="R3348" s="35" t="s">
        <v>298</v>
      </c>
      <c r="S3348" s="59" t="str">
        <f>MID(Tabla1[[#This Row],[Aplicación]],6,2)</f>
        <v>06</v>
      </c>
      <c r="T3348" s="35" t="str">
        <f>VLOOKUP(Tabla1[[#This Row],[AREA]],Hoja1!A:B,2,FALSE)</f>
        <v>06. Educación, infancia, juventud e igualdad</v>
      </c>
      <c r="U3348" s="56" t="str">
        <f>MID(Tabla1[[#This Row],[Aplicación]],9,4)</f>
        <v>3321</v>
      </c>
      <c r="V3348" s="35" t="str">
        <f>VLOOKUP(Tabla1[[#This Row],[PROGRAMA]],Hoja1!A:B,2,FALSE)</f>
        <v>3321. Bibliotecas públicas</v>
      </c>
      <c r="W3348" s="56" t="str">
        <f>MID(Tabla1[[#This Row],[Aplicación]],14,2)</f>
        <v>22</v>
      </c>
      <c r="X3348" s="56" t="str">
        <f>MID(Tabla1[[#This Row],[Aplicación]],14,6)</f>
        <v>22799</v>
      </c>
    </row>
    <row r="3349" spans="1:24" x14ac:dyDescent="0.25">
      <c r="A3349" s="63">
        <v>220230031249</v>
      </c>
      <c r="B3349" s="44" t="s">
        <v>507</v>
      </c>
      <c r="C3349" s="64">
        <v>45099</v>
      </c>
      <c r="D3349" s="62">
        <v>22023005038</v>
      </c>
      <c r="E3349" s="44" t="s">
        <v>1285</v>
      </c>
      <c r="F3349" s="65">
        <v>5711.2</v>
      </c>
      <c r="G3349" s="44" t="s">
        <v>5053</v>
      </c>
      <c r="H3349" s="44" t="s">
        <v>5054</v>
      </c>
      <c r="I3349" s="62" t="s">
        <v>511</v>
      </c>
      <c r="J3349" s="44" t="s">
        <v>5055</v>
      </c>
      <c r="K3349" s="44" t="s">
        <v>519</v>
      </c>
      <c r="L3349" s="44" t="s">
        <v>552</v>
      </c>
      <c r="M3349" s="44" t="s">
        <v>976</v>
      </c>
      <c r="N3349" s="44" t="s">
        <v>839</v>
      </c>
      <c r="O3349" s="45" t="s">
        <v>383</v>
      </c>
      <c r="P3349" s="45" t="s">
        <v>3760</v>
      </c>
      <c r="Q3349" s="59" t="str">
        <f>MID(Tabla1[[#This Row],[Aplicación]],14,1)</f>
        <v>2</v>
      </c>
      <c r="R3349" s="35" t="s">
        <v>298</v>
      </c>
      <c r="S3349" s="59" t="str">
        <f>MID(Tabla1[[#This Row],[Aplicación]],6,2)</f>
        <v>11</v>
      </c>
      <c r="T3349" s="35" t="str">
        <f>VLOOKUP(Tabla1[[#This Row],[AREA]],Hoja1!A:B,2,FALSE)</f>
        <v>11. Salud pública y seguridad ciudadana</v>
      </c>
      <c r="U3349" s="56" t="str">
        <f>MID(Tabla1[[#This Row],[Aplicación]],9,4)</f>
        <v>1361</v>
      </c>
      <c r="V3349" s="35" t="str">
        <f>VLOOKUP(Tabla1[[#This Row],[PROGRAMA]],Hoja1!A:B,2,FALSE)</f>
        <v>1361. Prevención y extinción de incencios</v>
      </c>
      <c r="W3349" s="56" t="str">
        <f>MID(Tabla1[[#This Row],[Aplicación]],14,2)</f>
        <v>22</v>
      </c>
      <c r="X3349" s="56" t="str">
        <f>MID(Tabla1[[#This Row],[Aplicación]],14,6)</f>
        <v>22199</v>
      </c>
    </row>
    <row r="3350" spans="1:24" x14ac:dyDescent="0.25">
      <c r="A3350" s="63">
        <v>220230028173</v>
      </c>
      <c r="B3350" s="44" t="s">
        <v>507</v>
      </c>
      <c r="C3350" s="64">
        <v>45084</v>
      </c>
      <c r="D3350" s="62">
        <v>22023004944</v>
      </c>
      <c r="E3350" s="44" t="s">
        <v>1187</v>
      </c>
      <c r="F3350" s="65">
        <v>5324</v>
      </c>
      <c r="G3350" s="44" t="s">
        <v>5056</v>
      </c>
      <c r="H3350" s="44" t="s">
        <v>5057</v>
      </c>
      <c r="I3350" s="62" t="s">
        <v>511</v>
      </c>
      <c r="J3350" s="44" t="s">
        <v>519</v>
      </c>
      <c r="K3350" s="44" t="s">
        <v>519</v>
      </c>
      <c r="L3350" s="44" t="s">
        <v>520</v>
      </c>
      <c r="M3350" s="44" t="s">
        <v>976</v>
      </c>
      <c r="N3350" s="44" t="s">
        <v>839</v>
      </c>
      <c r="O3350" s="45" t="s">
        <v>383</v>
      </c>
      <c r="P3350" s="45" t="s">
        <v>3760</v>
      </c>
      <c r="Q3350" s="59" t="str">
        <f>MID(Tabla1[[#This Row],[Aplicación]],14,1)</f>
        <v>2</v>
      </c>
      <c r="R3350" s="35" t="s">
        <v>298</v>
      </c>
      <c r="S3350" s="59" t="str">
        <f>MID(Tabla1[[#This Row],[Aplicación]],6,2)</f>
        <v>01</v>
      </c>
      <c r="T3350" s="35" t="str">
        <f>VLOOKUP(Tabla1[[#This Row],[AREA]],Hoja1!A:B,2,FALSE)</f>
        <v>01. Alcaldía</v>
      </c>
      <c r="U3350" s="56" t="str">
        <f>MID(Tabla1[[#This Row],[Aplicación]],9,4)</f>
        <v>9312</v>
      </c>
      <c r="V3350" s="35" t="str">
        <f>VLOOKUP(Tabla1[[#This Row],[PROGRAMA]],Hoja1!A:B,2,FALSE)</f>
        <v>9312. Intervención general</v>
      </c>
      <c r="W3350" s="56" t="str">
        <f>MID(Tabla1[[#This Row],[Aplicación]],14,2)</f>
        <v>22</v>
      </c>
      <c r="X3350" s="56" t="str">
        <f>MID(Tabla1[[#This Row],[Aplicación]],14,6)</f>
        <v>22706</v>
      </c>
    </row>
    <row r="3351" spans="1:24" x14ac:dyDescent="0.25">
      <c r="A3351" s="63">
        <v>220230028632</v>
      </c>
      <c r="B3351" s="44" t="s">
        <v>507</v>
      </c>
      <c r="C3351" s="64">
        <v>45085</v>
      </c>
      <c r="D3351" s="62">
        <v>22023004853</v>
      </c>
      <c r="E3351" s="44" t="s">
        <v>1299</v>
      </c>
      <c r="F3351" s="65">
        <v>4402</v>
      </c>
      <c r="G3351" s="44" t="s">
        <v>4063</v>
      </c>
      <c r="H3351" s="44" t="s">
        <v>5058</v>
      </c>
      <c r="I3351" s="62" t="s">
        <v>511</v>
      </c>
      <c r="J3351" s="44" t="s">
        <v>512</v>
      </c>
      <c r="K3351" s="44" t="s">
        <v>512</v>
      </c>
      <c r="L3351" s="44" t="s">
        <v>552</v>
      </c>
      <c r="M3351" s="44" t="s">
        <v>976</v>
      </c>
      <c r="N3351" s="44" t="s">
        <v>839</v>
      </c>
      <c r="O3351" s="45" t="s">
        <v>383</v>
      </c>
      <c r="P3351" s="45" t="s">
        <v>3760</v>
      </c>
      <c r="Q3351" s="59" t="str">
        <f>MID(Tabla1[[#This Row],[Aplicación]],14,1)</f>
        <v>2</v>
      </c>
      <c r="R3351" s="35" t="s">
        <v>298</v>
      </c>
      <c r="S3351" s="59" t="str">
        <f>MID(Tabla1[[#This Row],[Aplicación]],6,2)</f>
        <v>06</v>
      </c>
      <c r="T3351" s="35" t="str">
        <f>VLOOKUP(Tabla1[[#This Row],[AREA]],Hoja1!A:B,2,FALSE)</f>
        <v>06. Educación, infancia, juventud e igualdad</v>
      </c>
      <c r="U3351" s="56" t="str">
        <f>MID(Tabla1[[#This Row],[Aplicación]],9,4)</f>
        <v>3321</v>
      </c>
      <c r="V3351" s="35" t="str">
        <f>VLOOKUP(Tabla1[[#This Row],[PROGRAMA]],Hoja1!A:B,2,FALSE)</f>
        <v>3321. Bibliotecas públicas</v>
      </c>
      <c r="W3351" s="56" t="str">
        <f>MID(Tabla1[[#This Row],[Aplicación]],14,2)</f>
        <v>22</v>
      </c>
      <c r="X3351" s="56" t="str">
        <f>MID(Tabla1[[#This Row],[Aplicación]],14,6)</f>
        <v>22001</v>
      </c>
    </row>
    <row r="3352" spans="1:24" x14ac:dyDescent="0.25">
      <c r="A3352" s="63">
        <v>220230026815</v>
      </c>
      <c r="B3352" s="44" t="s">
        <v>507</v>
      </c>
      <c r="C3352" s="64">
        <v>45078</v>
      </c>
      <c r="D3352" s="62">
        <v>22023004747</v>
      </c>
      <c r="E3352" s="44" t="s">
        <v>1191</v>
      </c>
      <c r="F3352" s="65">
        <v>3960</v>
      </c>
      <c r="G3352" s="44" t="s">
        <v>5059</v>
      </c>
      <c r="H3352" s="44" t="s">
        <v>5060</v>
      </c>
      <c r="I3352" s="62" t="s">
        <v>511</v>
      </c>
      <c r="J3352" s="44" t="s">
        <v>1152</v>
      </c>
      <c r="K3352" s="44" t="s">
        <v>1152</v>
      </c>
      <c r="L3352" s="44" t="s">
        <v>520</v>
      </c>
      <c r="M3352" s="44" t="s">
        <v>976</v>
      </c>
      <c r="N3352" s="44" t="s">
        <v>839</v>
      </c>
      <c r="O3352" s="45" t="s">
        <v>383</v>
      </c>
      <c r="P3352" s="45" t="s">
        <v>3760</v>
      </c>
      <c r="Q3352" s="59" t="str">
        <f>MID(Tabla1[[#This Row],[Aplicación]],14,1)</f>
        <v>2</v>
      </c>
      <c r="R3352" s="35" t="s">
        <v>298</v>
      </c>
      <c r="S3352" s="59" t="str">
        <f>MID(Tabla1[[#This Row],[Aplicación]],6,2)</f>
        <v>06</v>
      </c>
      <c r="T3352" s="35" t="str">
        <f>VLOOKUP(Tabla1[[#This Row],[AREA]],Hoja1!A:B,2,FALSE)</f>
        <v>06. Educación, infancia, juventud e igualdad</v>
      </c>
      <c r="U3352" s="56" t="str">
        <f>MID(Tabla1[[#This Row],[Aplicación]],9,4)</f>
        <v>2315</v>
      </c>
      <c r="V3352" s="35" t="str">
        <f>VLOOKUP(Tabla1[[#This Row],[PROGRAMA]],Hoja1!A:B,2,FALSE)</f>
        <v>2315. Políticas de Igualdad e infancia</v>
      </c>
      <c r="W3352" s="56" t="str">
        <f>MID(Tabla1[[#This Row],[Aplicación]],14,2)</f>
        <v>22</v>
      </c>
      <c r="X3352" s="56" t="str">
        <f>MID(Tabla1[[#This Row],[Aplicación]],14,6)</f>
        <v>22611</v>
      </c>
    </row>
    <row r="3353" spans="1:24" x14ac:dyDescent="0.25">
      <c r="A3353" s="63">
        <v>220230031198</v>
      </c>
      <c r="B3353" s="44" t="s">
        <v>507</v>
      </c>
      <c r="C3353" s="64">
        <v>45099</v>
      </c>
      <c r="D3353" s="62">
        <v>22023005159</v>
      </c>
      <c r="E3353" s="44" t="s">
        <v>607</v>
      </c>
      <c r="F3353" s="65">
        <v>3932.55</v>
      </c>
      <c r="G3353" s="44" t="s">
        <v>1200</v>
      </c>
      <c r="H3353" s="44" t="s">
        <v>5061</v>
      </c>
      <c r="I3353" s="62" t="s">
        <v>511</v>
      </c>
      <c r="J3353" s="44" t="s">
        <v>519</v>
      </c>
      <c r="K3353" s="44" t="s">
        <v>519</v>
      </c>
      <c r="L3353" s="44" t="s">
        <v>552</v>
      </c>
      <c r="M3353" s="44" t="s">
        <v>976</v>
      </c>
      <c r="N3353" s="44" t="s">
        <v>839</v>
      </c>
      <c r="O3353" s="45" t="s">
        <v>383</v>
      </c>
      <c r="P3353" s="45" t="s">
        <v>3760</v>
      </c>
      <c r="Q3353" s="59" t="str">
        <f>MID(Tabla1[[#This Row],[Aplicación]],14,1)</f>
        <v>2</v>
      </c>
      <c r="R3353" s="35" t="s">
        <v>298</v>
      </c>
      <c r="S3353" s="59" t="str">
        <f>MID(Tabla1[[#This Row],[Aplicación]],6,2)</f>
        <v>11</v>
      </c>
      <c r="T3353" s="35" t="str">
        <f>VLOOKUP(Tabla1[[#This Row],[AREA]],Hoja1!A:B,2,FALSE)</f>
        <v>11. Salud pública y seguridad ciudadana</v>
      </c>
      <c r="U3353" s="56" t="str">
        <f>MID(Tabla1[[#This Row],[Aplicación]],9,4)</f>
        <v>1621</v>
      </c>
      <c r="V3353" s="35" t="str">
        <f>VLOOKUP(Tabla1[[#This Row],[PROGRAMA]],Hoja1!A:B,2,FALSE)</f>
        <v>1621. Servicio de limpieza</v>
      </c>
      <c r="W3353" s="56" t="str">
        <f>MID(Tabla1[[#This Row],[Aplicación]],14,2)</f>
        <v>21</v>
      </c>
      <c r="X3353" s="56" t="str">
        <f>MID(Tabla1[[#This Row],[Aplicación]],14,6)</f>
        <v>213</v>
      </c>
    </row>
    <row r="3354" spans="1:24" x14ac:dyDescent="0.25">
      <c r="A3354" s="63">
        <v>220230028406</v>
      </c>
      <c r="B3354" s="44" t="s">
        <v>1514</v>
      </c>
      <c r="C3354" s="64">
        <v>45084</v>
      </c>
      <c r="D3354" s="62">
        <v>22023001514</v>
      </c>
      <c r="E3354" s="44" t="s">
        <v>1285</v>
      </c>
      <c r="F3354" s="65">
        <v>37.26</v>
      </c>
      <c r="G3354" s="44" t="s">
        <v>70</v>
      </c>
      <c r="H3354" s="44" t="s">
        <v>5062</v>
      </c>
      <c r="I3354" s="62" t="s">
        <v>1517</v>
      </c>
      <c r="J3354" s="44" t="s">
        <v>519</v>
      </c>
      <c r="K3354" s="44" t="s">
        <v>519</v>
      </c>
      <c r="L3354" s="44" t="s">
        <v>552</v>
      </c>
      <c r="M3354" s="44" t="s">
        <v>514</v>
      </c>
      <c r="N3354" s="44" t="s">
        <v>515</v>
      </c>
      <c r="O3354" s="45" t="s">
        <v>382</v>
      </c>
      <c r="P3354" s="45" t="s">
        <v>3760</v>
      </c>
      <c r="Q3354" s="59" t="str">
        <f>MID(Tabla1[[#This Row],[Aplicación]],14,1)</f>
        <v>2</v>
      </c>
      <c r="R3354" s="35" t="s">
        <v>298</v>
      </c>
      <c r="S3354" s="59" t="str">
        <f>MID(Tabla1[[#This Row],[Aplicación]],6,2)</f>
        <v>11</v>
      </c>
      <c r="T3354" s="35" t="str">
        <f>VLOOKUP(Tabla1[[#This Row],[AREA]],Hoja1!A:B,2,FALSE)</f>
        <v>11. Salud pública y seguridad ciudadana</v>
      </c>
      <c r="U3354" s="56" t="str">
        <f>MID(Tabla1[[#This Row],[Aplicación]],9,4)</f>
        <v>1361</v>
      </c>
      <c r="V3354" s="35" t="str">
        <f>VLOOKUP(Tabla1[[#This Row],[PROGRAMA]],Hoja1!A:B,2,FALSE)</f>
        <v>1361. Prevención y extinción de incencios</v>
      </c>
      <c r="W3354" s="56" t="str">
        <f>MID(Tabla1[[#This Row],[Aplicación]],14,2)</f>
        <v>22</v>
      </c>
      <c r="X3354" s="56" t="str">
        <f>MID(Tabla1[[#This Row],[Aplicación]],14,6)</f>
        <v>22199</v>
      </c>
    </row>
    <row r="3355" spans="1:24" x14ac:dyDescent="0.25">
      <c r="A3355" s="63">
        <v>220230028534</v>
      </c>
      <c r="B3355" s="44" t="s">
        <v>1514</v>
      </c>
      <c r="C3355" s="64">
        <v>45084</v>
      </c>
      <c r="D3355" s="62">
        <v>22023004185</v>
      </c>
      <c r="E3355" s="44" t="s">
        <v>5063</v>
      </c>
      <c r="F3355" s="65">
        <v>3254.9</v>
      </c>
      <c r="G3355" s="44" t="s">
        <v>70</v>
      </c>
      <c r="H3355" s="44" t="s">
        <v>5064</v>
      </c>
      <c r="I3355" s="62" t="s">
        <v>1517</v>
      </c>
      <c r="J3355" s="44" t="s">
        <v>519</v>
      </c>
      <c r="K3355" s="44" t="s">
        <v>519</v>
      </c>
      <c r="L3355" s="44" t="s">
        <v>552</v>
      </c>
      <c r="M3355" s="44" t="s">
        <v>514</v>
      </c>
      <c r="N3355" s="44" t="s">
        <v>515</v>
      </c>
      <c r="O3355" s="45" t="s">
        <v>382</v>
      </c>
      <c r="P3355" s="45" t="s">
        <v>3760</v>
      </c>
      <c r="Q3355" s="59" t="str">
        <f>MID(Tabla1[[#This Row],[Aplicación]],14,1)</f>
        <v>2</v>
      </c>
      <c r="R3355" s="35" t="s">
        <v>298</v>
      </c>
      <c r="S3355" s="59" t="str">
        <f>MID(Tabla1[[#This Row],[Aplicación]],6,2)</f>
        <v>07</v>
      </c>
      <c r="T3355" s="35" t="str">
        <f>VLOOKUP(Tabla1[[#This Row],[AREA]],Hoja1!A:B,2,FALSE)</f>
        <v>07. Medio ambiente y desarrollo sostenible</v>
      </c>
      <c r="U3355" s="56" t="str">
        <f>MID(Tabla1[[#This Row],[Aplicación]],9,4)</f>
        <v>1711</v>
      </c>
      <c r="V3355" s="35" t="str">
        <f>VLOOKUP(Tabla1[[#This Row],[PROGRAMA]],Hoja1!A:B,2,FALSE)</f>
        <v>1711. Parques y jardines</v>
      </c>
      <c r="W3355" s="56" t="str">
        <f>MID(Tabla1[[#This Row],[Aplicación]],14,2)</f>
        <v>22</v>
      </c>
      <c r="X3355" s="56" t="str">
        <f>MID(Tabla1[[#This Row],[Aplicación]],14,6)</f>
        <v>22104</v>
      </c>
    </row>
    <row r="3356" spans="1:24" x14ac:dyDescent="0.25">
      <c r="A3356" s="63">
        <v>220230028542</v>
      </c>
      <c r="B3356" s="44" t="s">
        <v>1514</v>
      </c>
      <c r="C3356" s="64">
        <v>45084</v>
      </c>
      <c r="D3356" s="62">
        <v>22023004185</v>
      </c>
      <c r="E3356" s="44" t="s">
        <v>5063</v>
      </c>
      <c r="F3356" s="65">
        <v>16.77</v>
      </c>
      <c r="G3356" s="44" t="s">
        <v>70</v>
      </c>
      <c r="H3356" s="44" t="s">
        <v>5065</v>
      </c>
      <c r="I3356" s="62" t="s">
        <v>1517</v>
      </c>
      <c r="J3356" s="44" t="s">
        <v>519</v>
      </c>
      <c r="K3356" s="44" t="s">
        <v>519</v>
      </c>
      <c r="L3356" s="44" t="s">
        <v>552</v>
      </c>
      <c r="M3356" s="44" t="s">
        <v>514</v>
      </c>
      <c r="N3356" s="44" t="s">
        <v>515</v>
      </c>
      <c r="O3356" s="45" t="s">
        <v>382</v>
      </c>
      <c r="P3356" s="45" t="s">
        <v>3760</v>
      </c>
      <c r="Q3356" s="59" t="str">
        <f>MID(Tabla1[[#This Row],[Aplicación]],14,1)</f>
        <v>2</v>
      </c>
      <c r="R3356" s="35" t="s">
        <v>298</v>
      </c>
      <c r="S3356" s="59" t="str">
        <f>MID(Tabla1[[#This Row],[Aplicación]],6,2)</f>
        <v>07</v>
      </c>
      <c r="T3356" s="35" t="str">
        <f>VLOOKUP(Tabla1[[#This Row],[AREA]],Hoja1!A:B,2,FALSE)</f>
        <v>07. Medio ambiente y desarrollo sostenible</v>
      </c>
      <c r="U3356" s="56" t="str">
        <f>MID(Tabla1[[#This Row],[Aplicación]],9,4)</f>
        <v>1711</v>
      </c>
      <c r="V3356" s="35" t="str">
        <f>VLOOKUP(Tabla1[[#This Row],[PROGRAMA]],Hoja1!A:B,2,FALSE)</f>
        <v>1711. Parques y jardines</v>
      </c>
      <c r="W3356" s="56" t="str">
        <f>MID(Tabla1[[#This Row],[Aplicación]],14,2)</f>
        <v>22</v>
      </c>
      <c r="X3356" s="56" t="str">
        <f>MID(Tabla1[[#This Row],[Aplicación]],14,6)</f>
        <v>22104</v>
      </c>
    </row>
    <row r="3357" spans="1:24" x14ac:dyDescent="0.25">
      <c r="A3357" s="63">
        <v>220230028544</v>
      </c>
      <c r="B3357" s="44" t="s">
        <v>1514</v>
      </c>
      <c r="C3357" s="64">
        <v>45084</v>
      </c>
      <c r="D3357" s="62">
        <v>22023001549</v>
      </c>
      <c r="E3357" s="44" t="s">
        <v>1515</v>
      </c>
      <c r="F3357" s="65">
        <v>65.95</v>
      </c>
      <c r="G3357" s="44" t="s">
        <v>70</v>
      </c>
      <c r="H3357" s="44" t="s">
        <v>5066</v>
      </c>
      <c r="I3357" s="62" t="s">
        <v>1517</v>
      </c>
      <c r="J3357" s="44" t="s">
        <v>519</v>
      </c>
      <c r="K3357" s="44" t="s">
        <v>519</v>
      </c>
      <c r="L3357" s="44" t="s">
        <v>552</v>
      </c>
      <c r="M3357" s="44" t="s">
        <v>514</v>
      </c>
      <c r="N3357" s="44" t="s">
        <v>515</v>
      </c>
      <c r="O3357" s="45" t="s">
        <v>382</v>
      </c>
      <c r="P3357" s="45" t="s">
        <v>3760</v>
      </c>
      <c r="Q3357" s="59" t="str">
        <f>MID(Tabla1[[#This Row],[Aplicación]],14,1)</f>
        <v>2</v>
      </c>
      <c r="R3357" s="35" t="s">
        <v>298</v>
      </c>
      <c r="S3357" s="59" t="str">
        <f>MID(Tabla1[[#This Row],[Aplicación]],6,2)</f>
        <v>07</v>
      </c>
      <c r="T3357" s="35" t="str">
        <f>VLOOKUP(Tabla1[[#This Row],[AREA]],Hoja1!A:B,2,FALSE)</f>
        <v>07. Medio ambiente y desarrollo sostenible</v>
      </c>
      <c r="U3357" s="56" t="str">
        <f>MID(Tabla1[[#This Row],[Aplicación]],9,4)</f>
        <v>1711</v>
      </c>
      <c r="V3357" s="35" t="str">
        <f>VLOOKUP(Tabla1[[#This Row],[PROGRAMA]],Hoja1!A:B,2,FALSE)</f>
        <v>1711. Parques y jardines</v>
      </c>
      <c r="W3357" s="56" t="str">
        <f>MID(Tabla1[[#This Row],[Aplicación]],14,2)</f>
        <v>22</v>
      </c>
      <c r="X3357" s="56" t="str">
        <f>MID(Tabla1[[#This Row],[Aplicación]],14,6)</f>
        <v>22199</v>
      </c>
    </row>
    <row r="3358" spans="1:24" x14ac:dyDescent="0.25">
      <c r="A3358" s="63">
        <v>220230028546</v>
      </c>
      <c r="B3358" s="44" t="s">
        <v>1514</v>
      </c>
      <c r="C3358" s="64">
        <v>45084</v>
      </c>
      <c r="D3358" s="62">
        <v>22023004185</v>
      </c>
      <c r="E3358" s="44" t="s">
        <v>5063</v>
      </c>
      <c r="F3358" s="65">
        <v>1495.56</v>
      </c>
      <c r="G3358" s="44" t="s">
        <v>70</v>
      </c>
      <c r="H3358" s="44" t="s">
        <v>5067</v>
      </c>
      <c r="I3358" s="62" t="s">
        <v>1517</v>
      </c>
      <c r="J3358" s="44" t="s">
        <v>519</v>
      </c>
      <c r="K3358" s="44" t="s">
        <v>519</v>
      </c>
      <c r="L3358" s="44" t="s">
        <v>552</v>
      </c>
      <c r="M3358" s="44" t="s">
        <v>514</v>
      </c>
      <c r="N3358" s="44" t="s">
        <v>515</v>
      </c>
      <c r="O3358" s="45" t="s">
        <v>382</v>
      </c>
      <c r="P3358" s="45" t="s">
        <v>3760</v>
      </c>
      <c r="Q3358" s="59" t="str">
        <f>MID(Tabla1[[#This Row],[Aplicación]],14,1)</f>
        <v>2</v>
      </c>
      <c r="R3358" s="35" t="s">
        <v>298</v>
      </c>
      <c r="S3358" s="59" t="str">
        <f>MID(Tabla1[[#This Row],[Aplicación]],6,2)</f>
        <v>07</v>
      </c>
      <c r="T3358" s="35" t="str">
        <f>VLOOKUP(Tabla1[[#This Row],[AREA]],Hoja1!A:B,2,FALSE)</f>
        <v>07. Medio ambiente y desarrollo sostenible</v>
      </c>
      <c r="U3358" s="56" t="str">
        <f>MID(Tabla1[[#This Row],[Aplicación]],9,4)</f>
        <v>1711</v>
      </c>
      <c r="V3358" s="35" t="str">
        <f>VLOOKUP(Tabla1[[#This Row],[PROGRAMA]],Hoja1!A:B,2,FALSE)</f>
        <v>1711. Parques y jardines</v>
      </c>
      <c r="W3358" s="56" t="str">
        <f>MID(Tabla1[[#This Row],[Aplicación]],14,2)</f>
        <v>22</v>
      </c>
      <c r="X3358" s="56" t="str">
        <f>MID(Tabla1[[#This Row],[Aplicación]],14,6)</f>
        <v>22104</v>
      </c>
    </row>
    <row r="3359" spans="1:24" x14ac:dyDescent="0.25">
      <c r="A3359" s="63">
        <v>220230028548</v>
      </c>
      <c r="B3359" s="44" t="s">
        <v>1514</v>
      </c>
      <c r="C3359" s="64">
        <v>45084</v>
      </c>
      <c r="D3359" s="62">
        <v>22023004185</v>
      </c>
      <c r="E3359" s="44" t="s">
        <v>5063</v>
      </c>
      <c r="F3359" s="65">
        <v>65.7</v>
      </c>
      <c r="G3359" s="44" t="s">
        <v>70</v>
      </c>
      <c r="H3359" s="44" t="s">
        <v>5068</v>
      </c>
      <c r="I3359" s="62" t="s">
        <v>1517</v>
      </c>
      <c r="J3359" s="44" t="s">
        <v>519</v>
      </c>
      <c r="K3359" s="44" t="s">
        <v>519</v>
      </c>
      <c r="L3359" s="44" t="s">
        <v>552</v>
      </c>
      <c r="M3359" s="44" t="s">
        <v>514</v>
      </c>
      <c r="N3359" s="44" t="s">
        <v>515</v>
      </c>
      <c r="O3359" s="45" t="s">
        <v>382</v>
      </c>
      <c r="P3359" s="45" t="s">
        <v>3760</v>
      </c>
      <c r="Q3359" s="59" t="str">
        <f>MID(Tabla1[[#This Row],[Aplicación]],14,1)</f>
        <v>2</v>
      </c>
      <c r="R3359" s="35" t="s">
        <v>298</v>
      </c>
      <c r="S3359" s="59" t="str">
        <f>MID(Tabla1[[#This Row],[Aplicación]],6,2)</f>
        <v>07</v>
      </c>
      <c r="T3359" s="35" t="str">
        <f>VLOOKUP(Tabla1[[#This Row],[AREA]],Hoja1!A:B,2,FALSE)</f>
        <v>07. Medio ambiente y desarrollo sostenible</v>
      </c>
      <c r="U3359" s="56" t="str">
        <f>MID(Tabla1[[#This Row],[Aplicación]],9,4)</f>
        <v>1711</v>
      </c>
      <c r="V3359" s="35" t="str">
        <f>VLOOKUP(Tabla1[[#This Row],[PROGRAMA]],Hoja1!A:B,2,FALSE)</f>
        <v>1711. Parques y jardines</v>
      </c>
      <c r="W3359" s="56" t="str">
        <f>MID(Tabla1[[#This Row],[Aplicación]],14,2)</f>
        <v>22</v>
      </c>
      <c r="X3359" s="56" t="str">
        <f>MID(Tabla1[[#This Row],[Aplicación]],14,6)</f>
        <v>22104</v>
      </c>
    </row>
    <row r="3360" spans="1:24" x14ac:dyDescent="0.25">
      <c r="A3360" s="63">
        <v>220230028283</v>
      </c>
      <c r="B3360" s="44" t="s">
        <v>1514</v>
      </c>
      <c r="C3360" s="64">
        <v>45084</v>
      </c>
      <c r="D3360" s="62">
        <v>22023004200</v>
      </c>
      <c r="E3360" s="44" t="s">
        <v>1362</v>
      </c>
      <c r="F3360" s="65">
        <v>841.78</v>
      </c>
      <c r="G3360" s="44" t="s">
        <v>1979</v>
      </c>
      <c r="H3360" s="44" t="s">
        <v>5069</v>
      </c>
      <c r="I3360" s="62" t="s">
        <v>1517</v>
      </c>
      <c r="J3360" s="44" t="s">
        <v>519</v>
      </c>
      <c r="K3360" s="44" t="s">
        <v>519</v>
      </c>
      <c r="L3360" s="44" t="s">
        <v>552</v>
      </c>
      <c r="M3360" s="44" t="s">
        <v>514</v>
      </c>
      <c r="N3360" s="44" t="s">
        <v>515</v>
      </c>
      <c r="O3360" s="45" t="s">
        <v>382</v>
      </c>
      <c r="P3360" s="45" t="s">
        <v>3760</v>
      </c>
      <c r="Q3360" s="59" t="str">
        <f>MID(Tabla1[[#This Row],[Aplicación]],14,1)</f>
        <v>2</v>
      </c>
      <c r="R3360" s="35" t="s">
        <v>298</v>
      </c>
      <c r="S3360" s="59" t="str">
        <f>MID(Tabla1[[#This Row],[Aplicación]],6,2)</f>
        <v>09</v>
      </c>
      <c r="T3360" s="35" t="str">
        <f>VLOOKUP(Tabla1[[#This Row],[AREA]],Hoja1!A:B,2,FALSE)</f>
        <v>09. Cultura y turismo</v>
      </c>
      <c r="U3360" s="56" t="str">
        <f>MID(Tabla1[[#This Row],[Aplicación]],9,4)</f>
        <v>3341</v>
      </c>
      <c r="V3360" s="35" t="str">
        <f>VLOOKUP(Tabla1[[#This Row],[PROGRAMA]],Hoja1!A:B,2,FALSE)</f>
        <v>3341. Coordinación de políticas culturales</v>
      </c>
      <c r="W3360" s="56" t="str">
        <f>MID(Tabla1[[#This Row],[Aplicación]],14,2)</f>
        <v>21</v>
      </c>
      <c r="X3360" s="56" t="str">
        <f>MID(Tabla1[[#This Row],[Aplicación]],14,6)</f>
        <v>213</v>
      </c>
    </row>
    <row r="3361" spans="1:24" x14ac:dyDescent="0.25">
      <c r="A3361" s="63">
        <v>220230028290</v>
      </c>
      <c r="B3361" s="44" t="s">
        <v>1514</v>
      </c>
      <c r="C3361" s="64">
        <v>45084</v>
      </c>
      <c r="D3361" s="62">
        <v>22023004200</v>
      </c>
      <c r="E3361" s="44" t="s">
        <v>1362</v>
      </c>
      <c r="F3361" s="65">
        <v>544.29</v>
      </c>
      <c r="G3361" s="44" t="s">
        <v>1979</v>
      </c>
      <c r="H3361" s="44" t="s">
        <v>5069</v>
      </c>
      <c r="I3361" s="62" t="s">
        <v>1517</v>
      </c>
      <c r="J3361" s="44" t="s">
        <v>519</v>
      </c>
      <c r="K3361" s="44" t="s">
        <v>519</v>
      </c>
      <c r="L3361" s="44" t="s">
        <v>552</v>
      </c>
      <c r="M3361" s="44" t="s">
        <v>514</v>
      </c>
      <c r="N3361" s="44" t="s">
        <v>515</v>
      </c>
      <c r="O3361" s="45" t="s">
        <v>382</v>
      </c>
      <c r="P3361" s="45" t="s">
        <v>3760</v>
      </c>
      <c r="Q3361" s="59" t="str">
        <f>MID(Tabla1[[#This Row],[Aplicación]],14,1)</f>
        <v>2</v>
      </c>
      <c r="R3361" s="35" t="s">
        <v>298</v>
      </c>
      <c r="S3361" s="59" t="str">
        <f>MID(Tabla1[[#This Row],[Aplicación]],6,2)</f>
        <v>09</v>
      </c>
      <c r="T3361" s="35" t="str">
        <f>VLOOKUP(Tabla1[[#This Row],[AREA]],Hoja1!A:B,2,FALSE)</f>
        <v>09. Cultura y turismo</v>
      </c>
      <c r="U3361" s="56" t="str">
        <f>MID(Tabla1[[#This Row],[Aplicación]],9,4)</f>
        <v>3341</v>
      </c>
      <c r="V3361" s="35" t="str">
        <f>VLOOKUP(Tabla1[[#This Row],[PROGRAMA]],Hoja1!A:B,2,FALSE)</f>
        <v>3341. Coordinación de políticas culturales</v>
      </c>
      <c r="W3361" s="56" t="str">
        <f>MID(Tabla1[[#This Row],[Aplicación]],14,2)</f>
        <v>21</v>
      </c>
      <c r="X3361" s="56" t="str">
        <f>MID(Tabla1[[#This Row],[Aplicación]],14,6)</f>
        <v>213</v>
      </c>
    </row>
    <row r="3362" spans="1:24" x14ac:dyDescent="0.25">
      <c r="A3362" s="63">
        <v>220230028363</v>
      </c>
      <c r="B3362" s="44" t="s">
        <v>1514</v>
      </c>
      <c r="C3362" s="64">
        <v>45084</v>
      </c>
      <c r="D3362" s="62">
        <v>22023001344</v>
      </c>
      <c r="E3362" s="44" t="s">
        <v>1150</v>
      </c>
      <c r="F3362" s="65">
        <v>262.8</v>
      </c>
      <c r="G3362" s="44" t="s">
        <v>1979</v>
      </c>
      <c r="H3362" s="44" t="s">
        <v>5070</v>
      </c>
      <c r="I3362" s="62" t="s">
        <v>1517</v>
      </c>
      <c r="J3362" s="44" t="s">
        <v>519</v>
      </c>
      <c r="K3362" s="44" t="s">
        <v>519</v>
      </c>
      <c r="L3362" s="44" t="s">
        <v>552</v>
      </c>
      <c r="M3362" s="44" t="s">
        <v>514</v>
      </c>
      <c r="N3362" s="44" t="s">
        <v>604</v>
      </c>
      <c r="O3362" s="45" t="s">
        <v>382</v>
      </c>
      <c r="P3362" s="45" t="s">
        <v>3760</v>
      </c>
      <c r="Q3362" s="59" t="str">
        <f>MID(Tabla1[[#This Row],[Aplicación]],14,1)</f>
        <v>2</v>
      </c>
      <c r="R3362" s="35" t="s">
        <v>298</v>
      </c>
      <c r="S3362" s="59" t="str">
        <f>MID(Tabla1[[#This Row],[Aplicación]],6,2)</f>
        <v>03</v>
      </c>
      <c r="T3362" s="35" t="str">
        <f>VLOOKUP(Tabla1[[#This Row],[AREA]],Hoja1!A:B,2,FALSE)</f>
        <v>03. Participación ciudadana y deportes</v>
      </c>
      <c r="U3362" s="56" t="str">
        <f>MID(Tabla1[[#This Row],[Aplicación]],9,4)</f>
        <v>9241</v>
      </c>
      <c r="V3362" s="35" t="str">
        <f>VLOOKUP(Tabla1[[#This Row],[PROGRAMA]],Hoja1!A:B,2,FALSE)</f>
        <v>9241. Participación ciudadana</v>
      </c>
      <c r="W3362" s="56" t="str">
        <f>MID(Tabla1[[#This Row],[Aplicación]],14,2)</f>
        <v>21</v>
      </c>
      <c r="X3362" s="56" t="str">
        <f>MID(Tabla1[[#This Row],[Aplicación]],14,6)</f>
        <v>213</v>
      </c>
    </row>
    <row r="3363" spans="1:24" x14ac:dyDescent="0.25">
      <c r="A3363" s="63">
        <v>220230028453</v>
      </c>
      <c r="B3363" s="44" t="s">
        <v>1514</v>
      </c>
      <c r="C3363" s="64">
        <v>45084</v>
      </c>
      <c r="D3363" s="62">
        <v>22023000268</v>
      </c>
      <c r="E3363" s="44" t="s">
        <v>659</v>
      </c>
      <c r="F3363" s="65">
        <v>118.1</v>
      </c>
      <c r="G3363" s="44" t="s">
        <v>1979</v>
      </c>
      <c r="H3363" s="44" t="s">
        <v>5071</v>
      </c>
      <c r="I3363" s="62" t="s">
        <v>1517</v>
      </c>
      <c r="J3363" s="44" t="s">
        <v>519</v>
      </c>
      <c r="K3363" s="44" t="s">
        <v>519</v>
      </c>
      <c r="L3363" s="44" t="s">
        <v>552</v>
      </c>
      <c r="M3363" s="44" t="s">
        <v>514</v>
      </c>
      <c r="N3363" s="44" t="s">
        <v>515</v>
      </c>
      <c r="O3363" s="45" t="s">
        <v>382</v>
      </c>
      <c r="P3363" s="45" t="s">
        <v>3760</v>
      </c>
      <c r="Q3363" s="59" t="str">
        <f>MID(Tabla1[[#This Row],[Aplicación]],14,1)</f>
        <v>2</v>
      </c>
      <c r="R3363" s="35" t="s">
        <v>298</v>
      </c>
      <c r="S3363" s="59" t="str">
        <f>MID(Tabla1[[#This Row],[Aplicación]],6,2)</f>
        <v>11</v>
      </c>
      <c r="T3363" s="35" t="str">
        <f>VLOOKUP(Tabla1[[#This Row],[AREA]],Hoja1!A:B,2,FALSE)</f>
        <v>11. Salud pública y seguridad ciudadana</v>
      </c>
      <c r="U3363" s="56" t="str">
        <f>MID(Tabla1[[#This Row],[Aplicación]],9,4)</f>
        <v>1321</v>
      </c>
      <c r="V3363" s="35" t="str">
        <f>VLOOKUP(Tabla1[[#This Row],[PROGRAMA]],Hoja1!A:B,2,FALSE)</f>
        <v>1321. Policía municipal</v>
      </c>
      <c r="W3363" s="56" t="str">
        <f>MID(Tabla1[[#This Row],[Aplicación]],14,2)</f>
        <v>21</v>
      </c>
      <c r="X3363" s="56" t="str">
        <f>MID(Tabla1[[#This Row],[Aplicación]],14,6)</f>
        <v>213</v>
      </c>
    </row>
    <row r="3364" spans="1:24" x14ac:dyDescent="0.25">
      <c r="A3364" s="63">
        <v>220230028502</v>
      </c>
      <c r="B3364" s="44" t="s">
        <v>1514</v>
      </c>
      <c r="C3364" s="64">
        <v>45084</v>
      </c>
      <c r="D3364" s="62">
        <v>22023001467</v>
      </c>
      <c r="E3364" s="44" t="s">
        <v>1512</v>
      </c>
      <c r="F3364" s="65">
        <v>534.20000000000005</v>
      </c>
      <c r="G3364" s="44" t="s">
        <v>1979</v>
      </c>
      <c r="H3364" s="44" t="s">
        <v>5072</v>
      </c>
      <c r="I3364" s="62" t="s">
        <v>1517</v>
      </c>
      <c r="J3364" s="44" t="s">
        <v>519</v>
      </c>
      <c r="K3364" s="44" t="s">
        <v>519</v>
      </c>
      <c r="L3364" s="44" t="s">
        <v>552</v>
      </c>
      <c r="M3364" s="44" t="s">
        <v>514</v>
      </c>
      <c r="N3364" s="44" t="s">
        <v>515</v>
      </c>
      <c r="O3364" s="45" t="s">
        <v>382</v>
      </c>
      <c r="P3364" s="45" t="s">
        <v>3760</v>
      </c>
      <c r="Q3364" s="59" t="str">
        <f>MID(Tabla1[[#This Row],[Aplicación]],14,1)</f>
        <v>2</v>
      </c>
      <c r="R3364" s="35" t="s">
        <v>298</v>
      </c>
      <c r="S3364" s="59" t="str">
        <f>MID(Tabla1[[#This Row],[Aplicación]],6,2)</f>
        <v>10</v>
      </c>
      <c r="T3364" s="35" t="str">
        <f>VLOOKUP(Tabla1[[#This Row],[AREA]],Hoja1!A:B,2,FALSE)</f>
        <v>10. Servicios sociales y mediación comunitaria</v>
      </c>
      <c r="U3364" s="56" t="str">
        <f>MID(Tabla1[[#This Row],[Aplicación]],9,4)</f>
        <v>2312</v>
      </c>
      <c r="V3364" s="35" t="str">
        <f>VLOOKUP(Tabla1[[#This Row],[PROGRAMA]],Hoja1!A:B,2,FALSE)</f>
        <v>2312. Iniciativas sociales</v>
      </c>
      <c r="W3364" s="56" t="str">
        <f>MID(Tabla1[[#This Row],[Aplicación]],14,2)</f>
        <v>21</v>
      </c>
      <c r="X3364" s="56" t="str">
        <f>MID(Tabla1[[#This Row],[Aplicación]],14,6)</f>
        <v>212</v>
      </c>
    </row>
    <row r="3365" spans="1:24" x14ac:dyDescent="0.25">
      <c r="A3365" s="63">
        <v>220230028502</v>
      </c>
      <c r="B3365" s="44" t="s">
        <v>1514</v>
      </c>
      <c r="C3365" s="64">
        <v>45084</v>
      </c>
      <c r="D3365" s="62">
        <v>22023001468</v>
      </c>
      <c r="E3365" s="44" t="s">
        <v>1512</v>
      </c>
      <c r="F3365" s="65">
        <v>62.22</v>
      </c>
      <c r="G3365" s="44" t="s">
        <v>1979</v>
      </c>
      <c r="H3365" s="44" t="s">
        <v>5072</v>
      </c>
      <c r="I3365" s="62" t="s">
        <v>1517</v>
      </c>
      <c r="J3365" s="44" t="s">
        <v>519</v>
      </c>
      <c r="K3365" s="44" t="s">
        <v>519</v>
      </c>
      <c r="L3365" s="44" t="s">
        <v>552</v>
      </c>
      <c r="M3365" s="44" t="s">
        <v>514</v>
      </c>
      <c r="N3365" s="44" t="s">
        <v>515</v>
      </c>
      <c r="O3365" s="45" t="s">
        <v>382</v>
      </c>
      <c r="P3365" s="45" t="s">
        <v>3760</v>
      </c>
      <c r="Q3365" s="59" t="str">
        <f>MID(Tabla1[[#This Row],[Aplicación]],14,1)</f>
        <v>2</v>
      </c>
      <c r="R3365" s="35" t="s">
        <v>298</v>
      </c>
      <c r="S3365" s="59" t="str">
        <f>MID(Tabla1[[#This Row],[Aplicación]],6,2)</f>
        <v>10</v>
      </c>
      <c r="T3365" s="35" t="str">
        <f>VLOOKUP(Tabla1[[#This Row],[AREA]],Hoja1!A:B,2,FALSE)</f>
        <v>10. Servicios sociales y mediación comunitaria</v>
      </c>
      <c r="U3365" s="56" t="str">
        <f>MID(Tabla1[[#This Row],[Aplicación]],9,4)</f>
        <v>2312</v>
      </c>
      <c r="V3365" s="35" t="str">
        <f>VLOOKUP(Tabla1[[#This Row],[PROGRAMA]],Hoja1!A:B,2,FALSE)</f>
        <v>2312. Iniciativas sociales</v>
      </c>
      <c r="W3365" s="56" t="str">
        <f>MID(Tabla1[[#This Row],[Aplicación]],14,2)</f>
        <v>21</v>
      </c>
      <c r="X3365" s="56" t="str">
        <f>MID(Tabla1[[#This Row],[Aplicación]],14,6)</f>
        <v>212</v>
      </c>
    </row>
    <row r="3366" spans="1:24" x14ac:dyDescent="0.25">
      <c r="A3366" s="63">
        <v>220230028580</v>
      </c>
      <c r="B3366" s="44" t="s">
        <v>1514</v>
      </c>
      <c r="C3366" s="64">
        <v>45084</v>
      </c>
      <c r="D3366" s="62">
        <v>22023001466</v>
      </c>
      <c r="E3366" s="44" t="s">
        <v>2624</v>
      </c>
      <c r="F3366" s="65">
        <v>33.08</v>
      </c>
      <c r="G3366" s="44" t="s">
        <v>1979</v>
      </c>
      <c r="H3366" s="44" t="s">
        <v>5073</v>
      </c>
      <c r="I3366" s="62" t="s">
        <v>1517</v>
      </c>
      <c r="J3366" s="44" t="s">
        <v>519</v>
      </c>
      <c r="K3366" s="44" t="s">
        <v>519</v>
      </c>
      <c r="L3366" s="44" t="s">
        <v>552</v>
      </c>
      <c r="M3366" s="44" t="s">
        <v>514</v>
      </c>
      <c r="N3366" s="44" t="s">
        <v>515</v>
      </c>
      <c r="O3366" s="45" t="s">
        <v>382</v>
      </c>
      <c r="P3366" s="45" t="s">
        <v>3760</v>
      </c>
      <c r="Q3366" s="59" t="str">
        <f>MID(Tabla1[[#This Row],[Aplicación]],14,1)</f>
        <v>2</v>
      </c>
      <c r="R3366" s="35" t="s">
        <v>298</v>
      </c>
      <c r="S3366" s="59" t="str">
        <f>MID(Tabla1[[#This Row],[Aplicación]],6,2)</f>
        <v>11</v>
      </c>
      <c r="T3366" s="35" t="str">
        <f>VLOOKUP(Tabla1[[#This Row],[AREA]],Hoja1!A:B,2,FALSE)</f>
        <v>11. Salud pública y seguridad ciudadana</v>
      </c>
      <c r="U3366" s="56" t="str">
        <f>MID(Tabla1[[#This Row],[Aplicación]],9,4)</f>
        <v>1621</v>
      </c>
      <c r="V3366" s="35" t="str">
        <f>VLOOKUP(Tabla1[[#This Row],[PROGRAMA]],Hoja1!A:B,2,FALSE)</f>
        <v>1621. Servicio de limpieza</v>
      </c>
      <c r="W3366" s="56" t="str">
        <f>MID(Tabla1[[#This Row],[Aplicación]],14,2)</f>
        <v>22</v>
      </c>
      <c r="X3366" s="56" t="str">
        <f>MID(Tabla1[[#This Row],[Aplicación]],14,6)</f>
        <v>22199</v>
      </c>
    </row>
    <row r="3367" spans="1:24" x14ac:dyDescent="0.25">
      <c r="A3367" s="63">
        <v>220230028583</v>
      </c>
      <c r="B3367" s="44" t="s">
        <v>1514</v>
      </c>
      <c r="C3367" s="64">
        <v>45084</v>
      </c>
      <c r="D3367" s="62">
        <v>22023003827</v>
      </c>
      <c r="E3367" s="44" t="s">
        <v>1510</v>
      </c>
      <c r="F3367" s="65">
        <v>89.95</v>
      </c>
      <c r="G3367" s="44" t="s">
        <v>1979</v>
      </c>
      <c r="H3367" s="44" t="s">
        <v>5074</v>
      </c>
      <c r="I3367" s="62" t="s">
        <v>1517</v>
      </c>
      <c r="J3367" s="44" t="s">
        <v>519</v>
      </c>
      <c r="K3367" s="44" t="s">
        <v>519</v>
      </c>
      <c r="L3367" s="44" t="s">
        <v>552</v>
      </c>
      <c r="M3367" s="44" t="s">
        <v>514</v>
      </c>
      <c r="N3367" s="44" t="s">
        <v>515</v>
      </c>
      <c r="O3367" s="45" t="s">
        <v>382</v>
      </c>
      <c r="P3367" s="45" t="s">
        <v>3760</v>
      </c>
      <c r="Q3367" s="59" t="str">
        <f>MID(Tabla1[[#This Row],[Aplicación]],14,1)</f>
        <v>2</v>
      </c>
      <c r="R3367" s="35" t="s">
        <v>298</v>
      </c>
      <c r="S3367" s="59" t="str">
        <f>MID(Tabla1[[#This Row],[Aplicación]],6,2)</f>
        <v>10</v>
      </c>
      <c r="T3367" s="35" t="str">
        <f>VLOOKUP(Tabla1[[#This Row],[AREA]],Hoja1!A:B,2,FALSE)</f>
        <v>10. Servicios sociales y mediación comunitaria</v>
      </c>
      <c r="U3367" s="56" t="str">
        <f>MID(Tabla1[[#This Row],[Aplicación]],9,4)</f>
        <v>2311</v>
      </c>
      <c r="V3367" s="35" t="str">
        <f>VLOOKUP(Tabla1[[#This Row],[PROGRAMA]],Hoja1!A:B,2,FALSE)</f>
        <v>2311. Intervención social</v>
      </c>
      <c r="W3367" s="56" t="str">
        <f>MID(Tabla1[[#This Row],[Aplicación]],14,2)</f>
        <v>21</v>
      </c>
      <c r="X3367" s="56" t="str">
        <f>MID(Tabla1[[#This Row],[Aplicación]],14,6)</f>
        <v>212</v>
      </c>
    </row>
    <row r="3368" spans="1:24" x14ac:dyDescent="0.25">
      <c r="A3368" s="63">
        <v>220230029476</v>
      </c>
      <c r="B3368" s="44" t="s">
        <v>1514</v>
      </c>
      <c r="C3368" s="64">
        <v>45090</v>
      </c>
      <c r="D3368" s="62">
        <v>22023004207</v>
      </c>
      <c r="E3368" s="44" t="s">
        <v>2785</v>
      </c>
      <c r="F3368" s="65">
        <v>52.64</v>
      </c>
      <c r="G3368" s="44" t="s">
        <v>1979</v>
      </c>
      <c r="H3368" s="44" t="s">
        <v>5075</v>
      </c>
      <c r="I3368" s="62" t="s">
        <v>1517</v>
      </c>
      <c r="J3368" s="44" t="s">
        <v>519</v>
      </c>
      <c r="K3368" s="44" t="s">
        <v>519</v>
      </c>
      <c r="L3368" s="44" t="s">
        <v>552</v>
      </c>
      <c r="M3368" s="44" t="s">
        <v>514</v>
      </c>
      <c r="N3368" s="44" t="s">
        <v>515</v>
      </c>
      <c r="O3368" s="45" t="s">
        <v>382</v>
      </c>
      <c r="P3368" s="45" t="s">
        <v>3760</v>
      </c>
      <c r="Q3368" s="59" t="str">
        <f>MID(Tabla1[[#This Row],[Aplicación]],14,1)</f>
        <v>2</v>
      </c>
      <c r="R3368" s="35" t="s">
        <v>298</v>
      </c>
      <c r="S3368" s="59" t="str">
        <f>MID(Tabla1[[#This Row],[Aplicación]],6,2)</f>
        <v>06</v>
      </c>
      <c r="T3368" s="35" t="str">
        <f>VLOOKUP(Tabla1[[#This Row],[AREA]],Hoja1!A:B,2,FALSE)</f>
        <v>06. Educación, infancia, juventud e igualdad</v>
      </c>
      <c r="U3368" s="56" t="str">
        <f>MID(Tabla1[[#This Row],[Aplicación]],9,4)</f>
        <v>3321</v>
      </c>
      <c r="V3368" s="35" t="str">
        <f>VLOOKUP(Tabla1[[#This Row],[PROGRAMA]],Hoja1!A:B,2,FALSE)</f>
        <v>3321. Bibliotecas públicas</v>
      </c>
      <c r="W3368" s="56" t="str">
        <f>MID(Tabla1[[#This Row],[Aplicación]],14,2)</f>
        <v>21</v>
      </c>
      <c r="X3368" s="56" t="str">
        <f>MID(Tabla1[[#This Row],[Aplicación]],14,6)</f>
        <v>212</v>
      </c>
    </row>
    <row r="3369" spans="1:24" x14ac:dyDescent="0.25">
      <c r="A3369" s="63">
        <v>220230030128</v>
      </c>
      <c r="B3369" s="44" t="s">
        <v>1514</v>
      </c>
      <c r="C3369" s="64">
        <v>45093</v>
      </c>
      <c r="D3369" s="62">
        <v>22023004435</v>
      </c>
      <c r="E3369" s="44" t="s">
        <v>1551</v>
      </c>
      <c r="F3369" s="65">
        <v>66.19</v>
      </c>
      <c r="G3369" s="44" t="s">
        <v>1979</v>
      </c>
      <c r="H3369" s="44" t="s">
        <v>5076</v>
      </c>
      <c r="I3369" s="62" t="s">
        <v>1517</v>
      </c>
      <c r="J3369" s="44" t="s">
        <v>519</v>
      </c>
      <c r="K3369" s="44" t="s">
        <v>519</v>
      </c>
      <c r="L3369" s="44" t="s">
        <v>552</v>
      </c>
      <c r="M3369" s="44" t="s">
        <v>514</v>
      </c>
      <c r="N3369" s="44" t="s">
        <v>515</v>
      </c>
      <c r="O3369" s="45" t="s">
        <v>382</v>
      </c>
      <c r="P3369" s="45" t="s">
        <v>3760</v>
      </c>
      <c r="Q3369" s="59" t="str">
        <f>MID(Tabla1[[#This Row],[Aplicación]],14,1)</f>
        <v>2</v>
      </c>
      <c r="R3369" s="35" t="s">
        <v>298</v>
      </c>
      <c r="S3369" s="59" t="str">
        <f>MID(Tabla1[[#This Row],[Aplicación]],6,2)</f>
        <v>02</v>
      </c>
      <c r="T3369" s="35" t="str">
        <f>VLOOKUP(Tabla1[[#This Row],[AREA]],Hoja1!A:B,2,FALSE)</f>
        <v>02. Planeamiento urbanístico y vivienda</v>
      </c>
      <c r="U3369" s="56" t="str">
        <f>MID(Tabla1[[#This Row],[Aplicación]],9,4)</f>
        <v>9332</v>
      </c>
      <c r="V3369" s="35" t="str">
        <f>VLOOKUP(Tabla1[[#This Row],[PROGRAMA]],Hoja1!A:B,2,FALSE)</f>
        <v>9332. Mantenimiento de edificios e instalaciones municipales</v>
      </c>
      <c r="W3369" s="56" t="str">
        <f>MID(Tabla1[[#This Row],[Aplicación]],14,2)</f>
        <v>21</v>
      </c>
      <c r="X3369" s="56" t="str">
        <f>MID(Tabla1[[#This Row],[Aplicación]],14,6)</f>
        <v>212</v>
      </c>
    </row>
    <row r="3370" spans="1:24" x14ac:dyDescent="0.25">
      <c r="A3370" s="63">
        <v>220230032356</v>
      </c>
      <c r="B3370" s="44" t="s">
        <v>1514</v>
      </c>
      <c r="C3370" s="64">
        <v>45107</v>
      </c>
      <c r="D3370" s="62">
        <v>22023001467</v>
      </c>
      <c r="E3370" s="44" t="s">
        <v>1512</v>
      </c>
      <c r="F3370" s="65">
        <v>45.86</v>
      </c>
      <c r="G3370" s="44" t="s">
        <v>1979</v>
      </c>
      <c r="H3370" s="44" t="s">
        <v>5077</v>
      </c>
      <c r="I3370" s="62" t="s">
        <v>1517</v>
      </c>
      <c r="J3370" s="44" t="s">
        <v>519</v>
      </c>
      <c r="K3370" s="44" t="s">
        <v>519</v>
      </c>
      <c r="L3370" s="44" t="s">
        <v>552</v>
      </c>
      <c r="M3370" s="44" t="s">
        <v>514</v>
      </c>
      <c r="N3370" s="44" t="s">
        <v>515</v>
      </c>
      <c r="O3370" s="45" t="s">
        <v>382</v>
      </c>
      <c r="P3370" s="45" t="s">
        <v>3760</v>
      </c>
      <c r="Q3370" s="59" t="str">
        <f>MID(Tabla1[[#This Row],[Aplicación]],14,1)</f>
        <v>2</v>
      </c>
      <c r="R3370" s="35" t="s">
        <v>298</v>
      </c>
      <c r="S3370" s="59" t="str">
        <f>MID(Tabla1[[#This Row],[Aplicación]],6,2)</f>
        <v>10</v>
      </c>
      <c r="T3370" s="35" t="str">
        <f>VLOOKUP(Tabla1[[#This Row],[AREA]],Hoja1!A:B,2,FALSE)</f>
        <v>10. Servicios sociales y mediación comunitaria</v>
      </c>
      <c r="U3370" s="56" t="str">
        <f>MID(Tabla1[[#This Row],[Aplicación]],9,4)</f>
        <v>2312</v>
      </c>
      <c r="V3370" s="35" t="str">
        <f>VLOOKUP(Tabla1[[#This Row],[PROGRAMA]],Hoja1!A:B,2,FALSE)</f>
        <v>2312. Iniciativas sociales</v>
      </c>
      <c r="W3370" s="56" t="str">
        <f>MID(Tabla1[[#This Row],[Aplicación]],14,2)</f>
        <v>21</v>
      </c>
      <c r="X3370" s="56" t="str">
        <f>MID(Tabla1[[#This Row],[Aplicación]],14,6)</f>
        <v>212</v>
      </c>
    </row>
    <row r="3371" spans="1:24" x14ac:dyDescent="0.25">
      <c r="A3371" s="63">
        <v>220230032428</v>
      </c>
      <c r="B3371" s="44" t="s">
        <v>1514</v>
      </c>
      <c r="C3371" s="64">
        <v>45107</v>
      </c>
      <c r="D3371" s="62">
        <v>22023001514</v>
      </c>
      <c r="E3371" s="44" t="s">
        <v>1285</v>
      </c>
      <c r="F3371" s="65">
        <v>171.74</v>
      </c>
      <c r="G3371" s="44" t="s">
        <v>1979</v>
      </c>
      <c r="H3371" s="44" t="s">
        <v>5078</v>
      </c>
      <c r="I3371" s="62" t="s">
        <v>1517</v>
      </c>
      <c r="J3371" s="44" t="s">
        <v>519</v>
      </c>
      <c r="K3371" s="44" t="s">
        <v>519</v>
      </c>
      <c r="L3371" s="44" t="s">
        <v>552</v>
      </c>
      <c r="M3371" s="44" t="s">
        <v>514</v>
      </c>
      <c r="N3371" s="44" t="s">
        <v>515</v>
      </c>
      <c r="O3371" s="45" t="s">
        <v>382</v>
      </c>
      <c r="P3371" s="45" t="s">
        <v>3760</v>
      </c>
      <c r="Q3371" s="59" t="str">
        <f>MID(Tabla1[[#This Row],[Aplicación]],14,1)</f>
        <v>2</v>
      </c>
      <c r="R3371" s="35" t="s">
        <v>298</v>
      </c>
      <c r="S3371" s="59" t="str">
        <f>MID(Tabla1[[#This Row],[Aplicación]],6,2)</f>
        <v>11</v>
      </c>
      <c r="T3371" s="35" t="str">
        <f>VLOOKUP(Tabla1[[#This Row],[AREA]],Hoja1!A:B,2,FALSE)</f>
        <v>11. Salud pública y seguridad ciudadana</v>
      </c>
      <c r="U3371" s="56" t="str">
        <f>MID(Tabla1[[#This Row],[Aplicación]],9,4)</f>
        <v>1361</v>
      </c>
      <c r="V3371" s="35" t="str">
        <f>VLOOKUP(Tabla1[[#This Row],[PROGRAMA]],Hoja1!A:B,2,FALSE)</f>
        <v>1361. Prevención y extinción de incencios</v>
      </c>
      <c r="W3371" s="56" t="str">
        <f>MID(Tabla1[[#This Row],[Aplicación]],14,2)</f>
        <v>22</v>
      </c>
      <c r="X3371" s="56" t="str">
        <f>MID(Tabla1[[#This Row],[Aplicación]],14,6)</f>
        <v>22199</v>
      </c>
    </row>
    <row r="3372" spans="1:24" x14ac:dyDescent="0.25">
      <c r="A3372" s="63">
        <v>220230032430</v>
      </c>
      <c r="B3372" s="44" t="s">
        <v>1514</v>
      </c>
      <c r="C3372" s="64">
        <v>45107</v>
      </c>
      <c r="D3372" s="62">
        <v>22023000268</v>
      </c>
      <c r="E3372" s="44" t="s">
        <v>659</v>
      </c>
      <c r="F3372" s="65">
        <v>14.48</v>
      </c>
      <c r="G3372" s="44" t="s">
        <v>1979</v>
      </c>
      <c r="H3372" s="44" t="s">
        <v>5079</v>
      </c>
      <c r="I3372" s="62" t="s">
        <v>1517</v>
      </c>
      <c r="J3372" s="44" t="s">
        <v>519</v>
      </c>
      <c r="K3372" s="44" t="s">
        <v>519</v>
      </c>
      <c r="L3372" s="44" t="s">
        <v>552</v>
      </c>
      <c r="M3372" s="44" t="s">
        <v>514</v>
      </c>
      <c r="N3372" s="44" t="s">
        <v>515</v>
      </c>
      <c r="O3372" s="45" t="s">
        <v>382</v>
      </c>
      <c r="P3372" s="45" t="s">
        <v>3760</v>
      </c>
      <c r="Q3372" s="59" t="str">
        <f>MID(Tabla1[[#This Row],[Aplicación]],14,1)</f>
        <v>2</v>
      </c>
      <c r="R3372" s="35" t="s">
        <v>298</v>
      </c>
      <c r="S3372" s="59" t="str">
        <f>MID(Tabla1[[#This Row],[Aplicación]],6,2)</f>
        <v>11</v>
      </c>
      <c r="T3372" s="35" t="str">
        <f>VLOOKUP(Tabla1[[#This Row],[AREA]],Hoja1!A:B,2,FALSE)</f>
        <v>11. Salud pública y seguridad ciudadana</v>
      </c>
      <c r="U3372" s="56" t="str">
        <f>MID(Tabla1[[#This Row],[Aplicación]],9,4)</f>
        <v>1321</v>
      </c>
      <c r="V3372" s="35" t="str">
        <f>VLOOKUP(Tabla1[[#This Row],[PROGRAMA]],Hoja1!A:B,2,FALSE)</f>
        <v>1321. Policía municipal</v>
      </c>
      <c r="W3372" s="56" t="str">
        <f>MID(Tabla1[[#This Row],[Aplicación]],14,2)</f>
        <v>21</v>
      </c>
      <c r="X3372" s="56" t="str">
        <f>MID(Tabla1[[#This Row],[Aplicación]],14,6)</f>
        <v>213</v>
      </c>
    </row>
    <row r="3373" spans="1:24" x14ac:dyDescent="0.25">
      <c r="A3373" s="63">
        <v>220230031268</v>
      </c>
      <c r="B3373" s="44" t="s">
        <v>1514</v>
      </c>
      <c r="C3373" s="64">
        <v>45099</v>
      </c>
      <c r="D3373" s="62">
        <v>22023002306</v>
      </c>
      <c r="E3373" s="44" t="s">
        <v>693</v>
      </c>
      <c r="F3373" s="65">
        <v>1210</v>
      </c>
      <c r="G3373" s="44" t="s">
        <v>1851</v>
      </c>
      <c r="H3373" s="44" t="s">
        <v>5080</v>
      </c>
      <c r="I3373" s="62" t="s">
        <v>1517</v>
      </c>
      <c r="J3373" s="44" t="s">
        <v>1853</v>
      </c>
      <c r="K3373" s="44" t="s">
        <v>512</v>
      </c>
      <c r="L3373" s="44" t="s">
        <v>520</v>
      </c>
      <c r="M3373" s="44" t="s">
        <v>514</v>
      </c>
      <c r="N3373" s="44" t="s">
        <v>515</v>
      </c>
      <c r="O3373" s="45" t="s">
        <v>371</v>
      </c>
      <c r="P3373" s="45" t="s">
        <v>3760</v>
      </c>
      <c r="Q3373" s="59" t="str">
        <f>MID(Tabla1[[#This Row],[Aplicación]],14,1)</f>
        <v>2</v>
      </c>
      <c r="R3373" s="35" t="s">
        <v>298</v>
      </c>
      <c r="S3373" s="59" t="str">
        <f>MID(Tabla1[[#This Row],[Aplicación]],6,2)</f>
        <v>11</v>
      </c>
      <c r="T3373" s="35" t="str">
        <f>VLOOKUP(Tabla1[[#This Row],[AREA]],Hoja1!A:B,2,FALSE)</f>
        <v>11. Salud pública y seguridad ciudadana</v>
      </c>
      <c r="U3373" s="56" t="str">
        <f>MID(Tabla1[[#This Row],[Aplicación]],9,4)</f>
        <v>1361</v>
      </c>
      <c r="V3373" s="35" t="str">
        <f>VLOOKUP(Tabla1[[#This Row],[PROGRAMA]],Hoja1!A:B,2,FALSE)</f>
        <v>1361. Prevención y extinción de incencios</v>
      </c>
      <c r="W3373" s="56" t="str">
        <f>MID(Tabla1[[#This Row],[Aplicación]],14,2)</f>
        <v>21</v>
      </c>
      <c r="X3373" s="56" t="str">
        <f>MID(Tabla1[[#This Row],[Aplicación]],14,6)</f>
        <v>213</v>
      </c>
    </row>
    <row r="3374" spans="1:24" x14ac:dyDescent="0.25">
      <c r="A3374" s="63">
        <v>220230031248</v>
      </c>
      <c r="B3374" s="44" t="s">
        <v>507</v>
      </c>
      <c r="C3374" s="64">
        <v>45099</v>
      </c>
      <c r="D3374" s="62">
        <v>22023005036</v>
      </c>
      <c r="E3374" s="44" t="s">
        <v>1911</v>
      </c>
      <c r="F3374" s="65">
        <v>3842.98</v>
      </c>
      <c r="G3374" s="44" t="s">
        <v>117</v>
      </c>
      <c r="H3374" s="44" t="s">
        <v>5081</v>
      </c>
      <c r="I3374" s="62" t="s">
        <v>511</v>
      </c>
      <c r="J3374" s="44" t="s">
        <v>512</v>
      </c>
      <c r="K3374" s="44" t="s">
        <v>512</v>
      </c>
      <c r="L3374" s="44" t="s">
        <v>520</v>
      </c>
      <c r="M3374" s="44" t="s">
        <v>976</v>
      </c>
      <c r="N3374" s="44" t="s">
        <v>839</v>
      </c>
      <c r="O3374" s="45" t="s">
        <v>383</v>
      </c>
      <c r="P3374" s="45" t="s">
        <v>3760</v>
      </c>
      <c r="Q3374" s="59" t="str">
        <f>MID(Tabla1[[#This Row],[Aplicación]],14,1)</f>
        <v>2</v>
      </c>
      <c r="R3374" s="35" t="s">
        <v>298</v>
      </c>
      <c r="S3374" s="59" t="str">
        <f>MID(Tabla1[[#This Row],[Aplicación]],6,2)</f>
        <v>11</v>
      </c>
      <c r="T3374" s="35" t="str">
        <f>VLOOKUP(Tabla1[[#This Row],[AREA]],Hoja1!A:B,2,FALSE)</f>
        <v>11. Salud pública y seguridad ciudadana</v>
      </c>
      <c r="U3374" s="56" t="str">
        <f>MID(Tabla1[[#This Row],[Aplicación]],9,4)</f>
        <v>1621</v>
      </c>
      <c r="V3374" s="35" t="str">
        <f>VLOOKUP(Tabla1[[#This Row],[PROGRAMA]],Hoja1!A:B,2,FALSE)</f>
        <v>1621. Servicio de limpieza</v>
      </c>
      <c r="W3374" s="56" t="str">
        <f>MID(Tabla1[[#This Row],[Aplicación]],14,2)</f>
        <v>22</v>
      </c>
      <c r="X3374" s="56" t="str">
        <f>MID(Tabla1[[#This Row],[Aplicación]],14,6)</f>
        <v>22706</v>
      </c>
    </row>
    <row r="3375" spans="1:24" x14ac:dyDescent="0.25">
      <c r="A3375" s="63">
        <v>220230028642</v>
      </c>
      <c r="B3375" s="44" t="s">
        <v>507</v>
      </c>
      <c r="C3375" s="64">
        <v>45085</v>
      </c>
      <c r="D3375" s="62">
        <v>22023004882</v>
      </c>
      <c r="E3375" s="44" t="s">
        <v>1150</v>
      </c>
      <c r="F3375" s="65">
        <v>3680.09</v>
      </c>
      <c r="G3375" s="44" t="s">
        <v>1621</v>
      </c>
      <c r="H3375" s="44" t="s">
        <v>5082</v>
      </c>
      <c r="I3375" s="62" t="s">
        <v>511</v>
      </c>
      <c r="J3375" s="44" t="s">
        <v>1623</v>
      </c>
      <c r="K3375" s="44" t="s">
        <v>1624</v>
      </c>
      <c r="L3375" s="44" t="s">
        <v>552</v>
      </c>
      <c r="M3375" s="44" t="s">
        <v>976</v>
      </c>
      <c r="N3375" s="44" t="s">
        <v>839</v>
      </c>
      <c r="O3375" s="45" t="s">
        <v>383</v>
      </c>
      <c r="P3375" s="45" t="s">
        <v>3760</v>
      </c>
      <c r="Q3375" s="59" t="str">
        <f>MID(Tabla1[[#This Row],[Aplicación]],14,1)</f>
        <v>2</v>
      </c>
      <c r="R3375" s="35" t="s">
        <v>298</v>
      </c>
      <c r="S3375" s="59" t="str">
        <f>MID(Tabla1[[#This Row],[Aplicación]],6,2)</f>
        <v>03</v>
      </c>
      <c r="T3375" s="35" t="str">
        <f>VLOOKUP(Tabla1[[#This Row],[AREA]],Hoja1!A:B,2,FALSE)</f>
        <v>03. Participación ciudadana y deportes</v>
      </c>
      <c r="U3375" s="56" t="str">
        <f>MID(Tabla1[[#This Row],[Aplicación]],9,4)</f>
        <v>9241</v>
      </c>
      <c r="V3375" s="35" t="str">
        <f>VLOOKUP(Tabla1[[#This Row],[PROGRAMA]],Hoja1!A:B,2,FALSE)</f>
        <v>9241. Participación ciudadana</v>
      </c>
      <c r="W3375" s="56" t="str">
        <f>MID(Tabla1[[#This Row],[Aplicación]],14,2)</f>
        <v>21</v>
      </c>
      <c r="X3375" s="56" t="str">
        <f>MID(Tabla1[[#This Row],[Aplicación]],14,6)</f>
        <v>213</v>
      </c>
    </row>
    <row r="3376" spans="1:24" x14ac:dyDescent="0.25">
      <c r="A3376" s="63">
        <v>220230026817</v>
      </c>
      <c r="B3376" s="44" t="s">
        <v>507</v>
      </c>
      <c r="C3376" s="64">
        <v>45078</v>
      </c>
      <c r="D3376" s="62">
        <v>22023004749</v>
      </c>
      <c r="E3376" s="44" t="s">
        <v>1490</v>
      </c>
      <c r="F3376" s="65">
        <v>3630</v>
      </c>
      <c r="G3376" s="44" t="s">
        <v>773</v>
      </c>
      <c r="H3376" s="44" t="s">
        <v>5083</v>
      </c>
      <c r="I3376" s="62" t="s">
        <v>511</v>
      </c>
      <c r="J3376" s="44" t="s">
        <v>519</v>
      </c>
      <c r="K3376" s="44" t="s">
        <v>519</v>
      </c>
      <c r="L3376" s="44" t="s">
        <v>520</v>
      </c>
      <c r="M3376" s="44" t="s">
        <v>976</v>
      </c>
      <c r="N3376" s="44" t="s">
        <v>839</v>
      </c>
      <c r="O3376" s="45" t="s">
        <v>383</v>
      </c>
      <c r="P3376" s="45" t="s">
        <v>3760</v>
      </c>
      <c r="Q3376" s="59" t="str">
        <f>MID(Tabla1[[#This Row],[Aplicación]],14,1)</f>
        <v>2</v>
      </c>
      <c r="R3376" s="35" t="s">
        <v>298</v>
      </c>
      <c r="S3376" s="59" t="str">
        <f>MID(Tabla1[[#This Row],[Aplicación]],6,2)</f>
        <v>06</v>
      </c>
      <c r="T3376" s="35" t="str">
        <f>VLOOKUP(Tabla1[[#This Row],[AREA]],Hoja1!A:B,2,FALSE)</f>
        <v>06. Educación, infancia, juventud e igualdad</v>
      </c>
      <c r="U3376" s="56" t="str">
        <f>MID(Tabla1[[#This Row],[Aplicación]],9,4)</f>
        <v>2314</v>
      </c>
      <c r="V3376" s="35" t="str">
        <f>VLOOKUP(Tabla1[[#This Row],[PROGRAMA]],Hoja1!A:B,2,FALSE)</f>
        <v>2314. Centro de programas juveniles</v>
      </c>
      <c r="W3376" s="56" t="str">
        <f>MID(Tabla1[[#This Row],[Aplicación]],14,2)</f>
        <v>22</v>
      </c>
      <c r="X3376" s="56" t="str">
        <f>MID(Tabla1[[#This Row],[Aplicación]],14,6)</f>
        <v>22613</v>
      </c>
    </row>
    <row r="3377" spans="1:24" x14ac:dyDescent="0.25">
      <c r="A3377" s="63">
        <v>220230028641</v>
      </c>
      <c r="B3377" s="44" t="s">
        <v>507</v>
      </c>
      <c r="C3377" s="64">
        <v>45085</v>
      </c>
      <c r="D3377" s="62">
        <v>22023004854</v>
      </c>
      <c r="E3377" s="44" t="s">
        <v>1303</v>
      </c>
      <c r="F3377" s="65">
        <v>3630</v>
      </c>
      <c r="G3377" s="44" t="s">
        <v>5084</v>
      </c>
      <c r="H3377" s="44" t="s">
        <v>5085</v>
      </c>
      <c r="I3377" s="62" t="s">
        <v>511</v>
      </c>
      <c r="J3377" s="44" t="s">
        <v>512</v>
      </c>
      <c r="K3377" s="44" t="s">
        <v>512</v>
      </c>
      <c r="L3377" s="44" t="s">
        <v>520</v>
      </c>
      <c r="M3377" s="44" t="s">
        <v>976</v>
      </c>
      <c r="N3377" s="44" t="s">
        <v>839</v>
      </c>
      <c r="O3377" s="45" t="s">
        <v>383</v>
      </c>
      <c r="P3377" s="45" t="s">
        <v>3760</v>
      </c>
      <c r="Q3377" s="59" t="str">
        <f>MID(Tabla1[[#This Row],[Aplicación]],14,1)</f>
        <v>2</v>
      </c>
      <c r="R3377" s="35" t="s">
        <v>298</v>
      </c>
      <c r="S3377" s="59" t="str">
        <f>MID(Tabla1[[#This Row],[Aplicación]],6,2)</f>
        <v>11</v>
      </c>
      <c r="T3377" s="35" t="str">
        <f>VLOOKUP(Tabla1[[#This Row],[AREA]],Hoja1!A:B,2,FALSE)</f>
        <v>11. Salud pública y seguridad ciudadana</v>
      </c>
      <c r="U3377" s="56" t="str">
        <f>MID(Tabla1[[#This Row],[Aplicación]],9,4)</f>
        <v>1321</v>
      </c>
      <c r="V3377" s="35" t="str">
        <f>VLOOKUP(Tabla1[[#This Row],[PROGRAMA]],Hoja1!A:B,2,FALSE)</f>
        <v>1321. Policía municipal</v>
      </c>
      <c r="W3377" s="56" t="str">
        <f>MID(Tabla1[[#This Row],[Aplicación]],14,2)</f>
        <v>22</v>
      </c>
      <c r="X3377" s="56" t="str">
        <f>MID(Tabla1[[#This Row],[Aplicación]],14,6)</f>
        <v>22699</v>
      </c>
    </row>
    <row r="3378" spans="1:24" x14ac:dyDescent="0.25">
      <c r="A3378" s="63">
        <v>220230029769</v>
      </c>
      <c r="B3378" s="44" t="s">
        <v>507</v>
      </c>
      <c r="C3378" s="64">
        <v>45091</v>
      </c>
      <c r="D3378" s="62">
        <v>22023004850</v>
      </c>
      <c r="E3378" s="44" t="s">
        <v>3762</v>
      </c>
      <c r="F3378" s="65">
        <v>119.77</v>
      </c>
      <c r="G3378" s="44" t="s">
        <v>4306</v>
      </c>
      <c r="H3378" s="44" t="s">
        <v>5086</v>
      </c>
      <c r="I3378" s="62" t="s">
        <v>511</v>
      </c>
      <c r="J3378" s="44" t="s">
        <v>589</v>
      </c>
      <c r="K3378" s="44" t="s">
        <v>3453</v>
      </c>
      <c r="L3378" s="44" t="s">
        <v>552</v>
      </c>
      <c r="M3378" s="44" t="s">
        <v>976</v>
      </c>
      <c r="N3378" s="44" t="s">
        <v>839</v>
      </c>
      <c r="O3378" s="45" t="s">
        <v>383</v>
      </c>
      <c r="P3378" s="45" t="s">
        <v>3760</v>
      </c>
      <c r="Q3378" s="59" t="str">
        <f>MID(Tabla1[[#This Row],[Aplicación]],14,1)</f>
        <v>2</v>
      </c>
      <c r="R3378" s="35" t="s">
        <v>298</v>
      </c>
      <c r="S3378" s="59" t="str">
        <f>MID(Tabla1[[#This Row],[Aplicación]],6,2)</f>
        <v>08</v>
      </c>
      <c r="T3378" s="35" t="str">
        <f>VLOOKUP(Tabla1[[#This Row],[AREA]],Hoja1!A:B,2,FALSE)</f>
        <v>08. Movilidad y espacio urbano</v>
      </c>
      <c r="U3378" s="56" t="str">
        <f>MID(Tabla1[[#This Row],[Aplicación]],9,4)</f>
        <v>1651</v>
      </c>
      <c r="V3378" s="35" t="str">
        <f>VLOOKUP(Tabla1[[#This Row],[PROGRAMA]],Hoja1!A:B,2,FALSE)</f>
        <v>1651. Alumbrado público</v>
      </c>
      <c r="W3378" s="56" t="str">
        <f>MID(Tabla1[[#This Row],[Aplicación]],14,2)</f>
        <v>22</v>
      </c>
      <c r="X3378" s="56" t="str">
        <f>MID(Tabla1[[#This Row],[Aplicación]],14,6)</f>
        <v>22100</v>
      </c>
    </row>
    <row r="3379" spans="1:24" x14ac:dyDescent="0.25">
      <c r="A3379" s="63">
        <v>220230031270</v>
      </c>
      <c r="B3379" s="44" t="s">
        <v>1514</v>
      </c>
      <c r="C3379" s="64">
        <v>45099</v>
      </c>
      <c r="D3379" s="62">
        <v>22023002301</v>
      </c>
      <c r="E3379" s="44" t="s">
        <v>693</v>
      </c>
      <c r="F3379" s="65">
        <v>1210</v>
      </c>
      <c r="G3379" s="44" t="s">
        <v>2870</v>
      </c>
      <c r="H3379" s="44" t="s">
        <v>5087</v>
      </c>
      <c r="I3379" s="62" t="s">
        <v>1517</v>
      </c>
      <c r="J3379" s="44" t="s">
        <v>2872</v>
      </c>
      <c r="K3379" s="44" t="s">
        <v>771</v>
      </c>
      <c r="L3379" s="44" t="s">
        <v>520</v>
      </c>
      <c r="M3379" s="44" t="s">
        <v>514</v>
      </c>
      <c r="N3379" s="44" t="s">
        <v>515</v>
      </c>
      <c r="O3379" s="45" t="s">
        <v>371</v>
      </c>
      <c r="P3379" s="45" t="s">
        <v>3760</v>
      </c>
      <c r="Q3379" s="59" t="str">
        <f>MID(Tabla1[[#This Row],[Aplicación]],14,1)</f>
        <v>2</v>
      </c>
      <c r="R3379" s="35" t="s">
        <v>298</v>
      </c>
      <c r="S3379" s="59" t="str">
        <f>MID(Tabla1[[#This Row],[Aplicación]],6,2)</f>
        <v>11</v>
      </c>
      <c r="T3379" s="35" t="str">
        <f>VLOOKUP(Tabla1[[#This Row],[AREA]],Hoja1!A:B,2,FALSE)</f>
        <v>11. Salud pública y seguridad ciudadana</v>
      </c>
      <c r="U3379" s="56" t="str">
        <f>MID(Tabla1[[#This Row],[Aplicación]],9,4)</f>
        <v>1361</v>
      </c>
      <c r="V3379" s="35" t="str">
        <f>VLOOKUP(Tabla1[[#This Row],[PROGRAMA]],Hoja1!A:B,2,FALSE)</f>
        <v>1361. Prevención y extinción de incencios</v>
      </c>
      <c r="W3379" s="56" t="str">
        <f>MID(Tabla1[[#This Row],[Aplicación]],14,2)</f>
        <v>21</v>
      </c>
      <c r="X3379" s="56" t="str">
        <f>MID(Tabla1[[#This Row],[Aplicación]],14,6)</f>
        <v>213</v>
      </c>
    </row>
    <row r="3380" spans="1:24" x14ac:dyDescent="0.25">
      <c r="A3380" s="63">
        <v>220230031238</v>
      </c>
      <c r="B3380" s="44" t="s">
        <v>507</v>
      </c>
      <c r="C3380" s="64">
        <v>45099</v>
      </c>
      <c r="D3380" s="62">
        <v>22023004984</v>
      </c>
      <c r="E3380" s="44" t="s">
        <v>931</v>
      </c>
      <c r="F3380" s="65">
        <v>3194.4</v>
      </c>
      <c r="G3380" s="44" t="s">
        <v>53</v>
      </c>
      <c r="H3380" s="44" t="s">
        <v>5088</v>
      </c>
      <c r="I3380" s="62" t="s">
        <v>511</v>
      </c>
      <c r="J3380" s="44" t="s">
        <v>519</v>
      </c>
      <c r="K3380" s="44" t="s">
        <v>519</v>
      </c>
      <c r="L3380" s="44" t="s">
        <v>520</v>
      </c>
      <c r="M3380" s="44" t="s">
        <v>976</v>
      </c>
      <c r="N3380" s="44" t="s">
        <v>839</v>
      </c>
      <c r="O3380" s="45" t="s">
        <v>383</v>
      </c>
      <c r="P3380" s="45" t="s">
        <v>3760</v>
      </c>
      <c r="Q3380" s="59" t="str">
        <f>MID(Tabla1[[#This Row],[Aplicación]],14,1)</f>
        <v>2</v>
      </c>
      <c r="R3380" s="35" t="s">
        <v>298</v>
      </c>
      <c r="S3380" s="59" t="str">
        <f>MID(Tabla1[[#This Row],[Aplicación]],6,2)</f>
        <v>09</v>
      </c>
      <c r="T3380" s="35" t="str">
        <f>VLOOKUP(Tabla1[[#This Row],[AREA]],Hoja1!A:B,2,FALSE)</f>
        <v>09. Cultura y turismo</v>
      </c>
      <c r="U3380" s="56" t="str">
        <f>MID(Tabla1[[#This Row],[Aplicación]],9,4)</f>
        <v>3341</v>
      </c>
      <c r="V3380" s="35" t="str">
        <f>VLOOKUP(Tabla1[[#This Row],[PROGRAMA]],Hoja1!A:B,2,FALSE)</f>
        <v>3341. Coordinación de políticas culturales</v>
      </c>
      <c r="W3380" s="56" t="str">
        <f>MID(Tabla1[[#This Row],[Aplicación]],14,2)</f>
        <v>22</v>
      </c>
      <c r="X3380" s="56" t="str">
        <f>MID(Tabla1[[#This Row],[Aplicación]],14,6)</f>
        <v>22799</v>
      </c>
    </row>
    <row r="3381" spans="1:24" x14ac:dyDescent="0.25">
      <c r="A3381" s="62">
        <v>220230014343</v>
      </c>
      <c r="B3381" s="44" t="s">
        <v>507</v>
      </c>
      <c r="C3381" s="64">
        <v>45037</v>
      </c>
      <c r="D3381" s="62">
        <v>22023003012</v>
      </c>
      <c r="E3381" s="44" t="s">
        <v>1150</v>
      </c>
      <c r="F3381" s="65">
        <v>19509.96</v>
      </c>
      <c r="G3381" s="44" t="s">
        <v>20</v>
      </c>
      <c r="H3381" s="44" t="s">
        <v>5089</v>
      </c>
      <c r="I3381" s="62" t="s">
        <v>511</v>
      </c>
      <c r="J3381" s="44" t="s">
        <v>519</v>
      </c>
      <c r="K3381" s="44" t="s">
        <v>519</v>
      </c>
      <c r="L3381" s="44" t="s">
        <v>520</v>
      </c>
      <c r="M3381" s="44" t="s">
        <v>514</v>
      </c>
      <c r="N3381" s="44" t="s">
        <v>604</v>
      </c>
      <c r="O3381" s="45" t="s">
        <v>371</v>
      </c>
      <c r="P3381" s="45" t="s">
        <v>3760</v>
      </c>
      <c r="Q3381" s="59" t="str">
        <f>MID(Tabla1[[#This Row],[Aplicación]],14,1)</f>
        <v>2</v>
      </c>
      <c r="R3381" s="35" t="s">
        <v>298</v>
      </c>
      <c r="S3381" s="59" t="str">
        <f>MID(Tabla1[[#This Row],[Aplicación]],6,2)</f>
        <v>03</v>
      </c>
      <c r="T3381" s="35" t="str">
        <f>VLOOKUP(Tabla1[[#This Row],[AREA]],Hoja1!A:B,2,FALSE)</f>
        <v>03. Participación ciudadana y deportes</v>
      </c>
      <c r="U3381" s="56" t="str">
        <f>MID(Tabla1[[#This Row],[Aplicación]],9,4)</f>
        <v>9241</v>
      </c>
      <c r="V3381" s="35" t="str">
        <f>VLOOKUP(Tabla1[[#This Row],[PROGRAMA]],Hoja1!A:B,2,FALSE)</f>
        <v>9241. Participación ciudadana</v>
      </c>
      <c r="W3381" s="56" t="str">
        <f>MID(Tabla1[[#This Row],[Aplicación]],14,2)</f>
        <v>21</v>
      </c>
      <c r="X3381" s="56" t="str">
        <f>MID(Tabla1[[#This Row],[Aplicación]],14,6)</f>
        <v>213</v>
      </c>
    </row>
    <row r="3382" spans="1:24" x14ac:dyDescent="0.25">
      <c r="A3382" s="63">
        <v>220230026810</v>
      </c>
      <c r="B3382" s="44" t="s">
        <v>507</v>
      </c>
      <c r="C3382" s="64">
        <v>45078</v>
      </c>
      <c r="D3382" s="62">
        <v>22023004811</v>
      </c>
      <c r="E3382" s="44" t="s">
        <v>1506</v>
      </c>
      <c r="F3382" s="65">
        <v>3033.47</v>
      </c>
      <c r="G3382" s="44" t="s">
        <v>1631</v>
      </c>
      <c r="H3382" s="44" t="s">
        <v>5090</v>
      </c>
      <c r="I3382" s="62" t="s">
        <v>511</v>
      </c>
      <c r="J3382" s="44" t="s">
        <v>519</v>
      </c>
      <c r="K3382" s="44" t="s">
        <v>519</v>
      </c>
      <c r="L3382" s="44" t="s">
        <v>552</v>
      </c>
      <c r="M3382" s="44" t="s">
        <v>976</v>
      </c>
      <c r="N3382" s="44" t="s">
        <v>839</v>
      </c>
      <c r="O3382" s="45" t="s">
        <v>383</v>
      </c>
      <c r="P3382" s="45" t="s">
        <v>3760</v>
      </c>
      <c r="Q3382" s="59" t="str">
        <f>MID(Tabla1[[#This Row],[Aplicación]],14,1)</f>
        <v>2</v>
      </c>
      <c r="R3382" s="35" t="s">
        <v>298</v>
      </c>
      <c r="S3382" s="59" t="str">
        <f>MID(Tabla1[[#This Row],[Aplicación]],6,2)</f>
        <v>03</v>
      </c>
      <c r="T3382" s="35" t="str">
        <f>VLOOKUP(Tabla1[[#This Row],[AREA]],Hoja1!A:B,2,FALSE)</f>
        <v>03. Participación ciudadana y deportes</v>
      </c>
      <c r="U3382" s="56" t="str">
        <f>MID(Tabla1[[#This Row],[Aplicación]],9,4)</f>
        <v>9241</v>
      </c>
      <c r="V3382" s="35" t="str">
        <f>VLOOKUP(Tabla1[[#This Row],[PROGRAMA]],Hoja1!A:B,2,FALSE)</f>
        <v>9241. Participación ciudadana</v>
      </c>
      <c r="W3382" s="56" t="str">
        <f>MID(Tabla1[[#This Row],[Aplicación]],14,2)</f>
        <v>21</v>
      </c>
      <c r="X3382" s="56" t="str">
        <f>MID(Tabla1[[#This Row],[Aplicación]],14,6)</f>
        <v>212</v>
      </c>
    </row>
    <row r="3383" spans="1:24" x14ac:dyDescent="0.25">
      <c r="A3383" s="63">
        <v>220230026805</v>
      </c>
      <c r="B3383" s="44" t="s">
        <v>507</v>
      </c>
      <c r="C3383" s="64">
        <v>45078</v>
      </c>
      <c r="D3383" s="62">
        <v>22023004698</v>
      </c>
      <c r="E3383" s="44" t="s">
        <v>2693</v>
      </c>
      <c r="F3383" s="65">
        <v>3000</v>
      </c>
      <c r="G3383" s="44" t="s">
        <v>5091</v>
      </c>
      <c r="H3383" s="44" t="s">
        <v>5092</v>
      </c>
      <c r="I3383" s="62" t="s">
        <v>511</v>
      </c>
      <c r="J3383" s="44" t="s">
        <v>750</v>
      </c>
      <c r="K3383" s="44" t="s">
        <v>512</v>
      </c>
      <c r="L3383" s="44" t="s">
        <v>552</v>
      </c>
      <c r="M3383" s="44" t="s">
        <v>976</v>
      </c>
      <c r="N3383" s="44" t="s">
        <v>839</v>
      </c>
      <c r="O3383" s="45" t="s">
        <v>383</v>
      </c>
      <c r="P3383" s="45" t="s">
        <v>3760</v>
      </c>
      <c r="Q3383" s="59" t="str">
        <f>MID(Tabla1[[#This Row],[Aplicación]],14,1)</f>
        <v>2</v>
      </c>
      <c r="R3383" s="35" t="s">
        <v>298</v>
      </c>
      <c r="S3383" s="59" t="str">
        <f>MID(Tabla1[[#This Row],[Aplicación]],6,2)</f>
        <v>11</v>
      </c>
      <c r="T3383" s="35" t="str">
        <f>VLOOKUP(Tabla1[[#This Row],[AREA]],Hoja1!A:B,2,FALSE)</f>
        <v>11. Salud pública y seguridad ciudadana</v>
      </c>
      <c r="U3383" s="56" t="str">
        <f>MID(Tabla1[[#This Row],[Aplicación]],9,4)</f>
        <v>1631</v>
      </c>
      <c r="V3383" s="35" t="str">
        <f>VLOOKUP(Tabla1[[#This Row],[PROGRAMA]],Hoja1!A:B,2,FALSE)</f>
        <v>1631. Limpieza viaria</v>
      </c>
      <c r="W3383" s="56" t="str">
        <f>MID(Tabla1[[#This Row],[Aplicación]],14,2)</f>
        <v>22</v>
      </c>
      <c r="X3383" s="56" t="str">
        <f>MID(Tabla1[[#This Row],[Aplicación]],14,6)</f>
        <v>22110</v>
      </c>
    </row>
    <row r="3384" spans="1:24" x14ac:dyDescent="0.25">
      <c r="A3384" s="63">
        <v>220230031287</v>
      </c>
      <c r="B3384" s="44" t="s">
        <v>507</v>
      </c>
      <c r="C3384" s="64">
        <v>45100</v>
      </c>
      <c r="D3384" s="62">
        <v>22023005224</v>
      </c>
      <c r="E3384" s="44" t="s">
        <v>5093</v>
      </c>
      <c r="F3384" s="65">
        <v>3000</v>
      </c>
      <c r="G3384" s="44" t="s">
        <v>5094</v>
      </c>
      <c r="H3384" s="44" t="s">
        <v>5095</v>
      </c>
      <c r="I3384" s="62" t="s">
        <v>511</v>
      </c>
      <c r="J3384" s="44" t="s">
        <v>5096</v>
      </c>
      <c r="K3384" s="44" t="s">
        <v>3948</v>
      </c>
      <c r="L3384" s="44" t="s">
        <v>520</v>
      </c>
      <c r="M3384" s="44" t="s">
        <v>976</v>
      </c>
      <c r="N3384" s="44" t="s">
        <v>839</v>
      </c>
      <c r="O3384" s="45" t="s">
        <v>383</v>
      </c>
      <c r="P3384" s="45" t="s">
        <v>3760</v>
      </c>
      <c r="Q3384" s="59" t="str">
        <f>MID(Tabla1[[#This Row],[Aplicación]],14,1)</f>
        <v>6</v>
      </c>
      <c r="R3384" s="35" t="s">
        <v>299</v>
      </c>
      <c r="S3384" s="59" t="str">
        <f>MID(Tabla1[[#This Row],[Aplicación]],6,2)</f>
        <v>06</v>
      </c>
      <c r="T3384" s="35" t="str">
        <f>VLOOKUP(Tabla1[[#This Row],[AREA]],Hoja1!A:B,2,FALSE)</f>
        <v>06. Educación, infancia, juventud e igualdad</v>
      </c>
      <c r="U3384" s="56" t="str">
        <f>MID(Tabla1[[#This Row],[Aplicación]],9,4)</f>
        <v>2314</v>
      </c>
      <c r="V3384" s="35" t="str">
        <f>VLOOKUP(Tabla1[[#This Row],[PROGRAMA]],Hoja1!A:B,2,FALSE)</f>
        <v>2314. Centro de programas juveniles</v>
      </c>
      <c r="W3384" s="56" t="str">
        <f>MID(Tabla1[[#This Row],[Aplicación]],14,2)</f>
        <v>62</v>
      </c>
      <c r="X3384" s="56" t="str">
        <f>MID(Tabla1[[#This Row],[Aplicación]],14,6)</f>
        <v>623</v>
      </c>
    </row>
    <row r="3385" spans="1:24" x14ac:dyDescent="0.25">
      <c r="A3385" s="63">
        <v>220230031236</v>
      </c>
      <c r="B3385" s="44" t="s">
        <v>507</v>
      </c>
      <c r="C3385" s="64">
        <v>45099</v>
      </c>
      <c r="D3385" s="62">
        <v>22023005007</v>
      </c>
      <c r="E3385" s="44" t="s">
        <v>5097</v>
      </c>
      <c r="F3385" s="65">
        <v>2800</v>
      </c>
      <c r="G3385" s="44" t="s">
        <v>3157</v>
      </c>
      <c r="H3385" s="44" t="s">
        <v>5098</v>
      </c>
      <c r="I3385" s="62" t="s">
        <v>511</v>
      </c>
      <c r="J3385" s="44" t="s">
        <v>519</v>
      </c>
      <c r="K3385" s="44" t="s">
        <v>519</v>
      </c>
      <c r="L3385" s="44" t="s">
        <v>520</v>
      </c>
      <c r="M3385" s="44" t="s">
        <v>976</v>
      </c>
      <c r="N3385" s="44" t="s">
        <v>839</v>
      </c>
      <c r="O3385" s="45" t="s">
        <v>383</v>
      </c>
      <c r="P3385" s="45" t="s">
        <v>3760</v>
      </c>
      <c r="Q3385" s="59" t="str">
        <f>MID(Tabla1[[#This Row],[Aplicación]],14,1)</f>
        <v>6</v>
      </c>
      <c r="R3385" s="35" t="s">
        <v>299</v>
      </c>
      <c r="S3385" s="59" t="str">
        <f>MID(Tabla1[[#This Row],[Aplicación]],6,2)</f>
        <v>06</v>
      </c>
      <c r="T3385" s="35" t="str">
        <f>VLOOKUP(Tabla1[[#This Row],[AREA]],Hoja1!A:B,2,FALSE)</f>
        <v>06. Educación, infancia, juventud e igualdad</v>
      </c>
      <c r="U3385" s="56" t="str">
        <f>MID(Tabla1[[#This Row],[Aplicación]],9,4)</f>
        <v>3321</v>
      </c>
      <c r="V3385" s="35" t="str">
        <f>VLOOKUP(Tabla1[[#This Row],[PROGRAMA]],Hoja1!A:B,2,FALSE)</f>
        <v>3321. Bibliotecas públicas</v>
      </c>
      <c r="W3385" s="56" t="str">
        <f>MID(Tabla1[[#This Row],[Aplicación]],14,2)</f>
        <v>62</v>
      </c>
      <c r="X3385" s="56" t="str">
        <f>MID(Tabla1[[#This Row],[Aplicación]],14,6)</f>
        <v>623</v>
      </c>
    </row>
    <row r="3386" spans="1:24" x14ac:dyDescent="0.25">
      <c r="A3386" s="63">
        <v>220230028550</v>
      </c>
      <c r="B3386" s="44" t="s">
        <v>1514</v>
      </c>
      <c r="C3386" s="64">
        <v>45084</v>
      </c>
      <c r="D3386" s="62">
        <v>22023004185</v>
      </c>
      <c r="E3386" s="44" t="s">
        <v>5063</v>
      </c>
      <c r="F3386" s="65">
        <v>62.85</v>
      </c>
      <c r="G3386" s="44" t="s">
        <v>70</v>
      </c>
      <c r="H3386" s="44" t="s">
        <v>5099</v>
      </c>
      <c r="I3386" s="62" t="s">
        <v>1517</v>
      </c>
      <c r="J3386" s="44" t="s">
        <v>519</v>
      </c>
      <c r="K3386" s="44" t="s">
        <v>519</v>
      </c>
      <c r="L3386" s="44" t="s">
        <v>552</v>
      </c>
      <c r="M3386" s="44" t="s">
        <v>514</v>
      </c>
      <c r="N3386" s="44" t="s">
        <v>515</v>
      </c>
      <c r="O3386" s="45" t="s">
        <v>382</v>
      </c>
      <c r="P3386" s="45" t="s">
        <v>3760</v>
      </c>
      <c r="Q3386" s="59" t="str">
        <f>MID(Tabla1[[#This Row],[Aplicación]],14,1)</f>
        <v>2</v>
      </c>
      <c r="R3386" s="35" t="s">
        <v>298</v>
      </c>
      <c r="S3386" s="59" t="str">
        <f>MID(Tabla1[[#This Row],[Aplicación]],6,2)</f>
        <v>07</v>
      </c>
      <c r="T3386" s="35" t="str">
        <f>VLOOKUP(Tabla1[[#This Row],[AREA]],Hoja1!A:B,2,FALSE)</f>
        <v>07. Medio ambiente y desarrollo sostenible</v>
      </c>
      <c r="U3386" s="56" t="str">
        <f>MID(Tabla1[[#This Row],[Aplicación]],9,4)</f>
        <v>1711</v>
      </c>
      <c r="V3386" s="35" t="str">
        <f>VLOOKUP(Tabla1[[#This Row],[PROGRAMA]],Hoja1!A:B,2,FALSE)</f>
        <v>1711. Parques y jardines</v>
      </c>
      <c r="W3386" s="56" t="str">
        <f>MID(Tabla1[[#This Row],[Aplicación]],14,2)</f>
        <v>22</v>
      </c>
      <c r="X3386" s="56" t="str">
        <f>MID(Tabla1[[#This Row],[Aplicación]],14,6)</f>
        <v>22104</v>
      </c>
    </row>
    <row r="3387" spans="1:24" x14ac:dyDescent="0.25">
      <c r="A3387" s="63">
        <v>220230028199</v>
      </c>
      <c r="B3387" s="44" t="s">
        <v>1514</v>
      </c>
      <c r="C3387" s="64">
        <v>45084</v>
      </c>
      <c r="D3387" s="62">
        <v>22023001608</v>
      </c>
      <c r="E3387" s="44" t="s">
        <v>1728</v>
      </c>
      <c r="F3387" s="65">
        <v>4356.96</v>
      </c>
      <c r="G3387" s="44" t="s">
        <v>1985</v>
      </c>
      <c r="H3387" s="44" t="s">
        <v>5100</v>
      </c>
      <c r="I3387" s="62" t="s">
        <v>1517</v>
      </c>
      <c r="J3387" s="44" t="s">
        <v>519</v>
      </c>
      <c r="K3387" s="44" t="s">
        <v>519</v>
      </c>
      <c r="L3387" s="44" t="s">
        <v>520</v>
      </c>
      <c r="M3387" s="44" t="s">
        <v>514</v>
      </c>
      <c r="N3387" s="44" t="s">
        <v>515</v>
      </c>
      <c r="O3387" s="45" t="s">
        <v>382</v>
      </c>
      <c r="P3387" s="45" t="s">
        <v>3760</v>
      </c>
      <c r="Q3387" s="59" t="str">
        <f>MID(Tabla1[[#This Row],[Aplicación]],14,1)</f>
        <v>2</v>
      </c>
      <c r="R3387" s="35" t="s">
        <v>298</v>
      </c>
      <c r="S3387" s="59" t="str">
        <f>MID(Tabla1[[#This Row],[Aplicación]],6,2)</f>
        <v>08</v>
      </c>
      <c r="T3387" s="35" t="str">
        <f>VLOOKUP(Tabla1[[#This Row],[AREA]],Hoja1!A:B,2,FALSE)</f>
        <v>08. Movilidad y espacio urbano</v>
      </c>
      <c r="U3387" s="56" t="str">
        <f>MID(Tabla1[[#This Row],[Aplicación]],9,4)</f>
        <v>1532</v>
      </c>
      <c r="V3387" s="35" t="str">
        <f>VLOOKUP(Tabla1[[#This Row],[PROGRAMA]],Hoja1!A:B,2,FALSE)</f>
        <v>1532. Pavimentación vias públicas y otros servicios urbanísticos</v>
      </c>
      <c r="W3387" s="56" t="str">
        <f>MID(Tabla1[[#This Row],[Aplicación]],14,2)</f>
        <v>21</v>
      </c>
      <c r="X3387" s="56" t="str">
        <f>MID(Tabla1[[#This Row],[Aplicación]],14,6)</f>
        <v>214</v>
      </c>
    </row>
    <row r="3388" spans="1:24" x14ac:dyDescent="0.25">
      <c r="A3388" s="63">
        <v>220230028201</v>
      </c>
      <c r="B3388" s="44" t="s">
        <v>1514</v>
      </c>
      <c r="C3388" s="64">
        <v>45084</v>
      </c>
      <c r="D3388" s="62">
        <v>22023001608</v>
      </c>
      <c r="E3388" s="44" t="s">
        <v>1728</v>
      </c>
      <c r="F3388" s="65">
        <v>467.54</v>
      </c>
      <c r="G3388" s="44" t="s">
        <v>1985</v>
      </c>
      <c r="H3388" s="44" t="s">
        <v>5101</v>
      </c>
      <c r="I3388" s="62" t="s">
        <v>1517</v>
      </c>
      <c r="J3388" s="44" t="s">
        <v>519</v>
      </c>
      <c r="K3388" s="44" t="s">
        <v>519</v>
      </c>
      <c r="L3388" s="44" t="s">
        <v>520</v>
      </c>
      <c r="M3388" s="44" t="s">
        <v>514</v>
      </c>
      <c r="N3388" s="44" t="s">
        <v>515</v>
      </c>
      <c r="O3388" s="45" t="s">
        <v>382</v>
      </c>
      <c r="P3388" s="45" t="s">
        <v>3760</v>
      </c>
      <c r="Q3388" s="59" t="str">
        <f>MID(Tabla1[[#This Row],[Aplicación]],14,1)</f>
        <v>2</v>
      </c>
      <c r="R3388" s="35" t="s">
        <v>298</v>
      </c>
      <c r="S3388" s="59" t="str">
        <f>MID(Tabla1[[#This Row],[Aplicación]],6,2)</f>
        <v>08</v>
      </c>
      <c r="T3388" s="35" t="str">
        <f>VLOOKUP(Tabla1[[#This Row],[AREA]],Hoja1!A:B,2,FALSE)</f>
        <v>08. Movilidad y espacio urbano</v>
      </c>
      <c r="U3388" s="56" t="str">
        <f>MID(Tabla1[[#This Row],[Aplicación]],9,4)</f>
        <v>1532</v>
      </c>
      <c r="V3388" s="35" t="str">
        <f>VLOOKUP(Tabla1[[#This Row],[PROGRAMA]],Hoja1!A:B,2,FALSE)</f>
        <v>1532. Pavimentación vias públicas y otros servicios urbanísticos</v>
      </c>
      <c r="W3388" s="56" t="str">
        <f>MID(Tabla1[[#This Row],[Aplicación]],14,2)</f>
        <v>21</v>
      </c>
      <c r="X3388" s="56" t="str">
        <f>MID(Tabla1[[#This Row],[Aplicación]],14,6)</f>
        <v>214</v>
      </c>
    </row>
    <row r="3389" spans="1:24" x14ac:dyDescent="0.25">
      <c r="A3389" s="63">
        <v>220230028296</v>
      </c>
      <c r="B3389" s="44" t="s">
        <v>1514</v>
      </c>
      <c r="C3389" s="64">
        <v>45084</v>
      </c>
      <c r="D3389" s="62">
        <v>22023001459</v>
      </c>
      <c r="E3389" s="44" t="s">
        <v>1290</v>
      </c>
      <c r="F3389" s="65">
        <v>615.99</v>
      </c>
      <c r="G3389" s="44" t="s">
        <v>1985</v>
      </c>
      <c r="H3389" s="44" t="s">
        <v>5102</v>
      </c>
      <c r="I3389" s="62" t="s">
        <v>1517</v>
      </c>
      <c r="J3389" s="44" t="s">
        <v>519</v>
      </c>
      <c r="K3389" s="44" t="s">
        <v>519</v>
      </c>
      <c r="L3389" s="44" t="s">
        <v>520</v>
      </c>
      <c r="M3389" s="44" t="s">
        <v>514</v>
      </c>
      <c r="N3389" s="44" t="s">
        <v>515</v>
      </c>
      <c r="O3389" s="45" t="s">
        <v>382</v>
      </c>
      <c r="P3389" s="45" t="s">
        <v>3760</v>
      </c>
      <c r="Q3389" s="59" t="str">
        <f>MID(Tabla1[[#This Row],[Aplicación]],14,1)</f>
        <v>2</v>
      </c>
      <c r="R3389" s="35" t="s">
        <v>298</v>
      </c>
      <c r="S3389" s="59" t="str">
        <f>MID(Tabla1[[#This Row],[Aplicación]],6,2)</f>
        <v>11</v>
      </c>
      <c r="T3389" s="35" t="str">
        <f>VLOOKUP(Tabla1[[#This Row],[AREA]],Hoja1!A:B,2,FALSE)</f>
        <v>11. Salud pública y seguridad ciudadana</v>
      </c>
      <c r="U3389" s="56" t="str">
        <f>MID(Tabla1[[#This Row],[Aplicación]],9,4)</f>
        <v>1621</v>
      </c>
      <c r="V3389" s="35" t="str">
        <f>VLOOKUP(Tabla1[[#This Row],[PROGRAMA]],Hoja1!A:B,2,FALSE)</f>
        <v>1621. Servicio de limpieza</v>
      </c>
      <c r="W3389" s="56" t="str">
        <f>MID(Tabla1[[#This Row],[Aplicación]],14,2)</f>
        <v>21</v>
      </c>
      <c r="X3389" s="56" t="str">
        <f>MID(Tabla1[[#This Row],[Aplicación]],14,6)</f>
        <v>214</v>
      </c>
    </row>
    <row r="3390" spans="1:24" x14ac:dyDescent="0.25">
      <c r="A3390" s="63">
        <v>220230028611</v>
      </c>
      <c r="B3390" s="44" t="s">
        <v>1514</v>
      </c>
      <c r="C3390" s="64">
        <v>45084</v>
      </c>
      <c r="D3390" s="62">
        <v>22023000213</v>
      </c>
      <c r="E3390" s="44" t="s">
        <v>1694</v>
      </c>
      <c r="F3390" s="65">
        <v>811.15</v>
      </c>
      <c r="G3390" s="44" t="s">
        <v>1985</v>
      </c>
      <c r="H3390" s="44" t="s">
        <v>5103</v>
      </c>
      <c r="I3390" s="62" t="s">
        <v>1517</v>
      </c>
      <c r="J3390" s="44" t="s">
        <v>519</v>
      </c>
      <c r="K3390" s="44" t="s">
        <v>519</v>
      </c>
      <c r="L3390" s="44" t="s">
        <v>520</v>
      </c>
      <c r="M3390" s="44" t="s">
        <v>514</v>
      </c>
      <c r="N3390" s="44" t="s">
        <v>515</v>
      </c>
      <c r="O3390" s="45" t="s">
        <v>382</v>
      </c>
      <c r="P3390" s="45" t="s">
        <v>3760</v>
      </c>
      <c r="Q3390" s="59" t="str">
        <f>MID(Tabla1[[#This Row],[Aplicación]],14,1)</f>
        <v>2</v>
      </c>
      <c r="R3390" s="35" t="s">
        <v>298</v>
      </c>
      <c r="S3390" s="59" t="str">
        <f>MID(Tabla1[[#This Row],[Aplicación]],6,2)</f>
        <v>11</v>
      </c>
      <c r="T3390" s="35" t="str">
        <f>VLOOKUP(Tabla1[[#This Row],[AREA]],Hoja1!A:B,2,FALSE)</f>
        <v>11. Salud pública y seguridad ciudadana</v>
      </c>
      <c r="U3390" s="56" t="str">
        <f>MID(Tabla1[[#This Row],[Aplicación]],9,4)</f>
        <v>1321</v>
      </c>
      <c r="V3390" s="35" t="str">
        <f>VLOOKUP(Tabla1[[#This Row],[PROGRAMA]],Hoja1!A:B,2,FALSE)</f>
        <v>1321. Policía municipal</v>
      </c>
      <c r="W3390" s="56" t="str">
        <f>MID(Tabla1[[#This Row],[Aplicación]],14,2)</f>
        <v>21</v>
      </c>
      <c r="X3390" s="56" t="str">
        <f>MID(Tabla1[[#This Row],[Aplicación]],14,6)</f>
        <v>214</v>
      </c>
    </row>
    <row r="3391" spans="1:24" x14ac:dyDescent="0.25">
      <c r="A3391" s="63">
        <v>220230029449</v>
      </c>
      <c r="B3391" s="44" t="s">
        <v>1514</v>
      </c>
      <c r="C3391" s="64">
        <v>45090</v>
      </c>
      <c r="D3391" s="62">
        <v>22023001956</v>
      </c>
      <c r="E3391" s="44" t="s">
        <v>1982</v>
      </c>
      <c r="F3391" s="65">
        <v>35.79</v>
      </c>
      <c r="G3391" s="44" t="s">
        <v>1985</v>
      </c>
      <c r="H3391" s="44" t="s">
        <v>5104</v>
      </c>
      <c r="I3391" s="62" t="s">
        <v>1517</v>
      </c>
      <c r="J3391" s="44" t="s">
        <v>519</v>
      </c>
      <c r="K3391" s="44" t="s">
        <v>519</v>
      </c>
      <c r="L3391" s="44" t="s">
        <v>552</v>
      </c>
      <c r="M3391" s="44" t="s">
        <v>514</v>
      </c>
      <c r="N3391" s="44" t="s">
        <v>515</v>
      </c>
      <c r="O3391" s="45" t="s">
        <v>382</v>
      </c>
      <c r="P3391" s="45" t="s">
        <v>3760</v>
      </c>
      <c r="Q3391" s="59" t="str">
        <f>MID(Tabla1[[#This Row],[Aplicación]],14,1)</f>
        <v>2</v>
      </c>
      <c r="R3391" s="35" t="s">
        <v>298</v>
      </c>
      <c r="S3391" s="59" t="str">
        <f>MID(Tabla1[[#This Row],[Aplicación]],6,2)</f>
        <v>07</v>
      </c>
      <c r="T3391" s="35" t="str">
        <f>VLOOKUP(Tabla1[[#This Row],[AREA]],Hoja1!A:B,2,FALSE)</f>
        <v>07. Medio ambiente y desarrollo sostenible</v>
      </c>
      <c r="U3391" s="56" t="str">
        <f>MID(Tabla1[[#This Row],[Aplicación]],9,4)</f>
        <v>1711</v>
      </c>
      <c r="V3391" s="35" t="str">
        <f>VLOOKUP(Tabla1[[#This Row],[PROGRAMA]],Hoja1!A:B,2,FALSE)</f>
        <v>1711. Parques y jardines</v>
      </c>
      <c r="W3391" s="56" t="str">
        <f>MID(Tabla1[[#This Row],[Aplicación]],14,2)</f>
        <v>21</v>
      </c>
      <c r="X3391" s="56" t="str">
        <f>MID(Tabla1[[#This Row],[Aplicación]],14,6)</f>
        <v>214</v>
      </c>
    </row>
    <row r="3392" spans="1:24" x14ac:dyDescent="0.25">
      <c r="A3392" s="63">
        <v>220230029460</v>
      </c>
      <c r="B3392" s="44" t="s">
        <v>1514</v>
      </c>
      <c r="C3392" s="64">
        <v>45090</v>
      </c>
      <c r="D3392" s="62">
        <v>22023001956</v>
      </c>
      <c r="E3392" s="44" t="s">
        <v>1982</v>
      </c>
      <c r="F3392" s="65">
        <v>1165.75</v>
      </c>
      <c r="G3392" s="44" t="s">
        <v>1985</v>
      </c>
      <c r="H3392" s="44" t="s">
        <v>5105</v>
      </c>
      <c r="I3392" s="62" t="s">
        <v>1517</v>
      </c>
      <c r="J3392" s="44" t="s">
        <v>519</v>
      </c>
      <c r="K3392" s="44" t="s">
        <v>519</v>
      </c>
      <c r="L3392" s="44" t="s">
        <v>520</v>
      </c>
      <c r="M3392" s="44" t="s">
        <v>514</v>
      </c>
      <c r="N3392" s="44" t="s">
        <v>515</v>
      </c>
      <c r="O3392" s="45" t="s">
        <v>382</v>
      </c>
      <c r="P3392" s="45" t="s">
        <v>3760</v>
      </c>
      <c r="Q3392" s="59" t="str">
        <f>MID(Tabla1[[#This Row],[Aplicación]],14,1)</f>
        <v>2</v>
      </c>
      <c r="R3392" s="35" t="s">
        <v>298</v>
      </c>
      <c r="S3392" s="59" t="str">
        <f>MID(Tabla1[[#This Row],[Aplicación]],6,2)</f>
        <v>07</v>
      </c>
      <c r="T3392" s="35" t="str">
        <f>VLOOKUP(Tabla1[[#This Row],[AREA]],Hoja1!A:B,2,FALSE)</f>
        <v>07. Medio ambiente y desarrollo sostenible</v>
      </c>
      <c r="U3392" s="56" t="str">
        <f>MID(Tabla1[[#This Row],[Aplicación]],9,4)</f>
        <v>1711</v>
      </c>
      <c r="V3392" s="35" t="str">
        <f>VLOOKUP(Tabla1[[#This Row],[PROGRAMA]],Hoja1!A:B,2,FALSE)</f>
        <v>1711. Parques y jardines</v>
      </c>
      <c r="W3392" s="56" t="str">
        <f>MID(Tabla1[[#This Row],[Aplicación]],14,2)</f>
        <v>21</v>
      </c>
      <c r="X3392" s="56" t="str">
        <f>MID(Tabla1[[#This Row],[Aplicación]],14,6)</f>
        <v>214</v>
      </c>
    </row>
    <row r="3393" spans="1:24" x14ac:dyDescent="0.25">
      <c r="A3393" s="63">
        <v>220230032363</v>
      </c>
      <c r="B3393" s="44" t="s">
        <v>1514</v>
      </c>
      <c r="C3393" s="64">
        <v>45107</v>
      </c>
      <c r="D3393" s="62">
        <v>22023001459</v>
      </c>
      <c r="E3393" s="44" t="s">
        <v>1290</v>
      </c>
      <c r="F3393" s="65">
        <v>3736.49</v>
      </c>
      <c r="G3393" s="44" t="s">
        <v>1985</v>
      </c>
      <c r="H3393" s="44" t="s">
        <v>5106</v>
      </c>
      <c r="I3393" s="62" t="s">
        <v>1517</v>
      </c>
      <c r="J3393" s="44" t="s">
        <v>519</v>
      </c>
      <c r="K3393" s="44" t="s">
        <v>519</v>
      </c>
      <c r="L3393" s="44" t="s">
        <v>520</v>
      </c>
      <c r="M3393" s="44" t="s">
        <v>514</v>
      </c>
      <c r="N3393" s="44" t="s">
        <v>515</v>
      </c>
      <c r="O3393" s="45" t="s">
        <v>382</v>
      </c>
      <c r="P3393" s="45" t="s">
        <v>3760</v>
      </c>
      <c r="Q3393" s="59" t="str">
        <f>MID(Tabla1[[#This Row],[Aplicación]],14,1)</f>
        <v>2</v>
      </c>
      <c r="R3393" s="35" t="s">
        <v>298</v>
      </c>
      <c r="S3393" s="59" t="str">
        <f>MID(Tabla1[[#This Row],[Aplicación]],6,2)</f>
        <v>11</v>
      </c>
      <c r="T3393" s="35" t="str">
        <f>VLOOKUP(Tabla1[[#This Row],[AREA]],Hoja1!A:B,2,FALSE)</f>
        <v>11. Salud pública y seguridad ciudadana</v>
      </c>
      <c r="U3393" s="56" t="str">
        <f>MID(Tabla1[[#This Row],[Aplicación]],9,4)</f>
        <v>1621</v>
      </c>
      <c r="V3393" s="35" t="str">
        <f>VLOOKUP(Tabla1[[#This Row],[PROGRAMA]],Hoja1!A:B,2,FALSE)</f>
        <v>1621. Servicio de limpieza</v>
      </c>
      <c r="W3393" s="56" t="str">
        <f>MID(Tabla1[[#This Row],[Aplicación]],14,2)</f>
        <v>21</v>
      </c>
      <c r="X3393" s="56" t="str">
        <f>MID(Tabla1[[#This Row],[Aplicación]],14,6)</f>
        <v>214</v>
      </c>
    </row>
    <row r="3394" spans="1:24" x14ac:dyDescent="0.25">
      <c r="A3394" s="63">
        <v>220230032470</v>
      </c>
      <c r="B3394" s="44" t="s">
        <v>1514</v>
      </c>
      <c r="C3394" s="64">
        <v>45107</v>
      </c>
      <c r="D3394" s="62">
        <v>22023000263</v>
      </c>
      <c r="E3394" s="44" t="s">
        <v>3146</v>
      </c>
      <c r="F3394" s="65">
        <v>429.47</v>
      </c>
      <c r="G3394" s="44" t="s">
        <v>1985</v>
      </c>
      <c r="H3394" s="44" t="s">
        <v>5107</v>
      </c>
      <c r="I3394" s="62" t="s">
        <v>1517</v>
      </c>
      <c r="J3394" s="44" t="s">
        <v>519</v>
      </c>
      <c r="K3394" s="44" t="s">
        <v>519</v>
      </c>
      <c r="L3394" s="44" t="s">
        <v>552</v>
      </c>
      <c r="M3394" s="44" t="s">
        <v>514</v>
      </c>
      <c r="N3394" s="44" t="s">
        <v>515</v>
      </c>
      <c r="O3394" s="45" t="s">
        <v>382</v>
      </c>
      <c r="P3394" s="45" t="s">
        <v>3760</v>
      </c>
      <c r="Q3394" s="59" t="str">
        <f>MID(Tabla1[[#This Row],[Aplicación]],14,1)</f>
        <v>2</v>
      </c>
      <c r="R3394" s="35" t="s">
        <v>298</v>
      </c>
      <c r="S3394" s="59" t="str">
        <f>MID(Tabla1[[#This Row],[Aplicación]],6,2)</f>
        <v>02</v>
      </c>
      <c r="T3394" s="35" t="str">
        <f>VLOOKUP(Tabla1[[#This Row],[AREA]],Hoja1!A:B,2,FALSE)</f>
        <v>02. Planeamiento urbanístico y vivienda</v>
      </c>
      <c r="U3394" s="56" t="str">
        <f>MID(Tabla1[[#This Row],[Aplicación]],9,4)</f>
        <v>9332</v>
      </c>
      <c r="V3394" s="35" t="str">
        <f>VLOOKUP(Tabla1[[#This Row],[PROGRAMA]],Hoja1!A:B,2,FALSE)</f>
        <v>9332. Mantenimiento de edificios e instalaciones municipales</v>
      </c>
      <c r="W3394" s="56" t="str">
        <f>MID(Tabla1[[#This Row],[Aplicación]],14,2)</f>
        <v>21</v>
      </c>
      <c r="X3394" s="56" t="str">
        <f>MID(Tabla1[[#This Row],[Aplicación]],14,6)</f>
        <v>214</v>
      </c>
    </row>
    <row r="3395" spans="1:24" x14ac:dyDescent="0.25">
      <c r="A3395" s="63">
        <v>220230032498</v>
      </c>
      <c r="B3395" s="44" t="s">
        <v>1514</v>
      </c>
      <c r="C3395" s="64">
        <v>45107</v>
      </c>
      <c r="D3395" s="62">
        <v>22023000213</v>
      </c>
      <c r="E3395" s="44" t="s">
        <v>1694</v>
      </c>
      <c r="F3395" s="65">
        <v>25.88</v>
      </c>
      <c r="G3395" s="44" t="s">
        <v>1985</v>
      </c>
      <c r="H3395" s="44" t="s">
        <v>5108</v>
      </c>
      <c r="I3395" s="62" t="s">
        <v>1517</v>
      </c>
      <c r="J3395" s="44" t="s">
        <v>519</v>
      </c>
      <c r="K3395" s="44" t="s">
        <v>519</v>
      </c>
      <c r="L3395" s="44" t="s">
        <v>520</v>
      </c>
      <c r="M3395" s="44" t="s">
        <v>514</v>
      </c>
      <c r="N3395" s="44" t="s">
        <v>515</v>
      </c>
      <c r="O3395" s="45" t="s">
        <v>382</v>
      </c>
      <c r="P3395" s="45" t="s">
        <v>3760</v>
      </c>
      <c r="Q3395" s="59" t="str">
        <f>MID(Tabla1[[#This Row],[Aplicación]],14,1)</f>
        <v>2</v>
      </c>
      <c r="R3395" s="35" t="s">
        <v>298</v>
      </c>
      <c r="S3395" s="59" t="str">
        <f>MID(Tabla1[[#This Row],[Aplicación]],6,2)</f>
        <v>11</v>
      </c>
      <c r="T3395" s="35" t="str">
        <f>VLOOKUP(Tabla1[[#This Row],[AREA]],Hoja1!A:B,2,FALSE)</f>
        <v>11. Salud pública y seguridad ciudadana</v>
      </c>
      <c r="U3395" s="56" t="str">
        <f>MID(Tabla1[[#This Row],[Aplicación]],9,4)</f>
        <v>1321</v>
      </c>
      <c r="V3395" s="35" t="str">
        <f>VLOOKUP(Tabla1[[#This Row],[PROGRAMA]],Hoja1!A:B,2,FALSE)</f>
        <v>1321. Policía municipal</v>
      </c>
      <c r="W3395" s="56" t="str">
        <f>MID(Tabla1[[#This Row],[Aplicación]],14,2)</f>
        <v>21</v>
      </c>
      <c r="X3395" s="56" t="str">
        <f>MID(Tabla1[[#This Row],[Aplicación]],14,6)</f>
        <v>214</v>
      </c>
    </row>
    <row r="3396" spans="1:24" x14ac:dyDescent="0.25">
      <c r="A3396" s="63">
        <v>220230032529</v>
      </c>
      <c r="B3396" s="44" t="s">
        <v>1514</v>
      </c>
      <c r="C3396" s="64">
        <v>45107</v>
      </c>
      <c r="D3396" s="62">
        <v>22023001956</v>
      </c>
      <c r="E3396" s="44" t="s">
        <v>1982</v>
      </c>
      <c r="F3396" s="65">
        <v>48.32</v>
      </c>
      <c r="G3396" s="44" t="s">
        <v>1985</v>
      </c>
      <c r="H3396" s="44" t="s">
        <v>5109</v>
      </c>
      <c r="I3396" s="62" t="s">
        <v>1517</v>
      </c>
      <c r="J3396" s="44" t="s">
        <v>519</v>
      </c>
      <c r="K3396" s="44" t="s">
        <v>519</v>
      </c>
      <c r="L3396" s="44" t="s">
        <v>552</v>
      </c>
      <c r="M3396" s="44" t="s">
        <v>514</v>
      </c>
      <c r="N3396" s="44" t="s">
        <v>515</v>
      </c>
      <c r="O3396" s="45" t="s">
        <v>382</v>
      </c>
      <c r="P3396" s="45" t="s">
        <v>3760</v>
      </c>
      <c r="Q3396" s="59" t="str">
        <f>MID(Tabla1[[#This Row],[Aplicación]],14,1)</f>
        <v>2</v>
      </c>
      <c r="R3396" s="35" t="s">
        <v>298</v>
      </c>
      <c r="S3396" s="59" t="str">
        <f>MID(Tabla1[[#This Row],[Aplicación]],6,2)</f>
        <v>07</v>
      </c>
      <c r="T3396" s="35" t="str">
        <f>VLOOKUP(Tabla1[[#This Row],[AREA]],Hoja1!A:B,2,FALSE)</f>
        <v>07. Medio ambiente y desarrollo sostenible</v>
      </c>
      <c r="U3396" s="56" t="str">
        <f>MID(Tabla1[[#This Row],[Aplicación]],9,4)</f>
        <v>1711</v>
      </c>
      <c r="V3396" s="35" t="str">
        <f>VLOOKUP(Tabla1[[#This Row],[PROGRAMA]],Hoja1!A:B,2,FALSE)</f>
        <v>1711. Parques y jardines</v>
      </c>
      <c r="W3396" s="56" t="str">
        <f>MID(Tabla1[[#This Row],[Aplicación]],14,2)</f>
        <v>21</v>
      </c>
      <c r="X3396" s="56" t="str">
        <f>MID(Tabla1[[#This Row],[Aplicación]],14,6)</f>
        <v>214</v>
      </c>
    </row>
    <row r="3397" spans="1:24" x14ac:dyDescent="0.25">
      <c r="A3397" s="63">
        <v>220230030715</v>
      </c>
      <c r="B3397" s="44" t="s">
        <v>507</v>
      </c>
      <c r="C3397" s="64">
        <v>45097</v>
      </c>
      <c r="D3397" s="62">
        <v>22023004945</v>
      </c>
      <c r="E3397" s="44" t="s">
        <v>1551</v>
      </c>
      <c r="F3397" s="65">
        <v>2511.12</v>
      </c>
      <c r="G3397" s="44" t="s">
        <v>5110</v>
      </c>
      <c r="H3397" s="44" t="s">
        <v>5111</v>
      </c>
      <c r="I3397" s="62" t="s">
        <v>511</v>
      </c>
      <c r="J3397" s="44" t="s">
        <v>1049</v>
      </c>
      <c r="K3397" s="44" t="s">
        <v>519</v>
      </c>
      <c r="L3397" s="44" t="s">
        <v>520</v>
      </c>
      <c r="M3397" s="44" t="s">
        <v>976</v>
      </c>
      <c r="N3397" s="44" t="s">
        <v>839</v>
      </c>
      <c r="O3397" s="45" t="s">
        <v>383</v>
      </c>
      <c r="P3397" s="45" t="s">
        <v>3760</v>
      </c>
      <c r="Q3397" s="59" t="str">
        <f>MID(Tabla1[[#This Row],[Aplicación]],14,1)</f>
        <v>2</v>
      </c>
      <c r="R3397" s="35" t="s">
        <v>298</v>
      </c>
      <c r="S3397" s="59" t="str">
        <f>MID(Tabla1[[#This Row],[Aplicación]],6,2)</f>
        <v>02</v>
      </c>
      <c r="T3397" s="35" t="str">
        <f>VLOOKUP(Tabla1[[#This Row],[AREA]],Hoja1!A:B,2,FALSE)</f>
        <v>02. Planeamiento urbanístico y vivienda</v>
      </c>
      <c r="U3397" s="56" t="str">
        <f>MID(Tabla1[[#This Row],[Aplicación]],9,4)</f>
        <v>9332</v>
      </c>
      <c r="V3397" s="35" t="str">
        <f>VLOOKUP(Tabla1[[#This Row],[PROGRAMA]],Hoja1!A:B,2,FALSE)</f>
        <v>9332. Mantenimiento de edificios e instalaciones municipales</v>
      </c>
      <c r="W3397" s="56" t="str">
        <f>MID(Tabla1[[#This Row],[Aplicación]],14,2)</f>
        <v>21</v>
      </c>
      <c r="X3397" s="56" t="str">
        <f>MID(Tabla1[[#This Row],[Aplicación]],14,6)</f>
        <v>212</v>
      </c>
    </row>
    <row r="3398" spans="1:24" x14ac:dyDescent="0.25">
      <c r="A3398" s="63">
        <v>220230028561</v>
      </c>
      <c r="B3398" s="44" t="s">
        <v>1514</v>
      </c>
      <c r="C3398" s="64">
        <v>45084</v>
      </c>
      <c r="D3398" s="62">
        <v>22023004185</v>
      </c>
      <c r="E3398" s="44" t="s">
        <v>5063</v>
      </c>
      <c r="F3398" s="65">
        <v>453.75</v>
      </c>
      <c r="G3398" s="44" t="s">
        <v>70</v>
      </c>
      <c r="H3398" s="44" t="s">
        <v>5112</v>
      </c>
      <c r="I3398" s="62" t="s">
        <v>1517</v>
      </c>
      <c r="J3398" s="44" t="s">
        <v>519</v>
      </c>
      <c r="K3398" s="44" t="s">
        <v>519</v>
      </c>
      <c r="L3398" s="44" t="s">
        <v>552</v>
      </c>
      <c r="M3398" s="44" t="s">
        <v>514</v>
      </c>
      <c r="N3398" s="44" t="s">
        <v>515</v>
      </c>
      <c r="O3398" s="45" t="s">
        <v>382</v>
      </c>
      <c r="P3398" s="45" t="s">
        <v>3760</v>
      </c>
      <c r="Q3398" s="59" t="str">
        <f>MID(Tabla1[[#This Row],[Aplicación]],14,1)</f>
        <v>2</v>
      </c>
      <c r="R3398" s="35" t="s">
        <v>298</v>
      </c>
      <c r="S3398" s="59" t="str">
        <f>MID(Tabla1[[#This Row],[Aplicación]],6,2)</f>
        <v>07</v>
      </c>
      <c r="T3398" s="35" t="str">
        <f>VLOOKUP(Tabla1[[#This Row],[AREA]],Hoja1!A:B,2,FALSE)</f>
        <v>07. Medio ambiente y desarrollo sostenible</v>
      </c>
      <c r="U3398" s="56" t="str">
        <f>MID(Tabla1[[#This Row],[Aplicación]],9,4)</f>
        <v>1711</v>
      </c>
      <c r="V3398" s="35" t="str">
        <f>VLOOKUP(Tabla1[[#This Row],[PROGRAMA]],Hoja1!A:B,2,FALSE)</f>
        <v>1711. Parques y jardines</v>
      </c>
      <c r="W3398" s="56" t="str">
        <f>MID(Tabla1[[#This Row],[Aplicación]],14,2)</f>
        <v>22</v>
      </c>
      <c r="X3398" s="56" t="str">
        <f>MID(Tabla1[[#This Row],[Aplicación]],14,6)</f>
        <v>22104</v>
      </c>
    </row>
    <row r="3399" spans="1:24" x14ac:dyDescent="0.25">
      <c r="A3399" s="63">
        <v>220230029493</v>
      </c>
      <c r="B3399" s="44" t="s">
        <v>1514</v>
      </c>
      <c r="C3399" s="64">
        <v>45090</v>
      </c>
      <c r="D3399" s="62">
        <v>22023002139</v>
      </c>
      <c r="E3399" s="44" t="s">
        <v>2795</v>
      </c>
      <c r="F3399" s="65">
        <v>224.43</v>
      </c>
      <c r="G3399" s="44" t="s">
        <v>70</v>
      </c>
      <c r="H3399" s="44" t="s">
        <v>5113</v>
      </c>
      <c r="I3399" s="62" t="s">
        <v>1517</v>
      </c>
      <c r="J3399" s="44" t="s">
        <v>519</v>
      </c>
      <c r="K3399" s="44" t="s">
        <v>519</v>
      </c>
      <c r="L3399" s="44" t="s">
        <v>552</v>
      </c>
      <c r="M3399" s="44" t="s">
        <v>514</v>
      </c>
      <c r="N3399" s="44" t="s">
        <v>515</v>
      </c>
      <c r="O3399" s="45" t="s">
        <v>382</v>
      </c>
      <c r="P3399" s="45" t="s">
        <v>3760</v>
      </c>
      <c r="Q3399" s="59" t="str">
        <f>MID(Tabla1[[#This Row],[Aplicación]],14,1)</f>
        <v>2</v>
      </c>
      <c r="R3399" s="35" t="s">
        <v>298</v>
      </c>
      <c r="S3399" s="59" t="str">
        <f>MID(Tabla1[[#This Row],[Aplicación]],6,2)</f>
        <v>08</v>
      </c>
      <c r="T3399" s="35" t="str">
        <f>VLOOKUP(Tabla1[[#This Row],[AREA]],Hoja1!A:B,2,FALSE)</f>
        <v>08. Movilidad y espacio urbano</v>
      </c>
      <c r="U3399" s="56" t="str">
        <f>MID(Tabla1[[#This Row],[Aplicación]],9,4)</f>
        <v>1341</v>
      </c>
      <c r="V3399" s="35" t="str">
        <f>VLOOKUP(Tabla1[[#This Row],[PROGRAMA]],Hoja1!A:B,2,FALSE)</f>
        <v>1341. Movilidad</v>
      </c>
      <c r="W3399" s="56" t="str">
        <f>MID(Tabla1[[#This Row],[Aplicación]],14,2)</f>
        <v>22</v>
      </c>
      <c r="X3399" s="56" t="str">
        <f>MID(Tabla1[[#This Row],[Aplicación]],14,6)</f>
        <v>22699</v>
      </c>
    </row>
    <row r="3400" spans="1:24" x14ac:dyDescent="0.25">
      <c r="A3400" s="63">
        <v>220230032267</v>
      </c>
      <c r="B3400" s="44" t="s">
        <v>1514</v>
      </c>
      <c r="C3400" s="64">
        <v>45107</v>
      </c>
      <c r="D3400" s="62">
        <v>22023004185</v>
      </c>
      <c r="E3400" s="44" t="s">
        <v>5063</v>
      </c>
      <c r="F3400" s="65">
        <v>9665.48</v>
      </c>
      <c r="G3400" s="44" t="s">
        <v>70</v>
      </c>
      <c r="H3400" s="44" t="s">
        <v>5114</v>
      </c>
      <c r="I3400" s="62" t="s">
        <v>1517</v>
      </c>
      <c r="J3400" s="44" t="s">
        <v>519</v>
      </c>
      <c r="K3400" s="44" t="s">
        <v>519</v>
      </c>
      <c r="L3400" s="44" t="s">
        <v>552</v>
      </c>
      <c r="M3400" s="44" t="s">
        <v>514</v>
      </c>
      <c r="N3400" s="44" t="s">
        <v>515</v>
      </c>
      <c r="O3400" s="45" t="s">
        <v>382</v>
      </c>
      <c r="P3400" s="45" t="s">
        <v>3760</v>
      </c>
      <c r="Q3400" s="59" t="str">
        <f>MID(Tabla1[[#This Row],[Aplicación]],14,1)</f>
        <v>2</v>
      </c>
      <c r="R3400" s="35" t="s">
        <v>298</v>
      </c>
      <c r="S3400" s="59" t="str">
        <f>MID(Tabla1[[#This Row],[Aplicación]],6,2)</f>
        <v>07</v>
      </c>
      <c r="T3400" s="35" t="str">
        <f>VLOOKUP(Tabla1[[#This Row],[AREA]],Hoja1!A:B,2,FALSE)</f>
        <v>07. Medio ambiente y desarrollo sostenible</v>
      </c>
      <c r="U3400" s="56" t="str">
        <f>MID(Tabla1[[#This Row],[Aplicación]],9,4)</f>
        <v>1711</v>
      </c>
      <c r="V3400" s="35" t="str">
        <f>VLOOKUP(Tabla1[[#This Row],[PROGRAMA]],Hoja1!A:B,2,FALSE)</f>
        <v>1711. Parques y jardines</v>
      </c>
      <c r="W3400" s="56" t="str">
        <f>MID(Tabla1[[#This Row],[Aplicación]],14,2)</f>
        <v>22</v>
      </c>
      <c r="X3400" s="56" t="str">
        <f>MID(Tabla1[[#This Row],[Aplicación]],14,6)</f>
        <v>22104</v>
      </c>
    </row>
    <row r="3401" spans="1:24" x14ac:dyDescent="0.25">
      <c r="A3401" s="63">
        <v>220230032319</v>
      </c>
      <c r="B3401" s="44" t="s">
        <v>1514</v>
      </c>
      <c r="C3401" s="64">
        <v>45107</v>
      </c>
      <c r="D3401" s="62">
        <v>22023001578</v>
      </c>
      <c r="E3401" s="44" t="s">
        <v>2275</v>
      </c>
      <c r="F3401" s="65">
        <v>441.65</v>
      </c>
      <c r="G3401" s="44" t="s">
        <v>70</v>
      </c>
      <c r="H3401" s="44" t="s">
        <v>5115</v>
      </c>
      <c r="I3401" s="62" t="s">
        <v>1517</v>
      </c>
      <c r="J3401" s="44" t="s">
        <v>519</v>
      </c>
      <c r="K3401" s="44" t="s">
        <v>519</v>
      </c>
      <c r="L3401" s="44" t="s">
        <v>552</v>
      </c>
      <c r="M3401" s="44" t="s">
        <v>514</v>
      </c>
      <c r="N3401" s="44" t="s">
        <v>515</v>
      </c>
      <c r="O3401" s="45" t="s">
        <v>382</v>
      </c>
      <c r="P3401" s="45" t="s">
        <v>3760</v>
      </c>
      <c r="Q3401" s="59" t="str">
        <f>MID(Tabla1[[#This Row],[Aplicación]],14,1)</f>
        <v>2</v>
      </c>
      <c r="R3401" s="35" t="s">
        <v>298</v>
      </c>
      <c r="S3401" s="59" t="str">
        <f>MID(Tabla1[[#This Row],[Aplicación]],6,2)</f>
        <v>11</v>
      </c>
      <c r="T3401" s="35" t="str">
        <f>VLOOKUP(Tabla1[[#This Row],[AREA]],Hoja1!A:B,2,FALSE)</f>
        <v>11. Salud pública y seguridad ciudadana</v>
      </c>
      <c r="U3401" s="56" t="str">
        <f>MID(Tabla1[[#This Row],[Aplicación]],9,4)</f>
        <v>3111</v>
      </c>
      <c r="V3401" s="35" t="str">
        <f>VLOOKUP(Tabla1[[#This Row],[PROGRAMA]],Hoja1!A:B,2,FALSE)</f>
        <v>3111. Protección de la salubridad pública</v>
      </c>
      <c r="W3401" s="56" t="str">
        <f>MID(Tabla1[[#This Row],[Aplicación]],14,2)</f>
        <v>22</v>
      </c>
      <c r="X3401" s="56" t="str">
        <f>MID(Tabla1[[#This Row],[Aplicación]],14,6)</f>
        <v>22199</v>
      </c>
    </row>
    <row r="3402" spans="1:24" x14ac:dyDescent="0.25">
      <c r="A3402" s="63">
        <v>220230028380</v>
      </c>
      <c r="B3402" s="44" t="s">
        <v>1514</v>
      </c>
      <c r="C3402" s="64">
        <v>45084</v>
      </c>
      <c r="D3402" s="62">
        <v>22023004206</v>
      </c>
      <c r="E3402" s="44" t="s">
        <v>1305</v>
      </c>
      <c r="F3402" s="65">
        <v>119.18</v>
      </c>
      <c r="G3402" s="44" t="s">
        <v>48</v>
      </c>
      <c r="H3402" s="44" t="s">
        <v>5116</v>
      </c>
      <c r="I3402" s="62" t="s">
        <v>1517</v>
      </c>
      <c r="J3402" s="44" t="s">
        <v>519</v>
      </c>
      <c r="K3402" s="44" t="s">
        <v>519</v>
      </c>
      <c r="L3402" s="44" t="s">
        <v>552</v>
      </c>
      <c r="M3402" s="44" t="s">
        <v>514</v>
      </c>
      <c r="N3402" s="44" t="s">
        <v>515</v>
      </c>
      <c r="O3402" s="45" t="s">
        <v>382</v>
      </c>
      <c r="P3402" s="45" t="s">
        <v>3760</v>
      </c>
      <c r="Q3402" s="59" t="str">
        <f>MID(Tabla1[[#This Row],[Aplicación]],14,1)</f>
        <v>2</v>
      </c>
      <c r="R3402" s="35" t="s">
        <v>298</v>
      </c>
      <c r="S3402" s="59" t="str">
        <f>MID(Tabla1[[#This Row],[Aplicación]],6,2)</f>
        <v>06</v>
      </c>
      <c r="T3402" s="35" t="str">
        <f>VLOOKUP(Tabla1[[#This Row],[AREA]],Hoja1!A:B,2,FALSE)</f>
        <v>06. Educación, infancia, juventud e igualdad</v>
      </c>
      <c r="U3402" s="56" t="str">
        <f>MID(Tabla1[[#This Row],[Aplicación]],9,4)</f>
        <v>3232</v>
      </c>
      <c r="V3402" s="35" t="str">
        <f>VLOOKUP(Tabla1[[#This Row],[PROGRAMA]],Hoja1!A:B,2,FALSE)</f>
        <v>3232. Conservación y mantenimiento centros educación infantil y primaria</v>
      </c>
      <c r="W3402" s="56" t="str">
        <f>MID(Tabla1[[#This Row],[Aplicación]],14,2)</f>
        <v>21</v>
      </c>
      <c r="X3402" s="56" t="str">
        <f>MID(Tabla1[[#This Row],[Aplicación]],14,6)</f>
        <v>212</v>
      </c>
    </row>
    <row r="3403" spans="1:24" x14ac:dyDescent="0.25">
      <c r="A3403" s="62">
        <v>220230016016</v>
      </c>
      <c r="B3403" s="44" t="s">
        <v>507</v>
      </c>
      <c r="C3403" s="64">
        <v>45042</v>
      </c>
      <c r="D3403" s="62">
        <v>22023004122</v>
      </c>
      <c r="E3403" s="44" t="s">
        <v>1004</v>
      </c>
      <c r="F3403" s="65">
        <v>405.31</v>
      </c>
      <c r="G3403" s="44" t="s">
        <v>20</v>
      </c>
      <c r="H3403" s="44" t="s">
        <v>5117</v>
      </c>
      <c r="I3403" s="62" t="s">
        <v>511</v>
      </c>
      <c r="J3403" s="44" t="s">
        <v>519</v>
      </c>
      <c r="K3403" s="44" t="s">
        <v>519</v>
      </c>
      <c r="L3403" s="44" t="s">
        <v>520</v>
      </c>
      <c r="M3403" s="44" t="s">
        <v>976</v>
      </c>
      <c r="N3403" s="44" t="s">
        <v>839</v>
      </c>
      <c r="O3403" s="45" t="s">
        <v>383</v>
      </c>
      <c r="P3403" s="45" t="s">
        <v>3760</v>
      </c>
      <c r="Q3403" s="59" t="str">
        <f>MID(Tabla1[[#This Row],[Aplicación]],14,1)</f>
        <v>2</v>
      </c>
      <c r="R3403" s="35" t="s">
        <v>298</v>
      </c>
      <c r="S3403" s="59" t="str">
        <f>MID(Tabla1[[#This Row],[Aplicación]],6,2)</f>
        <v>08</v>
      </c>
      <c r="T3403" s="35" t="str">
        <f>VLOOKUP(Tabla1[[#This Row],[AREA]],Hoja1!A:B,2,FALSE)</f>
        <v>08. Movilidad y espacio urbano</v>
      </c>
      <c r="U3403" s="56" t="str">
        <f>MID(Tabla1[[#This Row],[Aplicación]],9,4)</f>
        <v>1651</v>
      </c>
      <c r="V3403" s="35" t="str">
        <f>VLOOKUP(Tabla1[[#This Row],[PROGRAMA]],Hoja1!A:B,2,FALSE)</f>
        <v>1651. Alumbrado público</v>
      </c>
      <c r="W3403" s="56" t="str">
        <f>MID(Tabla1[[#This Row],[Aplicación]],14,2)</f>
        <v>21</v>
      </c>
      <c r="X3403" s="56" t="str">
        <f>MID(Tabla1[[#This Row],[Aplicación]],14,6)</f>
        <v>213</v>
      </c>
    </row>
    <row r="3404" spans="1:24" x14ac:dyDescent="0.25">
      <c r="A3404" s="63">
        <v>220230031281</v>
      </c>
      <c r="B3404" s="44" t="s">
        <v>507</v>
      </c>
      <c r="C3404" s="64">
        <v>45100</v>
      </c>
      <c r="D3404" s="62">
        <v>22023004964</v>
      </c>
      <c r="E3404" s="44" t="s">
        <v>1191</v>
      </c>
      <c r="F3404" s="65">
        <v>2500</v>
      </c>
      <c r="G3404" s="44" t="s">
        <v>5118</v>
      </c>
      <c r="H3404" s="44" t="s">
        <v>5119</v>
      </c>
      <c r="I3404" s="62" t="s">
        <v>511</v>
      </c>
      <c r="J3404" s="44" t="s">
        <v>512</v>
      </c>
      <c r="K3404" s="44" t="s">
        <v>512</v>
      </c>
      <c r="L3404" s="44" t="s">
        <v>520</v>
      </c>
      <c r="M3404" s="44" t="s">
        <v>976</v>
      </c>
      <c r="N3404" s="44" t="s">
        <v>839</v>
      </c>
      <c r="O3404" s="45" t="s">
        <v>383</v>
      </c>
      <c r="P3404" s="45" t="s">
        <v>3760</v>
      </c>
      <c r="Q3404" s="59" t="str">
        <f>MID(Tabla1[[#This Row],[Aplicación]],14,1)</f>
        <v>2</v>
      </c>
      <c r="R3404" s="35" t="s">
        <v>298</v>
      </c>
      <c r="S3404" s="59" t="str">
        <f>MID(Tabla1[[#This Row],[Aplicación]],6,2)</f>
        <v>06</v>
      </c>
      <c r="T3404" s="35" t="str">
        <f>VLOOKUP(Tabla1[[#This Row],[AREA]],Hoja1!A:B,2,FALSE)</f>
        <v>06. Educación, infancia, juventud e igualdad</v>
      </c>
      <c r="U3404" s="56" t="str">
        <f>MID(Tabla1[[#This Row],[Aplicación]],9,4)</f>
        <v>2315</v>
      </c>
      <c r="V3404" s="35" t="str">
        <f>VLOOKUP(Tabla1[[#This Row],[PROGRAMA]],Hoja1!A:B,2,FALSE)</f>
        <v>2315. Políticas de Igualdad e infancia</v>
      </c>
      <c r="W3404" s="56" t="str">
        <f>MID(Tabla1[[#This Row],[Aplicación]],14,2)</f>
        <v>22</v>
      </c>
      <c r="X3404" s="56" t="str">
        <f>MID(Tabla1[[#This Row],[Aplicación]],14,6)</f>
        <v>22611</v>
      </c>
    </row>
    <row r="3405" spans="1:24" x14ac:dyDescent="0.25">
      <c r="A3405" s="63">
        <v>220230031292</v>
      </c>
      <c r="B3405" s="44" t="s">
        <v>507</v>
      </c>
      <c r="C3405" s="64">
        <v>45100</v>
      </c>
      <c r="D3405" s="62">
        <v>22023004966</v>
      </c>
      <c r="E3405" s="44" t="s">
        <v>1191</v>
      </c>
      <c r="F3405" s="65">
        <v>2500</v>
      </c>
      <c r="G3405" s="44" t="s">
        <v>5120</v>
      </c>
      <c r="H3405" s="44" t="s">
        <v>5121</v>
      </c>
      <c r="I3405" s="62" t="s">
        <v>511</v>
      </c>
      <c r="J3405" s="44" t="s">
        <v>512</v>
      </c>
      <c r="K3405" s="44" t="s">
        <v>512</v>
      </c>
      <c r="L3405" s="44" t="s">
        <v>520</v>
      </c>
      <c r="M3405" s="44" t="s">
        <v>976</v>
      </c>
      <c r="N3405" s="44" t="s">
        <v>839</v>
      </c>
      <c r="O3405" s="45" t="s">
        <v>383</v>
      </c>
      <c r="P3405" s="45" t="s">
        <v>3760</v>
      </c>
      <c r="Q3405" s="59" t="str">
        <f>MID(Tabla1[[#This Row],[Aplicación]],14,1)</f>
        <v>2</v>
      </c>
      <c r="R3405" s="35" t="s">
        <v>298</v>
      </c>
      <c r="S3405" s="59" t="str">
        <f>MID(Tabla1[[#This Row],[Aplicación]],6,2)</f>
        <v>06</v>
      </c>
      <c r="T3405" s="35" t="str">
        <f>VLOOKUP(Tabla1[[#This Row],[AREA]],Hoja1!A:B,2,FALSE)</f>
        <v>06. Educación, infancia, juventud e igualdad</v>
      </c>
      <c r="U3405" s="56" t="str">
        <f>MID(Tabla1[[#This Row],[Aplicación]],9,4)</f>
        <v>2315</v>
      </c>
      <c r="V3405" s="35" t="str">
        <f>VLOOKUP(Tabla1[[#This Row],[PROGRAMA]],Hoja1!A:B,2,FALSE)</f>
        <v>2315. Políticas de Igualdad e infancia</v>
      </c>
      <c r="W3405" s="56" t="str">
        <f>MID(Tabla1[[#This Row],[Aplicación]],14,2)</f>
        <v>22</v>
      </c>
      <c r="X3405" s="56" t="str">
        <f>MID(Tabla1[[#This Row],[Aplicación]],14,6)</f>
        <v>22611</v>
      </c>
    </row>
    <row r="3406" spans="1:24" x14ac:dyDescent="0.25">
      <c r="A3406" s="63">
        <v>220230030102</v>
      </c>
      <c r="B3406" s="44" t="s">
        <v>1514</v>
      </c>
      <c r="C3406" s="64">
        <v>45093</v>
      </c>
      <c r="D3406" s="62">
        <v>22023002161</v>
      </c>
      <c r="E3406" s="44" t="s">
        <v>2107</v>
      </c>
      <c r="F3406" s="65">
        <v>773.8</v>
      </c>
      <c r="G3406" s="44" t="s">
        <v>2108</v>
      </c>
      <c r="H3406" s="44" t="s">
        <v>5122</v>
      </c>
      <c r="I3406" s="62" t="s">
        <v>1517</v>
      </c>
      <c r="J3406" s="44" t="s">
        <v>519</v>
      </c>
      <c r="K3406" s="44" t="s">
        <v>519</v>
      </c>
      <c r="L3406" s="44" t="s">
        <v>520</v>
      </c>
      <c r="M3406" s="44" t="s">
        <v>514</v>
      </c>
      <c r="N3406" s="44" t="s">
        <v>515</v>
      </c>
      <c r="O3406" s="45" t="s">
        <v>382</v>
      </c>
      <c r="P3406" s="45" t="s">
        <v>3760</v>
      </c>
      <c r="Q3406" s="59" t="str">
        <f>MID(Tabla1[[#This Row],[Aplicación]],14,1)</f>
        <v>2</v>
      </c>
      <c r="R3406" s="35" t="s">
        <v>298</v>
      </c>
      <c r="S3406" s="59" t="str">
        <f>MID(Tabla1[[#This Row],[Aplicación]],6,2)</f>
        <v>07</v>
      </c>
      <c r="T3406" s="35" t="str">
        <f>VLOOKUP(Tabla1[[#This Row],[AREA]],Hoja1!A:B,2,FALSE)</f>
        <v>07. Medio ambiente y desarrollo sostenible</v>
      </c>
      <c r="U3406" s="56" t="str">
        <f>MID(Tabla1[[#This Row],[Aplicación]],9,4)</f>
        <v>1711</v>
      </c>
      <c r="V3406" s="35" t="str">
        <f>VLOOKUP(Tabla1[[#This Row],[PROGRAMA]],Hoja1!A:B,2,FALSE)</f>
        <v>1711. Parques y jardines</v>
      </c>
      <c r="W3406" s="56" t="str">
        <f>MID(Tabla1[[#This Row],[Aplicación]],14,2)</f>
        <v>21</v>
      </c>
      <c r="X3406" s="56" t="str">
        <f>MID(Tabla1[[#This Row],[Aplicación]],14,6)</f>
        <v>213</v>
      </c>
    </row>
    <row r="3407" spans="1:24" x14ac:dyDescent="0.25">
      <c r="A3407" s="63">
        <v>220230030122</v>
      </c>
      <c r="B3407" s="44" t="s">
        <v>1514</v>
      </c>
      <c r="C3407" s="64">
        <v>45093</v>
      </c>
      <c r="D3407" s="62">
        <v>22023002161</v>
      </c>
      <c r="E3407" s="44" t="s">
        <v>2107</v>
      </c>
      <c r="F3407" s="65">
        <v>4596.17</v>
      </c>
      <c r="G3407" s="44" t="s">
        <v>2108</v>
      </c>
      <c r="H3407" s="44" t="s">
        <v>5123</v>
      </c>
      <c r="I3407" s="62" t="s">
        <v>1517</v>
      </c>
      <c r="J3407" s="44" t="s">
        <v>519</v>
      </c>
      <c r="K3407" s="44" t="s">
        <v>519</v>
      </c>
      <c r="L3407" s="44" t="s">
        <v>520</v>
      </c>
      <c r="M3407" s="44" t="s">
        <v>514</v>
      </c>
      <c r="N3407" s="44" t="s">
        <v>515</v>
      </c>
      <c r="O3407" s="45" t="s">
        <v>382</v>
      </c>
      <c r="P3407" s="45" t="s">
        <v>3760</v>
      </c>
      <c r="Q3407" s="59" t="str">
        <f>MID(Tabla1[[#This Row],[Aplicación]],14,1)</f>
        <v>2</v>
      </c>
      <c r="R3407" s="35" t="s">
        <v>298</v>
      </c>
      <c r="S3407" s="59" t="str">
        <f>MID(Tabla1[[#This Row],[Aplicación]],6,2)</f>
        <v>07</v>
      </c>
      <c r="T3407" s="35" t="str">
        <f>VLOOKUP(Tabla1[[#This Row],[AREA]],Hoja1!A:B,2,FALSE)</f>
        <v>07. Medio ambiente y desarrollo sostenible</v>
      </c>
      <c r="U3407" s="56" t="str">
        <f>MID(Tabla1[[#This Row],[Aplicación]],9,4)</f>
        <v>1711</v>
      </c>
      <c r="V3407" s="35" t="str">
        <f>VLOOKUP(Tabla1[[#This Row],[PROGRAMA]],Hoja1!A:B,2,FALSE)</f>
        <v>1711. Parques y jardines</v>
      </c>
      <c r="W3407" s="56" t="str">
        <f>MID(Tabla1[[#This Row],[Aplicación]],14,2)</f>
        <v>21</v>
      </c>
      <c r="X3407" s="56" t="str">
        <f>MID(Tabla1[[#This Row],[Aplicación]],14,6)</f>
        <v>213</v>
      </c>
    </row>
    <row r="3408" spans="1:24" x14ac:dyDescent="0.25">
      <c r="A3408" s="63">
        <v>220230032448</v>
      </c>
      <c r="B3408" s="44" t="s">
        <v>1514</v>
      </c>
      <c r="C3408" s="64">
        <v>45107</v>
      </c>
      <c r="D3408" s="62">
        <v>22023002161</v>
      </c>
      <c r="E3408" s="44" t="s">
        <v>2107</v>
      </c>
      <c r="F3408" s="65">
        <v>1845.56</v>
      </c>
      <c r="G3408" s="44" t="s">
        <v>2108</v>
      </c>
      <c r="H3408" s="44" t="s">
        <v>5124</v>
      </c>
      <c r="I3408" s="62" t="s">
        <v>1517</v>
      </c>
      <c r="J3408" s="44" t="s">
        <v>519</v>
      </c>
      <c r="K3408" s="44" t="s">
        <v>519</v>
      </c>
      <c r="L3408" s="44" t="s">
        <v>520</v>
      </c>
      <c r="M3408" s="44" t="s">
        <v>514</v>
      </c>
      <c r="N3408" s="44" t="s">
        <v>515</v>
      </c>
      <c r="O3408" s="45" t="s">
        <v>382</v>
      </c>
      <c r="P3408" s="45" t="s">
        <v>3760</v>
      </c>
      <c r="Q3408" s="59" t="str">
        <f>MID(Tabla1[[#This Row],[Aplicación]],14,1)</f>
        <v>2</v>
      </c>
      <c r="R3408" s="35" t="s">
        <v>298</v>
      </c>
      <c r="S3408" s="59" t="str">
        <f>MID(Tabla1[[#This Row],[Aplicación]],6,2)</f>
        <v>07</v>
      </c>
      <c r="T3408" s="35" t="str">
        <f>VLOOKUP(Tabla1[[#This Row],[AREA]],Hoja1!A:B,2,FALSE)</f>
        <v>07. Medio ambiente y desarrollo sostenible</v>
      </c>
      <c r="U3408" s="56" t="str">
        <f>MID(Tabla1[[#This Row],[Aplicación]],9,4)</f>
        <v>1711</v>
      </c>
      <c r="V3408" s="35" t="str">
        <f>VLOOKUP(Tabla1[[#This Row],[PROGRAMA]],Hoja1!A:B,2,FALSE)</f>
        <v>1711. Parques y jardines</v>
      </c>
      <c r="W3408" s="56" t="str">
        <f>MID(Tabla1[[#This Row],[Aplicación]],14,2)</f>
        <v>21</v>
      </c>
      <c r="X3408" s="56" t="str">
        <f>MID(Tabla1[[#This Row],[Aplicación]],14,6)</f>
        <v>213</v>
      </c>
    </row>
    <row r="3409" spans="1:24" x14ac:dyDescent="0.25">
      <c r="A3409" s="63">
        <v>220230028382</v>
      </c>
      <c r="B3409" s="44" t="s">
        <v>1514</v>
      </c>
      <c r="C3409" s="64">
        <v>45084</v>
      </c>
      <c r="D3409" s="62">
        <v>22023004206</v>
      </c>
      <c r="E3409" s="44" t="s">
        <v>1305</v>
      </c>
      <c r="F3409" s="65">
        <v>62.86</v>
      </c>
      <c r="G3409" s="44" t="s">
        <v>48</v>
      </c>
      <c r="H3409" s="44" t="s">
        <v>5125</v>
      </c>
      <c r="I3409" s="62" t="s">
        <v>1517</v>
      </c>
      <c r="J3409" s="44" t="s">
        <v>519</v>
      </c>
      <c r="K3409" s="44" t="s">
        <v>519</v>
      </c>
      <c r="L3409" s="44" t="s">
        <v>552</v>
      </c>
      <c r="M3409" s="44" t="s">
        <v>514</v>
      </c>
      <c r="N3409" s="44" t="s">
        <v>515</v>
      </c>
      <c r="O3409" s="45" t="s">
        <v>382</v>
      </c>
      <c r="P3409" s="45" t="s">
        <v>3760</v>
      </c>
      <c r="Q3409" s="59" t="str">
        <f>MID(Tabla1[[#This Row],[Aplicación]],14,1)</f>
        <v>2</v>
      </c>
      <c r="R3409" s="35" t="s">
        <v>298</v>
      </c>
      <c r="S3409" s="59" t="str">
        <f>MID(Tabla1[[#This Row],[Aplicación]],6,2)</f>
        <v>06</v>
      </c>
      <c r="T3409" s="35" t="str">
        <f>VLOOKUP(Tabla1[[#This Row],[AREA]],Hoja1!A:B,2,FALSE)</f>
        <v>06. Educación, infancia, juventud e igualdad</v>
      </c>
      <c r="U3409" s="56" t="str">
        <f>MID(Tabla1[[#This Row],[Aplicación]],9,4)</f>
        <v>3232</v>
      </c>
      <c r="V3409" s="35" t="str">
        <f>VLOOKUP(Tabla1[[#This Row],[PROGRAMA]],Hoja1!A:B,2,FALSE)</f>
        <v>3232. Conservación y mantenimiento centros educación infantil y primaria</v>
      </c>
      <c r="W3409" s="56" t="str">
        <f>MID(Tabla1[[#This Row],[Aplicación]],14,2)</f>
        <v>21</v>
      </c>
      <c r="X3409" s="56" t="str">
        <f>MID(Tabla1[[#This Row],[Aplicación]],14,6)</f>
        <v>212</v>
      </c>
    </row>
    <row r="3410" spans="1:24" x14ac:dyDescent="0.25">
      <c r="A3410" s="63">
        <v>220230028424</v>
      </c>
      <c r="B3410" s="44" t="s">
        <v>1514</v>
      </c>
      <c r="C3410" s="64">
        <v>45084</v>
      </c>
      <c r="D3410" s="62">
        <v>22023004206</v>
      </c>
      <c r="E3410" s="44" t="s">
        <v>1305</v>
      </c>
      <c r="F3410" s="65">
        <v>40.08</v>
      </c>
      <c r="G3410" s="44" t="s">
        <v>48</v>
      </c>
      <c r="H3410" s="44" t="s">
        <v>5126</v>
      </c>
      <c r="I3410" s="62" t="s">
        <v>1517</v>
      </c>
      <c r="J3410" s="44" t="s">
        <v>519</v>
      </c>
      <c r="K3410" s="44" t="s">
        <v>519</v>
      </c>
      <c r="L3410" s="44" t="s">
        <v>552</v>
      </c>
      <c r="M3410" s="44" t="s">
        <v>514</v>
      </c>
      <c r="N3410" s="44" t="s">
        <v>515</v>
      </c>
      <c r="O3410" s="45" t="s">
        <v>382</v>
      </c>
      <c r="P3410" s="45" t="s">
        <v>3760</v>
      </c>
      <c r="Q3410" s="59" t="str">
        <f>MID(Tabla1[[#This Row],[Aplicación]],14,1)</f>
        <v>2</v>
      </c>
      <c r="R3410" s="35" t="s">
        <v>298</v>
      </c>
      <c r="S3410" s="59" t="str">
        <f>MID(Tabla1[[#This Row],[Aplicación]],6,2)</f>
        <v>06</v>
      </c>
      <c r="T3410" s="35" t="str">
        <f>VLOOKUP(Tabla1[[#This Row],[AREA]],Hoja1!A:B,2,FALSE)</f>
        <v>06. Educación, infancia, juventud e igualdad</v>
      </c>
      <c r="U3410" s="56" t="str">
        <f>MID(Tabla1[[#This Row],[Aplicación]],9,4)</f>
        <v>3232</v>
      </c>
      <c r="V3410" s="35" t="str">
        <f>VLOOKUP(Tabla1[[#This Row],[PROGRAMA]],Hoja1!A:B,2,FALSE)</f>
        <v>3232. Conservación y mantenimiento centros educación infantil y primaria</v>
      </c>
      <c r="W3410" s="56" t="str">
        <f>MID(Tabla1[[#This Row],[Aplicación]],14,2)</f>
        <v>21</v>
      </c>
      <c r="X3410" s="56" t="str">
        <f>MID(Tabla1[[#This Row],[Aplicación]],14,6)</f>
        <v>212</v>
      </c>
    </row>
    <row r="3411" spans="1:24" x14ac:dyDescent="0.25">
      <c r="A3411" s="63">
        <v>220230028426</v>
      </c>
      <c r="B3411" s="44" t="s">
        <v>1514</v>
      </c>
      <c r="C3411" s="64">
        <v>45084</v>
      </c>
      <c r="D3411" s="62">
        <v>22023004206</v>
      </c>
      <c r="E3411" s="44" t="s">
        <v>1305</v>
      </c>
      <c r="F3411" s="65">
        <v>136.26</v>
      </c>
      <c r="G3411" s="44" t="s">
        <v>48</v>
      </c>
      <c r="H3411" s="44" t="s">
        <v>5127</v>
      </c>
      <c r="I3411" s="62" t="s">
        <v>1517</v>
      </c>
      <c r="J3411" s="44" t="s">
        <v>519</v>
      </c>
      <c r="K3411" s="44" t="s">
        <v>519</v>
      </c>
      <c r="L3411" s="44" t="s">
        <v>552</v>
      </c>
      <c r="M3411" s="44" t="s">
        <v>514</v>
      </c>
      <c r="N3411" s="44" t="s">
        <v>515</v>
      </c>
      <c r="O3411" s="45" t="s">
        <v>382</v>
      </c>
      <c r="P3411" s="45" t="s">
        <v>3760</v>
      </c>
      <c r="Q3411" s="59" t="str">
        <f>MID(Tabla1[[#This Row],[Aplicación]],14,1)</f>
        <v>2</v>
      </c>
      <c r="R3411" s="35" t="s">
        <v>298</v>
      </c>
      <c r="S3411" s="59" t="str">
        <f>MID(Tabla1[[#This Row],[Aplicación]],6,2)</f>
        <v>06</v>
      </c>
      <c r="T3411" s="35" t="str">
        <f>VLOOKUP(Tabla1[[#This Row],[AREA]],Hoja1!A:B,2,FALSE)</f>
        <v>06. Educación, infancia, juventud e igualdad</v>
      </c>
      <c r="U3411" s="56" t="str">
        <f>MID(Tabla1[[#This Row],[Aplicación]],9,4)</f>
        <v>3232</v>
      </c>
      <c r="V3411" s="35" t="str">
        <f>VLOOKUP(Tabla1[[#This Row],[PROGRAMA]],Hoja1!A:B,2,FALSE)</f>
        <v>3232. Conservación y mantenimiento centros educación infantil y primaria</v>
      </c>
      <c r="W3411" s="56" t="str">
        <f>MID(Tabla1[[#This Row],[Aplicación]],14,2)</f>
        <v>21</v>
      </c>
      <c r="X3411" s="56" t="str">
        <f>MID(Tabla1[[#This Row],[Aplicación]],14,6)</f>
        <v>212</v>
      </c>
    </row>
    <row r="3412" spans="1:24" x14ac:dyDescent="0.25">
      <c r="A3412" s="63">
        <v>220230028557</v>
      </c>
      <c r="B3412" s="44" t="s">
        <v>1514</v>
      </c>
      <c r="C3412" s="64">
        <v>45084</v>
      </c>
      <c r="D3412" s="62">
        <v>22023001607</v>
      </c>
      <c r="E3412" s="44" t="s">
        <v>1603</v>
      </c>
      <c r="F3412" s="65">
        <v>5193.6099999999997</v>
      </c>
      <c r="G3412" s="44" t="s">
        <v>48</v>
      </c>
      <c r="H3412" s="44" t="s">
        <v>5128</v>
      </c>
      <c r="I3412" s="62" t="s">
        <v>1517</v>
      </c>
      <c r="J3412" s="44" t="s">
        <v>519</v>
      </c>
      <c r="K3412" s="44" t="s">
        <v>519</v>
      </c>
      <c r="L3412" s="44" t="s">
        <v>552</v>
      </c>
      <c r="M3412" s="44" t="s">
        <v>514</v>
      </c>
      <c r="N3412" s="44" t="s">
        <v>515</v>
      </c>
      <c r="O3412" s="45" t="s">
        <v>382</v>
      </c>
      <c r="P3412" s="45" t="s">
        <v>3760</v>
      </c>
      <c r="Q3412" s="59" t="str">
        <f>MID(Tabla1[[#This Row],[Aplicación]],14,1)</f>
        <v>2</v>
      </c>
      <c r="R3412" s="35" t="s">
        <v>298</v>
      </c>
      <c r="S3412" s="59" t="str">
        <f>MID(Tabla1[[#This Row],[Aplicación]],6,2)</f>
        <v>08</v>
      </c>
      <c r="T3412" s="35" t="str">
        <f>VLOOKUP(Tabla1[[#This Row],[AREA]],Hoja1!A:B,2,FALSE)</f>
        <v>08. Movilidad y espacio urbano</v>
      </c>
      <c r="U3412" s="56" t="str">
        <f>MID(Tabla1[[#This Row],[Aplicación]],9,4)</f>
        <v>1532</v>
      </c>
      <c r="V3412" s="35" t="str">
        <f>VLOOKUP(Tabla1[[#This Row],[PROGRAMA]],Hoja1!A:B,2,FALSE)</f>
        <v>1532. Pavimentación vias públicas y otros servicios urbanísticos</v>
      </c>
      <c r="W3412" s="56" t="str">
        <f>MID(Tabla1[[#This Row],[Aplicación]],14,2)</f>
        <v>21</v>
      </c>
      <c r="X3412" s="56" t="str">
        <f>MID(Tabla1[[#This Row],[Aplicación]],14,6)</f>
        <v>210</v>
      </c>
    </row>
    <row r="3413" spans="1:24" x14ac:dyDescent="0.25">
      <c r="A3413" s="63">
        <v>220230032519</v>
      </c>
      <c r="B3413" s="44" t="s">
        <v>1514</v>
      </c>
      <c r="C3413" s="64">
        <v>45107</v>
      </c>
      <c r="D3413" s="62">
        <v>22023004206</v>
      </c>
      <c r="E3413" s="44" t="s">
        <v>1305</v>
      </c>
      <c r="F3413" s="65">
        <v>62.82</v>
      </c>
      <c r="G3413" s="44" t="s">
        <v>48</v>
      </c>
      <c r="H3413" s="44" t="s">
        <v>5129</v>
      </c>
      <c r="I3413" s="62" t="s">
        <v>1517</v>
      </c>
      <c r="J3413" s="44" t="s">
        <v>519</v>
      </c>
      <c r="K3413" s="44" t="s">
        <v>519</v>
      </c>
      <c r="L3413" s="44" t="s">
        <v>552</v>
      </c>
      <c r="M3413" s="44" t="s">
        <v>514</v>
      </c>
      <c r="N3413" s="44" t="s">
        <v>515</v>
      </c>
      <c r="O3413" s="45" t="s">
        <v>382</v>
      </c>
      <c r="P3413" s="45" t="s">
        <v>3760</v>
      </c>
      <c r="Q3413" s="59" t="str">
        <f>MID(Tabla1[[#This Row],[Aplicación]],14,1)</f>
        <v>2</v>
      </c>
      <c r="R3413" s="35" t="s">
        <v>298</v>
      </c>
      <c r="S3413" s="59" t="str">
        <f>MID(Tabla1[[#This Row],[Aplicación]],6,2)</f>
        <v>06</v>
      </c>
      <c r="T3413" s="35" t="str">
        <f>VLOOKUP(Tabla1[[#This Row],[AREA]],Hoja1!A:B,2,FALSE)</f>
        <v>06. Educación, infancia, juventud e igualdad</v>
      </c>
      <c r="U3413" s="56" t="str">
        <f>MID(Tabla1[[#This Row],[Aplicación]],9,4)</f>
        <v>3232</v>
      </c>
      <c r="V3413" s="35" t="str">
        <f>VLOOKUP(Tabla1[[#This Row],[PROGRAMA]],Hoja1!A:B,2,FALSE)</f>
        <v>3232. Conservación y mantenimiento centros educación infantil y primaria</v>
      </c>
      <c r="W3413" s="56" t="str">
        <f>MID(Tabla1[[#This Row],[Aplicación]],14,2)</f>
        <v>21</v>
      </c>
      <c r="X3413" s="56" t="str">
        <f>MID(Tabla1[[#This Row],[Aplicación]],14,6)</f>
        <v>212</v>
      </c>
    </row>
    <row r="3414" spans="1:24" x14ac:dyDescent="0.25">
      <c r="A3414" s="63">
        <v>220230030697</v>
      </c>
      <c r="B3414" s="44" t="s">
        <v>507</v>
      </c>
      <c r="C3414" s="64">
        <v>45097</v>
      </c>
      <c r="D3414" s="62">
        <v>22023004903</v>
      </c>
      <c r="E3414" s="44" t="s">
        <v>4000</v>
      </c>
      <c r="F3414" s="65">
        <v>605</v>
      </c>
      <c r="G3414" s="44" t="s">
        <v>1764</v>
      </c>
      <c r="H3414" s="44" t="s">
        <v>5130</v>
      </c>
      <c r="I3414" s="62" t="s">
        <v>511</v>
      </c>
      <c r="J3414" s="44" t="s">
        <v>519</v>
      </c>
      <c r="K3414" s="44" t="s">
        <v>519</v>
      </c>
      <c r="L3414" s="44" t="s">
        <v>520</v>
      </c>
      <c r="M3414" s="44" t="s">
        <v>976</v>
      </c>
      <c r="N3414" s="44" t="s">
        <v>839</v>
      </c>
      <c r="O3414" s="45" t="s">
        <v>383</v>
      </c>
      <c r="P3414" s="45" t="s">
        <v>3760</v>
      </c>
      <c r="Q3414" s="59" t="str">
        <f>MID(Tabla1[[#This Row],[Aplicación]],14,1)</f>
        <v>2</v>
      </c>
      <c r="R3414" s="35" t="s">
        <v>298</v>
      </c>
      <c r="S3414" s="59" t="str">
        <f>MID(Tabla1[[#This Row],[Aplicación]],6,2)</f>
        <v>04</v>
      </c>
      <c r="T3414" s="35" t="str">
        <f>VLOOKUP(Tabla1[[#This Row],[AREA]],Hoja1!A:B,2,FALSE)</f>
        <v>04. Planificación y recursos</v>
      </c>
      <c r="U3414" s="56" t="str">
        <f>MID(Tabla1[[#This Row],[Aplicación]],9,4)</f>
        <v>9231</v>
      </c>
      <c r="V3414" s="35" t="str">
        <f>VLOOKUP(Tabla1[[#This Row],[PROGRAMA]],Hoja1!A:B,2,FALSE)</f>
        <v>9231. Información, registro y gestión del padrón</v>
      </c>
      <c r="W3414" s="56" t="str">
        <f>MID(Tabla1[[#This Row],[Aplicación]],14,2)</f>
        <v>22</v>
      </c>
      <c r="X3414" s="56" t="str">
        <f>MID(Tabla1[[#This Row],[Aplicación]],14,6)</f>
        <v>22705</v>
      </c>
    </row>
    <row r="3415" spans="1:24" x14ac:dyDescent="0.25">
      <c r="A3415" s="63">
        <v>220230028292</v>
      </c>
      <c r="B3415" s="44" t="s">
        <v>1514</v>
      </c>
      <c r="C3415" s="64">
        <v>45084</v>
      </c>
      <c r="D3415" s="62">
        <v>22023004200</v>
      </c>
      <c r="E3415" s="44" t="s">
        <v>1362</v>
      </c>
      <c r="F3415" s="65">
        <v>10.220000000000001</v>
      </c>
      <c r="G3415" s="44" t="s">
        <v>1372</v>
      </c>
      <c r="H3415" s="44" t="s">
        <v>5131</v>
      </c>
      <c r="I3415" s="62" t="s">
        <v>1517</v>
      </c>
      <c r="J3415" s="44" t="s">
        <v>519</v>
      </c>
      <c r="K3415" s="44" t="s">
        <v>519</v>
      </c>
      <c r="L3415" s="44" t="s">
        <v>552</v>
      </c>
      <c r="M3415" s="44" t="s">
        <v>514</v>
      </c>
      <c r="N3415" s="44" t="s">
        <v>515</v>
      </c>
      <c r="O3415" s="45" t="s">
        <v>382</v>
      </c>
      <c r="P3415" s="45" t="s">
        <v>3760</v>
      </c>
      <c r="Q3415" s="59" t="str">
        <f>MID(Tabla1[[#This Row],[Aplicación]],14,1)</f>
        <v>2</v>
      </c>
      <c r="R3415" s="35" t="s">
        <v>298</v>
      </c>
      <c r="S3415" s="59" t="str">
        <f>MID(Tabla1[[#This Row],[Aplicación]],6,2)</f>
        <v>09</v>
      </c>
      <c r="T3415" s="35" t="str">
        <f>VLOOKUP(Tabla1[[#This Row],[AREA]],Hoja1!A:B,2,FALSE)</f>
        <v>09. Cultura y turismo</v>
      </c>
      <c r="U3415" s="56" t="str">
        <f>MID(Tabla1[[#This Row],[Aplicación]],9,4)</f>
        <v>3341</v>
      </c>
      <c r="V3415" s="35" t="str">
        <f>VLOOKUP(Tabla1[[#This Row],[PROGRAMA]],Hoja1!A:B,2,FALSE)</f>
        <v>3341. Coordinación de políticas culturales</v>
      </c>
      <c r="W3415" s="56" t="str">
        <f>MID(Tabla1[[#This Row],[Aplicación]],14,2)</f>
        <v>21</v>
      </c>
      <c r="X3415" s="56" t="str">
        <f>MID(Tabla1[[#This Row],[Aplicación]],14,6)</f>
        <v>213</v>
      </c>
    </row>
    <row r="3416" spans="1:24" x14ac:dyDescent="0.25">
      <c r="A3416" s="63">
        <v>220230029405</v>
      </c>
      <c r="B3416" s="44" t="s">
        <v>1514</v>
      </c>
      <c r="C3416" s="64">
        <v>45090</v>
      </c>
      <c r="D3416" s="62">
        <v>22023004185</v>
      </c>
      <c r="E3416" s="44" t="s">
        <v>5063</v>
      </c>
      <c r="F3416" s="65">
        <v>714.38</v>
      </c>
      <c r="G3416" s="44" t="s">
        <v>1372</v>
      </c>
      <c r="H3416" s="44" t="s">
        <v>5132</v>
      </c>
      <c r="I3416" s="62" t="s">
        <v>1517</v>
      </c>
      <c r="J3416" s="44" t="s">
        <v>519</v>
      </c>
      <c r="K3416" s="44" t="s">
        <v>519</v>
      </c>
      <c r="L3416" s="44" t="s">
        <v>552</v>
      </c>
      <c r="M3416" s="44" t="s">
        <v>514</v>
      </c>
      <c r="N3416" s="44" t="s">
        <v>515</v>
      </c>
      <c r="O3416" s="45" t="s">
        <v>382</v>
      </c>
      <c r="P3416" s="45" t="s">
        <v>3760</v>
      </c>
      <c r="Q3416" s="59" t="str">
        <f>MID(Tabla1[[#This Row],[Aplicación]],14,1)</f>
        <v>2</v>
      </c>
      <c r="R3416" s="35" t="s">
        <v>298</v>
      </c>
      <c r="S3416" s="59" t="str">
        <f>MID(Tabla1[[#This Row],[Aplicación]],6,2)</f>
        <v>07</v>
      </c>
      <c r="T3416" s="35" t="str">
        <f>VLOOKUP(Tabla1[[#This Row],[AREA]],Hoja1!A:B,2,FALSE)</f>
        <v>07. Medio ambiente y desarrollo sostenible</v>
      </c>
      <c r="U3416" s="56" t="str">
        <f>MID(Tabla1[[#This Row],[Aplicación]],9,4)</f>
        <v>1711</v>
      </c>
      <c r="V3416" s="35" t="str">
        <f>VLOOKUP(Tabla1[[#This Row],[PROGRAMA]],Hoja1!A:B,2,FALSE)</f>
        <v>1711. Parques y jardines</v>
      </c>
      <c r="W3416" s="56" t="str">
        <f>MID(Tabla1[[#This Row],[Aplicación]],14,2)</f>
        <v>22</v>
      </c>
      <c r="X3416" s="56" t="str">
        <f>MID(Tabla1[[#This Row],[Aplicación]],14,6)</f>
        <v>22104</v>
      </c>
    </row>
    <row r="3417" spans="1:24" x14ac:dyDescent="0.25">
      <c r="A3417" s="63">
        <v>220230029497</v>
      </c>
      <c r="B3417" s="44" t="s">
        <v>1514</v>
      </c>
      <c r="C3417" s="64">
        <v>45090</v>
      </c>
      <c r="D3417" s="62">
        <v>22023003835</v>
      </c>
      <c r="E3417" s="44" t="s">
        <v>1502</v>
      </c>
      <c r="F3417" s="65">
        <v>14.42</v>
      </c>
      <c r="G3417" s="44" t="s">
        <v>1372</v>
      </c>
      <c r="H3417" s="44" t="s">
        <v>5133</v>
      </c>
      <c r="I3417" s="62" t="s">
        <v>1517</v>
      </c>
      <c r="J3417" s="44" t="s">
        <v>519</v>
      </c>
      <c r="K3417" s="44" t="s">
        <v>519</v>
      </c>
      <c r="L3417" s="44" t="s">
        <v>552</v>
      </c>
      <c r="M3417" s="44" t="s">
        <v>514</v>
      </c>
      <c r="N3417" s="44" t="s">
        <v>515</v>
      </c>
      <c r="O3417" s="45" t="s">
        <v>382</v>
      </c>
      <c r="P3417" s="45" t="s">
        <v>3760</v>
      </c>
      <c r="Q3417" s="59" t="str">
        <f>MID(Tabla1[[#This Row],[Aplicación]],14,1)</f>
        <v>2</v>
      </c>
      <c r="R3417" s="35" t="s">
        <v>298</v>
      </c>
      <c r="S3417" s="59" t="str">
        <f>MID(Tabla1[[#This Row],[Aplicación]],6,2)</f>
        <v>10</v>
      </c>
      <c r="T3417" s="35" t="str">
        <f>VLOOKUP(Tabla1[[#This Row],[AREA]],Hoja1!A:B,2,FALSE)</f>
        <v>10. Servicios sociales y mediación comunitaria</v>
      </c>
      <c r="U3417" s="56" t="str">
        <f>MID(Tabla1[[#This Row],[Aplicación]],9,4)</f>
        <v>2412</v>
      </c>
      <c r="V3417" s="35" t="str">
        <f>VLOOKUP(Tabla1[[#This Row],[PROGRAMA]],Hoja1!A:B,2,FALSE)</f>
        <v>2412. Formación para el empleo</v>
      </c>
      <c r="W3417" s="56" t="str">
        <f>MID(Tabla1[[#This Row],[Aplicación]],14,2)</f>
        <v>22</v>
      </c>
      <c r="X3417" s="56" t="str">
        <f>MID(Tabla1[[#This Row],[Aplicación]],14,6)</f>
        <v>22199</v>
      </c>
    </row>
    <row r="3418" spans="1:24" x14ac:dyDescent="0.25">
      <c r="A3418" s="63">
        <v>220230030063</v>
      </c>
      <c r="B3418" s="44" t="s">
        <v>1514</v>
      </c>
      <c r="C3418" s="64">
        <v>45093</v>
      </c>
      <c r="D3418" s="62">
        <v>22023001479</v>
      </c>
      <c r="E3418" s="44" t="s">
        <v>1502</v>
      </c>
      <c r="F3418" s="65">
        <v>16.5</v>
      </c>
      <c r="G3418" s="44" t="s">
        <v>1372</v>
      </c>
      <c r="H3418" s="44" t="s">
        <v>5134</v>
      </c>
      <c r="I3418" s="62" t="s">
        <v>1517</v>
      </c>
      <c r="J3418" s="44" t="s">
        <v>519</v>
      </c>
      <c r="K3418" s="44" t="s">
        <v>519</v>
      </c>
      <c r="L3418" s="44" t="s">
        <v>552</v>
      </c>
      <c r="M3418" s="44" t="s">
        <v>514</v>
      </c>
      <c r="N3418" s="44" t="s">
        <v>515</v>
      </c>
      <c r="O3418" s="45" t="s">
        <v>382</v>
      </c>
      <c r="P3418" s="45" t="s">
        <v>3760</v>
      </c>
      <c r="Q3418" s="59" t="str">
        <f>MID(Tabla1[[#This Row],[Aplicación]],14,1)</f>
        <v>2</v>
      </c>
      <c r="R3418" s="35" t="s">
        <v>298</v>
      </c>
      <c r="S3418" s="59" t="str">
        <f>MID(Tabla1[[#This Row],[Aplicación]],6,2)</f>
        <v>10</v>
      </c>
      <c r="T3418" s="35" t="str">
        <f>VLOOKUP(Tabla1[[#This Row],[AREA]],Hoja1!A:B,2,FALSE)</f>
        <v>10. Servicios sociales y mediación comunitaria</v>
      </c>
      <c r="U3418" s="56" t="str">
        <f>MID(Tabla1[[#This Row],[Aplicación]],9,4)</f>
        <v>2412</v>
      </c>
      <c r="V3418" s="35" t="str">
        <f>VLOOKUP(Tabla1[[#This Row],[PROGRAMA]],Hoja1!A:B,2,FALSE)</f>
        <v>2412. Formación para el empleo</v>
      </c>
      <c r="W3418" s="56" t="str">
        <f>MID(Tabla1[[#This Row],[Aplicación]],14,2)</f>
        <v>22</v>
      </c>
      <c r="X3418" s="56" t="str">
        <f>MID(Tabla1[[#This Row],[Aplicación]],14,6)</f>
        <v>22199</v>
      </c>
    </row>
    <row r="3419" spans="1:24" x14ac:dyDescent="0.25">
      <c r="A3419" s="63">
        <v>220230030082</v>
      </c>
      <c r="B3419" s="44" t="s">
        <v>1514</v>
      </c>
      <c r="C3419" s="64">
        <v>45093</v>
      </c>
      <c r="D3419" s="62">
        <v>22023001549</v>
      </c>
      <c r="E3419" s="44" t="s">
        <v>1515</v>
      </c>
      <c r="F3419" s="65">
        <v>1120.0999999999999</v>
      </c>
      <c r="G3419" s="44" t="s">
        <v>1372</v>
      </c>
      <c r="H3419" s="44" t="s">
        <v>5135</v>
      </c>
      <c r="I3419" s="62" t="s">
        <v>1517</v>
      </c>
      <c r="J3419" s="44" t="s">
        <v>519</v>
      </c>
      <c r="K3419" s="44" t="s">
        <v>519</v>
      </c>
      <c r="L3419" s="44" t="s">
        <v>552</v>
      </c>
      <c r="M3419" s="44" t="s">
        <v>514</v>
      </c>
      <c r="N3419" s="44" t="s">
        <v>515</v>
      </c>
      <c r="O3419" s="45" t="s">
        <v>382</v>
      </c>
      <c r="P3419" s="45" t="s">
        <v>3760</v>
      </c>
      <c r="Q3419" s="59" t="str">
        <f>MID(Tabla1[[#This Row],[Aplicación]],14,1)</f>
        <v>2</v>
      </c>
      <c r="R3419" s="35" t="s">
        <v>298</v>
      </c>
      <c r="S3419" s="59" t="str">
        <f>MID(Tabla1[[#This Row],[Aplicación]],6,2)</f>
        <v>07</v>
      </c>
      <c r="T3419" s="35" t="str">
        <f>VLOOKUP(Tabla1[[#This Row],[AREA]],Hoja1!A:B,2,FALSE)</f>
        <v>07. Medio ambiente y desarrollo sostenible</v>
      </c>
      <c r="U3419" s="56" t="str">
        <f>MID(Tabla1[[#This Row],[Aplicación]],9,4)</f>
        <v>1711</v>
      </c>
      <c r="V3419" s="35" t="str">
        <f>VLOOKUP(Tabla1[[#This Row],[PROGRAMA]],Hoja1!A:B,2,FALSE)</f>
        <v>1711. Parques y jardines</v>
      </c>
      <c r="W3419" s="56" t="str">
        <f>MID(Tabla1[[#This Row],[Aplicación]],14,2)</f>
        <v>22</v>
      </c>
      <c r="X3419" s="56" t="str">
        <f>MID(Tabla1[[#This Row],[Aplicación]],14,6)</f>
        <v>22199</v>
      </c>
    </row>
    <row r="3420" spans="1:24" x14ac:dyDescent="0.25">
      <c r="A3420" s="63">
        <v>220230031187</v>
      </c>
      <c r="B3420" s="44" t="s">
        <v>507</v>
      </c>
      <c r="C3420" s="64">
        <v>45099</v>
      </c>
      <c r="D3420" s="62">
        <v>22023005227</v>
      </c>
      <c r="E3420" s="44" t="s">
        <v>607</v>
      </c>
      <c r="F3420" s="65">
        <v>2500</v>
      </c>
      <c r="G3420" s="44" t="s">
        <v>5136</v>
      </c>
      <c r="H3420" s="44" t="s">
        <v>5137</v>
      </c>
      <c r="I3420" s="62" t="s">
        <v>511</v>
      </c>
      <c r="J3420" s="44" t="s">
        <v>953</v>
      </c>
      <c r="K3420" s="44" t="s">
        <v>519</v>
      </c>
      <c r="L3420" s="44" t="s">
        <v>520</v>
      </c>
      <c r="M3420" s="44" t="s">
        <v>976</v>
      </c>
      <c r="N3420" s="44" t="s">
        <v>839</v>
      </c>
      <c r="O3420" s="45" t="s">
        <v>383</v>
      </c>
      <c r="P3420" s="45" t="s">
        <v>3760</v>
      </c>
      <c r="Q3420" s="59" t="str">
        <f>MID(Tabla1[[#This Row],[Aplicación]],14,1)</f>
        <v>2</v>
      </c>
      <c r="R3420" s="35" t="s">
        <v>298</v>
      </c>
      <c r="S3420" s="59" t="str">
        <f>MID(Tabla1[[#This Row],[Aplicación]],6,2)</f>
        <v>11</v>
      </c>
      <c r="T3420" s="35" t="str">
        <f>VLOOKUP(Tabla1[[#This Row],[AREA]],Hoja1!A:B,2,FALSE)</f>
        <v>11. Salud pública y seguridad ciudadana</v>
      </c>
      <c r="U3420" s="56" t="str">
        <f>MID(Tabla1[[#This Row],[Aplicación]],9,4)</f>
        <v>1621</v>
      </c>
      <c r="V3420" s="35" t="str">
        <f>VLOOKUP(Tabla1[[#This Row],[PROGRAMA]],Hoja1!A:B,2,FALSE)</f>
        <v>1621. Servicio de limpieza</v>
      </c>
      <c r="W3420" s="56" t="str">
        <f>MID(Tabla1[[#This Row],[Aplicación]],14,2)</f>
        <v>21</v>
      </c>
      <c r="X3420" s="56" t="str">
        <f>MID(Tabla1[[#This Row],[Aplicación]],14,6)</f>
        <v>213</v>
      </c>
    </row>
    <row r="3421" spans="1:24" x14ac:dyDescent="0.25">
      <c r="A3421" s="63">
        <v>220230031232</v>
      </c>
      <c r="B3421" s="44" t="s">
        <v>507</v>
      </c>
      <c r="C3421" s="64">
        <v>45099</v>
      </c>
      <c r="D3421" s="62">
        <v>22023004974</v>
      </c>
      <c r="E3421" s="44" t="s">
        <v>1865</v>
      </c>
      <c r="F3421" s="65">
        <v>2480.5</v>
      </c>
      <c r="G3421" s="44" t="s">
        <v>5138</v>
      </c>
      <c r="H3421" s="44" t="s">
        <v>5139</v>
      </c>
      <c r="I3421" s="62" t="s">
        <v>511</v>
      </c>
      <c r="J3421" s="44" t="s">
        <v>519</v>
      </c>
      <c r="K3421" s="44" t="s">
        <v>519</v>
      </c>
      <c r="L3421" s="44" t="s">
        <v>552</v>
      </c>
      <c r="M3421" s="44" t="s">
        <v>976</v>
      </c>
      <c r="N3421" s="44" t="s">
        <v>839</v>
      </c>
      <c r="O3421" s="45" t="s">
        <v>383</v>
      </c>
      <c r="P3421" s="45" t="s">
        <v>3760</v>
      </c>
      <c r="Q3421" s="59" t="str">
        <f>MID(Tabla1[[#This Row],[Aplicación]],14,1)</f>
        <v>2</v>
      </c>
      <c r="R3421" s="35" t="s">
        <v>298</v>
      </c>
      <c r="S3421" s="59" t="str">
        <f>MID(Tabla1[[#This Row],[Aplicación]],6,2)</f>
        <v>02</v>
      </c>
      <c r="T3421" s="35" t="str">
        <f>VLOOKUP(Tabla1[[#This Row],[AREA]],Hoja1!A:B,2,FALSE)</f>
        <v>02. Planeamiento urbanístico y vivienda</v>
      </c>
      <c r="U3421" s="56" t="str">
        <f>MID(Tabla1[[#This Row],[Aplicación]],9,4)</f>
        <v>1511</v>
      </c>
      <c r="V3421" s="35" t="str">
        <f>VLOOKUP(Tabla1[[#This Row],[PROGRAMA]],Hoja1!A:B,2,FALSE)</f>
        <v>1511. Planficación y gestión del urbanismo</v>
      </c>
      <c r="W3421" s="56" t="str">
        <f>MID(Tabla1[[#This Row],[Aplicación]],14,2)</f>
        <v>22</v>
      </c>
      <c r="X3421" s="56" t="str">
        <f>MID(Tabla1[[#This Row],[Aplicación]],14,6)</f>
        <v>22799</v>
      </c>
    </row>
    <row r="3422" spans="1:24" x14ac:dyDescent="0.25">
      <c r="A3422" s="63">
        <v>220230032423</v>
      </c>
      <c r="B3422" s="44" t="s">
        <v>1249</v>
      </c>
      <c r="C3422" s="64">
        <v>45107</v>
      </c>
      <c r="D3422" s="62">
        <v>22023005001</v>
      </c>
      <c r="E3422" s="44" t="s">
        <v>4607</v>
      </c>
      <c r="F3422" s="65">
        <v>2321.29</v>
      </c>
      <c r="G3422" s="44" t="s">
        <v>434</v>
      </c>
      <c r="H3422" s="44" t="s">
        <v>5140</v>
      </c>
      <c r="I3422" s="62" t="s">
        <v>1251</v>
      </c>
      <c r="J3422" s="44" t="s">
        <v>512</v>
      </c>
      <c r="K3422" s="44" t="s">
        <v>512</v>
      </c>
      <c r="L3422" s="44" t="s">
        <v>552</v>
      </c>
      <c r="M3422" s="44" t="s">
        <v>976</v>
      </c>
      <c r="N3422" s="44" t="s">
        <v>839</v>
      </c>
      <c r="O3422" s="45" t="s">
        <v>383</v>
      </c>
      <c r="P3422" s="45" t="s">
        <v>3760</v>
      </c>
      <c r="Q3422" s="59" t="str">
        <f>MID(Tabla1[[#This Row],[Aplicación]],14,1)</f>
        <v>2</v>
      </c>
      <c r="R3422" s="35" t="s">
        <v>298</v>
      </c>
      <c r="S3422" s="59" t="str">
        <f>MID(Tabla1[[#This Row],[Aplicación]],6,2)</f>
        <v>04</v>
      </c>
      <c r="T3422" s="35" t="str">
        <f>VLOOKUP(Tabla1[[#This Row],[AREA]],Hoja1!A:B,2,FALSE)</f>
        <v>04. Planificación y recursos</v>
      </c>
      <c r="U3422" s="56" t="str">
        <f>MID(Tabla1[[#This Row],[Aplicación]],9,4)</f>
        <v>9204</v>
      </c>
      <c r="V3422" s="35" t="str">
        <f>VLOOKUP(Tabla1[[#This Row],[PROGRAMA]],Hoja1!A:B,2,FALSE)</f>
        <v>9204. Tecnologías de la información y comunicación</v>
      </c>
      <c r="W3422" s="56" t="str">
        <f>MID(Tabla1[[#This Row],[Aplicación]],14,2)</f>
        <v>22</v>
      </c>
      <c r="X3422" s="56" t="str">
        <f>MID(Tabla1[[#This Row],[Aplicación]],14,6)</f>
        <v>22699</v>
      </c>
    </row>
    <row r="3423" spans="1:24" x14ac:dyDescent="0.25">
      <c r="A3423" s="63">
        <v>220230030684</v>
      </c>
      <c r="B3423" s="44" t="s">
        <v>507</v>
      </c>
      <c r="C3423" s="64">
        <v>45097</v>
      </c>
      <c r="D3423" s="62">
        <v>22023004959</v>
      </c>
      <c r="E3423" s="44" t="s">
        <v>4040</v>
      </c>
      <c r="F3423" s="65">
        <v>12251.25</v>
      </c>
      <c r="G3423" s="44" t="s">
        <v>400</v>
      </c>
      <c r="H3423" s="44" t="s">
        <v>5141</v>
      </c>
      <c r="I3423" s="62" t="s">
        <v>511</v>
      </c>
      <c r="J3423" s="44" t="s">
        <v>519</v>
      </c>
      <c r="K3423" s="44" t="s">
        <v>519</v>
      </c>
      <c r="L3423" s="44" t="s">
        <v>520</v>
      </c>
      <c r="M3423" s="44" t="s">
        <v>514</v>
      </c>
      <c r="N3423" s="44" t="s">
        <v>604</v>
      </c>
      <c r="O3423" s="45" t="s">
        <v>382</v>
      </c>
      <c r="P3423" s="45" t="s">
        <v>3760</v>
      </c>
      <c r="Q3423" s="59">
        <v>2</v>
      </c>
      <c r="R3423" s="35" t="s">
        <v>298</v>
      </c>
      <c r="S3423" s="59" t="str">
        <f>MID(Tabla1[[#This Row],[Aplicación]],6,2)</f>
        <v>08</v>
      </c>
      <c r="T3423" s="35" t="str">
        <f>VLOOKUP(Tabla1[[#This Row],[AREA]],Hoja1!A:B,2,FALSE)</f>
        <v>08. Movilidad y espacio urbano</v>
      </c>
      <c r="U3423" s="56" t="str">
        <f>MID(Tabla1[[#This Row],[Aplicación]],9,4)</f>
        <v>0 13</v>
      </c>
      <c r="V3423" s="59">
        <v>1301</v>
      </c>
      <c r="W3423" s="59">
        <v>22</v>
      </c>
      <c r="X3423" s="59">
        <v>22706</v>
      </c>
    </row>
    <row r="3424" spans="1:24" x14ac:dyDescent="0.25">
      <c r="A3424" s="63">
        <v>220230026833</v>
      </c>
      <c r="B3424" s="44" t="s">
        <v>507</v>
      </c>
      <c r="C3424" s="64">
        <v>45078</v>
      </c>
      <c r="D3424" s="62">
        <v>22023004759</v>
      </c>
      <c r="E3424" s="44" t="s">
        <v>2226</v>
      </c>
      <c r="F3424" s="65">
        <v>2138.1</v>
      </c>
      <c r="G3424" s="44" t="s">
        <v>318</v>
      </c>
      <c r="H3424" s="44" t="s">
        <v>5142</v>
      </c>
      <c r="I3424" s="62" t="s">
        <v>511</v>
      </c>
      <c r="J3424" s="44" t="s">
        <v>2764</v>
      </c>
      <c r="K3424" s="44" t="s">
        <v>519</v>
      </c>
      <c r="L3424" s="44" t="s">
        <v>552</v>
      </c>
      <c r="M3424" s="44" t="s">
        <v>976</v>
      </c>
      <c r="N3424" s="44" t="s">
        <v>839</v>
      </c>
      <c r="O3424" s="45" t="s">
        <v>383</v>
      </c>
      <c r="P3424" s="45" t="s">
        <v>3760</v>
      </c>
      <c r="Q3424" s="59" t="str">
        <f>MID(Tabla1[[#This Row],[Aplicación]],14,1)</f>
        <v>2</v>
      </c>
      <c r="R3424" s="35" t="s">
        <v>298</v>
      </c>
      <c r="S3424" s="59" t="str">
        <f>MID(Tabla1[[#This Row],[Aplicación]],6,2)</f>
        <v>11</v>
      </c>
      <c r="T3424" s="35" t="str">
        <f>VLOOKUP(Tabla1[[#This Row],[AREA]],Hoja1!A:B,2,FALSE)</f>
        <v>11. Salud pública y seguridad ciudadana</v>
      </c>
      <c r="U3424" s="56" t="str">
        <f>MID(Tabla1[[#This Row],[Aplicación]],9,4)</f>
        <v>1621</v>
      </c>
      <c r="V3424" s="35" t="str">
        <f>VLOOKUP(Tabla1[[#This Row],[PROGRAMA]],Hoja1!A:B,2,FALSE)</f>
        <v>1621. Servicio de limpieza</v>
      </c>
      <c r="W3424" s="56" t="str">
        <f>MID(Tabla1[[#This Row],[Aplicación]],14,2)</f>
        <v>21</v>
      </c>
      <c r="X3424" s="56" t="str">
        <f>MID(Tabla1[[#This Row],[Aplicación]],14,6)</f>
        <v>219</v>
      </c>
    </row>
    <row r="3425" spans="1:24" x14ac:dyDescent="0.25">
      <c r="A3425" s="63">
        <v>220230028455</v>
      </c>
      <c r="B3425" s="44" t="s">
        <v>1514</v>
      </c>
      <c r="C3425" s="64">
        <v>45084</v>
      </c>
      <c r="D3425" s="62">
        <v>22023000213</v>
      </c>
      <c r="E3425" s="44" t="s">
        <v>1694</v>
      </c>
      <c r="F3425" s="65">
        <v>618.5</v>
      </c>
      <c r="G3425" s="44" t="s">
        <v>1993</v>
      </c>
      <c r="H3425" s="44" t="s">
        <v>4234</v>
      </c>
      <c r="I3425" s="62" t="s">
        <v>1517</v>
      </c>
      <c r="J3425" s="44" t="s">
        <v>519</v>
      </c>
      <c r="K3425" s="44" t="s">
        <v>519</v>
      </c>
      <c r="L3425" s="44" t="s">
        <v>520</v>
      </c>
      <c r="M3425" s="44" t="s">
        <v>514</v>
      </c>
      <c r="N3425" s="44" t="s">
        <v>515</v>
      </c>
      <c r="O3425" s="45" t="s">
        <v>382</v>
      </c>
      <c r="P3425" s="45" t="s">
        <v>3760</v>
      </c>
      <c r="Q3425" s="59" t="str">
        <f>MID(Tabla1[[#This Row],[Aplicación]],14,1)</f>
        <v>2</v>
      </c>
      <c r="R3425" s="35" t="s">
        <v>298</v>
      </c>
      <c r="S3425" s="59" t="str">
        <f>MID(Tabla1[[#This Row],[Aplicación]],6,2)</f>
        <v>11</v>
      </c>
      <c r="T3425" s="35" t="str">
        <f>VLOOKUP(Tabla1[[#This Row],[AREA]],Hoja1!A:B,2,FALSE)</f>
        <v>11. Salud pública y seguridad ciudadana</v>
      </c>
      <c r="U3425" s="56" t="str">
        <f>MID(Tabla1[[#This Row],[Aplicación]],9,4)</f>
        <v>1321</v>
      </c>
      <c r="V3425" s="35" t="str">
        <f>VLOOKUP(Tabla1[[#This Row],[PROGRAMA]],Hoja1!A:B,2,FALSE)</f>
        <v>1321. Policía municipal</v>
      </c>
      <c r="W3425" s="56" t="str">
        <f>MID(Tabla1[[#This Row],[Aplicación]],14,2)</f>
        <v>21</v>
      </c>
      <c r="X3425" s="56" t="str">
        <f>MID(Tabla1[[#This Row],[Aplicación]],14,6)</f>
        <v>214</v>
      </c>
    </row>
    <row r="3426" spans="1:24" x14ac:dyDescent="0.25">
      <c r="A3426" s="63">
        <v>220230029426</v>
      </c>
      <c r="B3426" s="44" t="s">
        <v>1514</v>
      </c>
      <c r="C3426" s="64">
        <v>45090</v>
      </c>
      <c r="D3426" s="62">
        <v>22023001956</v>
      </c>
      <c r="E3426" s="44" t="s">
        <v>1982</v>
      </c>
      <c r="F3426" s="65">
        <v>85</v>
      </c>
      <c r="G3426" s="44" t="s">
        <v>1993</v>
      </c>
      <c r="H3426" s="44" t="s">
        <v>5143</v>
      </c>
      <c r="I3426" s="62" t="s">
        <v>1517</v>
      </c>
      <c r="J3426" s="44" t="s">
        <v>519</v>
      </c>
      <c r="K3426" s="44" t="s">
        <v>519</v>
      </c>
      <c r="L3426" s="44" t="s">
        <v>520</v>
      </c>
      <c r="M3426" s="44" t="s">
        <v>514</v>
      </c>
      <c r="N3426" s="44" t="s">
        <v>515</v>
      </c>
      <c r="O3426" s="45" t="s">
        <v>382</v>
      </c>
      <c r="P3426" s="45" t="s">
        <v>3760</v>
      </c>
      <c r="Q3426" s="59" t="str">
        <f>MID(Tabla1[[#This Row],[Aplicación]],14,1)</f>
        <v>2</v>
      </c>
      <c r="R3426" s="35" t="s">
        <v>298</v>
      </c>
      <c r="S3426" s="59" t="str">
        <f>MID(Tabla1[[#This Row],[Aplicación]],6,2)</f>
        <v>07</v>
      </c>
      <c r="T3426" s="35" t="str">
        <f>VLOOKUP(Tabla1[[#This Row],[AREA]],Hoja1!A:B,2,FALSE)</f>
        <v>07. Medio ambiente y desarrollo sostenible</v>
      </c>
      <c r="U3426" s="56" t="str">
        <f>MID(Tabla1[[#This Row],[Aplicación]],9,4)</f>
        <v>1711</v>
      </c>
      <c r="V3426" s="35" t="str">
        <f>VLOOKUP(Tabla1[[#This Row],[PROGRAMA]],Hoja1!A:B,2,FALSE)</f>
        <v>1711. Parques y jardines</v>
      </c>
      <c r="W3426" s="56" t="str">
        <f>MID(Tabla1[[#This Row],[Aplicación]],14,2)</f>
        <v>21</v>
      </c>
      <c r="X3426" s="56" t="str">
        <f>MID(Tabla1[[#This Row],[Aplicación]],14,6)</f>
        <v>214</v>
      </c>
    </row>
    <row r="3427" spans="1:24" x14ac:dyDescent="0.25">
      <c r="A3427" s="63">
        <v>220230030080</v>
      </c>
      <c r="B3427" s="44" t="s">
        <v>1514</v>
      </c>
      <c r="C3427" s="64">
        <v>45093</v>
      </c>
      <c r="D3427" s="62">
        <v>22023000213</v>
      </c>
      <c r="E3427" s="44" t="s">
        <v>1694</v>
      </c>
      <c r="F3427" s="65">
        <v>312.66000000000003</v>
      </c>
      <c r="G3427" s="44" t="s">
        <v>1993</v>
      </c>
      <c r="H3427" s="44" t="s">
        <v>5144</v>
      </c>
      <c r="I3427" s="62" t="s">
        <v>1517</v>
      </c>
      <c r="J3427" s="44" t="s">
        <v>519</v>
      </c>
      <c r="K3427" s="44" t="s">
        <v>519</v>
      </c>
      <c r="L3427" s="44" t="s">
        <v>520</v>
      </c>
      <c r="M3427" s="44" t="s">
        <v>514</v>
      </c>
      <c r="N3427" s="44" t="s">
        <v>515</v>
      </c>
      <c r="O3427" s="45" t="s">
        <v>382</v>
      </c>
      <c r="P3427" s="45" t="s">
        <v>3760</v>
      </c>
      <c r="Q3427" s="59" t="str">
        <f>MID(Tabla1[[#This Row],[Aplicación]],14,1)</f>
        <v>2</v>
      </c>
      <c r="R3427" s="35" t="s">
        <v>298</v>
      </c>
      <c r="S3427" s="59" t="str">
        <f>MID(Tabla1[[#This Row],[Aplicación]],6,2)</f>
        <v>11</v>
      </c>
      <c r="T3427" s="35" t="str">
        <f>VLOOKUP(Tabla1[[#This Row],[AREA]],Hoja1!A:B,2,FALSE)</f>
        <v>11. Salud pública y seguridad ciudadana</v>
      </c>
      <c r="U3427" s="56" t="str">
        <f>MID(Tabla1[[#This Row],[Aplicación]],9,4)</f>
        <v>1321</v>
      </c>
      <c r="V3427" s="35" t="str">
        <f>VLOOKUP(Tabla1[[#This Row],[PROGRAMA]],Hoja1!A:B,2,FALSE)</f>
        <v>1321. Policía municipal</v>
      </c>
      <c r="W3427" s="56" t="str">
        <f>MID(Tabla1[[#This Row],[Aplicación]],14,2)</f>
        <v>21</v>
      </c>
      <c r="X3427" s="56" t="str">
        <f>MID(Tabla1[[#This Row],[Aplicación]],14,6)</f>
        <v>214</v>
      </c>
    </row>
    <row r="3428" spans="1:24" x14ac:dyDescent="0.25">
      <c r="A3428" s="63">
        <v>220230030112</v>
      </c>
      <c r="B3428" s="44" t="s">
        <v>1514</v>
      </c>
      <c r="C3428" s="64">
        <v>45093</v>
      </c>
      <c r="D3428" s="62">
        <v>22023001956</v>
      </c>
      <c r="E3428" s="44" t="s">
        <v>1982</v>
      </c>
      <c r="F3428" s="65">
        <v>44.75</v>
      </c>
      <c r="G3428" s="44" t="s">
        <v>1993</v>
      </c>
      <c r="H3428" s="44" t="s">
        <v>5145</v>
      </c>
      <c r="I3428" s="62" t="s">
        <v>1517</v>
      </c>
      <c r="J3428" s="44" t="s">
        <v>519</v>
      </c>
      <c r="K3428" s="44" t="s">
        <v>519</v>
      </c>
      <c r="L3428" s="44" t="s">
        <v>520</v>
      </c>
      <c r="M3428" s="44" t="s">
        <v>514</v>
      </c>
      <c r="N3428" s="44" t="s">
        <v>515</v>
      </c>
      <c r="O3428" s="45" t="s">
        <v>382</v>
      </c>
      <c r="P3428" s="45" t="s">
        <v>3760</v>
      </c>
      <c r="Q3428" s="59" t="str">
        <f>MID(Tabla1[[#This Row],[Aplicación]],14,1)</f>
        <v>2</v>
      </c>
      <c r="R3428" s="35" t="s">
        <v>298</v>
      </c>
      <c r="S3428" s="59" t="str">
        <f>MID(Tabla1[[#This Row],[Aplicación]],6,2)</f>
        <v>07</v>
      </c>
      <c r="T3428" s="35" t="str">
        <f>VLOOKUP(Tabla1[[#This Row],[AREA]],Hoja1!A:B,2,FALSE)</f>
        <v>07. Medio ambiente y desarrollo sostenible</v>
      </c>
      <c r="U3428" s="56" t="str">
        <f>MID(Tabla1[[#This Row],[Aplicación]],9,4)</f>
        <v>1711</v>
      </c>
      <c r="V3428" s="35" t="str">
        <f>VLOOKUP(Tabla1[[#This Row],[PROGRAMA]],Hoja1!A:B,2,FALSE)</f>
        <v>1711. Parques y jardines</v>
      </c>
      <c r="W3428" s="56" t="str">
        <f>MID(Tabla1[[#This Row],[Aplicación]],14,2)</f>
        <v>21</v>
      </c>
      <c r="X3428" s="56" t="str">
        <f>MID(Tabla1[[#This Row],[Aplicación]],14,6)</f>
        <v>214</v>
      </c>
    </row>
    <row r="3429" spans="1:24" x14ac:dyDescent="0.25">
      <c r="A3429" s="63">
        <v>220230030118</v>
      </c>
      <c r="B3429" s="44" t="s">
        <v>1514</v>
      </c>
      <c r="C3429" s="64">
        <v>45093</v>
      </c>
      <c r="D3429" s="62">
        <v>22023001956</v>
      </c>
      <c r="E3429" s="44" t="s">
        <v>1982</v>
      </c>
      <c r="F3429" s="65">
        <v>46.59</v>
      </c>
      <c r="G3429" s="44" t="s">
        <v>1993</v>
      </c>
      <c r="H3429" s="44" t="s">
        <v>5146</v>
      </c>
      <c r="I3429" s="62" t="s">
        <v>1517</v>
      </c>
      <c r="J3429" s="44" t="s">
        <v>519</v>
      </c>
      <c r="K3429" s="44" t="s">
        <v>519</v>
      </c>
      <c r="L3429" s="44" t="s">
        <v>520</v>
      </c>
      <c r="M3429" s="44" t="s">
        <v>514</v>
      </c>
      <c r="N3429" s="44" t="s">
        <v>515</v>
      </c>
      <c r="O3429" s="45" t="s">
        <v>382</v>
      </c>
      <c r="P3429" s="45" t="s">
        <v>3760</v>
      </c>
      <c r="Q3429" s="59" t="str">
        <f>MID(Tabla1[[#This Row],[Aplicación]],14,1)</f>
        <v>2</v>
      </c>
      <c r="R3429" s="35" t="s">
        <v>298</v>
      </c>
      <c r="S3429" s="59" t="str">
        <f>MID(Tabla1[[#This Row],[Aplicación]],6,2)</f>
        <v>07</v>
      </c>
      <c r="T3429" s="35" t="str">
        <f>VLOOKUP(Tabla1[[#This Row],[AREA]],Hoja1!A:B,2,FALSE)</f>
        <v>07. Medio ambiente y desarrollo sostenible</v>
      </c>
      <c r="U3429" s="56" t="str">
        <f>MID(Tabla1[[#This Row],[Aplicación]],9,4)</f>
        <v>1711</v>
      </c>
      <c r="V3429" s="35" t="str">
        <f>VLOOKUP(Tabla1[[#This Row],[PROGRAMA]],Hoja1!A:B,2,FALSE)</f>
        <v>1711. Parques y jardines</v>
      </c>
      <c r="W3429" s="56" t="str">
        <f>MID(Tabla1[[#This Row],[Aplicación]],14,2)</f>
        <v>21</v>
      </c>
      <c r="X3429" s="56" t="str">
        <f>MID(Tabla1[[#This Row],[Aplicación]],14,6)</f>
        <v>214</v>
      </c>
    </row>
    <row r="3430" spans="1:24" x14ac:dyDescent="0.25">
      <c r="A3430" s="63">
        <v>220230032361</v>
      </c>
      <c r="B3430" s="44" t="s">
        <v>1514</v>
      </c>
      <c r="C3430" s="64">
        <v>45107</v>
      </c>
      <c r="D3430" s="62">
        <v>22023000213</v>
      </c>
      <c r="E3430" s="44" t="s">
        <v>1694</v>
      </c>
      <c r="F3430" s="65">
        <v>665.5</v>
      </c>
      <c r="G3430" s="44" t="s">
        <v>1993</v>
      </c>
      <c r="H3430" s="44" t="s">
        <v>5147</v>
      </c>
      <c r="I3430" s="62" t="s">
        <v>1517</v>
      </c>
      <c r="J3430" s="44" t="s">
        <v>519</v>
      </c>
      <c r="K3430" s="44" t="s">
        <v>519</v>
      </c>
      <c r="L3430" s="44" t="s">
        <v>520</v>
      </c>
      <c r="M3430" s="44" t="s">
        <v>514</v>
      </c>
      <c r="N3430" s="44" t="s">
        <v>515</v>
      </c>
      <c r="O3430" s="45" t="s">
        <v>382</v>
      </c>
      <c r="P3430" s="45" t="s">
        <v>3760</v>
      </c>
      <c r="Q3430" s="59" t="str">
        <f>MID(Tabla1[[#This Row],[Aplicación]],14,1)</f>
        <v>2</v>
      </c>
      <c r="R3430" s="35" t="s">
        <v>298</v>
      </c>
      <c r="S3430" s="59" t="str">
        <f>MID(Tabla1[[#This Row],[Aplicación]],6,2)</f>
        <v>11</v>
      </c>
      <c r="T3430" s="35" t="str">
        <f>VLOOKUP(Tabla1[[#This Row],[AREA]],Hoja1!A:B,2,FALSE)</f>
        <v>11. Salud pública y seguridad ciudadana</v>
      </c>
      <c r="U3430" s="56" t="str">
        <f>MID(Tabla1[[#This Row],[Aplicación]],9,4)</f>
        <v>1321</v>
      </c>
      <c r="V3430" s="35" t="str">
        <f>VLOOKUP(Tabla1[[#This Row],[PROGRAMA]],Hoja1!A:B,2,FALSE)</f>
        <v>1321. Policía municipal</v>
      </c>
      <c r="W3430" s="56" t="str">
        <f>MID(Tabla1[[#This Row],[Aplicación]],14,2)</f>
        <v>21</v>
      </c>
      <c r="X3430" s="56" t="str">
        <f>MID(Tabla1[[#This Row],[Aplicación]],14,6)</f>
        <v>214</v>
      </c>
    </row>
    <row r="3431" spans="1:24" x14ac:dyDescent="0.25">
      <c r="A3431" s="63">
        <v>220230028633</v>
      </c>
      <c r="B3431" s="44" t="s">
        <v>507</v>
      </c>
      <c r="C3431" s="64">
        <v>45085</v>
      </c>
      <c r="D3431" s="62">
        <v>22023002263</v>
      </c>
      <c r="E3431" s="44" t="s">
        <v>669</v>
      </c>
      <c r="F3431" s="65">
        <v>2000</v>
      </c>
      <c r="G3431" s="44" t="s">
        <v>30</v>
      </c>
      <c r="H3431" s="44" t="s">
        <v>5148</v>
      </c>
      <c r="I3431" s="62" t="s">
        <v>511</v>
      </c>
      <c r="J3431" s="44" t="s">
        <v>519</v>
      </c>
      <c r="K3431" s="44" t="s">
        <v>519</v>
      </c>
      <c r="L3431" s="44" t="s">
        <v>520</v>
      </c>
      <c r="M3431" s="44" t="s">
        <v>976</v>
      </c>
      <c r="N3431" s="44" t="s">
        <v>839</v>
      </c>
      <c r="O3431" s="45" t="s">
        <v>383</v>
      </c>
      <c r="P3431" s="45" t="s">
        <v>3760</v>
      </c>
      <c r="Q3431" s="59" t="str">
        <f>MID(Tabla1[[#This Row],[Aplicación]],14,1)</f>
        <v>2</v>
      </c>
      <c r="R3431" s="35" t="s">
        <v>298</v>
      </c>
      <c r="S3431" s="59" t="str">
        <f>MID(Tabla1[[#This Row],[Aplicación]],6,2)</f>
        <v>06</v>
      </c>
      <c r="T3431" s="35" t="str">
        <f>VLOOKUP(Tabla1[[#This Row],[AREA]],Hoja1!A:B,2,FALSE)</f>
        <v>06. Educación, infancia, juventud e igualdad</v>
      </c>
      <c r="U3431" s="56" t="str">
        <f>MID(Tabla1[[#This Row],[Aplicación]],9,4)</f>
        <v>3232</v>
      </c>
      <c r="V3431" s="35" t="str">
        <f>VLOOKUP(Tabla1[[#This Row],[PROGRAMA]],Hoja1!A:B,2,FALSE)</f>
        <v>3232. Conservación y mantenimiento centros educación infantil y primaria</v>
      </c>
      <c r="W3431" s="56" t="str">
        <f>MID(Tabla1[[#This Row],[Aplicación]],14,2)</f>
        <v>21</v>
      </c>
      <c r="X3431" s="56" t="str">
        <f>MID(Tabla1[[#This Row],[Aplicación]],14,6)</f>
        <v>213</v>
      </c>
    </row>
    <row r="3432" spans="1:24" x14ac:dyDescent="0.25">
      <c r="A3432" s="63">
        <v>220230030082</v>
      </c>
      <c r="B3432" s="44" t="s">
        <v>1514</v>
      </c>
      <c r="C3432" s="64">
        <v>45093</v>
      </c>
      <c r="D3432" s="62">
        <v>22023003932</v>
      </c>
      <c r="E3432" s="44" t="s">
        <v>1515</v>
      </c>
      <c r="F3432" s="65">
        <v>2165.62</v>
      </c>
      <c r="G3432" s="44" t="s">
        <v>1372</v>
      </c>
      <c r="H3432" s="44" t="s">
        <v>5135</v>
      </c>
      <c r="I3432" s="62" t="s">
        <v>1517</v>
      </c>
      <c r="J3432" s="44" t="s">
        <v>519</v>
      </c>
      <c r="K3432" s="44" t="s">
        <v>519</v>
      </c>
      <c r="L3432" s="44" t="s">
        <v>552</v>
      </c>
      <c r="M3432" s="44" t="s">
        <v>514</v>
      </c>
      <c r="N3432" s="44" t="s">
        <v>515</v>
      </c>
      <c r="O3432" s="45" t="s">
        <v>382</v>
      </c>
      <c r="P3432" s="45" t="s">
        <v>3760</v>
      </c>
      <c r="Q3432" s="59" t="str">
        <f>MID(Tabla1[[#This Row],[Aplicación]],14,1)</f>
        <v>2</v>
      </c>
      <c r="R3432" s="35" t="s">
        <v>298</v>
      </c>
      <c r="S3432" s="59" t="str">
        <f>MID(Tabla1[[#This Row],[Aplicación]],6,2)</f>
        <v>07</v>
      </c>
      <c r="T3432" s="35" t="str">
        <f>VLOOKUP(Tabla1[[#This Row],[AREA]],Hoja1!A:B,2,FALSE)</f>
        <v>07. Medio ambiente y desarrollo sostenible</v>
      </c>
      <c r="U3432" s="56" t="str">
        <f>MID(Tabla1[[#This Row],[Aplicación]],9,4)</f>
        <v>1711</v>
      </c>
      <c r="V3432" s="35" t="str">
        <f>VLOOKUP(Tabla1[[#This Row],[PROGRAMA]],Hoja1!A:B,2,FALSE)</f>
        <v>1711. Parques y jardines</v>
      </c>
      <c r="W3432" s="56" t="str">
        <f>MID(Tabla1[[#This Row],[Aplicación]],14,2)</f>
        <v>22</v>
      </c>
      <c r="X3432" s="56" t="str">
        <f>MID(Tabla1[[#This Row],[Aplicación]],14,6)</f>
        <v>22199</v>
      </c>
    </row>
    <row r="3433" spans="1:24" x14ac:dyDescent="0.25">
      <c r="A3433" s="63">
        <v>220230030165</v>
      </c>
      <c r="B3433" s="44" t="s">
        <v>1514</v>
      </c>
      <c r="C3433" s="64">
        <v>45093</v>
      </c>
      <c r="D3433" s="62">
        <v>22023004206</v>
      </c>
      <c r="E3433" s="44" t="s">
        <v>1305</v>
      </c>
      <c r="F3433" s="65">
        <v>140.36000000000001</v>
      </c>
      <c r="G3433" s="44" t="s">
        <v>1372</v>
      </c>
      <c r="H3433" s="44" t="s">
        <v>5149</v>
      </c>
      <c r="I3433" s="62" t="s">
        <v>1517</v>
      </c>
      <c r="J3433" s="44" t="s">
        <v>519</v>
      </c>
      <c r="K3433" s="44" t="s">
        <v>519</v>
      </c>
      <c r="L3433" s="44" t="s">
        <v>552</v>
      </c>
      <c r="M3433" s="44" t="s">
        <v>514</v>
      </c>
      <c r="N3433" s="44" t="s">
        <v>515</v>
      </c>
      <c r="O3433" s="45" t="s">
        <v>382</v>
      </c>
      <c r="P3433" s="45" t="s">
        <v>3760</v>
      </c>
      <c r="Q3433" s="59" t="str">
        <f>MID(Tabla1[[#This Row],[Aplicación]],14,1)</f>
        <v>2</v>
      </c>
      <c r="R3433" s="35" t="s">
        <v>298</v>
      </c>
      <c r="S3433" s="59" t="str">
        <f>MID(Tabla1[[#This Row],[Aplicación]],6,2)</f>
        <v>06</v>
      </c>
      <c r="T3433" s="35" t="str">
        <f>VLOOKUP(Tabla1[[#This Row],[AREA]],Hoja1!A:B,2,FALSE)</f>
        <v>06. Educación, infancia, juventud e igualdad</v>
      </c>
      <c r="U3433" s="56" t="str">
        <f>MID(Tabla1[[#This Row],[Aplicación]],9,4)</f>
        <v>3232</v>
      </c>
      <c r="V3433" s="35" t="str">
        <f>VLOOKUP(Tabla1[[#This Row],[PROGRAMA]],Hoja1!A:B,2,FALSE)</f>
        <v>3232. Conservación y mantenimiento centros educación infantil y primaria</v>
      </c>
      <c r="W3433" s="56" t="str">
        <f>MID(Tabla1[[#This Row],[Aplicación]],14,2)</f>
        <v>21</v>
      </c>
      <c r="X3433" s="56" t="str">
        <f>MID(Tabla1[[#This Row],[Aplicación]],14,6)</f>
        <v>212</v>
      </c>
    </row>
    <row r="3434" spans="1:24" x14ac:dyDescent="0.25">
      <c r="A3434" s="63">
        <v>220230032285</v>
      </c>
      <c r="B3434" s="44" t="s">
        <v>1514</v>
      </c>
      <c r="C3434" s="64">
        <v>45107</v>
      </c>
      <c r="D3434" s="62">
        <v>22023003932</v>
      </c>
      <c r="E3434" s="44" t="s">
        <v>1515</v>
      </c>
      <c r="F3434" s="65">
        <v>573.14</v>
      </c>
      <c r="G3434" s="44" t="s">
        <v>1372</v>
      </c>
      <c r="H3434" s="44" t="s">
        <v>5150</v>
      </c>
      <c r="I3434" s="62" t="s">
        <v>1517</v>
      </c>
      <c r="J3434" s="44" t="s">
        <v>519</v>
      </c>
      <c r="K3434" s="44" t="s">
        <v>519</v>
      </c>
      <c r="L3434" s="44" t="s">
        <v>552</v>
      </c>
      <c r="M3434" s="44" t="s">
        <v>514</v>
      </c>
      <c r="N3434" s="44" t="s">
        <v>515</v>
      </c>
      <c r="O3434" s="45" t="s">
        <v>382</v>
      </c>
      <c r="P3434" s="45" t="s">
        <v>3760</v>
      </c>
      <c r="Q3434" s="59" t="str">
        <f>MID(Tabla1[[#This Row],[Aplicación]],14,1)</f>
        <v>2</v>
      </c>
      <c r="R3434" s="35" t="s">
        <v>298</v>
      </c>
      <c r="S3434" s="59" t="str">
        <f>MID(Tabla1[[#This Row],[Aplicación]],6,2)</f>
        <v>07</v>
      </c>
      <c r="T3434" s="35" t="str">
        <f>VLOOKUP(Tabla1[[#This Row],[AREA]],Hoja1!A:B,2,FALSE)</f>
        <v>07. Medio ambiente y desarrollo sostenible</v>
      </c>
      <c r="U3434" s="56" t="str">
        <f>MID(Tabla1[[#This Row],[Aplicación]],9,4)</f>
        <v>1711</v>
      </c>
      <c r="V3434" s="35" t="str">
        <f>VLOOKUP(Tabla1[[#This Row],[PROGRAMA]],Hoja1!A:B,2,FALSE)</f>
        <v>1711. Parques y jardines</v>
      </c>
      <c r="W3434" s="56" t="str">
        <f>MID(Tabla1[[#This Row],[Aplicación]],14,2)</f>
        <v>22</v>
      </c>
      <c r="X3434" s="56" t="str">
        <f>MID(Tabla1[[#This Row],[Aplicación]],14,6)</f>
        <v>22199</v>
      </c>
    </row>
    <row r="3435" spans="1:24" x14ac:dyDescent="0.25">
      <c r="A3435" s="63">
        <v>220230032381</v>
      </c>
      <c r="B3435" s="44" t="s">
        <v>1514</v>
      </c>
      <c r="C3435" s="64">
        <v>45107</v>
      </c>
      <c r="D3435" s="62">
        <v>22023001474</v>
      </c>
      <c r="E3435" s="44" t="s">
        <v>1022</v>
      </c>
      <c r="F3435" s="65">
        <v>114.51</v>
      </c>
      <c r="G3435" s="44" t="s">
        <v>1372</v>
      </c>
      <c r="H3435" s="44" t="s">
        <v>5151</v>
      </c>
      <c r="I3435" s="62" t="s">
        <v>1517</v>
      </c>
      <c r="J3435" s="44" t="s">
        <v>519</v>
      </c>
      <c r="K3435" s="44" t="s">
        <v>519</v>
      </c>
      <c r="L3435" s="44" t="s">
        <v>552</v>
      </c>
      <c r="M3435" s="44" t="s">
        <v>514</v>
      </c>
      <c r="N3435" s="44" t="s">
        <v>515</v>
      </c>
      <c r="O3435" s="45" t="s">
        <v>382</v>
      </c>
      <c r="P3435" s="45" t="s">
        <v>3760</v>
      </c>
      <c r="Q3435" s="59" t="str">
        <f>MID(Tabla1[[#This Row],[Aplicación]],14,1)</f>
        <v>2</v>
      </c>
      <c r="R3435" s="35" t="s">
        <v>298</v>
      </c>
      <c r="S3435" s="59" t="str">
        <f>MID(Tabla1[[#This Row],[Aplicación]],6,2)</f>
        <v>11</v>
      </c>
      <c r="T3435" s="35" t="str">
        <f>VLOOKUP(Tabla1[[#This Row],[AREA]],Hoja1!A:B,2,FALSE)</f>
        <v>11. Salud pública y seguridad ciudadana</v>
      </c>
      <c r="U3435" s="56" t="str">
        <f>MID(Tabla1[[#This Row],[Aplicación]],9,4)</f>
        <v>1631</v>
      </c>
      <c r="V3435" s="35" t="str">
        <f>VLOOKUP(Tabla1[[#This Row],[PROGRAMA]],Hoja1!A:B,2,FALSE)</f>
        <v>1631. Limpieza viaria</v>
      </c>
      <c r="W3435" s="56" t="str">
        <f>MID(Tabla1[[#This Row],[Aplicación]],14,2)</f>
        <v>22</v>
      </c>
      <c r="X3435" s="56" t="str">
        <f>MID(Tabla1[[#This Row],[Aplicación]],14,6)</f>
        <v>22104</v>
      </c>
    </row>
    <row r="3436" spans="1:24" x14ac:dyDescent="0.25">
      <c r="A3436" s="63">
        <v>220230032399</v>
      </c>
      <c r="B3436" s="44" t="s">
        <v>1514</v>
      </c>
      <c r="C3436" s="64">
        <v>45107</v>
      </c>
      <c r="D3436" s="62">
        <v>22023003832</v>
      </c>
      <c r="E3436" s="44" t="s">
        <v>1502</v>
      </c>
      <c r="F3436" s="65">
        <v>39.479999999999997</v>
      </c>
      <c r="G3436" s="44" t="s">
        <v>1372</v>
      </c>
      <c r="H3436" s="44" t="s">
        <v>5152</v>
      </c>
      <c r="I3436" s="62" t="s">
        <v>1517</v>
      </c>
      <c r="J3436" s="44" t="s">
        <v>519</v>
      </c>
      <c r="K3436" s="44" t="s">
        <v>519</v>
      </c>
      <c r="L3436" s="44" t="s">
        <v>552</v>
      </c>
      <c r="M3436" s="44" t="s">
        <v>514</v>
      </c>
      <c r="N3436" s="44" t="s">
        <v>515</v>
      </c>
      <c r="O3436" s="45" t="s">
        <v>382</v>
      </c>
      <c r="P3436" s="45" t="s">
        <v>3760</v>
      </c>
      <c r="Q3436" s="59" t="str">
        <f>MID(Tabla1[[#This Row],[Aplicación]],14,1)</f>
        <v>2</v>
      </c>
      <c r="R3436" s="35" t="s">
        <v>298</v>
      </c>
      <c r="S3436" s="59" t="str">
        <f>MID(Tabla1[[#This Row],[Aplicación]],6,2)</f>
        <v>10</v>
      </c>
      <c r="T3436" s="35" t="str">
        <f>VLOOKUP(Tabla1[[#This Row],[AREA]],Hoja1!A:B,2,FALSE)</f>
        <v>10. Servicios sociales y mediación comunitaria</v>
      </c>
      <c r="U3436" s="56" t="str">
        <f>MID(Tabla1[[#This Row],[Aplicación]],9,4)</f>
        <v>2412</v>
      </c>
      <c r="V3436" s="35" t="str">
        <f>VLOOKUP(Tabla1[[#This Row],[PROGRAMA]],Hoja1!A:B,2,FALSE)</f>
        <v>2412. Formación para el empleo</v>
      </c>
      <c r="W3436" s="56" t="str">
        <f>MID(Tabla1[[#This Row],[Aplicación]],14,2)</f>
        <v>22</v>
      </c>
      <c r="X3436" s="56" t="str">
        <f>MID(Tabla1[[#This Row],[Aplicación]],14,6)</f>
        <v>22199</v>
      </c>
    </row>
    <row r="3437" spans="1:24" x14ac:dyDescent="0.25">
      <c r="A3437" s="63">
        <v>220230032401</v>
      </c>
      <c r="B3437" s="44" t="s">
        <v>1514</v>
      </c>
      <c r="C3437" s="64">
        <v>45107</v>
      </c>
      <c r="D3437" s="62">
        <v>22023001479</v>
      </c>
      <c r="E3437" s="44" t="s">
        <v>1502</v>
      </c>
      <c r="F3437" s="65">
        <v>18.149999999999999</v>
      </c>
      <c r="G3437" s="44" t="s">
        <v>1372</v>
      </c>
      <c r="H3437" s="44" t="s">
        <v>5153</v>
      </c>
      <c r="I3437" s="62" t="s">
        <v>1517</v>
      </c>
      <c r="J3437" s="44" t="s">
        <v>519</v>
      </c>
      <c r="K3437" s="44" t="s">
        <v>519</v>
      </c>
      <c r="L3437" s="44" t="s">
        <v>552</v>
      </c>
      <c r="M3437" s="44" t="s">
        <v>514</v>
      </c>
      <c r="N3437" s="44" t="s">
        <v>515</v>
      </c>
      <c r="O3437" s="45" t="s">
        <v>382</v>
      </c>
      <c r="P3437" s="45" t="s">
        <v>3760</v>
      </c>
      <c r="Q3437" s="59" t="str">
        <f>MID(Tabla1[[#This Row],[Aplicación]],14,1)</f>
        <v>2</v>
      </c>
      <c r="R3437" s="35" t="s">
        <v>298</v>
      </c>
      <c r="S3437" s="59" t="str">
        <f>MID(Tabla1[[#This Row],[Aplicación]],6,2)</f>
        <v>10</v>
      </c>
      <c r="T3437" s="35" t="str">
        <f>VLOOKUP(Tabla1[[#This Row],[AREA]],Hoja1!A:B,2,FALSE)</f>
        <v>10. Servicios sociales y mediación comunitaria</v>
      </c>
      <c r="U3437" s="56" t="str">
        <f>MID(Tabla1[[#This Row],[Aplicación]],9,4)</f>
        <v>2412</v>
      </c>
      <c r="V3437" s="35" t="str">
        <f>VLOOKUP(Tabla1[[#This Row],[PROGRAMA]],Hoja1!A:B,2,FALSE)</f>
        <v>2412. Formación para el empleo</v>
      </c>
      <c r="W3437" s="56" t="str">
        <f>MID(Tabla1[[#This Row],[Aplicación]],14,2)</f>
        <v>22</v>
      </c>
      <c r="X3437" s="56" t="str">
        <f>MID(Tabla1[[#This Row],[Aplicación]],14,6)</f>
        <v>22199</v>
      </c>
    </row>
    <row r="3438" spans="1:24" x14ac:dyDescent="0.25">
      <c r="A3438" s="63">
        <v>220230030133</v>
      </c>
      <c r="B3438" s="44" t="s">
        <v>1514</v>
      </c>
      <c r="C3438" s="64">
        <v>45093</v>
      </c>
      <c r="D3438" s="62">
        <v>22023002161</v>
      </c>
      <c r="E3438" s="44" t="s">
        <v>2107</v>
      </c>
      <c r="F3438" s="65">
        <v>194.7</v>
      </c>
      <c r="G3438" s="44" t="s">
        <v>4239</v>
      </c>
      <c r="H3438" s="44" t="s">
        <v>5154</v>
      </c>
      <c r="I3438" s="62" t="s">
        <v>1517</v>
      </c>
      <c r="J3438" s="44" t="s">
        <v>573</v>
      </c>
      <c r="K3438" s="44" t="s">
        <v>573</v>
      </c>
      <c r="L3438" s="44" t="s">
        <v>520</v>
      </c>
      <c r="M3438" s="44" t="s">
        <v>514</v>
      </c>
      <c r="N3438" s="44" t="s">
        <v>515</v>
      </c>
      <c r="O3438" s="45" t="s">
        <v>382</v>
      </c>
      <c r="P3438" s="45" t="s">
        <v>3760</v>
      </c>
      <c r="Q3438" s="59" t="str">
        <f>MID(Tabla1[[#This Row],[Aplicación]],14,1)</f>
        <v>2</v>
      </c>
      <c r="R3438" s="35" t="s">
        <v>298</v>
      </c>
      <c r="S3438" s="59" t="str">
        <f>MID(Tabla1[[#This Row],[Aplicación]],6,2)</f>
        <v>07</v>
      </c>
      <c r="T3438" s="35" t="str">
        <f>VLOOKUP(Tabla1[[#This Row],[AREA]],Hoja1!A:B,2,FALSE)</f>
        <v>07. Medio ambiente y desarrollo sostenible</v>
      </c>
      <c r="U3438" s="56" t="str">
        <f>MID(Tabla1[[#This Row],[Aplicación]],9,4)</f>
        <v>1711</v>
      </c>
      <c r="V3438" s="35" t="str">
        <f>VLOOKUP(Tabla1[[#This Row],[PROGRAMA]],Hoja1!A:B,2,FALSE)</f>
        <v>1711. Parques y jardines</v>
      </c>
      <c r="W3438" s="56" t="str">
        <f>MID(Tabla1[[#This Row],[Aplicación]],14,2)</f>
        <v>21</v>
      </c>
      <c r="X3438" s="56" t="str">
        <f>MID(Tabla1[[#This Row],[Aplicación]],14,6)</f>
        <v>213</v>
      </c>
    </row>
    <row r="3439" spans="1:24" x14ac:dyDescent="0.25">
      <c r="A3439" s="63">
        <v>220230032265</v>
      </c>
      <c r="B3439" s="44" t="s">
        <v>1514</v>
      </c>
      <c r="C3439" s="64">
        <v>45107</v>
      </c>
      <c r="D3439" s="62">
        <v>22023002053</v>
      </c>
      <c r="E3439" s="44" t="s">
        <v>2107</v>
      </c>
      <c r="F3439" s="65">
        <v>157.52000000000001</v>
      </c>
      <c r="G3439" s="44" t="s">
        <v>4239</v>
      </c>
      <c r="H3439" s="44" t="s">
        <v>5155</v>
      </c>
      <c r="I3439" s="62" t="s">
        <v>1517</v>
      </c>
      <c r="J3439" s="44" t="s">
        <v>573</v>
      </c>
      <c r="K3439" s="44" t="s">
        <v>573</v>
      </c>
      <c r="L3439" s="44" t="s">
        <v>520</v>
      </c>
      <c r="M3439" s="44" t="s">
        <v>514</v>
      </c>
      <c r="N3439" s="44" t="s">
        <v>515</v>
      </c>
      <c r="O3439" s="45" t="s">
        <v>382</v>
      </c>
      <c r="P3439" s="45" t="s">
        <v>3760</v>
      </c>
      <c r="Q3439" s="59" t="str">
        <f>MID(Tabla1[[#This Row],[Aplicación]],14,1)</f>
        <v>2</v>
      </c>
      <c r="R3439" s="35" t="s">
        <v>298</v>
      </c>
      <c r="S3439" s="59" t="str">
        <f>MID(Tabla1[[#This Row],[Aplicación]],6,2)</f>
        <v>07</v>
      </c>
      <c r="T3439" s="35" t="str">
        <f>VLOOKUP(Tabla1[[#This Row],[AREA]],Hoja1!A:B,2,FALSE)</f>
        <v>07. Medio ambiente y desarrollo sostenible</v>
      </c>
      <c r="U3439" s="56" t="str">
        <f>MID(Tabla1[[#This Row],[Aplicación]],9,4)</f>
        <v>1711</v>
      </c>
      <c r="V3439" s="35" t="str">
        <f>VLOOKUP(Tabla1[[#This Row],[PROGRAMA]],Hoja1!A:B,2,FALSE)</f>
        <v>1711. Parques y jardines</v>
      </c>
      <c r="W3439" s="56" t="str">
        <f>MID(Tabla1[[#This Row],[Aplicación]],14,2)</f>
        <v>21</v>
      </c>
      <c r="X3439" s="56" t="str">
        <f>MID(Tabla1[[#This Row],[Aplicación]],14,6)</f>
        <v>213</v>
      </c>
    </row>
    <row r="3440" spans="1:24" x14ac:dyDescent="0.25">
      <c r="A3440" s="63">
        <v>220230032265</v>
      </c>
      <c r="B3440" s="44" t="s">
        <v>1514</v>
      </c>
      <c r="C3440" s="64">
        <v>45107</v>
      </c>
      <c r="D3440" s="62">
        <v>22023002161</v>
      </c>
      <c r="E3440" s="44" t="s">
        <v>2107</v>
      </c>
      <c r="F3440" s="65">
        <v>574.92999999999995</v>
      </c>
      <c r="G3440" s="44" t="s">
        <v>4239</v>
      </c>
      <c r="H3440" s="44" t="s">
        <v>5155</v>
      </c>
      <c r="I3440" s="62" t="s">
        <v>1517</v>
      </c>
      <c r="J3440" s="44" t="s">
        <v>573</v>
      </c>
      <c r="K3440" s="44" t="s">
        <v>573</v>
      </c>
      <c r="L3440" s="44" t="s">
        <v>520</v>
      </c>
      <c r="M3440" s="44" t="s">
        <v>514</v>
      </c>
      <c r="N3440" s="44" t="s">
        <v>515</v>
      </c>
      <c r="O3440" s="45" t="s">
        <v>382</v>
      </c>
      <c r="P3440" s="45" t="s">
        <v>3760</v>
      </c>
      <c r="Q3440" s="59" t="str">
        <f>MID(Tabla1[[#This Row],[Aplicación]],14,1)</f>
        <v>2</v>
      </c>
      <c r="R3440" s="35" t="s">
        <v>298</v>
      </c>
      <c r="S3440" s="59" t="str">
        <f>MID(Tabla1[[#This Row],[Aplicación]],6,2)</f>
        <v>07</v>
      </c>
      <c r="T3440" s="35" t="str">
        <f>VLOOKUP(Tabla1[[#This Row],[AREA]],Hoja1!A:B,2,FALSE)</f>
        <v>07. Medio ambiente y desarrollo sostenible</v>
      </c>
      <c r="U3440" s="56" t="str">
        <f>MID(Tabla1[[#This Row],[Aplicación]],9,4)</f>
        <v>1711</v>
      </c>
      <c r="V3440" s="35" t="str">
        <f>VLOOKUP(Tabla1[[#This Row],[PROGRAMA]],Hoja1!A:B,2,FALSE)</f>
        <v>1711. Parques y jardines</v>
      </c>
      <c r="W3440" s="56" t="str">
        <f>MID(Tabla1[[#This Row],[Aplicación]],14,2)</f>
        <v>21</v>
      </c>
      <c r="X3440" s="56" t="str">
        <f>MID(Tabla1[[#This Row],[Aplicación]],14,6)</f>
        <v>213</v>
      </c>
    </row>
    <row r="3441" spans="1:24" x14ac:dyDescent="0.25">
      <c r="A3441" s="63">
        <v>220230029327</v>
      </c>
      <c r="B3441" s="44" t="s">
        <v>507</v>
      </c>
      <c r="C3441" s="64">
        <v>45090</v>
      </c>
      <c r="D3441" s="62">
        <v>22023004927</v>
      </c>
      <c r="E3441" s="44" t="s">
        <v>2310</v>
      </c>
      <c r="F3441" s="65">
        <v>2000</v>
      </c>
      <c r="G3441" s="44" t="s">
        <v>96</v>
      </c>
      <c r="H3441" s="44" t="s">
        <v>5156</v>
      </c>
      <c r="I3441" s="62" t="s">
        <v>511</v>
      </c>
      <c r="J3441" s="44" t="s">
        <v>519</v>
      </c>
      <c r="K3441" s="44" t="s">
        <v>519</v>
      </c>
      <c r="L3441" s="44" t="s">
        <v>552</v>
      </c>
      <c r="M3441" s="44" t="s">
        <v>976</v>
      </c>
      <c r="N3441" s="44" t="s">
        <v>839</v>
      </c>
      <c r="O3441" s="45" t="s">
        <v>383</v>
      </c>
      <c r="P3441" s="45" t="s">
        <v>3760</v>
      </c>
      <c r="Q3441" s="59" t="str">
        <f>MID(Tabla1[[#This Row],[Aplicación]],14,1)</f>
        <v>2</v>
      </c>
      <c r="R3441" s="35" t="s">
        <v>298</v>
      </c>
      <c r="S3441" s="59" t="str">
        <f>MID(Tabla1[[#This Row],[Aplicación]],6,2)</f>
        <v>11</v>
      </c>
      <c r="T3441" s="35" t="str">
        <f>VLOOKUP(Tabla1[[#This Row],[AREA]],Hoja1!A:B,2,FALSE)</f>
        <v>11. Salud pública y seguridad ciudadana</v>
      </c>
      <c r="U3441" s="56" t="str">
        <f>MID(Tabla1[[#This Row],[Aplicación]],9,4)</f>
        <v>1321</v>
      </c>
      <c r="V3441" s="35" t="str">
        <f>VLOOKUP(Tabla1[[#This Row],[PROGRAMA]],Hoja1!A:B,2,FALSE)</f>
        <v>1321. Policía municipal</v>
      </c>
      <c r="W3441" s="56" t="str">
        <f>MID(Tabla1[[#This Row],[Aplicación]],14,2)</f>
        <v>22</v>
      </c>
      <c r="X3441" s="56" t="str">
        <f>MID(Tabla1[[#This Row],[Aplicación]],14,6)</f>
        <v>22199</v>
      </c>
    </row>
    <row r="3442" spans="1:24" x14ac:dyDescent="0.25">
      <c r="A3442" s="63">
        <v>220230031205</v>
      </c>
      <c r="B3442" s="44" t="s">
        <v>507</v>
      </c>
      <c r="C3442" s="64">
        <v>45099</v>
      </c>
      <c r="D3442" s="62">
        <v>22023005067</v>
      </c>
      <c r="E3442" s="44" t="s">
        <v>693</v>
      </c>
      <c r="F3442" s="65">
        <v>1940.96</v>
      </c>
      <c r="G3442" s="44" t="s">
        <v>4491</v>
      </c>
      <c r="H3442" s="44" t="s">
        <v>5157</v>
      </c>
      <c r="I3442" s="62" t="s">
        <v>511</v>
      </c>
      <c r="J3442" s="44" t="s">
        <v>4493</v>
      </c>
      <c r="K3442" s="44" t="s">
        <v>512</v>
      </c>
      <c r="L3442" s="44" t="s">
        <v>552</v>
      </c>
      <c r="M3442" s="44" t="s">
        <v>976</v>
      </c>
      <c r="N3442" s="44" t="s">
        <v>839</v>
      </c>
      <c r="O3442" s="45" t="s">
        <v>383</v>
      </c>
      <c r="P3442" s="45" t="s">
        <v>3760</v>
      </c>
      <c r="Q3442" s="59" t="str">
        <f>MID(Tabla1[[#This Row],[Aplicación]],14,1)</f>
        <v>2</v>
      </c>
      <c r="R3442" s="35" t="s">
        <v>298</v>
      </c>
      <c r="S3442" s="59" t="str">
        <f>MID(Tabla1[[#This Row],[Aplicación]],6,2)</f>
        <v>11</v>
      </c>
      <c r="T3442" s="35" t="str">
        <f>VLOOKUP(Tabla1[[#This Row],[AREA]],Hoja1!A:B,2,FALSE)</f>
        <v>11. Salud pública y seguridad ciudadana</v>
      </c>
      <c r="U3442" s="56" t="str">
        <f>MID(Tabla1[[#This Row],[Aplicación]],9,4)</f>
        <v>1361</v>
      </c>
      <c r="V3442" s="35" t="str">
        <f>VLOOKUP(Tabla1[[#This Row],[PROGRAMA]],Hoja1!A:B,2,FALSE)</f>
        <v>1361. Prevención y extinción de incencios</v>
      </c>
      <c r="W3442" s="56" t="str">
        <f>MID(Tabla1[[#This Row],[Aplicación]],14,2)</f>
        <v>21</v>
      </c>
      <c r="X3442" s="56" t="str">
        <f>MID(Tabla1[[#This Row],[Aplicación]],14,6)</f>
        <v>213</v>
      </c>
    </row>
    <row r="3443" spans="1:24" x14ac:dyDescent="0.25">
      <c r="A3443" s="63">
        <v>220230028639</v>
      </c>
      <c r="B3443" s="44" t="s">
        <v>507</v>
      </c>
      <c r="C3443" s="64">
        <v>45085</v>
      </c>
      <c r="D3443" s="62">
        <v>22023004839</v>
      </c>
      <c r="E3443" s="44" t="s">
        <v>693</v>
      </c>
      <c r="F3443" s="65">
        <v>1923.04</v>
      </c>
      <c r="G3443" s="44" t="s">
        <v>4491</v>
      </c>
      <c r="H3443" s="44" t="s">
        <v>5158</v>
      </c>
      <c r="I3443" s="62" t="s">
        <v>511</v>
      </c>
      <c r="J3443" s="44" t="s">
        <v>4493</v>
      </c>
      <c r="K3443" s="44" t="s">
        <v>512</v>
      </c>
      <c r="L3443" s="44" t="s">
        <v>552</v>
      </c>
      <c r="M3443" s="44" t="s">
        <v>976</v>
      </c>
      <c r="N3443" s="44" t="s">
        <v>839</v>
      </c>
      <c r="O3443" s="45" t="s">
        <v>383</v>
      </c>
      <c r="P3443" s="45" t="s">
        <v>3760</v>
      </c>
      <c r="Q3443" s="59" t="str">
        <f>MID(Tabla1[[#This Row],[Aplicación]],14,1)</f>
        <v>2</v>
      </c>
      <c r="R3443" s="35" t="s">
        <v>298</v>
      </c>
      <c r="S3443" s="59" t="str">
        <f>MID(Tabla1[[#This Row],[Aplicación]],6,2)</f>
        <v>11</v>
      </c>
      <c r="T3443" s="35" t="str">
        <f>VLOOKUP(Tabla1[[#This Row],[AREA]],Hoja1!A:B,2,FALSE)</f>
        <v>11. Salud pública y seguridad ciudadana</v>
      </c>
      <c r="U3443" s="56" t="str">
        <f>MID(Tabla1[[#This Row],[Aplicación]],9,4)</f>
        <v>1361</v>
      </c>
      <c r="V3443" s="35" t="str">
        <f>VLOOKUP(Tabla1[[#This Row],[PROGRAMA]],Hoja1!A:B,2,FALSE)</f>
        <v>1361. Prevención y extinción de incencios</v>
      </c>
      <c r="W3443" s="56" t="str">
        <f>MID(Tabla1[[#This Row],[Aplicación]],14,2)</f>
        <v>21</v>
      </c>
      <c r="X3443" s="56" t="str">
        <f>MID(Tabla1[[#This Row],[Aplicación]],14,6)</f>
        <v>213</v>
      </c>
    </row>
    <row r="3444" spans="1:24" x14ac:dyDescent="0.25">
      <c r="A3444" s="63">
        <v>220230032427</v>
      </c>
      <c r="B3444" s="44" t="s">
        <v>1249</v>
      </c>
      <c r="C3444" s="64">
        <v>45107</v>
      </c>
      <c r="D3444" s="62">
        <v>22023005011</v>
      </c>
      <c r="E3444" s="44" t="s">
        <v>1299</v>
      </c>
      <c r="F3444" s="65">
        <v>1909</v>
      </c>
      <c r="G3444" s="44" t="s">
        <v>4063</v>
      </c>
      <c r="H3444" s="44" t="s">
        <v>5159</v>
      </c>
      <c r="I3444" s="62" t="s">
        <v>1251</v>
      </c>
      <c r="J3444" s="44" t="s">
        <v>512</v>
      </c>
      <c r="K3444" s="44" t="s">
        <v>512</v>
      </c>
      <c r="L3444" s="44" t="s">
        <v>552</v>
      </c>
      <c r="M3444" s="44" t="s">
        <v>976</v>
      </c>
      <c r="N3444" s="44" t="s">
        <v>839</v>
      </c>
      <c r="O3444" s="45" t="s">
        <v>383</v>
      </c>
      <c r="P3444" s="45" t="s">
        <v>3760</v>
      </c>
      <c r="Q3444" s="59" t="str">
        <f>MID(Tabla1[[#This Row],[Aplicación]],14,1)</f>
        <v>2</v>
      </c>
      <c r="R3444" s="35" t="s">
        <v>298</v>
      </c>
      <c r="S3444" s="59" t="str">
        <f>MID(Tabla1[[#This Row],[Aplicación]],6,2)</f>
        <v>06</v>
      </c>
      <c r="T3444" s="35" t="str">
        <f>VLOOKUP(Tabla1[[#This Row],[AREA]],Hoja1!A:B,2,FALSE)</f>
        <v>06. Educación, infancia, juventud e igualdad</v>
      </c>
      <c r="U3444" s="56" t="str">
        <f>MID(Tabla1[[#This Row],[Aplicación]],9,4)</f>
        <v>3321</v>
      </c>
      <c r="V3444" s="35" t="str">
        <f>VLOOKUP(Tabla1[[#This Row],[PROGRAMA]],Hoja1!A:B,2,FALSE)</f>
        <v>3321. Bibliotecas públicas</v>
      </c>
      <c r="W3444" s="56" t="str">
        <f>MID(Tabla1[[#This Row],[Aplicación]],14,2)</f>
        <v>22</v>
      </c>
      <c r="X3444" s="56" t="str">
        <f>MID(Tabla1[[#This Row],[Aplicación]],14,6)</f>
        <v>22001</v>
      </c>
    </row>
    <row r="3445" spans="1:24" x14ac:dyDescent="0.25">
      <c r="A3445" s="63">
        <v>220230031623</v>
      </c>
      <c r="B3445" s="44" t="s">
        <v>507</v>
      </c>
      <c r="C3445" s="64">
        <v>45105</v>
      </c>
      <c r="D3445" s="62">
        <v>22023004904</v>
      </c>
      <c r="E3445" s="44" t="s">
        <v>1618</v>
      </c>
      <c r="F3445" s="65">
        <v>1866.26</v>
      </c>
      <c r="G3445" s="44" t="s">
        <v>53</v>
      </c>
      <c r="H3445" s="44" t="s">
        <v>5160</v>
      </c>
      <c r="I3445" s="62" t="s">
        <v>511</v>
      </c>
      <c r="J3445" s="44" t="s">
        <v>519</v>
      </c>
      <c r="K3445" s="44" t="s">
        <v>519</v>
      </c>
      <c r="L3445" s="44" t="s">
        <v>520</v>
      </c>
      <c r="M3445" s="44" t="s">
        <v>976</v>
      </c>
      <c r="N3445" s="44" t="s">
        <v>839</v>
      </c>
      <c r="O3445" s="45" t="s">
        <v>383</v>
      </c>
      <c r="P3445" s="45" t="s">
        <v>3760</v>
      </c>
      <c r="Q3445" s="59" t="str">
        <f>MID(Tabla1[[#This Row],[Aplicación]],14,1)</f>
        <v>2</v>
      </c>
      <c r="R3445" s="35" t="s">
        <v>298</v>
      </c>
      <c r="S3445" s="59" t="str">
        <f>MID(Tabla1[[#This Row],[Aplicación]],6,2)</f>
        <v>09</v>
      </c>
      <c r="T3445" s="35" t="str">
        <f>VLOOKUP(Tabla1[[#This Row],[AREA]],Hoja1!A:B,2,FALSE)</f>
        <v>09. Cultura y turismo</v>
      </c>
      <c r="U3445" s="56" t="str">
        <f>MID(Tabla1[[#This Row],[Aplicación]],9,4)</f>
        <v>3341</v>
      </c>
      <c r="V3445" s="35" t="str">
        <f>VLOOKUP(Tabla1[[#This Row],[PROGRAMA]],Hoja1!A:B,2,FALSE)</f>
        <v>3341. Coordinación de políticas culturales</v>
      </c>
      <c r="W3445" s="56" t="str">
        <f>MID(Tabla1[[#This Row],[Aplicación]],14,2)</f>
        <v>22</v>
      </c>
      <c r="X3445" s="56" t="str">
        <f>MID(Tabla1[[#This Row],[Aplicación]],14,6)</f>
        <v>22700</v>
      </c>
    </row>
    <row r="3446" spans="1:24" x14ac:dyDescent="0.25">
      <c r="A3446" s="63">
        <v>220230030703</v>
      </c>
      <c r="B3446" s="44" t="s">
        <v>507</v>
      </c>
      <c r="C3446" s="64">
        <v>45097</v>
      </c>
      <c r="D3446" s="62">
        <v>22023004935</v>
      </c>
      <c r="E3446" s="44" t="s">
        <v>1694</v>
      </c>
      <c r="F3446" s="65">
        <v>1795.13</v>
      </c>
      <c r="G3446" s="44" t="s">
        <v>5161</v>
      </c>
      <c r="H3446" s="44" t="s">
        <v>5162</v>
      </c>
      <c r="I3446" s="62" t="s">
        <v>511</v>
      </c>
      <c r="J3446" s="44" t="s">
        <v>519</v>
      </c>
      <c r="K3446" s="44" t="s">
        <v>519</v>
      </c>
      <c r="L3446" s="44" t="s">
        <v>520</v>
      </c>
      <c r="M3446" s="44" t="s">
        <v>976</v>
      </c>
      <c r="N3446" s="44" t="s">
        <v>839</v>
      </c>
      <c r="O3446" s="45" t="s">
        <v>383</v>
      </c>
      <c r="P3446" s="45" t="s">
        <v>3760</v>
      </c>
      <c r="Q3446" s="59" t="str">
        <f>MID(Tabla1[[#This Row],[Aplicación]],14,1)</f>
        <v>2</v>
      </c>
      <c r="R3446" s="35" t="s">
        <v>298</v>
      </c>
      <c r="S3446" s="59" t="str">
        <f>MID(Tabla1[[#This Row],[Aplicación]],6,2)</f>
        <v>11</v>
      </c>
      <c r="T3446" s="35" t="str">
        <f>VLOOKUP(Tabla1[[#This Row],[AREA]],Hoja1!A:B,2,FALSE)</f>
        <v>11. Salud pública y seguridad ciudadana</v>
      </c>
      <c r="U3446" s="56" t="str">
        <f>MID(Tabla1[[#This Row],[Aplicación]],9,4)</f>
        <v>1321</v>
      </c>
      <c r="V3446" s="35" t="str">
        <f>VLOOKUP(Tabla1[[#This Row],[PROGRAMA]],Hoja1!A:B,2,FALSE)</f>
        <v>1321. Policía municipal</v>
      </c>
      <c r="W3446" s="56" t="str">
        <f>MID(Tabla1[[#This Row],[Aplicación]],14,2)</f>
        <v>21</v>
      </c>
      <c r="X3446" s="56" t="str">
        <f>MID(Tabla1[[#This Row],[Aplicación]],14,6)</f>
        <v>214</v>
      </c>
    </row>
    <row r="3447" spans="1:24" x14ac:dyDescent="0.25">
      <c r="A3447" s="63">
        <v>220230032209</v>
      </c>
      <c r="B3447" s="44" t="s">
        <v>507</v>
      </c>
      <c r="C3447" s="64">
        <v>45106</v>
      </c>
      <c r="D3447" s="62">
        <v>22023005369</v>
      </c>
      <c r="E3447" s="44" t="s">
        <v>1376</v>
      </c>
      <c r="F3447" s="65">
        <v>1700</v>
      </c>
      <c r="G3447" s="44" t="s">
        <v>5163</v>
      </c>
      <c r="H3447" s="44" t="s">
        <v>5164</v>
      </c>
      <c r="I3447" s="62" t="s">
        <v>511</v>
      </c>
      <c r="J3447" s="44" t="s">
        <v>519</v>
      </c>
      <c r="K3447" s="44" t="s">
        <v>519</v>
      </c>
      <c r="L3447" s="44" t="s">
        <v>552</v>
      </c>
      <c r="M3447" s="44" t="s">
        <v>976</v>
      </c>
      <c r="N3447" s="44" t="s">
        <v>839</v>
      </c>
      <c r="O3447" s="45" t="s">
        <v>383</v>
      </c>
      <c r="P3447" s="45" t="s">
        <v>3760</v>
      </c>
      <c r="Q3447" s="59" t="str">
        <f>MID(Tabla1[[#This Row],[Aplicación]],14,1)</f>
        <v>2</v>
      </c>
      <c r="R3447" s="35" t="s">
        <v>298</v>
      </c>
      <c r="S3447" s="59" t="str">
        <f>MID(Tabla1[[#This Row],[Aplicación]],6,2)</f>
        <v>11</v>
      </c>
      <c r="T3447" s="35" t="str">
        <f>VLOOKUP(Tabla1[[#This Row],[AREA]],Hoja1!A:B,2,FALSE)</f>
        <v>11. Salud pública y seguridad ciudadana</v>
      </c>
      <c r="U3447" s="56" t="str">
        <f>MID(Tabla1[[#This Row],[Aplicación]],9,4)</f>
        <v>1321</v>
      </c>
      <c r="V3447" s="35" t="str">
        <f>VLOOKUP(Tabla1[[#This Row],[PROGRAMA]],Hoja1!A:B,2,FALSE)</f>
        <v>1321. Policía municipal</v>
      </c>
      <c r="W3447" s="56" t="str">
        <f>MID(Tabla1[[#This Row],[Aplicación]],14,2)</f>
        <v>22</v>
      </c>
      <c r="X3447" s="56" t="str">
        <f>MID(Tabla1[[#This Row],[Aplicación]],14,6)</f>
        <v>22104</v>
      </c>
    </row>
    <row r="3448" spans="1:24" x14ac:dyDescent="0.25">
      <c r="A3448" s="63">
        <v>220230030700</v>
      </c>
      <c r="B3448" s="44" t="s">
        <v>507</v>
      </c>
      <c r="C3448" s="64">
        <v>45097</v>
      </c>
      <c r="D3448" s="62">
        <v>22023004918</v>
      </c>
      <c r="E3448" s="44" t="s">
        <v>1043</v>
      </c>
      <c r="F3448" s="65">
        <v>1669.5</v>
      </c>
      <c r="G3448" s="44" t="s">
        <v>4085</v>
      </c>
      <c r="H3448" s="44" t="s">
        <v>5165</v>
      </c>
      <c r="I3448" s="62" t="s">
        <v>511</v>
      </c>
      <c r="J3448" s="44" t="s">
        <v>519</v>
      </c>
      <c r="K3448" s="44" t="s">
        <v>519</v>
      </c>
      <c r="L3448" s="44" t="s">
        <v>520</v>
      </c>
      <c r="M3448" s="44" t="s">
        <v>976</v>
      </c>
      <c r="N3448" s="44" t="s">
        <v>839</v>
      </c>
      <c r="O3448" s="45" t="s">
        <v>383</v>
      </c>
      <c r="P3448" s="45" t="s">
        <v>3760</v>
      </c>
      <c r="Q3448" s="59" t="str">
        <f>MID(Tabla1[[#This Row],[Aplicación]],14,1)</f>
        <v>2</v>
      </c>
      <c r="R3448" s="35" t="s">
        <v>298</v>
      </c>
      <c r="S3448" s="59" t="str">
        <f>MID(Tabla1[[#This Row],[Aplicación]],6,2)</f>
        <v>10</v>
      </c>
      <c r="T3448" s="35" t="str">
        <f>VLOOKUP(Tabla1[[#This Row],[AREA]],Hoja1!A:B,2,FALSE)</f>
        <v>10. Servicios sociales y mediación comunitaria</v>
      </c>
      <c r="U3448" s="56" t="str">
        <f>MID(Tabla1[[#This Row],[Aplicación]],9,4)</f>
        <v>2312</v>
      </c>
      <c r="V3448" s="35" t="str">
        <f>VLOOKUP(Tabla1[[#This Row],[PROGRAMA]],Hoja1!A:B,2,FALSE)</f>
        <v>2312. Iniciativas sociales</v>
      </c>
      <c r="W3448" s="56" t="str">
        <f>MID(Tabla1[[#This Row],[Aplicación]],14,2)</f>
        <v>22</v>
      </c>
      <c r="X3448" s="56" t="str">
        <f>MID(Tabla1[[#This Row],[Aplicación]],14,6)</f>
        <v>22699</v>
      </c>
    </row>
    <row r="3449" spans="1:24" x14ac:dyDescent="0.25">
      <c r="A3449" s="63">
        <v>220230030712</v>
      </c>
      <c r="B3449" s="44" t="s">
        <v>507</v>
      </c>
      <c r="C3449" s="64">
        <v>45097</v>
      </c>
      <c r="D3449" s="62">
        <v>22023004914</v>
      </c>
      <c r="E3449" s="44" t="s">
        <v>732</v>
      </c>
      <c r="F3449" s="65">
        <v>1650</v>
      </c>
      <c r="G3449" s="44" t="s">
        <v>55</v>
      </c>
      <c r="H3449" s="44" t="s">
        <v>5166</v>
      </c>
      <c r="I3449" s="62" t="s">
        <v>511</v>
      </c>
      <c r="J3449" s="44" t="s">
        <v>949</v>
      </c>
      <c r="K3449" s="44" t="s">
        <v>519</v>
      </c>
      <c r="L3449" s="44" t="s">
        <v>520</v>
      </c>
      <c r="M3449" s="44" t="s">
        <v>976</v>
      </c>
      <c r="N3449" s="44" t="s">
        <v>839</v>
      </c>
      <c r="O3449" s="45" t="s">
        <v>383</v>
      </c>
      <c r="P3449" s="45" t="s">
        <v>3760</v>
      </c>
      <c r="Q3449" s="59" t="str">
        <f>MID(Tabla1[[#This Row],[Aplicación]],14,1)</f>
        <v>2</v>
      </c>
      <c r="R3449" s="35" t="s">
        <v>298</v>
      </c>
      <c r="S3449" s="59" t="str">
        <f>MID(Tabla1[[#This Row],[Aplicación]],6,2)</f>
        <v>06</v>
      </c>
      <c r="T3449" s="35" t="str">
        <f>VLOOKUP(Tabla1[[#This Row],[AREA]],Hoja1!A:B,2,FALSE)</f>
        <v>06. Educación, infancia, juventud e igualdad</v>
      </c>
      <c r="U3449" s="56" t="str">
        <f>MID(Tabla1[[#This Row],[Aplicación]],9,4)</f>
        <v>3321</v>
      </c>
      <c r="V3449" s="35" t="str">
        <f>VLOOKUP(Tabla1[[#This Row],[PROGRAMA]],Hoja1!A:B,2,FALSE)</f>
        <v>3321. Bibliotecas públicas</v>
      </c>
      <c r="W3449" s="56" t="str">
        <f>MID(Tabla1[[#This Row],[Aplicación]],14,2)</f>
        <v>22</v>
      </c>
      <c r="X3449" s="56" t="str">
        <f>MID(Tabla1[[#This Row],[Aplicación]],14,6)</f>
        <v>22799</v>
      </c>
    </row>
    <row r="3450" spans="1:24" x14ac:dyDescent="0.25">
      <c r="A3450" s="63">
        <v>220230030709</v>
      </c>
      <c r="B3450" s="44" t="s">
        <v>507</v>
      </c>
      <c r="C3450" s="64">
        <v>45097</v>
      </c>
      <c r="D3450" s="62">
        <v>22023004911</v>
      </c>
      <c r="E3450" s="44" t="s">
        <v>732</v>
      </c>
      <c r="F3450" s="65">
        <v>1584</v>
      </c>
      <c r="G3450" s="44" t="s">
        <v>2366</v>
      </c>
      <c r="H3450" s="44" t="s">
        <v>5167</v>
      </c>
      <c r="I3450" s="62" t="s">
        <v>511</v>
      </c>
      <c r="J3450" s="44" t="s">
        <v>519</v>
      </c>
      <c r="K3450" s="44" t="s">
        <v>519</v>
      </c>
      <c r="L3450" s="44" t="s">
        <v>520</v>
      </c>
      <c r="M3450" s="44" t="s">
        <v>976</v>
      </c>
      <c r="N3450" s="44" t="s">
        <v>839</v>
      </c>
      <c r="O3450" s="45" t="s">
        <v>383</v>
      </c>
      <c r="P3450" s="45" t="s">
        <v>3760</v>
      </c>
      <c r="Q3450" s="59" t="str">
        <f>MID(Tabla1[[#This Row],[Aplicación]],14,1)</f>
        <v>2</v>
      </c>
      <c r="R3450" s="35" t="s">
        <v>298</v>
      </c>
      <c r="S3450" s="59" t="str">
        <f>MID(Tabla1[[#This Row],[Aplicación]],6,2)</f>
        <v>06</v>
      </c>
      <c r="T3450" s="35" t="str">
        <f>VLOOKUP(Tabla1[[#This Row],[AREA]],Hoja1!A:B,2,FALSE)</f>
        <v>06. Educación, infancia, juventud e igualdad</v>
      </c>
      <c r="U3450" s="56" t="str">
        <f>MID(Tabla1[[#This Row],[Aplicación]],9,4)</f>
        <v>3321</v>
      </c>
      <c r="V3450" s="35" t="str">
        <f>VLOOKUP(Tabla1[[#This Row],[PROGRAMA]],Hoja1!A:B,2,FALSE)</f>
        <v>3321. Bibliotecas públicas</v>
      </c>
      <c r="W3450" s="56" t="str">
        <f>MID(Tabla1[[#This Row],[Aplicación]],14,2)</f>
        <v>22</v>
      </c>
      <c r="X3450" s="56" t="str">
        <f>MID(Tabla1[[#This Row],[Aplicación]],14,6)</f>
        <v>22799</v>
      </c>
    </row>
    <row r="3451" spans="1:24" x14ac:dyDescent="0.25">
      <c r="A3451" s="63">
        <v>220230031280</v>
      </c>
      <c r="B3451" s="44" t="s">
        <v>507</v>
      </c>
      <c r="C3451" s="64">
        <v>45100</v>
      </c>
      <c r="D3451" s="62">
        <v>22023004952</v>
      </c>
      <c r="E3451" s="44" t="s">
        <v>736</v>
      </c>
      <c r="F3451" s="65">
        <v>1562</v>
      </c>
      <c r="G3451" s="44" t="s">
        <v>55</v>
      </c>
      <c r="H3451" s="44" t="s">
        <v>5168</v>
      </c>
      <c r="I3451" s="62" t="s">
        <v>511</v>
      </c>
      <c r="J3451" s="44" t="s">
        <v>949</v>
      </c>
      <c r="K3451" s="44" t="s">
        <v>519</v>
      </c>
      <c r="L3451" s="44" t="s">
        <v>520</v>
      </c>
      <c r="M3451" s="44" t="s">
        <v>976</v>
      </c>
      <c r="N3451" s="44" t="s">
        <v>839</v>
      </c>
      <c r="O3451" s="45" t="s">
        <v>383</v>
      </c>
      <c r="P3451" s="45" t="s">
        <v>3760</v>
      </c>
      <c r="Q3451" s="59" t="str">
        <f>MID(Tabla1[[#This Row],[Aplicación]],14,1)</f>
        <v>2</v>
      </c>
      <c r="R3451" s="35" t="s">
        <v>298</v>
      </c>
      <c r="S3451" s="59" t="str">
        <f>MID(Tabla1[[#This Row],[Aplicación]],6,2)</f>
        <v>06</v>
      </c>
      <c r="T3451" s="35" t="str">
        <f>VLOOKUP(Tabla1[[#This Row],[AREA]],Hoja1!A:B,2,FALSE)</f>
        <v>06. Educación, infancia, juventud e igualdad</v>
      </c>
      <c r="U3451" s="56" t="str">
        <f>MID(Tabla1[[#This Row],[Aplicación]],9,4)</f>
        <v>3261</v>
      </c>
      <c r="V3451" s="35" t="str">
        <f>VLOOKUP(Tabla1[[#This Row],[PROGRAMA]],Hoja1!A:B,2,FALSE)</f>
        <v>3261. Servicios complementarios de educación</v>
      </c>
      <c r="W3451" s="56" t="str">
        <f>MID(Tabla1[[#This Row],[Aplicación]],14,2)</f>
        <v>22</v>
      </c>
      <c r="X3451" s="56" t="str">
        <f>MID(Tabla1[[#This Row],[Aplicación]],14,6)</f>
        <v>22799</v>
      </c>
    </row>
    <row r="3452" spans="1:24" x14ac:dyDescent="0.25">
      <c r="A3452" s="63">
        <v>220230026819</v>
      </c>
      <c r="B3452" s="44" t="s">
        <v>507</v>
      </c>
      <c r="C3452" s="64">
        <v>45078</v>
      </c>
      <c r="D3452" s="62">
        <v>22023004755</v>
      </c>
      <c r="E3452" s="44" t="s">
        <v>732</v>
      </c>
      <c r="F3452" s="65">
        <v>1500</v>
      </c>
      <c r="G3452" s="44" t="s">
        <v>5169</v>
      </c>
      <c r="H3452" s="44" t="s">
        <v>5170</v>
      </c>
      <c r="I3452" s="62" t="s">
        <v>511</v>
      </c>
      <c r="J3452" s="44" t="s">
        <v>519</v>
      </c>
      <c r="K3452" s="44" t="s">
        <v>519</v>
      </c>
      <c r="L3452" s="44" t="s">
        <v>520</v>
      </c>
      <c r="M3452" s="44" t="s">
        <v>976</v>
      </c>
      <c r="N3452" s="44" t="s">
        <v>839</v>
      </c>
      <c r="O3452" s="45" t="s">
        <v>383</v>
      </c>
      <c r="P3452" s="45" t="s">
        <v>3760</v>
      </c>
      <c r="Q3452" s="59" t="str">
        <f>MID(Tabla1[[#This Row],[Aplicación]],14,1)</f>
        <v>2</v>
      </c>
      <c r="R3452" s="35" t="s">
        <v>298</v>
      </c>
      <c r="S3452" s="59" t="str">
        <f>MID(Tabla1[[#This Row],[Aplicación]],6,2)</f>
        <v>06</v>
      </c>
      <c r="T3452" s="35" t="str">
        <f>VLOOKUP(Tabla1[[#This Row],[AREA]],Hoja1!A:B,2,FALSE)</f>
        <v>06. Educación, infancia, juventud e igualdad</v>
      </c>
      <c r="U3452" s="56" t="str">
        <f>MID(Tabla1[[#This Row],[Aplicación]],9,4)</f>
        <v>3321</v>
      </c>
      <c r="V3452" s="35" t="str">
        <f>VLOOKUP(Tabla1[[#This Row],[PROGRAMA]],Hoja1!A:B,2,FALSE)</f>
        <v>3321. Bibliotecas públicas</v>
      </c>
      <c r="W3452" s="56" t="str">
        <f>MID(Tabla1[[#This Row],[Aplicación]],14,2)</f>
        <v>22</v>
      </c>
      <c r="X3452" s="56" t="str">
        <f>MID(Tabla1[[#This Row],[Aplicación]],14,6)</f>
        <v>22799</v>
      </c>
    </row>
    <row r="3453" spans="1:24" x14ac:dyDescent="0.25">
      <c r="A3453" s="63">
        <v>220230030711</v>
      </c>
      <c r="B3453" s="44" t="s">
        <v>507</v>
      </c>
      <c r="C3453" s="64">
        <v>45097</v>
      </c>
      <c r="D3453" s="62">
        <v>22023004913</v>
      </c>
      <c r="E3453" s="44" t="s">
        <v>732</v>
      </c>
      <c r="F3453" s="65">
        <v>1500</v>
      </c>
      <c r="G3453" s="44" t="s">
        <v>418</v>
      </c>
      <c r="H3453" s="44" t="s">
        <v>5171</v>
      </c>
      <c r="I3453" s="62" t="s">
        <v>511</v>
      </c>
      <c r="J3453" s="44" t="s">
        <v>519</v>
      </c>
      <c r="K3453" s="44" t="s">
        <v>519</v>
      </c>
      <c r="L3453" s="44" t="s">
        <v>520</v>
      </c>
      <c r="M3453" s="44" t="s">
        <v>976</v>
      </c>
      <c r="N3453" s="44" t="s">
        <v>839</v>
      </c>
      <c r="O3453" s="45" t="s">
        <v>383</v>
      </c>
      <c r="P3453" s="45" t="s">
        <v>3760</v>
      </c>
      <c r="Q3453" s="59" t="str">
        <f>MID(Tabla1[[#This Row],[Aplicación]],14,1)</f>
        <v>2</v>
      </c>
      <c r="R3453" s="35" t="s">
        <v>298</v>
      </c>
      <c r="S3453" s="59" t="str">
        <f>MID(Tabla1[[#This Row],[Aplicación]],6,2)</f>
        <v>06</v>
      </c>
      <c r="T3453" s="35" t="str">
        <f>VLOOKUP(Tabla1[[#This Row],[AREA]],Hoja1!A:B,2,FALSE)</f>
        <v>06. Educación, infancia, juventud e igualdad</v>
      </c>
      <c r="U3453" s="56" t="str">
        <f>MID(Tabla1[[#This Row],[Aplicación]],9,4)</f>
        <v>3321</v>
      </c>
      <c r="V3453" s="35" t="str">
        <f>VLOOKUP(Tabla1[[#This Row],[PROGRAMA]],Hoja1!A:B,2,FALSE)</f>
        <v>3321. Bibliotecas públicas</v>
      </c>
      <c r="W3453" s="56" t="str">
        <f>MID(Tabla1[[#This Row],[Aplicación]],14,2)</f>
        <v>22</v>
      </c>
      <c r="X3453" s="56" t="str">
        <f>MID(Tabla1[[#This Row],[Aplicación]],14,6)</f>
        <v>22799</v>
      </c>
    </row>
    <row r="3454" spans="1:24" x14ac:dyDescent="0.25">
      <c r="A3454" s="63">
        <v>220230028638</v>
      </c>
      <c r="B3454" s="44" t="s">
        <v>507</v>
      </c>
      <c r="C3454" s="64">
        <v>45085</v>
      </c>
      <c r="D3454" s="62">
        <v>22023004575</v>
      </c>
      <c r="E3454" s="44" t="s">
        <v>1043</v>
      </c>
      <c r="F3454" s="65">
        <v>112.5</v>
      </c>
      <c r="G3454" s="44" t="s">
        <v>29</v>
      </c>
      <c r="H3454" s="44" t="s">
        <v>5172</v>
      </c>
      <c r="I3454" s="62" t="s">
        <v>511</v>
      </c>
      <c r="J3454" s="44" t="s">
        <v>519</v>
      </c>
      <c r="K3454" s="44" t="s">
        <v>519</v>
      </c>
      <c r="L3454" s="44" t="s">
        <v>520</v>
      </c>
      <c r="M3454" s="44" t="s">
        <v>976</v>
      </c>
      <c r="N3454" s="44" t="s">
        <v>839</v>
      </c>
      <c r="O3454" s="45" t="s">
        <v>383</v>
      </c>
      <c r="P3454" s="45" t="s">
        <v>3760</v>
      </c>
      <c r="Q3454" s="59" t="str">
        <f>MID(Tabla1[[#This Row],[Aplicación]],14,1)</f>
        <v>2</v>
      </c>
      <c r="R3454" s="35" t="s">
        <v>298</v>
      </c>
      <c r="S3454" s="59" t="str">
        <f>MID(Tabla1[[#This Row],[Aplicación]],6,2)</f>
        <v>10</v>
      </c>
      <c r="T3454" s="35" t="str">
        <f>VLOOKUP(Tabla1[[#This Row],[AREA]],Hoja1!A:B,2,FALSE)</f>
        <v>10. Servicios sociales y mediación comunitaria</v>
      </c>
      <c r="U3454" s="56" t="str">
        <f>MID(Tabla1[[#This Row],[Aplicación]],9,4)</f>
        <v>2312</v>
      </c>
      <c r="V3454" s="35" t="str">
        <f>VLOOKUP(Tabla1[[#This Row],[PROGRAMA]],Hoja1!A:B,2,FALSE)</f>
        <v>2312. Iniciativas sociales</v>
      </c>
      <c r="W3454" s="56" t="str">
        <f>MID(Tabla1[[#This Row],[Aplicación]],14,2)</f>
        <v>22</v>
      </c>
      <c r="X3454" s="56" t="str">
        <f>MID(Tabla1[[#This Row],[Aplicación]],14,6)</f>
        <v>22699</v>
      </c>
    </row>
    <row r="3455" spans="1:24" x14ac:dyDescent="0.25">
      <c r="A3455" s="63">
        <v>220230028638</v>
      </c>
      <c r="B3455" s="44" t="s">
        <v>507</v>
      </c>
      <c r="C3455" s="64">
        <v>45085</v>
      </c>
      <c r="D3455" s="62">
        <v>22023004576</v>
      </c>
      <c r="E3455" s="44" t="s">
        <v>1043</v>
      </c>
      <c r="F3455" s="65">
        <v>157.5</v>
      </c>
      <c r="G3455" s="44" t="s">
        <v>29</v>
      </c>
      <c r="H3455" s="44" t="s">
        <v>5172</v>
      </c>
      <c r="I3455" s="62" t="s">
        <v>511</v>
      </c>
      <c r="J3455" s="44" t="s">
        <v>519</v>
      </c>
      <c r="K3455" s="44" t="s">
        <v>519</v>
      </c>
      <c r="L3455" s="44" t="s">
        <v>520</v>
      </c>
      <c r="M3455" s="44" t="s">
        <v>976</v>
      </c>
      <c r="N3455" s="44" t="s">
        <v>839</v>
      </c>
      <c r="O3455" s="45" t="s">
        <v>383</v>
      </c>
      <c r="P3455" s="45" t="s">
        <v>3760</v>
      </c>
      <c r="Q3455" s="59" t="str">
        <f>MID(Tabla1[[#This Row],[Aplicación]],14,1)</f>
        <v>2</v>
      </c>
      <c r="R3455" s="35" t="s">
        <v>298</v>
      </c>
      <c r="S3455" s="59" t="str">
        <f>MID(Tabla1[[#This Row],[Aplicación]],6,2)</f>
        <v>10</v>
      </c>
      <c r="T3455" s="35" t="str">
        <f>VLOOKUP(Tabla1[[#This Row],[AREA]],Hoja1!A:B,2,FALSE)</f>
        <v>10. Servicios sociales y mediación comunitaria</v>
      </c>
      <c r="U3455" s="56" t="str">
        <f>MID(Tabla1[[#This Row],[Aplicación]],9,4)</f>
        <v>2312</v>
      </c>
      <c r="V3455" s="35" t="str">
        <f>VLOOKUP(Tabla1[[#This Row],[PROGRAMA]],Hoja1!A:B,2,FALSE)</f>
        <v>2312. Iniciativas sociales</v>
      </c>
      <c r="W3455" s="56" t="str">
        <f>MID(Tabla1[[#This Row],[Aplicación]],14,2)</f>
        <v>22</v>
      </c>
      <c r="X3455" s="56" t="str">
        <f>MID(Tabla1[[#This Row],[Aplicación]],14,6)</f>
        <v>22699</v>
      </c>
    </row>
    <row r="3456" spans="1:24" x14ac:dyDescent="0.25">
      <c r="A3456" s="63">
        <v>220230030696</v>
      </c>
      <c r="B3456" s="44" t="s">
        <v>507</v>
      </c>
      <c r="C3456" s="64">
        <v>45097</v>
      </c>
      <c r="D3456" s="62">
        <v>22023004897</v>
      </c>
      <c r="E3456" s="44" t="s">
        <v>4000</v>
      </c>
      <c r="F3456" s="65">
        <v>605</v>
      </c>
      <c r="G3456" s="44" t="s">
        <v>29</v>
      </c>
      <c r="H3456" s="44" t="s">
        <v>5173</v>
      </c>
      <c r="I3456" s="62" t="s">
        <v>511</v>
      </c>
      <c r="J3456" s="44" t="s">
        <v>519</v>
      </c>
      <c r="K3456" s="44" t="s">
        <v>519</v>
      </c>
      <c r="L3456" s="44" t="s">
        <v>520</v>
      </c>
      <c r="M3456" s="44" t="s">
        <v>976</v>
      </c>
      <c r="N3456" s="44" t="s">
        <v>839</v>
      </c>
      <c r="O3456" s="45" t="s">
        <v>383</v>
      </c>
      <c r="P3456" s="45" t="s">
        <v>3760</v>
      </c>
      <c r="Q3456" s="59" t="str">
        <f>MID(Tabla1[[#This Row],[Aplicación]],14,1)</f>
        <v>2</v>
      </c>
      <c r="R3456" s="35" t="s">
        <v>298</v>
      </c>
      <c r="S3456" s="59" t="str">
        <f>MID(Tabla1[[#This Row],[Aplicación]],6,2)</f>
        <v>04</v>
      </c>
      <c r="T3456" s="35" t="str">
        <f>VLOOKUP(Tabla1[[#This Row],[AREA]],Hoja1!A:B,2,FALSE)</f>
        <v>04. Planificación y recursos</v>
      </c>
      <c r="U3456" s="56" t="str">
        <f>MID(Tabla1[[#This Row],[Aplicación]],9,4)</f>
        <v>9231</v>
      </c>
      <c r="V3456" s="35" t="str">
        <f>VLOOKUP(Tabla1[[#This Row],[PROGRAMA]],Hoja1!A:B,2,FALSE)</f>
        <v>9231. Información, registro y gestión del padrón</v>
      </c>
      <c r="W3456" s="56" t="str">
        <f>MID(Tabla1[[#This Row],[Aplicación]],14,2)</f>
        <v>22</v>
      </c>
      <c r="X3456" s="56" t="str">
        <f>MID(Tabla1[[#This Row],[Aplicación]],14,6)</f>
        <v>22705</v>
      </c>
    </row>
    <row r="3457" spans="1:24" x14ac:dyDescent="0.25">
      <c r="A3457" s="63">
        <v>220230028412</v>
      </c>
      <c r="B3457" s="44" t="s">
        <v>1514</v>
      </c>
      <c r="C3457" s="64">
        <v>45084</v>
      </c>
      <c r="D3457" s="62">
        <v>22023001514</v>
      </c>
      <c r="E3457" s="44" t="s">
        <v>1285</v>
      </c>
      <c r="F3457" s="65">
        <v>14.27</v>
      </c>
      <c r="G3457" s="44" t="s">
        <v>4073</v>
      </c>
      <c r="H3457" s="44" t="s">
        <v>5174</v>
      </c>
      <c r="I3457" s="62" t="s">
        <v>1517</v>
      </c>
      <c r="J3457" s="44" t="s">
        <v>519</v>
      </c>
      <c r="K3457" s="44" t="s">
        <v>519</v>
      </c>
      <c r="L3457" s="44" t="s">
        <v>552</v>
      </c>
      <c r="M3457" s="44" t="s">
        <v>514</v>
      </c>
      <c r="N3457" s="44" t="s">
        <v>515</v>
      </c>
      <c r="O3457" s="45" t="s">
        <v>382</v>
      </c>
      <c r="P3457" s="45" t="s">
        <v>3760</v>
      </c>
      <c r="Q3457" s="59" t="str">
        <f>MID(Tabla1[[#This Row],[Aplicación]],14,1)</f>
        <v>2</v>
      </c>
      <c r="R3457" s="35" t="s">
        <v>298</v>
      </c>
      <c r="S3457" s="59" t="str">
        <f>MID(Tabla1[[#This Row],[Aplicación]],6,2)</f>
        <v>11</v>
      </c>
      <c r="T3457" s="35" t="str">
        <f>VLOOKUP(Tabla1[[#This Row],[AREA]],Hoja1!A:B,2,FALSE)</f>
        <v>11. Salud pública y seguridad ciudadana</v>
      </c>
      <c r="U3457" s="56" t="str">
        <f>MID(Tabla1[[#This Row],[Aplicación]],9,4)</f>
        <v>1361</v>
      </c>
      <c r="V3457" s="35" t="str">
        <f>VLOOKUP(Tabla1[[#This Row],[PROGRAMA]],Hoja1!A:B,2,FALSE)</f>
        <v>1361. Prevención y extinción de incencios</v>
      </c>
      <c r="W3457" s="56" t="str">
        <f>MID(Tabla1[[#This Row],[Aplicación]],14,2)</f>
        <v>22</v>
      </c>
      <c r="X3457" s="56" t="str">
        <f>MID(Tabla1[[#This Row],[Aplicación]],14,6)</f>
        <v>22199</v>
      </c>
    </row>
    <row r="3458" spans="1:24" x14ac:dyDescent="0.25">
      <c r="A3458" s="63">
        <v>220230028416</v>
      </c>
      <c r="B3458" s="44" t="s">
        <v>1514</v>
      </c>
      <c r="C3458" s="64">
        <v>45084</v>
      </c>
      <c r="D3458" s="62">
        <v>22023000268</v>
      </c>
      <c r="E3458" s="44" t="s">
        <v>659</v>
      </c>
      <c r="F3458" s="65">
        <v>24.08</v>
      </c>
      <c r="G3458" s="44" t="s">
        <v>1351</v>
      </c>
      <c r="H3458" s="44" t="s">
        <v>5175</v>
      </c>
      <c r="I3458" s="62" t="s">
        <v>1517</v>
      </c>
      <c r="J3458" s="44" t="s">
        <v>519</v>
      </c>
      <c r="K3458" s="44" t="s">
        <v>519</v>
      </c>
      <c r="L3458" s="44" t="s">
        <v>552</v>
      </c>
      <c r="M3458" s="44" t="s">
        <v>514</v>
      </c>
      <c r="N3458" s="44" t="s">
        <v>515</v>
      </c>
      <c r="O3458" s="45" t="s">
        <v>382</v>
      </c>
      <c r="P3458" s="45" t="s">
        <v>3760</v>
      </c>
      <c r="Q3458" s="59" t="str">
        <f>MID(Tabla1[[#This Row],[Aplicación]],14,1)</f>
        <v>2</v>
      </c>
      <c r="R3458" s="35" t="s">
        <v>298</v>
      </c>
      <c r="S3458" s="59" t="str">
        <f>MID(Tabla1[[#This Row],[Aplicación]],6,2)</f>
        <v>11</v>
      </c>
      <c r="T3458" s="35" t="str">
        <f>VLOOKUP(Tabla1[[#This Row],[AREA]],Hoja1!A:B,2,FALSE)</f>
        <v>11. Salud pública y seguridad ciudadana</v>
      </c>
      <c r="U3458" s="56" t="str">
        <f>MID(Tabla1[[#This Row],[Aplicación]],9,4)</f>
        <v>1321</v>
      </c>
      <c r="V3458" s="35" t="str">
        <f>VLOOKUP(Tabla1[[#This Row],[PROGRAMA]],Hoja1!A:B,2,FALSE)</f>
        <v>1321. Policía municipal</v>
      </c>
      <c r="W3458" s="56" t="str">
        <f>MID(Tabla1[[#This Row],[Aplicación]],14,2)</f>
        <v>21</v>
      </c>
      <c r="X3458" s="56" t="str">
        <f>MID(Tabla1[[#This Row],[Aplicación]],14,6)</f>
        <v>213</v>
      </c>
    </row>
    <row r="3459" spans="1:24" x14ac:dyDescent="0.25">
      <c r="A3459" s="63">
        <v>220230032452</v>
      </c>
      <c r="B3459" s="44" t="s">
        <v>1514</v>
      </c>
      <c r="C3459" s="64">
        <v>45107</v>
      </c>
      <c r="D3459" s="62">
        <v>22023001514</v>
      </c>
      <c r="E3459" s="44" t="s">
        <v>1285</v>
      </c>
      <c r="F3459" s="65">
        <v>28.1</v>
      </c>
      <c r="G3459" s="44" t="s">
        <v>1351</v>
      </c>
      <c r="H3459" s="44" t="s">
        <v>5176</v>
      </c>
      <c r="I3459" s="62" t="s">
        <v>1517</v>
      </c>
      <c r="J3459" s="44" t="s">
        <v>519</v>
      </c>
      <c r="K3459" s="44" t="s">
        <v>519</v>
      </c>
      <c r="L3459" s="44" t="s">
        <v>552</v>
      </c>
      <c r="M3459" s="44" t="s">
        <v>514</v>
      </c>
      <c r="N3459" s="44" t="s">
        <v>515</v>
      </c>
      <c r="O3459" s="45" t="s">
        <v>382</v>
      </c>
      <c r="P3459" s="45" t="s">
        <v>3760</v>
      </c>
      <c r="Q3459" s="59" t="str">
        <f>MID(Tabla1[[#This Row],[Aplicación]],14,1)</f>
        <v>2</v>
      </c>
      <c r="R3459" s="35" t="s">
        <v>298</v>
      </c>
      <c r="S3459" s="59" t="str">
        <f>MID(Tabla1[[#This Row],[Aplicación]],6,2)</f>
        <v>11</v>
      </c>
      <c r="T3459" s="35" t="str">
        <f>VLOOKUP(Tabla1[[#This Row],[AREA]],Hoja1!A:B,2,FALSE)</f>
        <v>11. Salud pública y seguridad ciudadana</v>
      </c>
      <c r="U3459" s="56" t="str">
        <f>MID(Tabla1[[#This Row],[Aplicación]],9,4)</f>
        <v>1361</v>
      </c>
      <c r="V3459" s="35" t="str">
        <f>VLOOKUP(Tabla1[[#This Row],[PROGRAMA]],Hoja1!A:B,2,FALSE)</f>
        <v>1361. Prevención y extinción de incencios</v>
      </c>
      <c r="W3459" s="56" t="str">
        <f>MID(Tabla1[[#This Row],[Aplicación]],14,2)</f>
        <v>22</v>
      </c>
      <c r="X3459" s="56" t="str">
        <f>MID(Tabla1[[#This Row],[Aplicación]],14,6)</f>
        <v>22199</v>
      </c>
    </row>
    <row r="3460" spans="1:24" x14ac:dyDescent="0.25">
      <c r="A3460" s="63">
        <v>220230032287</v>
      </c>
      <c r="B3460" s="44" t="s">
        <v>1514</v>
      </c>
      <c r="C3460" s="64">
        <v>45107</v>
      </c>
      <c r="D3460" s="62">
        <v>22023004185</v>
      </c>
      <c r="E3460" s="44" t="s">
        <v>5063</v>
      </c>
      <c r="F3460" s="65">
        <v>638.01</v>
      </c>
      <c r="G3460" s="44" t="s">
        <v>2115</v>
      </c>
      <c r="H3460" s="44" t="s">
        <v>5177</v>
      </c>
      <c r="I3460" s="62" t="s">
        <v>1517</v>
      </c>
      <c r="J3460" s="44" t="s">
        <v>519</v>
      </c>
      <c r="K3460" s="44" t="s">
        <v>519</v>
      </c>
      <c r="L3460" s="44" t="s">
        <v>552</v>
      </c>
      <c r="M3460" s="44" t="s">
        <v>514</v>
      </c>
      <c r="N3460" s="44" t="s">
        <v>515</v>
      </c>
      <c r="O3460" s="45" t="s">
        <v>382</v>
      </c>
      <c r="P3460" s="45" t="s">
        <v>3760</v>
      </c>
      <c r="Q3460" s="59" t="str">
        <f>MID(Tabla1[[#This Row],[Aplicación]],14,1)</f>
        <v>2</v>
      </c>
      <c r="R3460" s="35" t="s">
        <v>298</v>
      </c>
      <c r="S3460" s="59" t="str">
        <f>MID(Tabla1[[#This Row],[Aplicación]],6,2)</f>
        <v>07</v>
      </c>
      <c r="T3460" s="35" t="str">
        <f>VLOOKUP(Tabla1[[#This Row],[AREA]],Hoja1!A:B,2,FALSE)</f>
        <v>07. Medio ambiente y desarrollo sostenible</v>
      </c>
      <c r="U3460" s="56" t="str">
        <f>MID(Tabla1[[#This Row],[Aplicación]],9,4)</f>
        <v>1711</v>
      </c>
      <c r="V3460" s="35" t="str">
        <f>VLOOKUP(Tabla1[[#This Row],[PROGRAMA]],Hoja1!A:B,2,FALSE)</f>
        <v>1711. Parques y jardines</v>
      </c>
      <c r="W3460" s="56" t="str">
        <f>MID(Tabla1[[#This Row],[Aplicación]],14,2)</f>
        <v>22</v>
      </c>
      <c r="X3460" s="56" t="str">
        <f>MID(Tabla1[[#This Row],[Aplicación]],14,6)</f>
        <v>22104</v>
      </c>
    </row>
    <row r="3461" spans="1:24" x14ac:dyDescent="0.25">
      <c r="A3461" s="63">
        <v>220230032289</v>
      </c>
      <c r="B3461" s="44" t="s">
        <v>1514</v>
      </c>
      <c r="C3461" s="64">
        <v>45107</v>
      </c>
      <c r="D3461" s="62">
        <v>22023003932</v>
      </c>
      <c r="E3461" s="44" t="s">
        <v>1515</v>
      </c>
      <c r="F3461" s="65">
        <v>1165.93</v>
      </c>
      <c r="G3461" s="44" t="s">
        <v>2115</v>
      </c>
      <c r="H3461" s="44" t="s">
        <v>5178</v>
      </c>
      <c r="I3461" s="62" t="s">
        <v>1517</v>
      </c>
      <c r="J3461" s="44" t="s">
        <v>519</v>
      </c>
      <c r="K3461" s="44" t="s">
        <v>519</v>
      </c>
      <c r="L3461" s="44" t="s">
        <v>552</v>
      </c>
      <c r="M3461" s="44" t="s">
        <v>514</v>
      </c>
      <c r="N3461" s="44" t="s">
        <v>515</v>
      </c>
      <c r="O3461" s="45" t="s">
        <v>382</v>
      </c>
      <c r="P3461" s="45" t="s">
        <v>3760</v>
      </c>
      <c r="Q3461" s="59" t="str">
        <f>MID(Tabla1[[#This Row],[Aplicación]],14,1)</f>
        <v>2</v>
      </c>
      <c r="R3461" s="35" t="s">
        <v>298</v>
      </c>
      <c r="S3461" s="59" t="str">
        <f>MID(Tabla1[[#This Row],[Aplicación]],6,2)</f>
        <v>07</v>
      </c>
      <c r="T3461" s="35" t="str">
        <f>VLOOKUP(Tabla1[[#This Row],[AREA]],Hoja1!A:B,2,FALSE)</f>
        <v>07. Medio ambiente y desarrollo sostenible</v>
      </c>
      <c r="U3461" s="56" t="str">
        <f>MID(Tabla1[[#This Row],[Aplicación]],9,4)</f>
        <v>1711</v>
      </c>
      <c r="V3461" s="35" t="str">
        <f>VLOOKUP(Tabla1[[#This Row],[PROGRAMA]],Hoja1!A:B,2,FALSE)</f>
        <v>1711. Parques y jardines</v>
      </c>
      <c r="W3461" s="56" t="str">
        <f>MID(Tabla1[[#This Row],[Aplicación]],14,2)</f>
        <v>22</v>
      </c>
      <c r="X3461" s="56" t="str">
        <f>MID(Tabla1[[#This Row],[Aplicación]],14,6)</f>
        <v>22199</v>
      </c>
    </row>
    <row r="3462" spans="1:24" x14ac:dyDescent="0.25">
      <c r="A3462" s="63">
        <v>220230032325</v>
      </c>
      <c r="B3462" s="44" t="s">
        <v>1514</v>
      </c>
      <c r="C3462" s="64">
        <v>45107</v>
      </c>
      <c r="D3462" s="62">
        <v>22023001514</v>
      </c>
      <c r="E3462" s="44" t="s">
        <v>1285</v>
      </c>
      <c r="F3462" s="65">
        <v>14.54</v>
      </c>
      <c r="G3462" s="44" t="s">
        <v>2115</v>
      </c>
      <c r="H3462" s="44" t="s">
        <v>5179</v>
      </c>
      <c r="I3462" s="62" t="s">
        <v>1517</v>
      </c>
      <c r="J3462" s="44" t="s">
        <v>519</v>
      </c>
      <c r="K3462" s="44" t="s">
        <v>519</v>
      </c>
      <c r="L3462" s="44" t="s">
        <v>552</v>
      </c>
      <c r="M3462" s="44" t="s">
        <v>514</v>
      </c>
      <c r="N3462" s="44" t="s">
        <v>515</v>
      </c>
      <c r="O3462" s="45" t="s">
        <v>382</v>
      </c>
      <c r="P3462" s="45" t="s">
        <v>3760</v>
      </c>
      <c r="Q3462" s="59" t="str">
        <f>MID(Tabla1[[#This Row],[Aplicación]],14,1)</f>
        <v>2</v>
      </c>
      <c r="R3462" s="35" t="s">
        <v>298</v>
      </c>
      <c r="S3462" s="59" t="str">
        <f>MID(Tabla1[[#This Row],[Aplicación]],6,2)</f>
        <v>11</v>
      </c>
      <c r="T3462" s="35" t="str">
        <f>VLOOKUP(Tabla1[[#This Row],[AREA]],Hoja1!A:B,2,FALSE)</f>
        <v>11. Salud pública y seguridad ciudadana</v>
      </c>
      <c r="U3462" s="56" t="str">
        <f>MID(Tabla1[[#This Row],[Aplicación]],9,4)</f>
        <v>1361</v>
      </c>
      <c r="V3462" s="35" t="str">
        <f>VLOOKUP(Tabla1[[#This Row],[PROGRAMA]],Hoja1!A:B,2,FALSE)</f>
        <v>1361. Prevención y extinción de incencios</v>
      </c>
      <c r="W3462" s="56" t="str">
        <f>MID(Tabla1[[#This Row],[Aplicación]],14,2)</f>
        <v>22</v>
      </c>
      <c r="X3462" s="56" t="str">
        <f>MID(Tabla1[[#This Row],[Aplicación]],14,6)</f>
        <v>22199</v>
      </c>
    </row>
    <row r="3463" spans="1:24" x14ac:dyDescent="0.25">
      <c r="A3463" s="63">
        <v>220230032442</v>
      </c>
      <c r="B3463" s="44" t="s">
        <v>1514</v>
      </c>
      <c r="C3463" s="64">
        <v>45107</v>
      </c>
      <c r="D3463" s="62">
        <v>22023003932</v>
      </c>
      <c r="E3463" s="44" t="s">
        <v>1515</v>
      </c>
      <c r="F3463" s="65">
        <v>1467.33</v>
      </c>
      <c r="G3463" s="44" t="s">
        <v>2115</v>
      </c>
      <c r="H3463" s="44" t="s">
        <v>5180</v>
      </c>
      <c r="I3463" s="62" t="s">
        <v>1517</v>
      </c>
      <c r="J3463" s="44" t="s">
        <v>519</v>
      </c>
      <c r="K3463" s="44" t="s">
        <v>519</v>
      </c>
      <c r="L3463" s="44" t="s">
        <v>552</v>
      </c>
      <c r="M3463" s="44" t="s">
        <v>514</v>
      </c>
      <c r="N3463" s="44" t="s">
        <v>515</v>
      </c>
      <c r="O3463" s="45" t="s">
        <v>382</v>
      </c>
      <c r="P3463" s="45" t="s">
        <v>3760</v>
      </c>
      <c r="Q3463" s="59" t="str">
        <f>MID(Tabla1[[#This Row],[Aplicación]],14,1)</f>
        <v>2</v>
      </c>
      <c r="R3463" s="35" t="s">
        <v>298</v>
      </c>
      <c r="S3463" s="59" t="str">
        <f>MID(Tabla1[[#This Row],[Aplicación]],6,2)</f>
        <v>07</v>
      </c>
      <c r="T3463" s="35" t="str">
        <f>VLOOKUP(Tabla1[[#This Row],[AREA]],Hoja1!A:B,2,FALSE)</f>
        <v>07. Medio ambiente y desarrollo sostenible</v>
      </c>
      <c r="U3463" s="56" t="str">
        <f>MID(Tabla1[[#This Row],[Aplicación]],9,4)</f>
        <v>1711</v>
      </c>
      <c r="V3463" s="35" t="str">
        <f>VLOOKUP(Tabla1[[#This Row],[PROGRAMA]],Hoja1!A:B,2,FALSE)</f>
        <v>1711. Parques y jardines</v>
      </c>
      <c r="W3463" s="56" t="str">
        <f>MID(Tabla1[[#This Row],[Aplicación]],14,2)</f>
        <v>22</v>
      </c>
      <c r="X3463" s="56" t="str">
        <f>MID(Tabla1[[#This Row],[Aplicación]],14,6)</f>
        <v>22199</v>
      </c>
    </row>
    <row r="3464" spans="1:24" x14ac:dyDescent="0.25">
      <c r="A3464" s="63">
        <v>220230032444</v>
      </c>
      <c r="B3464" s="44" t="s">
        <v>1514</v>
      </c>
      <c r="C3464" s="64">
        <v>45107</v>
      </c>
      <c r="D3464" s="62">
        <v>22023003932</v>
      </c>
      <c r="E3464" s="44" t="s">
        <v>1515</v>
      </c>
      <c r="F3464" s="65">
        <v>190.26</v>
      </c>
      <c r="G3464" s="44" t="s">
        <v>2115</v>
      </c>
      <c r="H3464" s="44" t="s">
        <v>5181</v>
      </c>
      <c r="I3464" s="62" t="s">
        <v>1517</v>
      </c>
      <c r="J3464" s="44" t="s">
        <v>519</v>
      </c>
      <c r="K3464" s="44" t="s">
        <v>519</v>
      </c>
      <c r="L3464" s="44" t="s">
        <v>552</v>
      </c>
      <c r="M3464" s="44" t="s">
        <v>514</v>
      </c>
      <c r="N3464" s="44" t="s">
        <v>515</v>
      </c>
      <c r="O3464" s="45" t="s">
        <v>382</v>
      </c>
      <c r="P3464" s="45" t="s">
        <v>3760</v>
      </c>
      <c r="Q3464" s="59" t="str">
        <f>MID(Tabla1[[#This Row],[Aplicación]],14,1)</f>
        <v>2</v>
      </c>
      <c r="R3464" s="35" t="s">
        <v>298</v>
      </c>
      <c r="S3464" s="59" t="str">
        <f>MID(Tabla1[[#This Row],[Aplicación]],6,2)</f>
        <v>07</v>
      </c>
      <c r="T3464" s="35" t="str">
        <f>VLOOKUP(Tabla1[[#This Row],[AREA]],Hoja1!A:B,2,FALSE)</f>
        <v>07. Medio ambiente y desarrollo sostenible</v>
      </c>
      <c r="U3464" s="56" t="str">
        <f>MID(Tabla1[[#This Row],[Aplicación]],9,4)</f>
        <v>1711</v>
      </c>
      <c r="V3464" s="35" t="str">
        <f>VLOOKUP(Tabla1[[#This Row],[PROGRAMA]],Hoja1!A:B,2,FALSE)</f>
        <v>1711. Parques y jardines</v>
      </c>
      <c r="W3464" s="56" t="str">
        <f>MID(Tabla1[[#This Row],[Aplicación]],14,2)</f>
        <v>22</v>
      </c>
      <c r="X3464" s="56" t="str">
        <f>MID(Tabla1[[#This Row],[Aplicación]],14,6)</f>
        <v>22199</v>
      </c>
    </row>
    <row r="3465" spans="1:24" x14ac:dyDescent="0.25">
      <c r="A3465" s="63">
        <v>220230032460</v>
      </c>
      <c r="B3465" s="44" t="s">
        <v>1514</v>
      </c>
      <c r="C3465" s="64">
        <v>45107</v>
      </c>
      <c r="D3465" s="62">
        <v>22023001514</v>
      </c>
      <c r="E3465" s="44" t="s">
        <v>1285</v>
      </c>
      <c r="F3465" s="65">
        <v>479.95</v>
      </c>
      <c r="G3465" s="44" t="s">
        <v>2115</v>
      </c>
      <c r="H3465" s="44" t="s">
        <v>5182</v>
      </c>
      <c r="I3465" s="62" t="s">
        <v>1517</v>
      </c>
      <c r="J3465" s="44" t="s">
        <v>519</v>
      </c>
      <c r="K3465" s="44" t="s">
        <v>519</v>
      </c>
      <c r="L3465" s="44" t="s">
        <v>552</v>
      </c>
      <c r="M3465" s="44" t="s">
        <v>514</v>
      </c>
      <c r="N3465" s="44" t="s">
        <v>515</v>
      </c>
      <c r="O3465" s="45" t="s">
        <v>382</v>
      </c>
      <c r="P3465" s="45" t="s">
        <v>3760</v>
      </c>
      <c r="Q3465" s="59" t="str">
        <f>MID(Tabla1[[#This Row],[Aplicación]],14,1)</f>
        <v>2</v>
      </c>
      <c r="R3465" s="35" t="s">
        <v>298</v>
      </c>
      <c r="S3465" s="59" t="str">
        <f>MID(Tabla1[[#This Row],[Aplicación]],6,2)</f>
        <v>11</v>
      </c>
      <c r="T3465" s="35" t="str">
        <f>VLOOKUP(Tabla1[[#This Row],[AREA]],Hoja1!A:B,2,FALSE)</f>
        <v>11. Salud pública y seguridad ciudadana</v>
      </c>
      <c r="U3465" s="56" t="str">
        <f>MID(Tabla1[[#This Row],[Aplicación]],9,4)</f>
        <v>1361</v>
      </c>
      <c r="V3465" s="35" t="str">
        <f>VLOOKUP(Tabla1[[#This Row],[PROGRAMA]],Hoja1!A:B,2,FALSE)</f>
        <v>1361. Prevención y extinción de incencios</v>
      </c>
      <c r="W3465" s="56" t="str">
        <f>MID(Tabla1[[#This Row],[Aplicación]],14,2)</f>
        <v>22</v>
      </c>
      <c r="X3465" s="56" t="str">
        <f>MID(Tabla1[[#This Row],[Aplicación]],14,6)</f>
        <v>22199</v>
      </c>
    </row>
    <row r="3466" spans="1:24" x14ac:dyDescent="0.25">
      <c r="A3466" s="63">
        <v>220230026828</v>
      </c>
      <c r="B3466" s="44" t="s">
        <v>507</v>
      </c>
      <c r="C3466" s="64">
        <v>45078</v>
      </c>
      <c r="D3466" s="62">
        <v>22023004724</v>
      </c>
      <c r="E3466" s="44" t="s">
        <v>1303</v>
      </c>
      <c r="F3466" s="65">
        <v>1500</v>
      </c>
      <c r="G3466" s="44" t="s">
        <v>41</v>
      </c>
      <c r="H3466" s="44" t="s">
        <v>5183</v>
      </c>
      <c r="I3466" s="62" t="s">
        <v>511</v>
      </c>
      <c r="J3466" s="44" t="s">
        <v>519</v>
      </c>
      <c r="K3466" s="44" t="s">
        <v>519</v>
      </c>
      <c r="L3466" s="44" t="s">
        <v>552</v>
      </c>
      <c r="M3466" s="44" t="s">
        <v>976</v>
      </c>
      <c r="N3466" s="44" t="s">
        <v>839</v>
      </c>
      <c r="O3466" s="45" t="s">
        <v>383</v>
      </c>
      <c r="P3466" s="45" t="s">
        <v>3760</v>
      </c>
      <c r="Q3466" s="59" t="str">
        <f>MID(Tabla1[[#This Row],[Aplicación]],14,1)</f>
        <v>2</v>
      </c>
      <c r="R3466" s="35" t="s">
        <v>298</v>
      </c>
      <c r="S3466" s="59" t="str">
        <f>MID(Tabla1[[#This Row],[Aplicación]],6,2)</f>
        <v>11</v>
      </c>
      <c r="T3466" s="35" t="str">
        <f>VLOOKUP(Tabla1[[#This Row],[AREA]],Hoja1!A:B,2,FALSE)</f>
        <v>11. Salud pública y seguridad ciudadana</v>
      </c>
      <c r="U3466" s="56" t="str">
        <f>MID(Tabla1[[#This Row],[Aplicación]],9,4)</f>
        <v>1321</v>
      </c>
      <c r="V3466" s="35" t="str">
        <f>VLOOKUP(Tabla1[[#This Row],[PROGRAMA]],Hoja1!A:B,2,FALSE)</f>
        <v>1321. Policía municipal</v>
      </c>
      <c r="W3466" s="56" t="str">
        <f>MID(Tabla1[[#This Row],[Aplicación]],14,2)</f>
        <v>22</v>
      </c>
      <c r="X3466" s="56" t="str">
        <f>MID(Tabla1[[#This Row],[Aplicación]],14,6)</f>
        <v>22699</v>
      </c>
    </row>
    <row r="3467" spans="1:24" x14ac:dyDescent="0.25">
      <c r="A3467" s="63">
        <v>220230029768</v>
      </c>
      <c r="B3467" s="44" t="s">
        <v>507</v>
      </c>
      <c r="C3467" s="64">
        <v>45091</v>
      </c>
      <c r="D3467" s="62">
        <v>22023003772</v>
      </c>
      <c r="E3467" s="44" t="s">
        <v>931</v>
      </c>
      <c r="F3467" s="65">
        <v>1497.9</v>
      </c>
      <c r="G3467" s="44" t="s">
        <v>1485</v>
      </c>
      <c r="H3467" s="44" t="s">
        <v>5184</v>
      </c>
      <c r="I3467" s="62" t="s">
        <v>511</v>
      </c>
      <c r="J3467" s="44" t="s">
        <v>1487</v>
      </c>
      <c r="K3467" s="44" t="s">
        <v>519</v>
      </c>
      <c r="L3467" s="44" t="s">
        <v>520</v>
      </c>
      <c r="M3467" s="44" t="s">
        <v>976</v>
      </c>
      <c r="N3467" s="44" t="s">
        <v>839</v>
      </c>
      <c r="O3467" s="45" t="s">
        <v>383</v>
      </c>
      <c r="P3467" s="45" t="s">
        <v>3760</v>
      </c>
      <c r="Q3467" s="59" t="str">
        <f>MID(Tabla1[[#This Row],[Aplicación]],14,1)</f>
        <v>2</v>
      </c>
      <c r="R3467" s="35" t="s">
        <v>298</v>
      </c>
      <c r="S3467" s="59" t="str">
        <f>MID(Tabla1[[#This Row],[Aplicación]],6,2)</f>
        <v>09</v>
      </c>
      <c r="T3467" s="35" t="str">
        <f>VLOOKUP(Tabla1[[#This Row],[AREA]],Hoja1!A:B,2,FALSE)</f>
        <v>09. Cultura y turismo</v>
      </c>
      <c r="U3467" s="56" t="str">
        <f>MID(Tabla1[[#This Row],[Aplicación]],9,4)</f>
        <v>3341</v>
      </c>
      <c r="V3467" s="35" t="str">
        <f>VLOOKUP(Tabla1[[#This Row],[PROGRAMA]],Hoja1!A:B,2,FALSE)</f>
        <v>3341. Coordinación de políticas culturales</v>
      </c>
      <c r="W3467" s="56" t="str">
        <f>MID(Tabla1[[#This Row],[Aplicación]],14,2)</f>
        <v>22</v>
      </c>
      <c r="X3467" s="56" t="str">
        <f>MID(Tabla1[[#This Row],[Aplicación]],14,6)</f>
        <v>22799</v>
      </c>
    </row>
    <row r="3468" spans="1:24" x14ac:dyDescent="0.25">
      <c r="A3468" s="63">
        <v>220230028404</v>
      </c>
      <c r="B3468" s="44" t="s">
        <v>1514</v>
      </c>
      <c r="C3468" s="64">
        <v>45084</v>
      </c>
      <c r="D3468" s="62">
        <v>22023001514</v>
      </c>
      <c r="E3468" s="44" t="s">
        <v>1285</v>
      </c>
      <c r="F3468" s="65">
        <v>714.38</v>
      </c>
      <c r="G3468" s="44" t="s">
        <v>98</v>
      </c>
      <c r="H3468" s="44" t="s">
        <v>5185</v>
      </c>
      <c r="I3468" s="62" t="s">
        <v>1517</v>
      </c>
      <c r="J3468" s="44" t="s">
        <v>519</v>
      </c>
      <c r="K3468" s="44" t="s">
        <v>519</v>
      </c>
      <c r="L3468" s="44" t="s">
        <v>552</v>
      </c>
      <c r="M3468" s="44" t="s">
        <v>514</v>
      </c>
      <c r="N3468" s="44" t="s">
        <v>515</v>
      </c>
      <c r="O3468" s="45" t="s">
        <v>382</v>
      </c>
      <c r="P3468" s="45" t="s">
        <v>3760</v>
      </c>
      <c r="Q3468" s="59" t="str">
        <f>MID(Tabla1[[#This Row],[Aplicación]],14,1)</f>
        <v>2</v>
      </c>
      <c r="R3468" s="35" t="s">
        <v>298</v>
      </c>
      <c r="S3468" s="59" t="str">
        <f>MID(Tabla1[[#This Row],[Aplicación]],6,2)</f>
        <v>11</v>
      </c>
      <c r="T3468" s="35" t="str">
        <f>VLOOKUP(Tabla1[[#This Row],[AREA]],Hoja1!A:B,2,FALSE)</f>
        <v>11. Salud pública y seguridad ciudadana</v>
      </c>
      <c r="U3468" s="56" t="str">
        <f>MID(Tabla1[[#This Row],[Aplicación]],9,4)</f>
        <v>1361</v>
      </c>
      <c r="V3468" s="35" t="str">
        <f>VLOOKUP(Tabla1[[#This Row],[PROGRAMA]],Hoja1!A:B,2,FALSE)</f>
        <v>1361. Prevención y extinción de incencios</v>
      </c>
      <c r="W3468" s="56" t="str">
        <f>MID(Tabla1[[#This Row],[Aplicación]],14,2)</f>
        <v>22</v>
      </c>
      <c r="X3468" s="56" t="str">
        <f>MID(Tabla1[[#This Row],[Aplicación]],14,6)</f>
        <v>22199</v>
      </c>
    </row>
    <row r="3469" spans="1:24" x14ac:dyDescent="0.25">
      <c r="A3469" s="63">
        <v>220230028609</v>
      </c>
      <c r="B3469" s="44" t="s">
        <v>1514</v>
      </c>
      <c r="C3469" s="64">
        <v>45084</v>
      </c>
      <c r="D3469" s="62">
        <v>22023004205</v>
      </c>
      <c r="E3469" s="44" t="s">
        <v>2458</v>
      </c>
      <c r="F3469" s="65">
        <v>32.33</v>
      </c>
      <c r="G3469" s="44" t="s">
        <v>98</v>
      </c>
      <c r="H3469" s="44" t="s">
        <v>5186</v>
      </c>
      <c r="I3469" s="62" t="s">
        <v>1517</v>
      </c>
      <c r="J3469" s="44" t="s">
        <v>519</v>
      </c>
      <c r="K3469" s="44" t="s">
        <v>519</v>
      </c>
      <c r="L3469" s="44" t="s">
        <v>552</v>
      </c>
      <c r="M3469" s="44" t="s">
        <v>514</v>
      </c>
      <c r="N3469" s="44" t="s">
        <v>515</v>
      </c>
      <c r="O3469" s="45" t="s">
        <v>382</v>
      </c>
      <c r="P3469" s="45" t="s">
        <v>3760</v>
      </c>
      <c r="Q3469" s="59" t="str">
        <f>MID(Tabla1[[#This Row],[Aplicación]],14,1)</f>
        <v>2</v>
      </c>
      <c r="R3469" s="35" t="s">
        <v>298</v>
      </c>
      <c r="S3469" s="59" t="str">
        <f>MID(Tabla1[[#This Row],[Aplicación]],6,2)</f>
        <v>06</v>
      </c>
      <c r="T3469" s="35" t="str">
        <f>VLOOKUP(Tabla1[[#This Row],[AREA]],Hoja1!A:B,2,FALSE)</f>
        <v>06. Educación, infancia, juventud e igualdad</v>
      </c>
      <c r="U3469" s="56" t="str">
        <f>MID(Tabla1[[#This Row],[Aplicación]],9,4)</f>
        <v>3231</v>
      </c>
      <c r="V3469" s="35" t="str">
        <f>VLOOKUP(Tabla1[[#This Row],[PROGRAMA]],Hoja1!A:B,2,FALSE)</f>
        <v>3231. Escuelas infantiles</v>
      </c>
      <c r="W3469" s="56" t="str">
        <f>MID(Tabla1[[#This Row],[Aplicación]],14,2)</f>
        <v>21</v>
      </c>
      <c r="X3469" s="56" t="str">
        <f>MID(Tabla1[[#This Row],[Aplicación]],14,6)</f>
        <v>212</v>
      </c>
    </row>
    <row r="3470" spans="1:24" x14ac:dyDescent="0.25">
      <c r="A3470" s="63">
        <v>220230028613</v>
      </c>
      <c r="B3470" s="44" t="s">
        <v>1514</v>
      </c>
      <c r="C3470" s="64">
        <v>45084</v>
      </c>
      <c r="D3470" s="62">
        <v>22023000273</v>
      </c>
      <c r="E3470" s="44" t="s">
        <v>2310</v>
      </c>
      <c r="F3470" s="65">
        <v>98.36</v>
      </c>
      <c r="G3470" s="44" t="s">
        <v>98</v>
      </c>
      <c r="H3470" s="44" t="s">
        <v>5187</v>
      </c>
      <c r="I3470" s="62" t="s">
        <v>1517</v>
      </c>
      <c r="J3470" s="44" t="s">
        <v>519</v>
      </c>
      <c r="K3470" s="44" t="s">
        <v>519</v>
      </c>
      <c r="L3470" s="44" t="s">
        <v>552</v>
      </c>
      <c r="M3470" s="44" t="s">
        <v>514</v>
      </c>
      <c r="N3470" s="44" t="s">
        <v>515</v>
      </c>
      <c r="O3470" s="45" t="s">
        <v>382</v>
      </c>
      <c r="P3470" s="45" t="s">
        <v>3760</v>
      </c>
      <c r="Q3470" s="59" t="str">
        <f>MID(Tabla1[[#This Row],[Aplicación]],14,1)</f>
        <v>2</v>
      </c>
      <c r="R3470" s="35" t="s">
        <v>298</v>
      </c>
      <c r="S3470" s="59" t="str">
        <f>MID(Tabla1[[#This Row],[Aplicación]],6,2)</f>
        <v>11</v>
      </c>
      <c r="T3470" s="35" t="str">
        <f>VLOOKUP(Tabla1[[#This Row],[AREA]],Hoja1!A:B,2,FALSE)</f>
        <v>11. Salud pública y seguridad ciudadana</v>
      </c>
      <c r="U3470" s="56" t="str">
        <f>MID(Tabla1[[#This Row],[Aplicación]],9,4)</f>
        <v>1321</v>
      </c>
      <c r="V3470" s="35" t="str">
        <f>VLOOKUP(Tabla1[[#This Row],[PROGRAMA]],Hoja1!A:B,2,FALSE)</f>
        <v>1321. Policía municipal</v>
      </c>
      <c r="W3470" s="56" t="str">
        <f>MID(Tabla1[[#This Row],[Aplicación]],14,2)</f>
        <v>22</v>
      </c>
      <c r="X3470" s="56" t="str">
        <f>MID(Tabla1[[#This Row],[Aplicación]],14,6)</f>
        <v>22199</v>
      </c>
    </row>
    <row r="3471" spans="1:24" x14ac:dyDescent="0.25">
      <c r="A3471" s="62">
        <v>220230013369</v>
      </c>
      <c r="B3471" s="44" t="s">
        <v>1514</v>
      </c>
      <c r="C3471" s="64">
        <v>45020</v>
      </c>
      <c r="D3471" s="62">
        <v>22023002276</v>
      </c>
      <c r="E3471" s="44" t="s">
        <v>546</v>
      </c>
      <c r="F3471" s="65">
        <v>4125</v>
      </c>
      <c r="G3471" s="44" t="s">
        <v>400</v>
      </c>
      <c r="H3471" s="44" t="s">
        <v>5188</v>
      </c>
      <c r="I3471" s="62" t="s">
        <v>1517</v>
      </c>
      <c r="J3471" s="44" t="s">
        <v>519</v>
      </c>
      <c r="K3471" s="44" t="s">
        <v>519</v>
      </c>
      <c r="L3471" s="44" t="s">
        <v>520</v>
      </c>
      <c r="M3471" s="44" t="s">
        <v>514</v>
      </c>
      <c r="N3471" s="44" t="s">
        <v>515</v>
      </c>
      <c r="O3471" s="45" t="s">
        <v>382</v>
      </c>
      <c r="P3471" s="45" t="s">
        <v>3760</v>
      </c>
      <c r="Q3471" s="59" t="str">
        <f>MID(Tabla1[[#This Row],[Aplicación]],14,1)</f>
        <v>6</v>
      </c>
      <c r="R3471" s="35" t="s">
        <v>299</v>
      </c>
      <c r="S3471" s="59" t="str">
        <f>MID(Tabla1[[#This Row],[Aplicación]],6,2)</f>
        <v>08</v>
      </c>
      <c r="T3471" s="35" t="str">
        <f>VLOOKUP(Tabla1[[#This Row],[AREA]],Hoja1!A:B,2,FALSE)</f>
        <v>08. Movilidad y espacio urbano</v>
      </c>
      <c r="U3471" s="56" t="str">
        <f>MID(Tabla1[[#This Row],[Aplicación]],9,4)</f>
        <v>1532</v>
      </c>
      <c r="V3471" s="35" t="str">
        <f>VLOOKUP(Tabla1[[#This Row],[PROGRAMA]],Hoja1!A:B,2,FALSE)</f>
        <v>1532. Pavimentación vias públicas y otros servicios urbanísticos</v>
      </c>
      <c r="W3471" s="56" t="str">
        <f>MID(Tabla1[[#This Row],[Aplicación]],14,2)</f>
        <v>61</v>
      </c>
      <c r="X3471" s="56" t="str">
        <f>MID(Tabla1[[#This Row],[Aplicación]],14,6)</f>
        <v>619</v>
      </c>
    </row>
    <row r="3472" spans="1:24" x14ac:dyDescent="0.25">
      <c r="A3472" s="63">
        <v>220230029487</v>
      </c>
      <c r="B3472" s="44" t="s">
        <v>1514</v>
      </c>
      <c r="C3472" s="64">
        <v>45090</v>
      </c>
      <c r="D3472" s="62">
        <v>22023004207</v>
      </c>
      <c r="E3472" s="44" t="s">
        <v>2785</v>
      </c>
      <c r="F3472" s="65">
        <v>508.89</v>
      </c>
      <c r="G3472" s="44" t="s">
        <v>98</v>
      </c>
      <c r="H3472" s="44" t="s">
        <v>5189</v>
      </c>
      <c r="I3472" s="62" t="s">
        <v>1517</v>
      </c>
      <c r="J3472" s="44" t="s">
        <v>519</v>
      </c>
      <c r="K3472" s="44" t="s">
        <v>519</v>
      </c>
      <c r="L3472" s="44" t="s">
        <v>552</v>
      </c>
      <c r="M3472" s="44" t="s">
        <v>514</v>
      </c>
      <c r="N3472" s="44" t="s">
        <v>515</v>
      </c>
      <c r="O3472" s="45" t="s">
        <v>382</v>
      </c>
      <c r="P3472" s="45" t="s">
        <v>3760</v>
      </c>
      <c r="Q3472" s="59" t="str">
        <f>MID(Tabla1[[#This Row],[Aplicación]],14,1)</f>
        <v>2</v>
      </c>
      <c r="R3472" s="35" t="s">
        <v>298</v>
      </c>
      <c r="S3472" s="59" t="str">
        <f>MID(Tabla1[[#This Row],[Aplicación]],6,2)</f>
        <v>06</v>
      </c>
      <c r="T3472" s="35" t="str">
        <f>VLOOKUP(Tabla1[[#This Row],[AREA]],Hoja1!A:B,2,FALSE)</f>
        <v>06. Educación, infancia, juventud e igualdad</v>
      </c>
      <c r="U3472" s="56" t="str">
        <f>MID(Tabla1[[#This Row],[Aplicación]],9,4)</f>
        <v>3321</v>
      </c>
      <c r="V3472" s="35" t="str">
        <f>VLOOKUP(Tabla1[[#This Row],[PROGRAMA]],Hoja1!A:B,2,FALSE)</f>
        <v>3321. Bibliotecas públicas</v>
      </c>
      <c r="W3472" s="56" t="str">
        <f>MID(Tabla1[[#This Row],[Aplicación]],14,2)</f>
        <v>21</v>
      </c>
      <c r="X3472" s="56" t="str">
        <f>MID(Tabla1[[#This Row],[Aplicación]],14,6)</f>
        <v>212</v>
      </c>
    </row>
    <row r="3473" spans="1:24" x14ac:dyDescent="0.25">
      <c r="A3473" s="63">
        <v>220230031296</v>
      </c>
      <c r="B3473" s="44" t="s">
        <v>507</v>
      </c>
      <c r="C3473" s="64">
        <v>45100</v>
      </c>
      <c r="D3473" s="62">
        <v>22023005252</v>
      </c>
      <c r="E3473" s="44" t="s">
        <v>2310</v>
      </c>
      <c r="F3473" s="65">
        <v>1452</v>
      </c>
      <c r="G3473" s="44" t="s">
        <v>3120</v>
      </c>
      <c r="H3473" s="44" t="s">
        <v>5190</v>
      </c>
      <c r="I3473" s="62" t="s">
        <v>511</v>
      </c>
      <c r="J3473" s="44" t="s">
        <v>3122</v>
      </c>
      <c r="K3473" s="44" t="s">
        <v>3123</v>
      </c>
      <c r="L3473" s="44" t="s">
        <v>552</v>
      </c>
      <c r="M3473" s="44" t="s">
        <v>976</v>
      </c>
      <c r="N3473" s="44" t="s">
        <v>839</v>
      </c>
      <c r="O3473" s="45" t="s">
        <v>383</v>
      </c>
      <c r="P3473" s="45" t="s">
        <v>3760</v>
      </c>
      <c r="Q3473" s="59" t="str">
        <f>MID(Tabla1[[#This Row],[Aplicación]],14,1)</f>
        <v>2</v>
      </c>
      <c r="R3473" s="35" t="s">
        <v>298</v>
      </c>
      <c r="S3473" s="59" t="str">
        <f>MID(Tabla1[[#This Row],[Aplicación]],6,2)</f>
        <v>11</v>
      </c>
      <c r="T3473" s="35" t="str">
        <f>VLOOKUP(Tabla1[[#This Row],[AREA]],Hoja1!A:B,2,FALSE)</f>
        <v>11. Salud pública y seguridad ciudadana</v>
      </c>
      <c r="U3473" s="56" t="str">
        <f>MID(Tabla1[[#This Row],[Aplicación]],9,4)</f>
        <v>1321</v>
      </c>
      <c r="V3473" s="35" t="str">
        <f>VLOOKUP(Tabla1[[#This Row],[PROGRAMA]],Hoja1!A:B,2,FALSE)</f>
        <v>1321. Policía municipal</v>
      </c>
      <c r="W3473" s="56" t="str">
        <f>MID(Tabla1[[#This Row],[Aplicación]],14,2)</f>
        <v>22</v>
      </c>
      <c r="X3473" s="56" t="str">
        <f>MID(Tabla1[[#This Row],[Aplicación]],14,6)</f>
        <v>22199</v>
      </c>
    </row>
    <row r="3474" spans="1:24" x14ac:dyDescent="0.25">
      <c r="A3474" s="63">
        <v>220230026821</v>
      </c>
      <c r="B3474" s="44" t="s">
        <v>507</v>
      </c>
      <c r="C3474" s="64">
        <v>45078</v>
      </c>
      <c r="D3474" s="62">
        <v>22023004762</v>
      </c>
      <c r="E3474" s="44" t="s">
        <v>1191</v>
      </c>
      <c r="F3474" s="65">
        <v>1400</v>
      </c>
      <c r="G3474" s="44" t="s">
        <v>2353</v>
      </c>
      <c r="H3474" s="44" t="s">
        <v>5191</v>
      </c>
      <c r="I3474" s="62" t="s">
        <v>511</v>
      </c>
      <c r="J3474" s="44" t="s">
        <v>519</v>
      </c>
      <c r="K3474" s="44" t="s">
        <v>519</v>
      </c>
      <c r="L3474" s="44" t="s">
        <v>520</v>
      </c>
      <c r="M3474" s="44" t="s">
        <v>976</v>
      </c>
      <c r="N3474" s="44" t="s">
        <v>839</v>
      </c>
      <c r="O3474" s="45" t="s">
        <v>383</v>
      </c>
      <c r="P3474" s="45" t="s">
        <v>3760</v>
      </c>
      <c r="Q3474" s="59" t="str">
        <f>MID(Tabla1[[#This Row],[Aplicación]],14,1)</f>
        <v>2</v>
      </c>
      <c r="R3474" s="35" t="s">
        <v>298</v>
      </c>
      <c r="S3474" s="59" t="str">
        <f>MID(Tabla1[[#This Row],[Aplicación]],6,2)</f>
        <v>06</v>
      </c>
      <c r="T3474" s="35" t="str">
        <f>VLOOKUP(Tabla1[[#This Row],[AREA]],Hoja1!A:B,2,FALSE)</f>
        <v>06. Educación, infancia, juventud e igualdad</v>
      </c>
      <c r="U3474" s="56" t="str">
        <f>MID(Tabla1[[#This Row],[Aplicación]],9,4)</f>
        <v>2315</v>
      </c>
      <c r="V3474" s="35" t="str">
        <f>VLOOKUP(Tabla1[[#This Row],[PROGRAMA]],Hoja1!A:B,2,FALSE)</f>
        <v>2315. Políticas de Igualdad e infancia</v>
      </c>
      <c r="W3474" s="56" t="str">
        <f>MID(Tabla1[[#This Row],[Aplicación]],14,2)</f>
        <v>22</v>
      </c>
      <c r="X3474" s="56" t="str">
        <f>MID(Tabla1[[#This Row],[Aplicación]],14,6)</f>
        <v>22611</v>
      </c>
    </row>
    <row r="3475" spans="1:24" x14ac:dyDescent="0.25">
      <c r="A3475" s="63">
        <v>220230029597</v>
      </c>
      <c r="B3475" s="44" t="s">
        <v>507</v>
      </c>
      <c r="C3475" s="64">
        <v>45091</v>
      </c>
      <c r="D3475" s="62">
        <v>22023004976</v>
      </c>
      <c r="E3475" s="44" t="s">
        <v>3068</v>
      </c>
      <c r="F3475" s="65">
        <v>735.68</v>
      </c>
      <c r="G3475" s="44" t="s">
        <v>98</v>
      </c>
      <c r="H3475" s="44" t="s">
        <v>5192</v>
      </c>
      <c r="I3475" s="62" t="s">
        <v>511</v>
      </c>
      <c r="J3475" s="44" t="s">
        <v>519</v>
      </c>
      <c r="K3475" s="44" t="s">
        <v>519</v>
      </c>
      <c r="L3475" s="44" t="s">
        <v>552</v>
      </c>
      <c r="M3475" s="44" t="s">
        <v>514</v>
      </c>
      <c r="N3475" s="44" t="s">
        <v>515</v>
      </c>
      <c r="O3475" s="45" t="s">
        <v>382</v>
      </c>
      <c r="P3475" s="45" t="s">
        <v>3760</v>
      </c>
      <c r="Q3475" s="59" t="str">
        <f>MID(Tabla1[[#This Row],[Aplicación]],14,1)</f>
        <v>2</v>
      </c>
      <c r="R3475" s="35" t="s">
        <v>298</v>
      </c>
      <c r="S3475" s="59" t="str">
        <f>MID(Tabla1[[#This Row],[Aplicación]],6,2)</f>
        <v>05</v>
      </c>
      <c r="T3475" s="35" t="str">
        <f>VLOOKUP(Tabla1[[#This Row],[AREA]],Hoja1!A:B,2,FALSE)</f>
        <v>05. Innovación, desarrollo económico, empleo y comercio</v>
      </c>
      <c r="U3475" s="56" t="str">
        <f>MID(Tabla1[[#This Row],[Aplicación]],9,4)</f>
        <v>4312</v>
      </c>
      <c r="V3475" s="35" t="str">
        <f>VLOOKUP(Tabla1[[#This Row],[PROGRAMA]],Hoja1!A:B,2,FALSE)</f>
        <v>4312. Mercados, abastos y lonjas</v>
      </c>
      <c r="W3475" s="56" t="str">
        <f>MID(Tabla1[[#This Row],[Aplicación]],14,2)</f>
        <v>22</v>
      </c>
      <c r="X3475" s="56" t="str">
        <f>MID(Tabla1[[#This Row],[Aplicación]],14,6)</f>
        <v>22199</v>
      </c>
    </row>
    <row r="3476" spans="1:24" x14ac:dyDescent="0.25">
      <c r="A3476" s="63">
        <v>220230029598</v>
      </c>
      <c r="B3476" s="44" t="s">
        <v>507</v>
      </c>
      <c r="C3476" s="64">
        <v>45091</v>
      </c>
      <c r="D3476" s="62">
        <v>22023004977</v>
      </c>
      <c r="E3476" s="44" t="s">
        <v>3068</v>
      </c>
      <c r="F3476" s="65">
        <v>38.770000000000003</v>
      </c>
      <c r="G3476" s="44" t="s">
        <v>98</v>
      </c>
      <c r="H3476" s="44" t="s">
        <v>5193</v>
      </c>
      <c r="I3476" s="62" t="s">
        <v>511</v>
      </c>
      <c r="J3476" s="44" t="s">
        <v>519</v>
      </c>
      <c r="K3476" s="44" t="s">
        <v>519</v>
      </c>
      <c r="L3476" s="44" t="s">
        <v>552</v>
      </c>
      <c r="M3476" s="44" t="s">
        <v>514</v>
      </c>
      <c r="N3476" s="44" t="s">
        <v>515</v>
      </c>
      <c r="O3476" s="45" t="s">
        <v>382</v>
      </c>
      <c r="P3476" s="45" t="s">
        <v>3760</v>
      </c>
      <c r="Q3476" s="59" t="str">
        <f>MID(Tabla1[[#This Row],[Aplicación]],14,1)</f>
        <v>2</v>
      </c>
      <c r="R3476" s="35" t="s">
        <v>298</v>
      </c>
      <c r="S3476" s="59" t="str">
        <f>MID(Tabla1[[#This Row],[Aplicación]],6,2)</f>
        <v>05</v>
      </c>
      <c r="T3476" s="35" t="str">
        <f>VLOOKUP(Tabla1[[#This Row],[AREA]],Hoja1!A:B,2,FALSE)</f>
        <v>05. Innovación, desarrollo económico, empleo y comercio</v>
      </c>
      <c r="U3476" s="56" t="str">
        <f>MID(Tabla1[[#This Row],[Aplicación]],9,4)</f>
        <v>4312</v>
      </c>
      <c r="V3476" s="35" t="str">
        <f>VLOOKUP(Tabla1[[#This Row],[PROGRAMA]],Hoja1!A:B,2,FALSE)</f>
        <v>4312. Mercados, abastos y lonjas</v>
      </c>
      <c r="W3476" s="56" t="str">
        <f>MID(Tabla1[[#This Row],[Aplicación]],14,2)</f>
        <v>22</v>
      </c>
      <c r="X3476" s="56" t="str">
        <f>MID(Tabla1[[#This Row],[Aplicación]],14,6)</f>
        <v>22199</v>
      </c>
    </row>
    <row r="3477" spans="1:24" x14ac:dyDescent="0.25">
      <c r="A3477" s="63">
        <v>220230028629</v>
      </c>
      <c r="B3477" s="44" t="s">
        <v>507</v>
      </c>
      <c r="C3477" s="64">
        <v>45085</v>
      </c>
      <c r="D3477" s="62">
        <v>22023004864</v>
      </c>
      <c r="E3477" s="44" t="s">
        <v>602</v>
      </c>
      <c r="F3477" s="65">
        <v>1393.92</v>
      </c>
      <c r="G3477" s="44" t="s">
        <v>3927</v>
      </c>
      <c r="H3477" s="44" t="s">
        <v>5194</v>
      </c>
      <c r="I3477" s="62" t="s">
        <v>511</v>
      </c>
      <c r="J3477" s="44" t="s">
        <v>768</v>
      </c>
      <c r="K3477" s="44" t="s">
        <v>768</v>
      </c>
      <c r="L3477" s="44" t="s">
        <v>520</v>
      </c>
      <c r="M3477" s="44" t="s">
        <v>976</v>
      </c>
      <c r="N3477" s="44" t="s">
        <v>839</v>
      </c>
      <c r="O3477" s="45" t="s">
        <v>383</v>
      </c>
      <c r="P3477" s="45" t="s">
        <v>3760</v>
      </c>
      <c r="Q3477" s="59" t="str">
        <f>MID(Tabla1[[#This Row],[Aplicación]],14,1)</f>
        <v>2</v>
      </c>
      <c r="R3477" s="35" t="s">
        <v>298</v>
      </c>
      <c r="S3477" s="59" t="str">
        <f>MID(Tabla1[[#This Row],[Aplicación]],6,2)</f>
        <v>11</v>
      </c>
      <c r="T3477" s="35" t="str">
        <f>VLOOKUP(Tabla1[[#This Row],[AREA]],Hoja1!A:B,2,FALSE)</f>
        <v>11. Salud pública y seguridad ciudadana</v>
      </c>
      <c r="U3477" s="56" t="str">
        <f>MID(Tabla1[[#This Row],[Aplicación]],9,4)</f>
        <v>3111</v>
      </c>
      <c r="V3477" s="35" t="str">
        <f>VLOOKUP(Tabla1[[#This Row],[PROGRAMA]],Hoja1!A:B,2,FALSE)</f>
        <v>3111. Protección de la salubridad pública</v>
      </c>
      <c r="W3477" s="56" t="str">
        <f>MID(Tabla1[[#This Row],[Aplicación]],14,2)</f>
        <v>20</v>
      </c>
      <c r="X3477" s="56" t="str">
        <f>MID(Tabla1[[#This Row],[Aplicación]],14,6)</f>
        <v>203</v>
      </c>
    </row>
    <row r="3478" spans="1:24" x14ac:dyDescent="0.25">
      <c r="A3478" s="63">
        <v>220230026813</v>
      </c>
      <c r="B3478" s="44" t="s">
        <v>507</v>
      </c>
      <c r="C3478" s="64">
        <v>45078</v>
      </c>
      <c r="D3478" s="62">
        <v>22023004711</v>
      </c>
      <c r="E3478" s="44" t="s">
        <v>1841</v>
      </c>
      <c r="F3478" s="65">
        <v>1345.06</v>
      </c>
      <c r="G3478" s="44" t="s">
        <v>77</v>
      </c>
      <c r="H3478" s="44" t="s">
        <v>5195</v>
      </c>
      <c r="I3478" s="62" t="s">
        <v>511</v>
      </c>
      <c r="J3478" s="44" t="s">
        <v>2336</v>
      </c>
      <c r="K3478" s="44" t="s">
        <v>1359</v>
      </c>
      <c r="L3478" s="44" t="s">
        <v>520</v>
      </c>
      <c r="M3478" s="44" t="s">
        <v>976</v>
      </c>
      <c r="N3478" s="44" t="s">
        <v>839</v>
      </c>
      <c r="O3478" s="45" t="s">
        <v>383</v>
      </c>
      <c r="P3478" s="45" t="s">
        <v>3760</v>
      </c>
      <c r="Q3478" s="59" t="str">
        <f>MID(Tabla1[[#This Row],[Aplicación]],14,1)</f>
        <v>2</v>
      </c>
      <c r="R3478" s="35" t="s">
        <v>298</v>
      </c>
      <c r="S3478" s="59" t="str">
        <f>MID(Tabla1[[#This Row],[Aplicación]],6,2)</f>
        <v>11</v>
      </c>
      <c r="T3478" s="35" t="str">
        <f>VLOOKUP(Tabla1[[#This Row],[AREA]],Hoja1!A:B,2,FALSE)</f>
        <v>11. Salud pública y seguridad ciudadana</v>
      </c>
      <c r="U3478" s="56" t="str">
        <f>MID(Tabla1[[#This Row],[Aplicación]],9,4)</f>
        <v>3111</v>
      </c>
      <c r="V3478" s="35" t="str">
        <f>VLOOKUP(Tabla1[[#This Row],[PROGRAMA]],Hoja1!A:B,2,FALSE)</f>
        <v>3111. Protección de la salubridad pública</v>
      </c>
      <c r="W3478" s="56" t="str">
        <f>MID(Tabla1[[#This Row],[Aplicación]],14,2)</f>
        <v>22</v>
      </c>
      <c r="X3478" s="56" t="str">
        <f>MID(Tabla1[[#This Row],[Aplicación]],14,6)</f>
        <v>22706</v>
      </c>
    </row>
    <row r="3479" spans="1:24" x14ac:dyDescent="0.25">
      <c r="A3479" s="63">
        <v>220230030705</v>
      </c>
      <c r="B3479" s="44" t="s">
        <v>507</v>
      </c>
      <c r="C3479" s="64">
        <v>45097</v>
      </c>
      <c r="D3479" s="62">
        <v>22023004937</v>
      </c>
      <c r="E3479" s="44" t="s">
        <v>3877</v>
      </c>
      <c r="F3479" s="65">
        <v>1312.87</v>
      </c>
      <c r="G3479" s="44" t="s">
        <v>394</v>
      </c>
      <c r="H3479" s="44" t="s">
        <v>5196</v>
      </c>
      <c r="I3479" s="62" t="s">
        <v>511</v>
      </c>
      <c r="J3479" s="44" t="s">
        <v>519</v>
      </c>
      <c r="K3479" s="44" t="s">
        <v>519</v>
      </c>
      <c r="L3479" s="44" t="s">
        <v>520</v>
      </c>
      <c r="M3479" s="44" t="s">
        <v>976</v>
      </c>
      <c r="N3479" s="44" t="s">
        <v>839</v>
      </c>
      <c r="O3479" s="45" t="s">
        <v>383</v>
      </c>
      <c r="P3479" s="45" t="s">
        <v>3760</v>
      </c>
      <c r="Q3479" s="59" t="str">
        <f>MID(Tabla1[[#This Row],[Aplicación]],14,1)</f>
        <v>2</v>
      </c>
      <c r="R3479" s="35" t="s">
        <v>298</v>
      </c>
      <c r="S3479" s="59" t="str">
        <f>MID(Tabla1[[#This Row],[Aplicación]],6,2)</f>
        <v>10</v>
      </c>
      <c r="T3479" s="35" t="str">
        <f>VLOOKUP(Tabla1[[#This Row],[AREA]],Hoja1!A:B,2,FALSE)</f>
        <v>10. Servicios sociales y mediación comunitaria</v>
      </c>
      <c r="U3479" s="56" t="str">
        <f>MID(Tabla1[[#This Row],[Aplicación]],9,4)</f>
        <v>2312</v>
      </c>
      <c r="V3479" s="35" t="str">
        <f>VLOOKUP(Tabla1[[#This Row],[PROGRAMA]],Hoja1!A:B,2,FALSE)</f>
        <v>2312. Iniciativas sociales</v>
      </c>
      <c r="W3479" s="56" t="str">
        <f>MID(Tabla1[[#This Row],[Aplicación]],14,2)</f>
        <v>22</v>
      </c>
      <c r="X3479" s="56" t="str">
        <f>MID(Tabla1[[#This Row],[Aplicación]],14,6)</f>
        <v>22612</v>
      </c>
    </row>
    <row r="3480" spans="1:24" x14ac:dyDescent="0.25">
      <c r="A3480" s="63">
        <v>220230026827</v>
      </c>
      <c r="B3480" s="44" t="s">
        <v>507</v>
      </c>
      <c r="C3480" s="64">
        <v>45078</v>
      </c>
      <c r="D3480" s="62">
        <v>22023004723</v>
      </c>
      <c r="E3480" s="44" t="s">
        <v>2785</v>
      </c>
      <c r="F3480" s="65">
        <v>1276</v>
      </c>
      <c r="G3480" s="44" t="s">
        <v>2436</v>
      </c>
      <c r="H3480" s="44" t="s">
        <v>5197</v>
      </c>
      <c r="I3480" s="62" t="s">
        <v>511</v>
      </c>
      <c r="J3480" s="44" t="s">
        <v>2438</v>
      </c>
      <c r="K3480" s="44" t="s">
        <v>1359</v>
      </c>
      <c r="L3480" s="44" t="s">
        <v>552</v>
      </c>
      <c r="M3480" s="44" t="s">
        <v>976</v>
      </c>
      <c r="N3480" s="44" t="s">
        <v>839</v>
      </c>
      <c r="O3480" s="45" t="s">
        <v>383</v>
      </c>
      <c r="P3480" s="45" t="s">
        <v>3760</v>
      </c>
      <c r="Q3480" s="59" t="str">
        <f>MID(Tabla1[[#This Row],[Aplicación]],14,1)</f>
        <v>2</v>
      </c>
      <c r="R3480" s="35" t="s">
        <v>298</v>
      </c>
      <c r="S3480" s="59" t="str">
        <f>MID(Tabla1[[#This Row],[Aplicación]],6,2)</f>
        <v>06</v>
      </c>
      <c r="T3480" s="35" t="str">
        <f>VLOOKUP(Tabla1[[#This Row],[AREA]],Hoja1!A:B,2,FALSE)</f>
        <v>06. Educación, infancia, juventud e igualdad</v>
      </c>
      <c r="U3480" s="56" t="str">
        <f>MID(Tabla1[[#This Row],[Aplicación]],9,4)</f>
        <v>3321</v>
      </c>
      <c r="V3480" s="35" t="str">
        <f>VLOOKUP(Tabla1[[#This Row],[PROGRAMA]],Hoja1!A:B,2,FALSE)</f>
        <v>3321. Bibliotecas públicas</v>
      </c>
      <c r="W3480" s="56" t="str">
        <f>MID(Tabla1[[#This Row],[Aplicación]],14,2)</f>
        <v>21</v>
      </c>
      <c r="X3480" s="56" t="str">
        <f>MID(Tabla1[[#This Row],[Aplicación]],14,6)</f>
        <v>212</v>
      </c>
    </row>
    <row r="3481" spans="1:24" x14ac:dyDescent="0.25">
      <c r="A3481" s="63">
        <v>220230030685</v>
      </c>
      <c r="B3481" s="44" t="s">
        <v>507</v>
      </c>
      <c r="C3481" s="64">
        <v>45097</v>
      </c>
      <c r="D3481" s="62">
        <v>22023004960</v>
      </c>
      <c r="E3481" s="44" t="s">
        <v>4040</v>
      </c>
      <c r="F3481" s="65">
        <v>3445.74</v>
      </c>
      <c r="G3481" s="44" t="s">
        <v>400</v>
      </c>
      <c r="H3481" s="44" t="s">
        <v>5141</v>
      </c>
      <c r="I3481" s="62" t="s">
        <v>511</v>
      </c>
      <c r="J3481" s="44" t="s">
        <v>519</v>
      </c>
      <c r="K3481" s="44" t="s">
        <v>519</v>
      </c>
      <c r="L3481" s="44" t="s">
        <v>520</v>
      </c>
      <c r="M3481" s="44" t="s">
        <v>514</v>
      </c>
      <c r="N3481" s="44" t="s">
        <v>604</v>
      </c>
      <c r="O3481" s="45" t="s">
        <v>382</v>
      </c>
      <c r="P3481" s="45" t="s">
        <v>3760</v>
      </c>
      <c r="Q3481" s="59">
        <v>2</v>
      </c>
      <c r="R3481" s="35" t="s">
        <v>298</v>
      </c>
      <c r="S3481" s="59" t="str">
        <f>MID(Tabla1[[#This Row],[Aplicación]],6,2)</f>
        <v>08</v>
      </c>
      <c r="T3481" s="35" t="str">
        <f>VLOOKUP(Tabla1[[#This Row],[AREA]],Hoja1!A:B,2,FALSE)</f>
        <v>08. Movilidad y espacio urbano</v>
      </c>
      <c r="U3481" s="56" t="str">
        <f>MID(Tabla1[[#This Row],[Aplicación]],9,4)</f>
        <v>0 13</v>
      </c>
      <c r="V3481" s="59">
        <v>1301</v>
      </c>
      <c r="W3481" s="59">
        <v>22</v>
      </c>
      <c r="X3481" s="59">
        <v>22706</v>
      </c>
    </row>
    <row r="3482" spans="1:24" x14ac:dyDescent="0.25">
      <c r="A3482" s="63">
        <v>220230031237</v>
      </c>
      <c r="B3482" s="44" t="s">
        <v>507</v>
      </c>
      <c r="C3482" s="64">
        <v>45099</v>
      </c>
      <c r="D3482" s="62">
        <v>22023005015</v>
      </c>
      <c r="E3482" s="44" t="s">
        <v>578</v>
      </c>
      <c r="F3482" s="65">
        <v>1210</v>
      </c>
      <c r="G3482" s="44" t="s">
        <v>53</v>
      </c>
      <c r="H3482" s="44" t="s">
        <v>5198</v>
      </c>
      <c r="I3482" s="62" t="s">
        <v>511</v>
      </c>
      <c r="J3482" s="44" t="s">
        <v>519</v>
      </c>
      <c r="K3482" s="44" t="s">
        <v>519</v>
      </c>
      <c r="L3482" s="44" t="s">
        <v>520</v>
      </c>
      <c r="M3482" s="44" t="s">
        <v>976</v>
      </c>
      <c r="N3482" s="44" t="s">
        <v>839</v>
      </c>
      <c r="O3482" s="45" t="s">
        <v>383</v>
      </c>
      <c r="P3482" s="45" t="s">
        <v>3760</v>
      </c>
      <c r="Q3482" s="59" t="str">
        <f>MID(Tabla1[[#This Row],[Aplicación]],14,1)</f>
        <v>2</v>
      </c>
      <c r="R3482" s="35" t="s">
        <v>298</v>
      </c>
      <c r="S3482" s="59" t="str">
        <f>MID(Tabla1[[#This Row],[Aplicación]],6,2)</f>
        <v>06</v>
      </c>
      <c r="T3482" s="35" t="str">
        <f>VLOOKUP(Tabla1[[#This Row],[AREA]],Hoja1!A:B,2,FALSE)</f>
        <v>06. Educación, infancia, juventud e igualdad</v>
      </c>
      <c r="U3482" s="56" t="str">
        <f>MID(Tabla1[[#This Row],[Aplicación]],9,4)</f>
        <v>3231</v>
      </c>
      <c r="V3482" s="35" t="str">
        <f>VLOOKUP(Tabla1[[#This Row],[PROGRAMA]],Hoja1!A:B,2,FALSE)</f>
        <v>3231. Escuelas infantiles</v>
      </c>
      <c r="W3482" s="56" t="str">
        <f>MID(Tabla1[[#This Row],[Aplicación]],14,2)</f>
        <v>22</v>
      </c>
      <c r="X3482" s="56" t="str">
        <f>MID(Tabla1[[#This Row],[Aplicación]],14,6)</f>
        <v>22799</v>
      </c>
    </row>
    <row r="3483" spans="1:24" x14ac:dyDescent="0.25">
      <c r="A3483" s="62">
        <v>220220068143</v>
      </c>
      <c r="B3483" s="44" t="s">
        <v>507</v>
      </c>
      <c r="C3483" s="64">
        <v>45037</v>
      </c>
      <c r="D3483" s="62">
        <v>22022007455</v>
      </c>
      <c r="E3483" s="44" t="s">
        <v>3854</v>
      </c>
      <c r="F3483" s="65">
        <v>502.17</v>
      </c>
      <c r="G3483" s="44" t="s">
        <v>400</v>
      </c>
      <c r="H3483" s="44" t="s">
        <v>5199</v>
      </c>
      <c r="I3483" s="62" t="s">
        <v>511</v>
      </c>
      <c r="J3483" s="44" t="s">
        <v>519</v>
      </c>
      <c r="K3483" s="44" t="s">
        <v>519</v>
      </c>
      <c r="L3483" s="44" t="s">
        <v>520</v>
      </c>
      <c r="M3483" s="44" t="s">
        <v>514</v>
      </c>
      <c r="N3483" s="44" t="s">
        <v>515</v>
      </c>
      <c r="O3483" s="45" t="s">
        <v>382</v>
      </c>
      <c r="P3483" s="45" t="s">
        <v>3760</v>
      </c>
      <c r="Q3483" s="59" t="str">
        <f>MID(Tabla1[[#This Row],[Aplicación]],14,1)</f>
        <v>6</v>
      </c>
      <c r="R3483" s="35" t="s">
        <v>299</v>
      </c>
      <c r="S3483" s="59" t="str">
        <f>MID(Tabla1[[#This Row],[Aplicación]],6,2)</f>
        <v>10</v>
      </c>
      <c r="T3483" s="35" t="str">
        <f>VLOOKUP(Tabla1[[#This Row],[AREA]],Hoja1!A:B,2,FALSE)</f>
        <v>10. Servicios sociales y mediación comunitaria</v>
      </c>
      <c r="U3483" s="56" t="str">
        <f>MID(Tabla1[[#This Row],[Aplicación]],9,4)</f>
        <v>2312</v>
      </c>
      <c r="V3483" s="35" t="str">
        <f>VLOOKUP(Tabla1[[#This Row],[PROGRAMA]],Hoja1!A:B,2,FALSE)</f>
        <v>2312. Iniciativas sociales</v>
      </c>
      <c r="W3483" s="56" t="str">
        <f>MID(Tabla1[[#This Row],[Aplicación]],14,2)</f>
        <v>63</v>
      </c>
      <c r="X3483" s="56" t="str">
        <f>MID(Tabla1[[#This Row],[Aplicación]],14,6)</f>
        <v>631</v>
      </c>
    </row>
    <row r="3484" spans="1:24" x14ac:dyDescent="0.25">
      <c r="A3484" s="62">
        <v>220230013611</v>
      </c>
      <c r="B3484" s="44" t="s">
        <v>507</v>
      </c>
      <c r="C3484" s="64">
        <v>45026</v>
      </c>
      <c r="D3484" s="62">
        <v>22023002589</v>
      </c>
      <c r="E3484" s="44" t="s">
        <v>539</v>
      </c>
      <c r="F3484" s="65">
        <v>30008</v>
      </c>
      <c r="G3484" s="44" t="s">
        <v>5200</v>
      </c>
      <c r="H3484" s="44" t="s">
        <v>5201</v>
      </c>
      <c r="I3484" s="62" t="s">
        <v>511</v>
      </c>
      <c r="J3484" s="44" t="s">
        <v>519</v>
      </c>
      <c r="K3484" s="44" t="s">
        <v>519</v>
      </c>
      <c r="L3484" s="44" t="s">
        <v>520</v>
      </c>
      <c r="M3484" s="44" t="s">
        <v>514</v>
      </c>
      <c r="N3484" s="44" t="s">
        <v>515</v>
      </c>
      <c r="O3484" s="45" t="s">
        <v>371</v>
      </c>
      <c r="P3484" s="45" t="s">
        <v>3760</v>
      </c>
      <c r="Q3484" s="59" t="str">
        <f>MID(Tabla1[[#This Row],[Aplicación]],14,1)</f>
        <v>2</v>
      </c>
      <c r="R3484" s="35" t="s">
        <v>298</v>
      </c>
      <c r="S3484" s="59" t="str">
        <f>MID(Tabla1[[#This Row],[Aplicación]],6,2)</f>
        <v>10</v>
      </c>
      <c r="T3484" s="35" t="str">
        <f>VLOOKUP(Tabla1[[#This Row],[AREA]],Hoja1!A:B,2,FALSE)</f>
        <v>10. Servicios sociales y mediación comunitaria</v>
      </c>
      <c r="U3484" s="56" t="str">
        <f>MID(Tabla1[[#This Row],[Aplicación]],9,4)</f>
        <v>2312</v>
      </c>
      <c r="V3484" s="35" t="str">
        <f>VLOOKUP(Tabla1[[#This Row],[PROGRAMA]],Hoja1!A:B,2,FALSE)</f>
        <v>2312. Iniciativas sociales</v>
      </c>
      <c r="W3484" s="56" t="str">
        <f>MID(Tabla1[[#This Row],[Aplicación]],14,2)</f>
        <v>22</v>
      </c>
      <c r="X3484" s="56" t="str">
        <f>MID(Tabla1[[#This Row],[Aplicación]],14,6)</f>
        <v>22799</v>
      </c>
    </row>
    <row r="3485" spans="1:24" x14ac:dyDescent="0.25">
      <c r="A3485" s="63">
        <v>220230030700</v>
      </c>
      <c r="B3485" s="44" t="s">
        <v>507</v>
      </c>
      <c r="C3485" s="64">
        <v>45097</v>
      </c>
      <c r="D3485" s="62">
        <v>22023004917</v>
      </c>
      <c r="E3485" s="44" t="s">
        <v>1043</v>
      </c>
      <c r="F3485" s="65">
        <v>1192.5</v>
      </c>
      <c r="G3485" s="44" t="s">
        <v>4085</v>
      </c>
      <c r="H3485" s="44" t="s">
        <v>5165</v>
      </c>
      <c r="I3485" s="62" t="s">
        <v>511</v>
      </c>
      <c r="J3485" s="44" t="s">
        <v>519</v>
      </c>
      <c r="K3485" s="44" t="s">
        <v>519</v>
      </c>
      <c r="L3485" s="44" t="s">
        <v>520</v>
      </c>
      <c r="M3485" s="44" t="s">
        <v>976</v>
      </c>
      <c r="N3485" s="44" t="s">
        <v>839</v>
      </c>
      <c r="O3485" s="45" t="s">
        <v>383</v>
      </c>
      <c r="P3485" s="45" t="s">
        <v>3760</v>
      </c>
      <c r="Q3485" s="59" t="str">
        <f>MID(Tabla1[[#This Row],[Aplicación]],14,1)</f>
        <v>2</v>
      </c>
      <c r="R3485" s="35" t="s">
        <v>298</v>
      </c>
      <c r="S3485" s="59" t="str">
        <f>MID(Tabla1[[#This Row],[Aplicación]],6,2)</f>
        <v>10</v>
      </c>
      <c r="T3485" s="35" t="str">
        <f>VLOOKUP(Tabla1[[#This Row],[AREA]],Hoja1!A:B,2,FALSE)</f>
        <v>10. Servicios sociales y mediación comunitaria</v>
      </c>
      <c r="U3485" s="56" t="str">
        <f>MID(Tabla1[[#This Row],[Aplicación]],9,4)</f>
        <v>2312</v>
      </c>
      <c r="V3485" s="35" t="str">
        <f>VLOOKUP(Tabla1[[#This Row],[PROGRAMA]],Hoja1!A:B,2,FALSE)</f>
        <v>2312. Iniciativas sociales</v>
      </c>
      <c r="W3485" s="56" t="str">
        <f>MID(Tabla1[[#This Row],[Aplicación]],14,2)</f>
        <v>22</v>
      </c>
      <c r="X3485" s="56" t="str">
        <f>MID(Tabla1[[#This Row],[Aplicación]],14,6)</f>
        <v>22699</v>
      </c>
    </row>
    <row r="3486" spans="1:24" x14ac:dyDescent="0.25">
      <c r="A3486" s="63">
        <v>220230028281</v>
      </c>
      <c r="B3486" s="44" t="s">
        <v>1514</v>
      </c>
      <c r="C3486" s="64">
        <v>45084</v>
      </c>
      <c r="D3486" s="62">
        <v>22023004200</v>
      </c>
      <c r="E3486" s="44" t="s">
        <v>1362</v>
      </c>
      <c r="F3486" s="65">
        <v>1411.15</v>
      </c>
      <c r="G3486" s="44" t="s">
        <v>2115</v>
      </c>
      <c r="H3486" s="44" t="s">
        <v>5202</v>
      </c>
      <c r="I3486" s="62" t="s">
        <v>1517</v>
      </c>
      <c r="J3486" s="44" t="s">
        <v>519</v>
      </c>
      <c r="K3486" s="44" t="s">
        <v>519</v>
      </c>
      <c r="L3486" s="44" t="s">
        <v>552</v>
      </c>
      <c r="M3486" s="44" t="s">
        <v>514</v>
      </c>
      <c r="N3486" s="44" t="s">
        <v>515</v>
      </c>
      <c r="O3486" s="45" t="s">
        <v>382</v>
      </c>
      <c r="P3486" s="45" t="s">
        <v>3760</v>
      </c>
      <c r="Q3486" s="59" t="str">
        <f>MID(Tabla1[[#This Row],[Aplicación]],14,1)</f>
        <v>2</v>
      </c>
      <c r="R3486" s="35" t="s">
        <v>298</v>
      </c>
      <c r="S3486" s="59" t="str">
        <f>MID(Tabla1[[#This Row],[Aplicación]],6,2)</f>
        <v>09</v>
      </c>
      <c r="T3486" s="35" t="str">
        <f>VLOOKUP(Tabla1[[#This Row],[AREA]],Hoja1!A:B,2,FALSE)</f>
        <v>09. Cultura y turismo</v>
      </c>
      <c r="U3486" s="56" t="str">
        <f>MID(Tabla1[[#This Row],[Aplicación]],9,4)</f>
        <v>3341</v>
      </c>
      <c r="V3486" s="35" t="str">
        <f>VLOOKUP(Tabla1[[#This Row],[PROGRAMA]],Hoja1!A:B,2,FALSE)</f>
        <v>3341. Coordinación de políticas culturales</v>
      </c>
      <c r="W3486" s="56" t="str">
        <f>MID(Tabla1[[#This Row],[Aplicación]],14,2)</f>
        <v>21</v>
      </c>
      <c r="X3486" s="56" t="str">
        <f>MID(Tabla1[[#This Row],[Aplicación]],14,6)</f>
        <v>213</v>
      </c>
    </row>
    <row r="3487" spans="1:24" x14ac:dyDescent="0.25">
      <c r="A3487" s="63">
        <v>220230028348</v>
      </c>
      <c r="B3487" s="44" t="s">
        <v>1514</v>
      </c>
      <c r="C3487" s="64">
        <v>45084</v>
      </c>
      <c r="D3487" s="62">
        <v>22023001477</v>
      </c>
      <c r="E3487" s="44" t="s">
        <v>1657</v>
      </c>
      <c r="F3487" s="65">
        <v>87.1</v>
      </c>
      <c r="G3487" s="44" t="s">
        <v>2115</v>
      </c>
      <c r="H3487" s="44" t="s">
        <v>5203</v>
      </c>
      <c r="I3487" s="62" t="s">
        <v>1517</v>
      </c>
      <c r="J3487" s="44" t="s">
        <v>519</v>
      </c>
      <c r="K3487" s="44" t="s">
        <v>519</v>
      </c>
      <c r="L3487" s="44" t="s">
        <v>552</v>
      </c>
      <c r="M3487" s="44" t="s">
        <v>514</v>
      </c>
      <c r="N3487" s="44" t="s">
        <v>515</v>
      </c>
      <c r="O3487" s="45" t="s">
        <v>382</v>
      </c>
      <c r="P3487" s="45" t="s">
        <v>3760</v>
      </c>
      <c r="Q3487" s="59" t="str">
        <f>MID(Tabla1[[#This Row],[Aplicación]],14,1)</f>
        <v>2</v>
      </c>
      <c r="R3487" s="35" t="s">
        <v>298</v>
      </c>
      <c r="S3487" s="59" t="str">
        <f>MID(Tabla1[[#This Row],[Aplicación]],6,2)</f>
        <v>10</v>
      </c>
      <c r="T3487" s="35" t="str">
        <f>VLOOKUP(Tabla1[[#This Row],[AREA]],Hoja1!A:B,2,FALSE)</f>
        <v>10. Servicios sociales y mediación comunitaria</v>
      </c>
      <c r="U3487" s="56" t="str">
        <f>MID(Tabla1[[#This Row],[Aplicación]],9,4)</f>
        <v>2412</v>
      </c>
      <c r="V3487" s="35" t="str">
        <f>VLOOKUP(Tabla1[[#This Row],[PROGRAMA]],Hoja1!A:B,2,FALSE)</f>
        <v>2412. Formación para el empleo</v>
      </c>
      <c r="W3487" s="56" t="str">
        <f>MID(Tabla1[[#This Row],[Aplicación]],14,2)</f>
        <v>21</v>
      </c>
      <c r="X3487" s="56" t="str">
        <f>MID(Tabla1[[#This Row],[Aplicación]],14,6)</f>
        <v>212</v>
      </c>
    </row>
    <row r="3488" spans="1:24" x14ac:dyDescent="0.25">
      <c r="A3488" s="63">
        <v>220230028350</v>
      </c>
      <c r="B3488" s="44" t="s">
        <v>1514</v>
      </c>
      <c r="C3488" s="64">
        <v>45084</v>
      </c>
      <c r="D3488" s="62">
        <v>22023001477</v>
      </c>
      <c r="E3488" s="44" t="s">
        <v>1657</v>
      </c>
      <c r="F3488" s="65">
        <v>83.49</v>
      </c>
      <c r="G3488" s="44" t="s">
        <v>2115</v>
      </c>
      <c r="H3488" s="44" t="s">
        <v>5204</v>
      </c>
      <c r="I3488" s="62" t="s">
        <v>1517</v>
      </c>
      <c r="J3488" s="44" t="s">
        <v>519</v>
      </c>
      <c r="K3488" s="44" t="s">
        <v>519</v>
      </c>
      <c r="L3488" s="44" t="s">
        <v>552</v>
      </c>
      <c r="M3488" s="44" t="s">
        <v>514</v>
      </c>
      <c r="N3488" s="44" t="s">
        <v>515</v>
      </c>
      <c r="O3488" s="45" t="s">
        <v>382</v>
      </c>
      <c r="P3488" s="45" t="s">
        <v>3760</v>
      </c>
      <c r="Q3488" s="59" t="str">
        <f>MID(Tabla1[[#This Row],[Aplicación]],14,1)</f>
        <v>2</v>
      </c>
      <c r="R3488" s="35" t="s">
        <v>298</v>
      </c>
      <c r="S3488" s="59" t="str">
        <f>MID(Tabla1[[#This Row],[Aplicación]],6,2)</f>
        <v>10</v>
      </c>
      <c r="T3488" s="35" t="str">
        <f>VLOOKUP(Tabla1[[#This Row],[AREA]],Hoja1!A:B,2,FALSE)</f>
        <v>10. Servicios sociales y mediación comunitaria</v>
      </c>
      <c r="U3488" s="56" t="str">
        <f>MID(Tabla1[[#This Row],[Aplicación]],9,4)</f>
        <v>2412</v>
      </c>
      <c r="V3488" s="35" t="str">
        <f>VLOOKUP(Tabla1[[#This Row],[PROGRAMA]],Hoja1!A:B,2,FALSE)</f>
        <v>2412. Formación para el empleo</v>
      </c>
      <c r="W3488" s="56" t="str">
        <f>MID(Tabla1[[#This Row],[Aplicación]],14,2)</f>
        <v>21</v>
      </c>
      <c r="X3488" s="56" t="str">
        <f>MID(Tabla1[[#This Row],[Aplicación]],14,6)</f>
        <v>212</v>
      </c>
    </row>
    <row r="3489" spans="1:24" x14ac:dyDescent="0.25">
      <c r="A3489" s="63">
        <v>220230028352</v>
      </c>
      <c r="B3489" s="44" t="s">
        <v>1514</v>
      </c>
      <c r="C3489" s="64">
        <v>45084</v>
      </c>
      <c r="D3489" s="62">
        <v>22023001477</v>
      </c>
      <c r="E3489" s="44" t="s">
        <v>1657</v>
      </c>
      <c r="F3489" s="65">
        <v>52.2</v>
      </c>
      <c r="G3489" s="44" t="s">
        <v>2115</v>
      </c>
      <c r="H3489" s="44" t="s">
        <v>5205</v>
      </c>
      <c r="I3489" s="62" t="s">
        <v>1517</v>
      </c>
      <c r="J3489" s="44" t="s">
        <v>519</v>
      </c>
      <c r="K3489" s="44" t="s">
        <v>519</v>
      </c>
      <c r="L3489" s="44" t="s">
        <v>552</v>
      </c>
      <c r="M3489" s="44" t="s">
        <v>514</v>
      </c>
      <c r="N3489" s="44" t="s">
        <v>515</v>
      </c>
      <c r="O3489" s="45" t="s">
        <v>382</v>
      </c>
      <c r="P3489" s="45" t="s">
        <v>3760</v>
      </c>
      <c r="Q3489" s="59" t="str">
        <f>MID(Tabla1[[#This Row],[Aplicación]],14,1)</f>
        <v>2</v>
      </c>
      <c r="R3489" s="35" t="s">
        <v>298</v>
      </c>
      <c r="S3489" s="59" t="str">
        <f>MID(Tabla1[[#This Row],[Aplicación]],6,2)</f>
        <v>10</v>
      </c>
      <c r="T3489" s="35" t="str">
        <f>VLOOKUP(Tabla1[[#This Row],[AREA]],Hoja1!A:B,2,FALSE)</f>
        <v>10. Servicios sociales y mediación comunitaria</v>
      </c>
      <c r="U3489" s="56" t="str">
        <f>MID(Tabla1[[#This Row],[Aplicación]],9,4)</f>
        <v>2412</v>
      </c>
      <c r="V3489" s="35" t="str">
        <f>VLOOKUP(Tabla1[[#This Row],[PROGRAMA]],Hoja1!A:B,2,FALSE)</f>
        <v>2412. Formación para el empleo</v>
      </c>
      <c r="W3489" s="56" t="str">
        <f>MID(Tabla1[[#This Row],[Aplicación]],14,2)</f>
        <v>21</v>
      </c>
      <c r="X3489" s="56" t="str">
        <f>MID(Tabla1[[#This Row],[Aplicación]],14,6)</f>
        <v>212</v>
      </c>
    </row>
    <row r="3490" spans="1:24" x14ac:dyDescent="0.25">
      <c r="A3490" s="63">
        <v>220230028365</v>
      </c>
      <c r="B3490" s="44" t="s">
        <v>1514</v>
      </c>
      <c r="C3490" s="64">
        <v>45084</v>
      </c>
      <c r="D3490" s="62">
        <v>22023001343</v>
      </c>
      <c r="E3490" s="44" t="s">
        <v>1506</v>
      </c>
      <c r="F3490" s="65">
        <v>124.55</v>
      </c>
      <c r="G3490" s="44" t="s">
        <v>2115</v>
      </c>
      <c r="H3490" s="44" t="s">
        <v>5206</v>
      </c>
      <c r="I3490" s="62" t="s">
        <v>1517</v>
      </c>
      <c r="J3490" s="44" t="s">
        <v>519</v>
      </c>
      <c r="K3490" s="44" t="s">
        <v>519</v>
      </c>
      <c r="L3490" s="44" t="s">
        <v>552</v>
      </c>
      <c r="M3490" s="44" t="s">
        <v>514</v>
      </c>
      <c r="N3490" s="44" t="s">
        <v>604</v>
      </c>
      <c r="O3490" s="45" t="s">
        <v>382</v>
      </c>
      <c r="P3490" s="45" t="s">
        <v>3760</v>
      </c>
      <c r="Q3490" s="59" t="str">
        <f>MID(Tabla1[[#This Row],[Aplicación]],14,1)</f>
        <v>2</v>
      </c>
      <c r="R3490" s="35" t="s">
        <v>298</v>
      </c>
      <c r="S3490" s="59" t="str">
        <f>MID(Tabla1[[#This Row],[Aplicación]],6,2)</f>
        <v>03</v>
      </c>
      <c r="T3490" s="35" t="str">
        <f>VLOOKUP(Tabla1[[#This Row],[AREA]],Hoja1!A:B,2,FALSE)</f>
        <v>03. Participación ciudadana y deportes</v>
      </c>
      <c r="U3490" s="56" t="str">
        <f>MID(Tabla1[[#This Row],[Aplicación]],9,4)</f>
        <v>9241</v>
      </c>
      <c r="V3490" s="35" t="str">
        <f>VLOOKUP(Tabla1[[#This Row],[PROGRAMA]],Hoja1!A:B,2,FALSE)</f>
        <v>9241. Participación ciudadana</v>
      </c>
      <c r="W3490" s="56" t="str">
        <f>MID(Tabla1[[#This Row],[Aplicación]],14,2)</f>
        <v>21</v>
      </c>
      <c r="X3490" s="56" t="str">
        <f>MID(Tabla1[[#This Row],[Aplicación]],14,6)</f>
        <v>212</v>
      </c>
    </row>
    <row r="3491" spans="1:24" x14ac:dyDescent="0.25">
      <c r="A3491" s="63">
        <v>220230028367</v>
      </c>
      <c r="B3491" s="44" t="s">
        <v>1514</v>
      </c>
      <c r="C3491" s="64">
        <v>45084</v>
      </c>
      <c r="D3491" s="62">
        <v>22023001343</v>
      </c>
      <c r="E3491" s="44" t="s">
        <v>1506</v>
      </c>
      <c r="F3491" s="65">
        <v>135.69</v>
      </c>
      <c r="G3491" s="44" t="s">
        <v>2115</v>
      </c>
      <c r="H3491" s="44" t="s">
        <v>5207</v>
      </c>
      <c r="I3491" s="62" t="s">
        <v>1517</v>
      </c>
      <c r="J3491" s="44" t="s">
        <v>519</v>
      </c>
      <c r="K3491" s="44" t="s">
        <v>519</v>
      </c>
      <c r="L3491" s="44" t="s">
        <v>552</v>
      </c>
      <c r="M3491" s="44" t="s">
        <v>514</v>
      </c>
      <c r="N3491" s="44" t="s">
        <v>604</v>
      </c>
      <c r="O3491" s="45" t="s">
        <v>382</v>
      </c>
      <c r="P3491" s="45" t="s">
        <v>3760</v>
      </c>
      <c r="Q3491" s="59" t="str">
        <f>MID(Tabla1[[#This Row],[Aplicación]],14,1)</f>
        <v>2</v>
      </c>
      <c r="R3491" s="35" t="s">
        <v>298</v>
      </c>
      <c r="S3491" s="59" t="str">
        <f>MID(Tabla1[[#This Row],[Aplicación]],6,2)</f>
        <v>03</v>
      </c>
      <c r="T3491" s="35" t="str">
        <f>VLOOKUP(Tabla1[[#This Row],[AREA]],Hoja1!A:B,2,FALSE)</f>
        <v>03. Participación ciudadana y deportes</v>
      </c>
      <c r="U3491" s="56" t="str">
        <f>MID(Tabla1[[#This Row],[Aplicación]],9,4)</f>
        <v>9241</v>
      </c>
      <c r="V3491" s="35" t="str">
        <f>VLOOKUP(Tabla1[[#This Row],[PROGRAMA]],Hoja1!A:B,2,FALSE)</f>
        <v>9241. Participación ciudadana</v>
      </c>
      <c r="W3491" s="56" t="str">
        <f>MID(Tabla1[[#This Row],[Aplicación]],14,2)</f>
        <v>21</v>
      </c>
      <c r="X3491" s="56" t="str">
        <f>MID(Tabla1[[#This Row],[Aplicación]],14,6)</f>
        <v>212</v>
      </c>
    </row>
    <row r="3492" spans="1:24" x14ac:dyDescent="0.25">
      <c r="A3492" s="63">
        <v>220230028372</v>
      </c>
      <c r="B3492" s="44" t="s">
        <v>1514</v>
      </c>
      <c r="C3492" s="64">
        <v>45084</v>
      </c>
      <c r="D3492" s="62">
        <v>22023004205</v>
      </c>
      <c r="E3492" s="44" t="s">
        <v>2458</v>
      </c>
      <c r="F3492" s="65">
        <v>30.7</v>
      </c>
      <c r="G3492" s="44" t="s">
        <v>2115</v>
      </c>
      <c r="H3492" s="44" t="s">
        <v>5208</v>
      </c>
      <c r="I3492" s="62" t="s">
        <v>1517</v>
      </c>
      <c r="J3492" s="44" t="s">
        <v>519</v>
      </c>
      <c r="K3492" s="44" t="s">
        <v>519</v>
      </c>
      <c r="L3492" s="44" t="s">
        <v>552</v>
      </c>
      <c r="M3492" s="44" t="s">
        <v>514</v>
      </c>
      <c r="N3492" s="44" t="s">
        <v>515</v>
      </c>
      <c r="O3492" s="45" t="s">
        <v>382</v>
      </c>
      <c r="P3492" s="45" t="s">
        <v>3760</v>
      </c>
      <c r="Q3492" s="59" t="str">
        <f>MID(Tabla1[[#This Row],[Aplicación]],14,1)</f>
        <v>2</v>
      </c>
      <c r="R3492" s="35" t="s">
        <v>298</v>
      </c>
      <c r="S3492" s="59" t="str">
        <f>MID(Tabla1[[#This Row],[Aplicación]],6,2)</f>
        <v>06</v>
      </c>
      <c r="T3492" s="35" t="str">
        <f>VLOOKUP(Tabla1[[#This Row],[AREA]],Hoja1!A:B,2,FALSE)</f>
        <v>06. Educación, infancia, juventud e igualdad</v>
      </c>
      <c r="U3492" s="56" t="str">
        <f>MID(Tabla1[[#This Row],[Aplicación]],9,4)</f>
        <v>3231</v>
      </c>
      <c r="V3492" s="35" t="str">
        <f>VLOOKUP(Tabla1[[#This Row],[PROGRAMA]],Hoja1!A:B,2,FALSE)</f>
        <v>3231. Escuelas infantiles</v>
      </c>
      <c r="W3492" s="56" t="str">
        <f>MID(Tabla1[[#This Row],[Aplicación]],14,2)</f>
        <v>21</v>
      </c>
      <c r="X3492" s="56" t="str">
        <f>MID(Tabla1[[#This Row],[Aplicación]],14,6)</f>
        <v>212</v>
      </c>
    </row>
    <row r="3493" spans="1:24" x14ac:dyDescent="0.25">
      <c r="A3493" s="63">
        <v>220230028470</v>
      </c>
      <c r="B3493" s="44" t="s">
        <v>1514</v>
      </c>
      <c r="C3493" s="64">
        <v>45084</v>
      </c>
      <c r="D3493" s="62">
        <v>22023004206</v>
      </c>
      <c r="E3493" s="44" t="s">
        <v>1305</v>
      </c>
      <c r="F3493" s="65">
        <v>311.14</v>
      </c>
      <c r="G3493" s="44" t="s">
        <v>2115</v>
      </c>
      <c r="H3493" s="44" t="s">
        <v>5209</v>
      </c>
      <c r="I3493" s="62" t="s">
        <v>1517</v>
      </c>
      <c r="J3493" s="44" t="s">
        <v>519</v>
      </c>
      <c r="K3493" s="44" t="s">
        <v>519</v>
      </c>
      <c r="L3493" s="44" t="s">
        <v>552</v>
      </c>
      <c r="M3493" s="44" t="s">
        <v>514</v>
      </c>
      <c r="N3493" s="44" t="s">
        <v>515</v>
      </c>
      <c r="O3493" s="45" t="s">
        <v>382</v>
      </c>
      <c r="P3493" s="45" t="s">
        <v>3760</v>
      </c>
      <c r="Q3493" s="59" t="str">
        <f>MID(Tabla1[[#This Row],[Aplicación]],14,1)</f>
        <v>2</v>
      </c>
      <c r="R3493" s="35" t="s">
        <v>298</v>
      </c>
      <c r="S3493" s="59" t="str">
        <f>MID(Tabla1[[#This Row],[Aplicación]],6,2)</f>
        <v>06</v>
      </c>
      <c r="T3493" s="35" t="str">
        <f>VLOOKUP(Tabla1[[#This Row],[AREA]],Hoja1!A:B,2,FALSE)</f>
        <v>06. Educación, infancia, juventud e igualdad</v>
      </c>
      <c r="U3493" s="56" t="str">
        <f>MID(Tabla1[[#This Row],[Aplicación]],9,4)</f>
        <v>3232</v>
      </c>
      <c r="V3493" s="35" t="str">
        <f>VLOOKUP(Tabla1[[#This Row],[PROGRAMA]],Hoja1!A:B,2,FALSE)</f>
        <v>3232. Conservación y mantenimiento centros educación infantil y primaria</v>
      </c>
      <c r="W3493" s="56" t="str">
        <f>MID(Tabla1[[#This Row],[Aplicación]],14,2)</f>
        <v>21</v>
      </c>
      <c r="X3493" s="56" t="str">
        <f>MID(Tabla1[[#This Row],[Aplicación]],14,6)</f>
        <v>212</v>
      </c>
    </row>
    <row r="3494" spans="1:24" x14ac:dyDescent="0.25">
      <c r="A3494" s="63">
        <v>220230028536</v>
      </c>
      <c r="B3494" s="44" t="s">
        <v>1514</v>
      </c>
      <c r="C3494" s="64">
        <v>45084</v>
      </c>
      <c r="D3494" s="62">
        <v>22023004206</v>
      </c>
      <c r="E3494" s="44" t="s">
        <v>1305</v>
      </c>
      <c r="F3494" s="65">
        <v>196.71</v>
      </c>
      <c r="G3494" s="44" t="s">
        <v>2115</v>
      </c>
      <c r="H3494" s="44" t="s">
        <v>5210</v>
      </c>
      <c r="I3494" s="62" t="s">
        <v>1517</v>
      </c>
      <c r="J3494" s="44" t="s">
        <v>519</v>
      </c>
      <c r="K3494" s="44" t="s">
        <v>519</v>
      </c>
      <c r="L3494" s="44" t="s">
        <v>552</v>
      </c>
      <c r="M3494" s="44" t="s">
        <v>514</v>
      </c>
      <c r="N3494" s="44" t="s">
        <v>515</v>
      </c>
      <c r="O3494" s="45" t="s">
        <v>382</v>
      </c>
      <c r="P3494" s="45" t="s">
        <v>3760</v>
      </c>
      <c r="Q3494" s="59" t="str">
        <f>MID(Tabla1[[#This Row],[Aplicación]],14,1)</f>
        <v>2</v>
      </c>
      <c r="R3494" s="35" t="s">
        <v>298</v>
      </c>
      <c r="S3494" s="59" t="str">
        <f>MID(Tabla1[[#This Row],[Aplicación]],6,2)</f>
        <v>06</v>
      </c>
      <c r="T3494" s="35" t="str">
        <f>VLOOKUP(Tabla1[[#This Row],[AREA]],Hoja1!A:B,2,FALSE)</f>
        <v>06. Educación, infancia, juventud e igualdad</v>
      </c>
      <c r="U3494" s="56" t="str">
        <f>MID(Tabla1[[#This Row],[Aplicación]],9,4)</f>
        <v>3232</v>
      </c>
      <c r="V3494" s="35" t="str">
        <f>VLOOKUP(Tabla1[[#This Row],[PROGRAMA]],Hoja1!A:B,2,FALSE)</f>
        <v>3232. Conservación y mantenimiento centros educación infantil y primaria</v>
      </c>
      <c r="W3494" s="56" t="str">
        <f>MID(Tabla1[[#This Row],[Aplicación]],14,2)</f>
        <v>21</v>
      </c>
      <c r="X3494" s="56" t="str">
        <f>MID(Tabla1[[#This Row],[Aplicación]],14,6)</f>
        <v>212</v>
      </c>
    </row>
    <row r="3495" spans="1:24" x14ac:dyDescent="0.25">
      <c r="A3495" s="63">
        <v>220230029501</v>
      </c>
      <c r="B3495" s="44" t="s">
        <v>1514</v>
      </c>
      <c r="C3495" s="64">
        <v>45090</v>
      </c>
      <c r="D3495" s="62">
        <v>22023002161</v>
      </c>
      <c r="E3495" s="44" t="s">
        <v>2107</v>
      </c>
      <c r="F3495" s="65">
        <v>1159.2</v>
      </c>
      <c r="G3495" s="44" t="s">
        <v>2115</v>
      </c>
      <c r="H3495" s="44" t="s">
        <v>5211</v>
      </c>
      <c r="I3495" s="62" t="s">
        <v>1517</v>
      </c>
      <c r="J3495" s="44" t="s">
        <v>519</v>
      </c>
      <c r="K3495" s="44" t="s">
        <v>519</v>
      </c>
      <c r="L3495" s="44" t="s">
        <v>520</v>
      </c>
      <c r="M3495" s="44" t="s">
        <v>514</v>
      </c>
      <c r="N3495" s="44" t="s">
        <v>515</v>
      </c>
      <c r="O3495" s="45" t="s">
        <v>382</v>
      </c>
      <c r="P3495" s="45" t="s">
        <v>3760</v>
      </c>
      <c r="Q3495" s="59" t="str">
        <f>MID(Tabla1[[#This Row],[Aplicación]],14,1)</f>
        <v>2</v>
      </c>
      <c r="R3495" s="35" t="s">
        <v>298</v>
      </c>
      <c r="S3495" s="59" t="str">
        <f>MID(Tabla1[[#This Row],[Aplicación]],6,2)</f>
        <v>07</v>
      </c>
      <c r="T3495" s="35" t="str">
        <f>VLOOKUP(Tabla1[[#This Row],[AREA]],Hoja1!A:B,2,FALSE)</f>
        <v>07. Medio ambiente y desarrollo sostenible</v>
      </c>
      <c r="U3495" s="56" t="str">
        <f>MID(Tabla1[[#This Row],[Aplicación]],9,4)</f>
        <v>1711</v>
      </c>
      <c r="V3495" s="35" t="str">
        <f>VLOOKUP(Tabla1[[#This Row],[PROGRAMA]],Hoja1!A:B,2,FALSE)</f>
        <v>1711. Parques y jardines</v>
      </c>
      <c r="W3495" s="56" t="str">
        <f>MID(Tabla1[[#This Row],[Aplicación]],14,2)</f>
        <v>21</v>
      </c>
      <c r="X3495" s="56" t="str">
        <f>MID(Tabla1[[#This Row],[Aplicación]],14,6)</f>
        <v>213</v>
      </c>
    </row>
    <row r="3496" spans="1:24" x14ac:dyDescent="0.25">
      <c r="A3496" s="63">
        <v>220230029503</v>
      </c>
      <c r="B3496" s="44" t="s">
        <v>1514</v>
      </c>
      <c r="C3496" s="64">
        <v>45090</v>
      </c>
      <c r="D3496" s="62">
        <v>22023002053</v>
      </c>
      <c r="E3496" s="44" t="s">
        <v>2107</v>
      </c>
      <c r="F3496" s="65">
        <v>99.23</v>
      </c>
      <c r="G3496" s="44" t="s">
        <v>2115</v>
      </c>
      <c r="H3496" s="44" t="s">
        <v>5212</v>
      </c>
      <c r="I3496" s="62" t="s">
        <v>1517</v>
      </c>
      <c r="J3496" s="44" t="s">
        <v>519</v>
      </c>
      <c r="K3496" s="44" t="s">
        <v>519</v>
      </c>
      <c r="L3496" s="44" t="s">
        <v>552</v>
      </c>
      <c r="M3496" s="44" t="s">
        <v>514</v>
      </c>
      <c r="N3496" s="44" t="s">
        <v>515</v>
      </c>
      <c r="O3496" s="45" t="s">
        <v>382</v>
      </c>
      <c r="P3496" s="45" t="s">
        <v>3760</v>
      </c>
      <c r="Q3496" s="59" t="str">
        <f>MID(Tabla1[[#This Row],[Aplicación]],14,1)</f>
        <v>2</v>
      </c>
      <c r="R3496" s="35" t="s">
        <v>298</v>
      </c>
      <c r="S3496" s="59" t="str">
        <f>MID(Tabla1[[#This Row],[Aplicación]],6,2)</f>
        <v>07</v>
      </c>
      <c r="T3496" s="35" t="str">
        <f>VLOOKUP(Tabla1[[#This Row],[AREA]],Hoja1!A:B,2,FALSE)</f>
        <v>07. Medio ambiente y desarrollo sostenible</v>
      </c>
      <c r="U3496" s="56" t="str">
        <f>MID(Tabla1[[#This Row],[Aplicación]],9,4)</f>
        <v>1711</v>
      </c>
      <c r="V3496" s="35" t="str">
        <f>VLOOKUP(Tabla1[[#This Row],[PROGRAMA]],Hoja1!A:B,2,FALSE)</f>
        <v>1711. Parques y jardines</v>
      </c>
      <c r="W3496" s="56" t="str">
        <f>MID(Tabla1[[#This Row],[Aplicación]],14,2)</f>
        <v>21</v>
      </c>
      <c r="X3496" s="56" t="str">
        <f>MID(Tabla1[[#This Row],[Aplicación]],14,6)</f>
        <v>213</v>
      </c>
    </row>
    <row r="3497" spans="1:24" x14ac:dyDescent="0.25">
      <c r="A3497" s="63">
        <v>220230030078</v>
      </c>
      <c r="B3497" s="44" t="s">
        <v>1514</v>
      </c>
      <c r="C3497" s="64">
        <v>45093</v>
      </c>
      <c r="D3497" s="62">
        <v>22023004206</v>
      </c>
      <c r="E3497" s="44" t="s">
        <v>1305</v>
      </c>
      <c r="F3497" s="65">
        <v>29.34</v>
      </c>
      <c r="G3497" s="44" t="s">
        <v>98</v>
      </c>
      <c r="H3497" s="44" t="s">
        <v>5213</v>
      </c>
      <c r="I3497" s="62" t="s">
        <v>1517</v>
      </c>
      <c r="J3497" s="44" t="s">
        <v>519</v>
      </c>
      <c r="K3497" s="44" t="s">
        <v>519</v>
      </c>
      <c r="L3497" s="44" t="s">
        <v>552</v>
      </c>
      <c r="M3497" s="44" t="s">
        <v>514</v>
      </c>
      <c r="N3497" s="44" t="s">
        <v>515</v>
      </c>
      <c r="O3497" s="45" t="s">
        <v>382</v>
      </c>
      <c r="P3497" s="45" t="s">
        <v>3760</v>
      </c>
      <c r="Q3497" s="59" t="str">
        <f>MID(Tabla1[[#This Row],[Aplicación]],14,1)</f>
        <v>2</v>
      </c>
      <c r="R3497" s="35" t="s">
        <v>298</v>
      </c>
      <c r="S3497" s="59" t="str">
        <f>MID(Tabla1[[#This Row],[Aplicación]],6,2)</f>
        <v>06</v>
      </c>
      <c r="T3497" s="35" t="str">
        <f>VLOOKUP(Tabla1[[#This Row],[AREA]],Hoja1!A:B,2,FALSE)</f>
        <v>06. Educación, infancia, juventud e igualdad</v>
      </c>
      <c r="U3497" s="56" t="str">
        <f>MID(Tabla1[[#This Row],[Aplicación]],9,4)</f>
        <v>3232</v>
      </c>
      <c r="V3497" s="35" t="str">
        <f>VLOOKUP(Tabla1[[#This Row],[PROGRAMA]],Hoja1!A:B,2,FALSE)</f>
        <v>3232. Conservación y mantenimiento centros educación infantil y primaria</v>
      </c>
      <c r="W3497" s="56" t="str">
        <f>MID(Tabla1[[#This Row],[Aplicación]],14,2)</f>
        <v>21</v>
      </c>
      <c r="X3497" s="56" t="str">
        <f>MID(Tabla1[[#This Row],[Aplicación]],14,6)</f>
        <v>212</v>
      </c>
    </row>
    <row r="3498" spans="1:24" x14ac:dyDescent="0.25">
      <c r="A3498" s="63">
        <v>220230030092</v>
      </c>
      <c r="B3498" s="44" t="s">
        <v>1514</v>
      </c>
      <c r="C3498" s="64">
        <v>45093</v>
      </c>
      <c r="D3498" s="62">
        <v>22023004435</v>
      </c>
      <c r="E3498" s="44" t="s">
        <v>1551</v>
      </c>
      <c r="F3498" s="65">
        <v>136.81</v>
      </c>
      <c r="G3498" s="44" t="s">
        <v>98</v>
      </c>
      <c r="H3498" s="44" t="s">
        <v>5214</v>
      </c>
      <c r="I3498" s="62" t="s">
        <v>1517</v>
      </c>
      <c r="J3498" s="44" t="s">
        <v>519</v>
      </c>
      <c r="K3498" s="44" t="s">
        <v>519</v>
      </c>
      <c r="L3498" s="44" t="s">
        <v>552</v>
      </c>
      <c r="M3498" s="44" t="s">
        <v>514</v>
      </c>
      <c r="N3498" s="44" t="s">
        <v>515</v>
      </c>
      <c r="O3498" s="45" t="s">
        <v>382</v>
      </c>
      <c r="P3498" s="45" t="s">
        <v>3760</v>
      </c>
      <c r="Q3498" s="59" t="str">
        <f>MID(Tabla1[[#This Row],[Aplicación]],14,1)</f>
        <v>2</v>
      </c>
      <c r="R3498" s="35" t="s">
        <v>298</v>
      </c>
      <c r="S3498" s="59" t="str">
        <f>MID(Tabla1[[#This Row],[Aplicación]],6,2)</f>
        <v>02</v>
      </c>
      <c r="T3498" s="35" t="str">
        <f>VLOOKUP(Tabla1[[#This Row],[AREA]],Hoja1!A:B,2,FALSE)</f>
        <v>02. Planeamiento urbanístico y vivienda</v>
      </c>
      <c r="U3498" s="56" t="str">
        <f>MID(Tabla1[[#This Row],[Aplicación]],9,4)</f>
        <v>9332</v>
      </c>
      <c r="V3498" s="35" t="str">
        <f>VLOOKUP(Tabla1[[#This Row],[PROGRAMA]],Hoja1!A:B,2,FALSE)</f>
        <v>9332. Mantenimiento de edificios e instalaciones municipales</v>
      </c>
      <c r="W3498" s="56" t="str">
        <f>MID(Tabla1[[#This Row],[Aplicación]],14,2)</f>
        <v>21</v>
      </c>
      <c r="X3498" s="56" t="str">
        <f>MID(Tabla1[[#This Row],[Aplicación]],14,6)</f>
        <v>212</v>
      </c>
    </row>
    <row r="3499" spans="1:24" x14ac:dyDescent="0.25">
      <c r="A3499" s="63">
        <v>220230030120</v>
      </c>
      <c r="B3499" s="44" t="s">
        <v>1514</v>
      </c>
      <c r="C3499" s="64">
        <v>45093</v>
      </c>
      <c r="D3499" s="62">
        <v>22023003932</v>
      </c>
      <c r="E3499" s="44" t="s">
        <v>1515</v>
      </c>
      <c r="F3499" s="65">
        <v>438.38</v>
      </c>
      <c r="G3499" s="44" t="s">
        <v>98</v>
      </c>
      <c r="H3499" s="44" t="s">
        <v>5215</v>
      </c>
      <c r="I3499" s="62" t="s">
        <v>1517</v>
      </c>
      <c r="J3499" s="44" t="s">
        <v>519</v>
      </c>
      <c r="K3499" s="44" t="s">
        <v>519</v>
      </c>
      <c r="L3499" s="44" t="s">
        <v>552</v>
      </c>
      <c r="M3499" s="44" t="s">
        <v>514</v>
      </c>
      <c r="N3499" s="44" t="s">
        <v>515</v>
      </c>
      <c r="O3499" s="45" t="s">
        <v>382</v>
      </c>
      <c r="P3499" s="45" t="s">
        <v>3760</v>
      </c>
      <c r="Q3499" s="59" t="str">
        <f>MID(Tabla1[[#This Row],[Aplicación]],14,1)</f>
        <v>2</v>
      </c>
      <c r="R3499" s="35" t="s">
        <v>298</v>
      </c>
      <c r="S3499" s="59" t="str">
        <f>MID(Tabla1[[#This Row],[Aplicación]],6,2)</f>
        <v>07</v>
      </c>
      <c r="T3499" s="35" t="str">
        <f>VLOOKUP(Tabla1[[#This Row],[AREA]],Hoja1!A:B,2,FALSE)</f>
        <v>07. Medio ambiente y desarrollo sostenible</v>
      </c>
      <c r="U3499" s="56" t="str">
        <f>MID(Tabla1[[#This Row],[Aplicación]],9,4)</f>
        <v>1711</v>
      </c>
      <c r="V3499" s="35" t="str">
        <f>VLOOKUP(Tabla1[[#This Row],[PROGRAMA]],Hoja1!A:B,2,FALSE)</f>
        <v>1711. Parques y jardines</v>
      </c>
      <c r="W3499" s="56" t="str">
        <f>MID(Tabla1[[#This Row],[Aplicación]],14,2)</f>
        <v>22</v>
      </c>
      <c r="X3499" s="56" t="str">
        <f>MID(Tabla1[[#This Row],[Aplicación]],14,6)</f>
        <v>22199</v>
      </c>
    </row>
    <row r="3500" spans="1:24" x14ac:dyDescent="0.25">
      <c r="A3500" s="63">
        <v>220230032383</v>
      </c>
      <c r="B3500" s="44" t="s">
        <v>1514</v>
      </c>
      <c r="C3500" s="64">
        <v>45107</v>
      </c>
      <c r="D3500" s="62">
        <v>22023004200</v>
      </c>
      <c r="E3500" s="44" t="s">
        <v>1362</v>
      </c>
      <c r="F3500" s="65">
        <v>6.78</v>
      </c>
      <c r="G3500" s="44" t="s">
        <v>2115</v>
      </c>
      <c r="H3500" s="44" t="s">
        <v>5216</v>
      </c>
      <c r="I3500" s="62" t="s">
        <v>1517</v>
      </c>
      <c r="J3500" s="44" t="s">
        <v>519</v>
      </c>
      <c r="K3500" s="44" t="s">
        <v>519</v>
      </c>
      <c r="L3500" s="44" t="s">
        <v>552</v>
      </c>
      <c r="M3500" s="44" t="s">
        <v>514</v>
      </c>
      <c r="N3500" s="44" t="s">
        <v>515</v>
      </c>
      <c r="O3500" s="45" t="s">
        <v>382</v>
      </c>
      <c r="P3500" s="45" t="s">
        <v>3760</v>
      </c>
      <c r="Q3500" s="59" t="str">
        <f>MID(Tabla1[[#This Row],[Aplicación]],14,1)</f>
        <v>2</v>
      </c>
      <c r="R3500" s="35" t="s">
        <v>298</v>
      </c>
      <c r="S3500" s="59" t="str">
        <f>MID(Tabla1[[#This Row],[Aplicación]],6,2)</f>
        <v>09</v>
      </c>
      <c r="T3500" s="35" t="str">
        <f>VLOOKUP(Tabla1[[#This Row],[AREA]],Hoja1!A:B,2,FALSE)</f>
        <v>09. Cultura y turismo</v>
      </c>
      <c r="U3500" s="56" t="str">
        <f>MID(Tabla1[[#This Row],[Aplicación]],9,4)</f>
        <v>3341</v>
      </c>
      <c r="V3500" s="35" t="str">
        <f>VLOOKUP(Tabla1[[#This Row],[PROGRAMA]],Hoja1!A:B,2,FALSE)</f>
        <v>3341. Coordinación de políticas culturales</v>
      </c>
      <c r="W3500" s="56" t="str">
        <f>MID(Tabla1[[#This Row],[Aplicación]],14,2)</f>
        <v>21</v>
      </c>
      <c r="X3500" s="56" t="str">
        <f>MID(Tabla1[[#This Row],[Aplicación]],14,6)</f>
        <v>213</v>
      </c>
    </row>
    <row r="3501" spans="1:24" x14ac:dyDescent="0.25">
      <c r="A3501" s="63">
        <v>220230032440</v>
      </c>
      <c r="B3501" s="44" t="s">
        <v>1514</v>
      </c>
      <c r="C3501" s="64">
        <v>45107</v>
      </c>
      <c r="D3501" s="62">
        <v>22023002161</v>
      </c>
      <c r="E3501" s="44" t="s">
        <v>2107</v>
      </c>
      <c r="F3501" s="65">
        <v>1022.85</v>
      </c>
      <c r="G3501" s="44" t="s">
        <v>2115</v>
      </c>
      <c r="H3501" s="44" t="s">
        <v>5217</v>
      </c>
      <c r="I3501" s="62" t="s">
        <v>1517</v>
      </c>
      <c r="J3501" s="44" t="s">
        <v>519</v>
      </c>
      <c r="K3501" s="44" t="s">
        <v>519</v>
      </c>
      <c r="L3501" s="44" t="s">
        <v>520</v>
      </c>
      <c r="M3501" s="44" t="s">
        <v>514</v>
      </c>
      <c r="N3501" s="44" t="s">
        <v>515</v>
      </c>
      <c r="O3501" s="45" t="s">
        <v>382</v>
      </c>
      <c r="P3501" s="45" t="s">
        <v>3760</v>
      </c>
      <c r="Q3501" s="59" t="str">
        <f>MID(Tabla1[[#This Row],[Aplicación]],14,1)</f>
        <v>2</v>
      </c>
      <c r="R3501" s="35" t="s">
        <v>298</v>
      </c>
      <c r="S3501" s="59" t="str">
        <f>MID(Tabla1[[#This Row],[Aplicación]],6,2)</f>
        <v>07</v>
      </c>
      <c r="T3501" s="35" t="str">
        <f>VLOOKUP(Tabla1[[#This Row],[AREA]],Hoja1!A:B,2,FALSE)</f>
        <v>07. Medio ambiente y desarrollo sostenible</v>
      </c>
      <c r="U3501" s="56" t="str">
        <f>MID(Tabla1[[#This Row],[Aplicación]],9,4)</f>
        <v>1711</v>
      </c>
      <c r="V3501" s="35" t="str">
        <f>VLOOKUP(Tabla1[[#This Row],[PROGRAMA]],Hoja1!A:B,2,FALSE)</f>
        <v>1711. Parques y jardines</v>
      </c>
      <c r="W3501" s="56" t="str">
        <f>MID(Tabla1[[#This Row],[Aplicación]],14,2)</f>
        <v>21</v>
      </c>
      <c r="X3501" s="56" t="str">
        <f>MID(Tabla1[[#This Row],[Aplicación]],14,6)</f>
        <v>213</v>
      </c>
    </row>
    <row r="3502" spans="1:24" x14ac:dyDescent="0.25">
      <c r="A3502" s="63">
        <v>220230030126</v>
      </c>
      <c r="B3502" s="44" t="s">
        <v>1514</v>
      </c>
      <c r="C3502" s="64">
        <v>45093</v>
      </c>
      <c r="D3502" s="62">
        <v>22023004435</v>
      </c>
      <c r="E3502" s="44" t="s">
        <v>1551</v>
      </c>
      <c r="F3502" s="65">
        <v>59.63</v>
      </c>
      <c r="G3502" s="44" t="s">
        <v>98</v>
      </c>
      <c r="H3502" s="44" t="s">
        <v>5218</v>
      </c>
      <c r="I3502" s="62" t="s">
        <v>1517</v>
      </c>
      <c r="J3502" s="44" t="s">
        <v>519</v>
      </c>
      <c r="K3502" s="44" t="s">
        <v>519</v>
      </c>
      <c r="L3502" s="44" t="s">
        <v>552</v>
      </c>
      <c r="M3502" s="44" t="s">
        <v>514</v>
      </c>
      <c r="N3502" s="44" t="s">
        <v>515</v>
      </c>
      <c r="O3502" s="45" t="s">
        <v>382</v>
      </c>
      <c r="P3502" s="45" t="s">
        <v>3760</v>
      </c>
      <c r="Q3502" s="59" t="str">
        <f>MID(Tabla1[[#This Row],[Aplicación]],14,1)</f>
        <v>2</v>
      </c>
      <c r="R3502" s="35" t="s">
        <v>298</v>
      </c>
      <c r="S3502" s="59" t="str">
        <f>MID(Tabla1[[#This Row],[Aplicación]],6,2)</f>
        <v>02</v>
      </c>
      <c r="T3502" s="35" t="str">
        <f>VLOOKUP(Tabla1[[#This Row],[AREA]],Hoja1!A:B,2,FALSE)</f>
        <v>02. Planeamiento urbanístico y vivienda</v>
      </c>
      <c r="U3502" s="56" t="str">
        <f>MID(Tabla1[[#This Row],[Aplicación]],9,4)</f>
        <v>9332</v>
      </c>
      <c r="V3502" s="35" t="str">
        <f>VLOOKUP(Tabla1[[#This Row],[PROGRAMA]],Hoja1!A:B,2,FALSE)</f>
        <v>9332. Mantenimiento de edificios e instalaciones municipales</v>
      </c>
      <c r="W3502" s="56" t="str">
        <f>MID(Tabla1[[#This Row],[Aplicación]],14,2)</f>
        <v>21</v>
      </c>
      <c r="X3502" s="56" t="str">
        <f>MID(Tabla1[[#This Row],[Aplicación]],14,6)</f>
        <v>212</v>
      </c>
    </row>
    <row r="3503" spans="1:24" x14ac:dyDescent="0.25">
      <c r="A3503" s="63">
        <v>220230030698</v>
      </c>
      <c r="B3503" s="44" t="s">
        <v>507</v>
      </c>
      <c r="C3503" s="64">
        <v>45097</v>
      </c>
      <c r="D3503" s="62">
        <v>22023004906</v>
      </c>
      <c r="E3503" s="44" t="s">
        <v>3068</v>
      </c>
      <c r="F3503" s="65">
        <v>12.08</v>
      </c>
      <c r="G3503" s="44" t="s">
        <v>98</v>
      </c>
      <c r="H3503" s="44" t="s">
        <v>5219</v>
      </c>
      <c r="I3503" s="62" t="s">
        <v>511</v>
      </c>
      <c r="J3503" s="44" t="s">
        <v>519</v>
      </c>
      <c r="K3503" s="44" t="s">
        <v>519</v>
      </c>
      <c r="L3503" s="44" t="s">
        <v>552</v>
      </c>
      <c r="M3503" s="44" t="s">
        <v>514</v>
      </c>
      <c r="N3503" s="44" t="s">
        <v>515</v>
      </c>
      <c r="O3503" s="45" t="s">
        <v>382</v>
      </c>
      <c r="P3503" s="45" t="s">
        <v>3760</v>
      </c>
      <c r="Q3503" s="59" t="str">
        <f>MID(Tabla1[[#This Row],[Aplicación]],14,1)</f>
        <v>2</v>
      </c>
      <c r="R3503" s="35" t="s">
        <v>298</v>
      </c>
      <c r="S3503" s="59" t="str">
        <f>MID(Tabla1[[#This Row],[Aplicación]],6,2)</f>
        <v>05</v>
      </c>
      <c r="T3503" s="35" t="str">
        <f>VLOOKUP(Tabla1[[#This Row],[AREA]],Hoja1!A:B,2,FALSE)</f>
        <v>05. Innovación, desarrollo económico, empleo y comercio</v>
      </c>
      <c r="U3503" s="56" t="str">
        <f>MID(Tabla1[[#This Row],[Aplicación]],9,4)</f>
        <v>4312</v>
      </c>
      <c r="V3503" s="35" t="str">
        <f>VLOOKUP(Tabla1[[#This Row],[PROGRAMA]],Hoja1!A:B,2,FALSE)</f>
        <v>4312. Mercados, abastos y lonjas</v>
      </c>
      <c r="W3503" s="56" t="str">
        <f>MID(Tabla1[[#This Row],[Aplicación]],14,2)</f>
        <v>22</v>
      </c>
      <c r="X3503" s="56" t="str">
        <f>MID(Tabla1[[#This Row],[Aplicación]],14,6)</f>
        <v>22199</v>
      </c>
    </row>
    <row r="3504" spans="1:24" x14ac:dyDescent="0.25">
      <c r="A3504" s="63">
        <v>220230032273</v>
      </c>
      <c r="B3504" s="44" t="s">
        <v>1514</v>
      </c>
      <c r="C3504" s="64">
        <v>45107</v>
      </c>
      <c r="D3504" s="62">
        <v>22023003827</v>
      </c>
      <c r="E3504" s="44" t="s">
        <v>1510</v>
      </c>
      <c r="F3504" s="65">
        <v>64.510000000000005</v>
      </c>
      <c r="G3504" s="44" t="s">
        <v>98</v>
      </c>
      <c r="H3504" s="44" t="s">
        <v>5220</v>
      </c>
      <c r="I3504" s="62" t="s">
        <v>1517</v>
      </c>
      <c r="J3504" s="44" t="s">
        <v>519</v>
      </c>
      <c r="K3504" s="44" t="s">
        <v>519</v>
      </c>
      <c r="L3504" s="44" t="s">
        <v>552</v>
      </c>
      <c r="M3504" s="44" t="s">
        <v>514</v>
      </c>
      <c r="N3504" s="44" t="s">
        <v>515</v>
      </c>
      <c r="O3504" s="45" t="s">
        <v>382</v>
      </c>
      <c r="P3504" s="45" t="s">
        <v>3760</v>
      </c>
      <c r="Q3504" s="59" t="str">
        <f>MID(Tabla1[[#This Row],[Aplicación]],14,1)</f>
        <v>2</v>
      </c>
      <c r="R3504" s="35" t="s">
        <v>298</v>
      </c>
      <c r="S3504" s="59" t="str">
        <f>MID(Tabla1[[#This Row],[Aplicación]],6,2)</f>
        <v>10</v>
      </c>
      <c r="T3504" s="35" t="str">
        <f>VLOOKUP(Tabla1[[#This Row],[AREA]],Hoja1!A:B,2,FALSE)</f>
        <v>10. Servicios sociales y mediación comunitaria</v>
      </c>
      <c r="U3504" s="56" t="str">
        <f>MID(Tabla1[[#This Row],[Aplicación]],9,4)</f>
        <v>2311</v>
      </c>
      <c r="V3504" s="35" t="str">
        <f>VLOOKUP(Tabla1[[#This Row],[PROGRAMA]],Hoja1!A:B,2,FALSE)</f>
        <v>2311. Intervención social</v>
      </c>
      <c r="W3504" s="56" t="str">
        <f>MID(Tabla1[[#This Row],[Aplicación]],14,2)</f>
        <v>21</v>
      </c>
      <c r="X3504" s="56" t="str">
        <f>MID(Tabla1[[#This Row],[Aplicación]],14,6)</f>
        <v>212</v>
      </c>
    </row>
    <row r="3505" spans="1:24" x14ac:dyDescent="0.25">
      <c r="A3505" s="63">
        <v>220230032472</v>
      </c>
      <c r="B3505" s="44" t="s">
        <v>1514</v>
      </c>
      <c r="C3505" s="64">
        <v>45107</v>
      </c>
      <c r="D3505" s="62">
        <v>22023004435</v>
      </c>
      <c r="E3505" s="44" t="s">
        <v>1551</v>
      </c>
      <c r="F3505" s="65">
        <v>457.69</v>
      </c>
      <c r="G3505" s="44" t="s">
        <v>2115</v>
      </c>
      <c r="H3505" s="44" t="s">
        <v>5221</v>
      </c>
      <c r="I3505" s="62" t="s">
        <v>1517</v>
      </c>
      <c r="J3505" s="44" t="s">
        <v>519</v>
      </c>
      <c r="K3505" s="44" t="s">
        <v>519</v>
      </c>
      <c r="L3505" s="44" t="s">
        <v>552</v>
      </c>
      <c r="M3505" s="44" t="s">
        <v>514</v>
      </c>
      <c r="N3505" s="44" t="s">
        <v>515</v>
      </c>
      <c r="O3505" s="45" t="s">
        <v>382</v>
      </c>
      <c r="P3505" s="45" t="s">
        <v>3760</v>
      </c>
      <c r="Q3505" s="59" t="str">
        <f>MID(Tabla1[[#This Row],[Aplicación]],14,1)</f>
        <v>2</v>
      </c>
      <c r="R3505" s="35" t="s">
        <v>298</v>
      </c>
      <c r="S3505" s="59" t="str">
        <f>MID(Tabla1[[#This Row],[Aplicación]],6,2)</f>
        <v>02</v>
      </c>
      <c r="T3505" s="35" t="str">
        <f>VLOOKUP(Tabla1[[#This Row],[AREA]],Hoja1!A:B,2,FALSE)</f>
        <v>02. Planeamiento urbanístico y vivienda</v>
      </c>
      <c r="U3505" s="56" t="str">
        <f>MID(Tabla1[[#This Row],[Aplicación]],9,4)</f>
        <v>9332</v>
      </c>
      <c r="V3505" s="35" t="str">
        <f>VLOOKUP(Tabla1[[#This Row],[PROGRAMA]],Hoja1!A:B,2,FALSE)</f>
        <v>9332. Mantenimiento de edificios e instalaciones municipales</v>
      </c>
      <c r="W3505" s="56" t="str">
        <f>MID(Tabla1[[#This Row],[Aplicación]],14,2)</f>
        <v>21</v>
      </c>
      <c r="X3505" s="56" t="str">
        <f>MID(Tabla1[[#This Row],[Aplicación]],14,6)</f>
        <v>212</v>
      </c>
    </row>
    <row r="3506" spans="1:24" x14ac:dyDescent="0.25">
      <c r="A3506" s="63">
        <v>220230032500</v>
      </c>
      <c r="B3506" s="44" t="s">
        <v>1514</v>
      </c>
      <c r="C3506" s="64">
        <v>45107</v>
      </c>
      <c r="D3506" s="62">
        <v>22023004205</v>
      </c>
      <c r="E3506" s="44" t="s">
        <v>2458</v>
      </c>
      <c r="F3506" s="65">
        <v>108.2</v>
      </c>
      <c r="G3506" s="44" t="s">
        <v>2115</v>
      </c>
      <c r="H3506" s="44" t="s">
        <v>5222</v>
      </c>
      <c r="I3506" s="62" t="s">
        <v>1517</v>
      </c>
      <c r="J3506" s="44" t="s">
        <v>519</v>
      </c>
      <c r="K3506" s="44" t="s">
        <v>519</v>
      </c>
      <c r="L3506" s="44" t="s">
        <v>552</v>
      </c>
      <c r="M3506" s="44" t="s">
        <v>514</v>
      </c>
      <c r="N3506" s="44" t="s">
        <v>515</v>
      </c>
      <c r="O3506" s="45" t="s">
        <v>382</v>
      </c>
      <c r="P3506" s="45" t="s">
        <v>3760</v>
      </c>
      <c r="Q3506" s="59" t="str">
        <f>MID(Tabla1[[#This Row],[Aplicación]],14,1)</f>
        <v>2</v>
      </c>
      <c r="R3506" s="35" t="s">
        <v>298</v>
      </c>
      <c r="S3506" s="59" t="str">
        <f>MID(Tabla1[[#This Row],[Aplicación]],6,2)</f>
        <v>06</v>
      </c>
      <c r="T3506" s="35" t="str">
        <f>VLOOKUP(Tabla1[[#This Row],[AREA]],Hoja1!A:B,2,FALSE)</f>
        <v>06. Educación, infancia, juventud e igualdad</v>
      </c>
      <c r="U3506" s="56" t="str">
        <f>MID(Tabla1[[#This Row],[Aplicación]],9,4)</f>
        <v>3231</v>
      </c>
      <c r="V3506" s="35" t="str">
        <f>VLOOKUP(Tabla1[[#This Row],[PROGRAMA]],Hoja1!A:B,2,FALSE)</f>
        <v>3231. Escuelas infantiles</v>
      </c>
      <c r="W3506" s="56" t="str">
        <f>MID(Tabla1[[#This Row],[Aplicación]],14,2)</f>
        <v>21</v>
      </c>
      <c r="X3506" s="56" t="str">
        <f>MID(Tabla1[[#This Row],[Aplicación]],14,6)</f>
        <v>212</v>
      </c>
    </row>
    <row r="3507" spans="1:24" x14ac:dyDescent="0.25">
      <c r="A3507" s="63">
        <v>220230032523</v>
      </c>
      <c r="B3507" s="44" t="s">
        <v>1514</v>
      </c>
      <c r="C3507" s="64">
        <v>45107</v>
      </c>
      <c r="D3507" s="62">
        <v>22023004206</v>
      </c>
      <c r="E3507" s="44" t="s">
        <v>1305</v>
      </c>
      <c r="F3507" s="65">
        <v>117.53</v>
      </c>
      <c r="G3507" s="44" t="s">
        <v>2115</v>
      </c>
      <c r="H3507" s="44" t="s">
        <v>5223</v>
      </c>
      <c r="I3507" s="62" t="s">
        <v>1517</v>
      </c>
      <c r="J3507" s="44" t="s">
        <v>519</v>
      </c>
      <c r="K3507" s="44" t="s">
        <v>519</v>
      </c>
      <c r="L3507" s="44" t="s">
        <v>552</v>
      </c>
      <c r="M3507" s="44" t="s">
        <v>514</v>
      </c>
      <c r="N3507" s="44" t="s">
        <v>515</v>
      </c>
      <c r="O3507" s="45" t="s">
        <v>382</v>
      </c>
      <c r="P3507" s="45" t="s">
        <v>3760</v>
      </c>
      <c r="Q3507" s="59" t="str">
        <f>MID(Tabla1[[#This Row],[Aplicación]],14,1)</f>
        <v>2</v>
      </c>
      <c r="R3507" s="35" t="s">
        <v>298</v>
      </c>
      <c r="S3507" s="59" t="str">
        <f>MID(Tabla1[[#This Row],[Aplicación]],6,2)</f>
        <v>06</v>
      </c>
      <c r="T3507" s="35" t="str">
        <f>VLOOKUP(Tabla1[[#This Row],[AREA]],Hoja1!A:B,2,FALSE)</f>
        <v>06. Educación, infancia, juventud e igualdad</v>
      </c>
      <c r="U3507" s="56" t="str">
        <f>MID(Tabla1[[#This Row],[Aplicación]],9,4)</f>
        <v>3232</v>
      </c>
      <c r="V3507" s="35" t="str">
        <f>VLOOKUP(Tabla1[[#This Row],[PROGRAMA]],Hoja1!A:B,2,FALSE)</f>
        <v>3232. Conservación y mantenimiento centros educación infantil y primaria</v>
      </c>
      <c r="W3507" s="56" t="str">
        <f>MID(Tabla1[[#This Row],[Aplicación]],14,2)</f>
        <v>21</v>
      </c>
      <c r="X3507" s="56" t="str">
        <f>MID(Tabla1[[#This Row],[Aplicación]],14,6)</f>
        <v>212</v>
      </c>
    </row>
    <row r="3508" spans="1:24" x14ac:dyDescent="0.25">
      <c r="A3508" s="63">
        <v>220230030708</v>
      </c>
      <c r="B3508" s="44" t="s">
        <v>507</v>
      </c>
      <c r="C3508" s="64">
        <v>45097</v>
      </c>
      <c r="D3508" s="62">
        <v>22023004910</v>
      </c>
      <c r="E3508" s="44" t="s">
        <v>2785</v>
      </c>
      <c r="F3508" s="65">
        <v>1162.69</v>
      </c>
      <c r="G3508" s="44" t="s">
        <v>456</v>
      </c>
      <c r="H3508" s="44" t="s">
        <v>5224</v>
      </c>
      <c r="I3508" s="62" t="s">
        <v>511</v>
      </c>
      <c r="J3508" s="44" t="s">
        <v>519</v>
      </c>
      <c r="K3508" s="44" t="s">
        <v>519</v>
      </c>
      <c r="L3508" s="44" t="s">
        <v>552</v>
      </c>
      <c r="M3508" s="44" t="s">
        <v>976</v>
      </c>
      <c r="N3508" s="44" t="s">
        <v>839</v>
      </c>
      <c r="O3508" s="45" t="s">
        <v>383</v>
      </c>
      <c r="P3508" s="45" t="s">
        <v>3760</v>
      </c>
      <c r="Q3508" s="59" t="str">
        <f>MID(Tabla1[[#This Row],[Aplicación]],14,1)</f>
        <v>2</v>
      </c>
      <c r="R3508" s="35" t="s">
        <v>298</v>
      </c>
      <c r="S3508" s="59" t="str">
        <f>MID(Tabla1[[#This Row],[Aplicación]],6,2)</f>
        <v>06</v>
      </c>
      <c r="T3508" s="35" t="str">
        <f>VLOOKUP(Tabla1[[#This Row],[AREA]],Hoja1!A:B,2,FALSE)</f>
        <v>06. Educación, infancia, juventud e igualdad</v>
      </c>
      <c r="U3508" s="56" t="str">
        <f>MID(Tabla1[[#This Row],[Aplicación]],9,4)</f>
        <v>3321</v>
      </c>
      <c r="V3508" s="35" t="str">
        <f>VLOOKUP(Tabla1[[#This Row],[PROGRAMA]],Hoja1!A:B,2,FALSE)</f>
        <v>3321. Bibliotecas públicas</v>
      </c>
      <c r="W3508" s="56" t="str">
        <f>MID(Tabla1[[#This Row],[Aplicación]],14,2)</f>
        <v>21</v>
      </c>
      <c r="X3508" s="56" t="str">
        <f>MID(Tabla1[[#This Row],[Aplicación]],14,6)</f>
        <v>212</v>
      </c>
    </row>
    <row r="3509" spans="1:24" x14ac:dyDescent="0.25">
      <c r="A3509" s="63">
        <v>220230028605</v>
      </c>
      <c r="B3509" s="44" t="s">
        <v>1514</v>
      </c>
      <c r="C3509" s="64">
        <v>45084</v>
      </c>
      <c r="D3509" s="62">
        <v>22023004052</v>
      </c>
      <c r="E3509" s="44" t="s">
        <v>1290</v>
      </c>
      <c r="F3509" s="65">
        <v>36.200000000000003</v>
      </c>
      <c r="G3509" s="44" t="s">
        <v>2009</v>
      </c>
      <c r="H3509" s="44" t="s">
        <v>5225</v>
      </c>
      <c r="I3509" s="62" t="s">
        <v>1517</v>
      </c>
      <c r="J3509" s="44" t="s">
        <v>519</v>
      </c>
      <c r="K3509" s="44" t="s">
        <v>519</v>
      </c>
      <c r="L3509" s="44" t="s">
        <v>552</v>
      </c>
      <c r="M3509" s="44" t="s">
        <v>514</v>
      </c>
      <c r="N3509" s="44" t="s">
        <v>515</v>
      </c>
      <c r="O3509" s="45" t="s">
        <v>382</v>
      </c>
      <c r="P3509" s="45" t="s">
        <v>3760</v>
      </c>
      <c r="Q3509" s="59" t="str">
        <f>MID(Tabla1[[#This Row],[Aplicación]],14,1)</f>
        <v>2</v>
      </c>
      <c r="R3509" s="35" t="s">
        <v>298</v>
      </c>
      <c r="S3509" s="59" t="str">
        <f>MID(Tabla1[[#This Row],[Aplicación]],6,2)</f>
        <v>11</v>
      </c>
      <c r="T3509" s="35" t="str">
        <f>VLOOKUP(Tabla1[[#This Row],[AREA]],Hoja1!A:B,2,FALSE)</f>
        <v>11. Salud pública y seguridad ciudadana</v>
      </c>
      <c r="U3509" s="56" t="str">
        <f>MID(Tabla1[[#This Row],[Aplicación]],9,4)</f>
        <v>1621</v>
      </c>
      <c r="V3509" s="35" t="str">
        <f>VLOOKUP(Tabla1[[#This Row],[PROGRAMA]],Hoja1!A:B,2,FALSE)</f>
        <v>1621. Servicio de limpieza</v>
      </c>
      <c r="W3509" s="56" t="str">
        <f>MID(Tabla1[[#This Row],[Aplicación]],14,2)</f>
        <v>21</v>
      </c>
      <c r="X3509" s="56" t="str">
        <f>MID(Tabla1[[#This Row],[Aplicación]],14,6)</f>
        <v>214</v>
      </c>
    </row>
    <row r="3510" spans="1:24" x14ac:dyDescent="0.25">
      <c r="A3510" s="63">
        <v>220230028298</v>
      </c>
      <c r="B3510" s="44" t="s">
        <v>1514</v>
      </c>
      <c r="C3510" s="64">
        <v>45084</v>
      </c>
      <c r="D3510" s="62">
        <v>22023001466</v>
      </c>
      <c r="E3510" s="44" t="s">
        <v>2624</v>
      </c>
      <c r="F3510" s="65">
        <v>2187.5700000000002</v>
      </c>
      <c r="G3510" s="44" t="s">
        <v>2351</v>
      </c>
      <c r="H3510" s="44" t="s">
        <v>5226</v>
      </c>
      <c r="I3510" s="62" t="s">
        <v>1517</v>
      </c>
      <c r="J3510" s="44" t="s">
        <v>519</v>
      </c>
      <c r="K3510" s="44" t="s">
        <v>519</v>
      </c>
      <c r="L3510" s="44" t="s">
        <v>552</v>
      </c>
      <c r="M3510" s="44" t="s">
        <v>514</v>
      </c>
      <c r="N3510" s="44" t="s">
        <v>515</v>
      </c>
      <c r="O3510" s="45" t="s">
        <v>382</v>
      </c>
      <c r="P3510" s="45" t="s">
        <v>3760</v>
      </c>
      <c r="Q3510" s="59" t="str">
        <f>MID(Tabla1[[#This Row],[Aplicación]],14,1)</f>
        <v>2</v>
      </c>
      <c r="R3510" s="35" t="s">
        <v>298</v>
      </c>
      <c r="S3510" s="59" t="str">
        <f>MID(Tabla1[[#This Row],[Aplicación]],6,2)</f>
        <v>11</v>
      </c>
      <c r="T3510" s="35" t="str">
        <f>VLOOKUP(Tabla1[[#This Row],[AREA]],Hoja1!A:B,2,FALSE)</f>
        <v>11. Salud pública y seguridad ciudadana</v>
      </c>
      <c r="U3510" s="56" t="str">
        <f>MID(Tabla1[[#This Row],[Aplicación]],9,4)</f>
        <v>1621</v>
      </c>
      <c r="V3510" s="35" t="str">
        <f>VLOOKUP(Tabla1[[#This Row],[PROGRAMA]],Hoja1!A:B,2,FALSE)</f>
        <v>1621. Servicio de limpieza</v>
      </c>
      <c r="W3510" s="56" t="str">
        <f>MID(Tabla1[[#This Row],[Aplicación]],14,2)</f>
        <v>22</v>
      </c>
      <c r="X3510" s="56" t="str">
        <f>MID(Tabla1[[#This Row],[Aplicación]],14,6)</f>
        <v>22199</v>
      </c>
    </row>
    <row r="3511" spans="1:24" x14ac:dyDescent="0.25">
      <c r="A3511" s="63">
        <v>220230028395</v>
      </c>
      <c r="B3511" s="44" t="s">
        <v>1514</v>
      </c>
      <c r="C3511" s="64">
        <v>45084</v>
      </c>
      <c r="D3511" s="62">
        <v>22023001514</v>
      </c>
      <c r="E3511" s="44" t="s">
        <v>1285</v>
      </c>
      <c r="F3511" s="65">
        <v>63.61</v>
      </c>
      <c r="G3511" s="44" t="s">
        <v>2351</v>
      </c>
      <c r="H3511" s="44" t="s">
        <v>5227</v>
      </c>
      <c r="I3511" s="62" t="s">
        <v>1517</v>
      </c>
      <c r="J3511" s="44" t="s">
        <v>519</v>
      </c>
      <c r="K3511" s="44" t="s">
        <v>519</v>
      </c>
      <c r="L3511" s="44" t="s">
        <v>552</v>
      </c>
      <c r="M3511" s="44" t="s">
        <v>514</v>
      </c>
      <c r="N3511" s="44" t="s">
        <v>515</v>
      </c>
      <c r="O3511" s="45" t="s">
        <v>382</v>
      </c>
      <c r="P3511" s="45" t="s">
        <v>3760</v>
      </c>
      <c r="Q3511" s="59" t="str">
        <f>MID(Tabla1[[#This Row],[Aplicación]],14,1)</f>
        <v>2</v>
      </c>
      <c r="R3511" s="35" t="s">
        <v>298</v>
      </c>
      <c r="S3511" s="59" t="str">
        <f>MID(Tabla1[[#This Row],[Aplicación]],6,2)</f>
        <v>11</v>
      </c>
      <c r="T3511" s="35" t="str">
        <f>VLOOKUP(Tabla1[[#This Row],[AREA]],Hoja1!A:B,2,FALSE)</f>
        <v>11. Salud pública y seguridad ciudadana</v>
      </c>
      <c r="U3511" s="56" t="str">
        <f>MID(Tabla1[[#This Row],[Aplicación]],9,4)</f>
        <v>1361</v>
      </c>
      <c r="V3511" s="35" t="str">
        <f>VLOOKUP(Tabla1[[#This Row],[PROGRAMA]],Hoja1!A:B,2,FALSE)</f>
        <v>1361. Prevención y extinción de incencios</v>
      </c>
      <c r="W3511" s="56" t="str">
        <f>MID(Tabla1[[#This Row],[Aplicación]],14,2)</f>
        <v>22</v>
      </c>
      <c r="X3511" s="56" t="str">
        <f>MID(Tabla1[[#This Row],[Aplicación]],14,6)</f>
        <v>22199</v>
      </c>
    </row>
    <row r="3512" spans="1:24" x14ac:dyDescent="0.25">
      <c r="A3512" s="63">
        <v>220230028628</v>
      </c>
      <c r="B3512" s="44" t="s">
        <v>507</v>
      </c>
      <c r="C3512" s="64">
        <v>45085</v>
      </c>
      <c r="D3512" s="62">
        <v>22023004833</v>
      </c>
      <c r="E3512" s="44" t="s">
        <v>1191</v>
      </c>
      <c r="F3512" s="65">
        <v>1122</v>
      </c>
      <c r="G3512" s="44" t="s">
        <v>5228</v>
      </c>
      <c r="H3512" s="44" t="s">
        <v>5229</v>
      </c>
      <c r="I3512" s="62" t="s">
        <v>511</v>
      </c>
      <c r="J3512" s="44" t="s">
        <v>519</v>
      </c>
      <c r="K3512" s="44" t="s">
        <v>519</v>
      </c>
      <c r="L3512" s="44" t="s">
        <v>520</v>
      </c>
      <c r="M3512" s="44" t="s">
        <v>976</v>
      </c>
      <c r="N3512" s="44" t="s">
        <v>839</v>
      </c>
      <c r="O3512" s="45" t="s">
        <v>383</v>
      </c>
      <c r="P3512" s="45" t="s">
        <v>3760</v>
      </c>
      <c r="Q3512" s="59" t="str">
        <f>MID(Tabla1[[#This Row],[Aplicación]],14,1)</f>
        <v>2</v>
      </c>
      <c r="R3512" s="35" t="s">
        <v>298</v>
      </c>
      <c r="S3512" s="59" t="str">
        <f>MID(Tabla1[[#This Row],[Aplicación]],6,2)</f>
        <v>06</v>
      </c>
      <c r="T3512" s="35" t="str">
        <f>VLOOKUP(Tabla1[[#This Row],[AREA]],Hoja1!A:B,2,FALSE)</f>
        <v>06. Educación, infancia, juventud e igualdad</v>
      </c>
      <c r="U3512" s="56" t="str">
        <f>MID(Tabla1[[#This Row],[Aplicación]],9,4)</f>
        <v>2315</v>
      </c>
      <c r="V3512" s="35" t="str">
        <f>VLOOKUP(Tabla1[[#This Row],[PROGRAMA]],Hoja1!A:B,2,FALSE)</f>
        <v>2315. Políticas de Igualdad e infancia</v>
      </c>
      <c r="W3512" s="56" t="str">
        <f>MID(Tabla1[[#This Row],[Aplicación]],14,2)</f>
        <v>22</v>
      </c>
      <c r="X3512" s="56" t="str">
        <f>MID(Tabla1[[#This Row],[Aplicación]],14,6)</f>
        <v>22611</v>
      </c>
    </row>
    <row r="3513" spans="1:24" x14ac:dyDescent="0.25">
      <c r="A3513" s="63">
        <v>220230032432</v>
      </c>
      <c r="B3513" s="44" t="s">
        <v>1514</v>
      </c>
      <c r="C3513" s="64">
        <v>45107</v>
      </c>
      <c r="D3513" s="62">
        <v>22023001514</v>
      </c>
      <c r="E3513" s="44" t="s">
        <v>1285</v>
      </c>
      <c r="F3513" s="65">
        <v>165.5</v>
      </c>
      <c r="G3513" s="44" t="s">
        <v>98</v>
      </c>
      <c r="H3513" s="44" t="s">
        <v>5230</v>
      </c>
      <c r="I3513" s="62" t="s">
        <v>1517</v>
      </c>
      <c r="J3513" s="44" t="s">
        <v>519</v>
      </c>
      <c r="K3513" s="44" t="s">
        <v>519</v>
      </c>
      <c r="L3513" s="44" t="s">
        <v>552</v>
      </c>
      <c r="M3513" s="44" t="s">
        <v>514</v>
      </c>
      <c r="N3513" s="44" t="s">
        <v>515</v>
      </c>
      <c r="O3513" s="45" t="s">
        <v>382</v>
      </c>
      <c r="P3513" s="45" t="s">
        <v>3760</v>
      </c>
      <c r="Q3513" s="59" t="str">
        <f>MID(Tabla1[[#This Row],[Aplicación]],14,1)</f>
        <v>2</v>
      </c>
      <c r="R3513" s="35" t="s">
        <v>298</v>
      </c>
      <c r="S3513" s="59" t="str">
        <f>MID(Tabla1[[#This Row],[Aplicación]],6,2)</f>
        <v>11</v>
      </c>
      <c r="T3513" s="35" t="str">
        <f>VLOOKUP(Tabla1[[#This Row],[AREA]],Hoja1!A:B,2,FALSE)</f>
        <v>11. Salud pública y seguridad ciudadana</v>
      </c>
      <c r="U3513" s="56" t="str">
        <f>MID(Tabla1[[#This Row],[Aplicación]],9,4)</f>
        <v>1361</v>
      </c>
      <c r="V3513" s="35" t="str">
        <f>VLOOKUP(Tabla1[[#This Row],[PROGRAMA]],Hoja1!A:B,2,FALSE)</f>
        <v>1361. Prevención y extinción de incencios</v>
      </c>
      <c r="W3513" s="56" t="str">
        <f>MID(Tabla1[[#This Row],[Aplicación]],14,2)</f>
        <v>22</v>
      </c>
      <c r="X3513" s="56" t="str">
        <f>MID(Tabla1[[#This Row],[Aplicación]],14,6)</f>
        <v>22199</v>
      </c>
    </row>
    <row r="3514" spans="1:24" x14ac:dyDescent="0.25">
      <c r="A3514" s="63">
        <v>220230032475</v>
      </c>
      <c r="B3514" s="44" t="s">
        <v>1514</v>
      </c>
      <c r="C3514" s="64">
        <v>45107</v>
      </c>
      <c r="D3514" s="62">
        <v>22023004435</v>
      </c>
      <c r="E3514" s="44" t="s">
        <v>1551</v>
      </c>
      <c r="F3514" s="65">
        <v>1.62</v>
      </c>
      <c r="G3514" s="44" t="s">
        <v>98</v>
      </c>
      <c r="H3514" s="44" t="s">
        <v>5231</v>
      </c>
      <c r="I3514" s="62" t="s">
        <v>1517</v>
      </c>
      <c r="J3514" s="44" t="s">
        <v>519</v>
      </c>
      <c r="K3514" s="44" t="s">
        <v>519</v>
      </c>
      <c r="L3514" s="44" t="s">
        <v>552</v>
      </c>
      <c r="M3514" s="44" t="s">
        <v>514</v>
      </c>
      <c r="N3514" s="44" t="s">
        <v>515</v>
      </c>
      <c r="O3514" s="45" t="s">
        <v>382</v>
      </c>
      <c r="P3514" s="45" t="s">
        <v>3760</v>
      </c>
      <c r="Q3514" s="59" t="str">
        <f>MID(Tabla1[[#This Row],[Aplicación]],14,1)</f>
        <v>2</v>
      </c>
      <c r="R3514" s="35" t="s">
        <v>298</v>
      </c>
      <c r="S3514" s="59" t="str">
        <f>MID(Tabla1[[#This Row],[Aplicación]],6,2)</f>
        <v>02</v>
      </c>
      <c r="T3514" s="35" t="str">
        <f>VLOOKUP(Tabla1[[#This Row],[AREA]],Hoja1!A:B,2,FALSE)</f>
        <v>02. Planeamiento urbanístico y vivienda</v>
      </c>
      <c r="U3514" s="56" t="str">
        <f>MID(Tabla1[[#This Row],[Aplicación]],9,4)</f>
        <v>9332</v>
      </c>
      <c r="V3514" s="35" t="str">
        <f>VLOOKUP(Tabla1[[#This Row],[PROGRAMA]],Hoja1!A:B,2,FALSE)</f>
        <v>9332. Mantenimiento de edificios e instalaciones municipales</v>
      </c>
      <c r="W3514" s="56" t="str">
        <f>MID(Tabla1[[#This Row],[Aplicación]],14,2)</f>
        <v>21</v>
      </c>
      <c r="X3514" s="56" t="str">
        <f>MID(Tabla1[[#This Row],[Aplicación]],14,6)</f>
        <v>212</v>
      </c>
    </row>
    <row r="3515" spans="1:24" x14ac:dyDescent="0.25">
      <c r="A3515" s="63">
        <v>220230032477</v>
      </c>
      <c r="B3515" s="44" t="s">
        <v>1514</v>
      </c>
      <c r="C3515" s="64">
        <v>45107</v>
      </c>
      <c r="D3515" s="62">
        <v>22023004435</v>
      </c>
      <c r="E3515" s="44" t="s">
        <v>1551</v>
      </c>
      <c r="F3515" s="65">
        <v>238.06</v>
      </c>
      <c r="G3515" s="44" t="s">
        <v>98</v>
      </c>
      <c r="H3515" s="44" t="s">
        <v>5232</v>
      </c>
      <c r="I3515" s="62" t="s">
        <v>1517</v>
      </c>
      <c r="J3515" s="44" t="s">
        <v>519</v>
      </c>
      <c r="K3515" s="44" t="s">
        <v>519</v>
      </c>
      <c r="L3515" s="44" t="s">
        <v>552</v>
      </c>
      <c r="M3515" s="44" t="s">
        <v>514</v>
      </c>
      <c r="N3515" s="44" t="s">
        <v>515</v>
      </c>
      <c r="O3515" s="45" t="s">
        <v>382</v>
      </c>
      <c r="P3515" s="45" t="s">
        <v>3760</v>
      </c>
      <c r="Q3515" s="59" t="str">
        <f>MID(Tabla1[[#This Row],[Aplicación]],14,1)</f>
        <v>2</v>
      </c>
      <c r="R3515" s="35" t="s">
        <v>298</v>
      </c>
      <c r="S3515" s="59" t="str">
        <f>MID(Tabla1[[#This Row],[Aplicación]],6,2)</f>
        <v>02</v>
      </c>
      <c r="T3515" s="35" t="str">
        <f>VLOOKUP(Tabla1[[#This Row],[AREA]],Hoja1!A:B,2,FALSE)</f>
        <v>02. Planeamiento urbanístico y vivienda</v>
      </c>
      <c r="U3515" s="56" t="str">
        <f>MID(Tabla1[[#This Row],[Aplicación]],9,4)</f>
        <v>9332</v>
      </c>
      <c r="V3515" s="35" t="str">
        <f>VLOOKUP(Tabla1[[#This Row],[PROGRAMA]],Hoja1!A:B,2,FALSE)</f>
        <v>9332. Mantenimiento de edificios e instalaciones municipales</v>
      </c>
      <c r="W3515" s="56" t="str">
        <f>MID(Tabla1[[#This Row],[Aplicación]],14,2)</f>
        <v>21</v>
      </c>
      <c r="X3515" s="56" t="str">
        <f>MID(Tabla1[[#This Row],[Aplicación]],14,6)</f>
        <v>212</v>
      </c>
    </row>
    <row r="3516" spans="1:24" x14ac:dyDescent="0.25">
      <c r="A3516" s="63">
        <v>220230029499</v>
      </c>
      <c r="B3516" s="44" t="s">
        <v>1514</v>
      </c>
      <c r="C3516" s="64">
        <v>45090</v>
      </c>
      <c r="D3516" s="62">
        <v>22023003931</v>
      </c>
      <c r="E3516" s="44" t="s">
        <v>2509</v>
      </c>
      <c r="F3516" s="65">
        <v>1551</v>
      </c>
      <c r="G3516" s="44" t="s">
        <v>2510</v>
      </c>
      <c r="H3516" s="44" t="s">
        <v>3273</v>
      </c>
      <c r="I3516" s="62" t="s">
        <v>1517</v>
      </c>
      <c r="J3516" s="44" t="s">
        <v>2512</v>
      </c>
      <c r="K3516" s="44" t="s">
        <v>519</v>
      </c>
      <c r="L3516" s="44" t="s">
        <v>552</v>
      </c>
      <c r="M3516" s="44" t="s">
        <v>514</v>
      </c>
      <c r="N3516" s="44" t="s">
        <v>515</v>
      </c>
      <c r="O3516" s="45" t="s">
        <v>382</v>
      </c>
      <c r="P3516" s="45" t="s">
        <v>3760</v>
      </c>
      <c r="Q3516" s="59" t="str">
        <f>MID(Tabla1[[#This Row],[Aplicación]],14,1)</f>
        <v>2</v>
      </c>
      <c r="R3516" s="35" t="s">
        <v>298</v>
      </c>
      <c r="S3516" s="59" t="str">
        <f>MID(Tabla1[[#This Row],[Aplicación]],6,2)</f>
        <v>07</v>
      </c>
      <c r="T3516" s="35" t="str">
        <f>VLOOKUP(Tabla1[[#This Row],[AREA]],Hoja1!A:B,2,FALSE)</f>
        <v>07. Medio ambiente y desarrollo sostenible</v>
      </c>
      <c r="U3516" s="56" t="str">
        <f>MID(Tabla1[[#This Row],[Aplicación]],9,4)</f>
        <v>1711</v>
      </c>
      <c r="V3516" s="35" t="str">
        <f>VLOOKUP(Tabla1[[#This Row],[PROGRAMA]],Hoja1!A:B,2,FALSE)</f>
        <v>1711. Parques y jardines</v>
      </c>
      <c r="W3516" s="56" t="str">
        <f>MID(Tabla1[[#This Row],[Aplicación]],14,2)</f>
        <v>22</v>
      </c>
      <c r="X3516" s="56" t="str">
        <f>MID(Tabla1[[#This Row],[Aplicación]],14,6)</f>
        <v>22106</v>
      </c>
    </row>
    <row r="3517" spans="1:24" x14ac:dyDescent="0.25">
      <c r="A3517" s="63">
        <v>220230032270</v>
      </c>
      <c r="B3517" s="44" t="s">
        <v>1514</v>
      </c>
      <c r="C3517" s="64">
        <v>45107</v>
      </c>
      <c r="D3517" s="62">
        <v>22023003931</v>
      </c>
      <c r="E3517" s="44" t="s">
        <v>2509</v>
      </c>
      <c r="F3517" s="65">
        <v>304.7</v>
      </c>
      <c r="G3517" s="44" t="s">
        <v>2510</v>
      </c>
      <c r="H3517" s="44" t="s">
        <v>5233</v>
      </c>
      <c r="I3517" s="62" t="s">
        <v>1517</v>
      </c>
      <c r="J3517" s="44" t="s">
        <v>2512</v>
      </c>
      <c r="K3517" s="44" t="s">
        <v>519</v>
      </c>
      <c r="L3517" s="44" t="s">
        <v>552</v>
      </c>
      <c r="M3517" s="44" t="s">
        <v>514</v>
      </c>
      <c r="N3517" s="44" t="s">
        <v>515</v>
      </c>
      <c r="O3517" s="45" t="s">
        <v>382</v>
      </c>
      <c r="P3517" s="45" t="s">
        <v>3760</v>
      </c>
      <c r="Q3517" s="59" t="str">
        <f>MID(Tabla1[[#This Row],[Aplicación]],14,1)</f>
        <v>2</v>
      </c>
      <c r="R3517" s="35" t="s">
        <v>298</v>
      </c>
      <c r="S3517" s="59" t="str">
        <f>MID(Tabla1[[#This Row],[Aplicación]],6,2)</f>
        <v>07</v>
      </c>
      <c r="T3517" s="35" t="str">
        <f>VLOOKUP(Tabla1[[#This Row],[AREA]],Hoja1!A:B,2,FALSE)</f>
        <v>07. Medio ambiente y desarrollo sostenible</v>
      </c>
      <c r="U3517" s="56" t="str">
        <f>MID(Tabla1[[#This Row],[Aplicación]],9,4)</f>
        <v>1711</v>
      </c>
      <c r="V3517" s="35" t="str">
        <f>VLOOKUP(Tabla1[[#This Row],[PROGRAMA]],Hoja1!A:B,2,FALSE)</f>
        <v>1711. Parques y jardines</v>
      </c>
      <c r="W3517" s="56" t="str">
        <f>MID(Tabla1[[#This Row],[Aplicación]],14,2)</f>
        <v>22</v>
      </c>
      <c r="X3517" s="56" t="str">
        <f>MID(Tabla1[[#This Row],[Aplicación]],14,6)</f>
        <v>22106</v>
      </c>
    </row>
    <row r="3518" spans="1:24" x14ac:dyDescent="0.25">
      <c r="A3518" s="63">
        <v>220230032275</v>
      </c>
      <c r="B3518" s="44" t="s">
        <v>1514</v>
      </c>
      <c r="C3518" s="64">
        <v>45107</v>
      </c>
      <c r="D3518" s="62">
        <v>22023003931</v>
      </c>
      <c r="E3518" s="44" t="s">
        <v>2509</v>
      </c>
      <c r="F3518" s="65">
        <v>396.02</v>
      </c>
      <c r="G3518" s="44" t="s">
        <v>2510</v>
      </c>
      <c r="H3518" s="44" t="s">
        <v>4516</v>
      </c>
      <c r="I3518" s="62" t="s">
        <v>1517</v>
      </c>
      <c r="J3518" s="44" t="s">
        <v>2512</v>
      </c>
      <c r="K3518" s="44" t="s">
        <v>519</v>
      </c>
      <c r="L3518" s="44" t="s">
        <v>552</v>
      </c>
      <c r="M3518" s="44" t="s">
        <v>514</v>
      </c>
      <c r="N3518" s="44" t="s">
        <v>515</v>
      </c>
      <c r="O3518" s="45" t="s">
        <v>382</v>
      </c>
      <c r="P3518" s="45" t="s">
        <v>3760</v>
      </c>
      <c r="Q3518" s="59" t="str">
        <f>MID(Tabla1[[#This Row],[Aplicación]],14,1)</f>
        <v>2</v>
      </c>
      <c r="R3518" s="35" t="s">
        <v>298</v>
      </c>
      <c r="S3518" s="59" t="str">
        <f>MID(Tabla1[[#This Row],[Aplicación]],6,2)</f>
        <v>07</v>
      </c>
      <c r="T3518" s="35" t="str">
        <f>VLOOKUP(Tabla1[[#This Row],[AREA]],Hoja1!A:B,2,FALSE)</f>
        <v>07. Medio ambiente y desarrollo sostenible</v>
      </c>
      <c r="U3518" s="56" t="str">
        <f>MID(Tabla1[[#This Row],[Aplicación]],9,4)</f>
        <v>1711</v>
      </c>
      <c r="V3518" s="35" t="str">
        <f>VLOOKUP(Tabla1[[#This Row],[PROGRAMA]],Hoja1!A:B,2,FALSE)</f>
        <v>1711. Parques y jardines</v>
      </c>
      <c r="W3518" s="56" t="str">
        <f>MID(Tabla1[[#This Row],[Aplicación]],14,2)</f>
        <v>22</v>
      </c>
      <c r="X3518" s="56" t="str">
        <f>MID(Tabla1[[#This Row],[Aplicación]],14,6)</f>
        <v>22106</v>
      </c>
    </row>
    <row r="3519" spans="1:24" x14ac:dyDescent="0.25">
      <c r="A3519" s="63">
        <v>220230032505</v>
      </c>
      <c r="B3519" s="44" t="s">
        <v>1514</v>
      </c>
      <c r="C3519" s="64">
        <v>45107</v>
      </c>
      <c r="D3519" s="62">
        <v>22023003931</v>
      </c>
      <c r="E3519" s="44" t="s">
        <v>2509</v>
      </c>
      <c r="F3519" s="65">
        <v>518.22</v>
      </c>
      <c r="G3519" s="44" t="s">
        <v>2510</v>
      </c>
      <c r="H3519" s="44" t="s">
        <v>5234</v>
      </c>
      <c r="I3519" s="62" t="s">
        <v>1517</v>
      </c>
      <c r="J3519" s="44" t="s">
        <v>2512</v>
      </c>
      <c r="K3519" s="44" t="s">
        <v>519</v>
      </c>
      <c r="L3519" s="44" t="s">
        <v>552</v>
      </c>
      <c r="M3519" s="44" t="s">
        <v>514</v>
      </c>
      <c r="N3519" s="44" t="s">
        <v>515</v>
      </c>
      <c r="O3519" s="45" t="s">
        <v>382</v>
      </c>
      <c r="P3519" s="45" t="s">
        <v>3760</v>
      </c>
      <c r="Q3519" s="59" t="str">
        <f>MID(Tabla1[[#This Row],[Aplicación]],14,1)</f>
        <v>2</v>
      </c>
      <c r="R3519" s="35" t="s">
        <v>298</v>
      </c>
      <c r="S3519" s="59" t="str">
        <f>MID(Tabla1[[#This Row],[Aplicación]],6,2)</f>
        <v>07</v>
      </c>
      <c r="T3519" s="35" t="str">
        <f>VLOOKUP(Tabla1[[#This Row],[AREA]],Hoja1!A:B,2,FALSE)</f>
        <v>07. Medio ambiente y desarrollo sostenible</v>
      </c>
      <c r="U3519" s="56" t="str">
        <f>MID(Tabla1[[#This Row],[Aplicación]],9,4)</f>
        <v>1711</v>
      </c>
      <c r="V3519" s="35" t="str">
        <f>VLOOKUP(Tabla1[[#This Row],[PROGRAMA]],Hoja1!A:B,2,FALSE)</f>
        <v>1711. Parques y jardines</v>
      </c>
      <c r="W3519" s="56" t="str">
        <f>MID(Tabla1[[#This Row],[Aplicación]],14,2)</f>
        <v>22</v>
      </c>
      <c r="X3519" s="56" t="str">
        <f>MID(Tabla1[[#This Row],[Aplicación]],14,6)</f>
        <v>22106</v>
      </c>
    </row>
    <row r="3520" spans="1:24" x14ac:dyDescent="0.25">
      <c r="A3520" s="63">
        <v>220230028400</v>
      </c>
      <c r="B3520" s="44" t="s">
        <v>1514</v>
      </c>
      <c r="C3520" s="64">
        <v>45084</v>
      </c>
      <c r="D3520" s="62">
        <v>22023001514</v>
      </c>
      <c r="E3520" s="44" t="s">
        <v>1285</v>
      </c>
      <c r="F3520" s="65">
        <v>15.15</v>
      </c>
      <c r="G3520" s="44" t="s">
        <v>97</v>
      </c>
      <c r="H3520" s="44" t="s">
        <v>5235</v>
      </c>
      <c r="I3520" s="62" t="s">
        <v>1517</v>
      </c>
      <c r="J3520" s="44" t="s">
        <v>519</v>
      </c>
      <c r="K3520" s="44" t="s">
        <v>519</v>
      </c>
      <c r="L3520" s="44" t="s">
        <v>552</v>
      </c>
      <c r="M3520" s="44" t="s">
        <v>514</v>
      </c>
      <c r="N3520" s="44" t="s">
        <v>515</v>
      </c>
      <c r="O3520" s="45" t="s">
        <v>382</v>
      </c>
      <c r="P3520" s="45" t="s">
        <v>3760</v>
      </c>
      <c r="Q3520" s="59" t="str">
        <f>MID(Tabla1[[#This Row],[Aplicación]],14,1)</f>
        <v>2</v>
      </c>
      <c r="R3520" s="35" t="s">
        <v>298</v>
      </c>
      <c r="S3520" s="59" t="str">
        <f>MID(Tabla1[[#This Row],[Aplicación]],6,2)</f>
        <v>11</v>
      </c>
      <c r="T3520" s="35" t="str">
        <f>VLOOKUP(Tabla1[[#This Row],[AREA]],Hoja1!A:B,2,FALSE)</f>
        <v>11. Salud pública y seguridad ciudadana</v>
      </c>
      <c r="U3520" s="56" t="str">
        <f>MID(Tabla1[[#This Row],[Aplicación]],9,4)</f>
        <v>1361</v>
      </c>
      <c r="V3520" s="35" t="str">
        <f>VLOOKUP(Tabla1[[#This Row],[PROGRAMA]],Hoja1!A:B,2,FALSE)</f>
        <v>1361. Prevención y extinción de incencios</v>
      </c>
      <c r="W3520" s="56" t="str">
        <f>MID(Tabla1[[#This Row],[Aplicación]],14,2)</f>
        <v>22</v>
      </c>
      <c r="X3520" s="56" t="str">
        <f>MID(Tabla1[[#This Row],[Aplicación]],14,6)</f>
        <v>22199</v>
      </c>
    </row>
    <row r="3521" spans="1:24" x14ac:dyDescent="0.25">
      <c r="A3521" s="63">
        <v>220230032393</v>
      </c>
      <c r="B3521" s="44" t="s">
        <v>1514</v>
      </c>
      <c r="C3521" s="64">
        <v>45107</v>
      </c>
      <c r="D3521" s="62">
        <v>22023003832</v>
      </c>
      <c r="E3521" s="44" t="s">
        <v>1502</v>
      </c>
      <c r="F3521" s="65">
        <v>86.12</v>
      </c>
      <c r="G3521" s="44" t="s">
        <v>97</v>
      </c>
      <c r="H3521" s="44" t="s">
        <v>5236</v>
      </c>
      <c r="I3521" s="62" t="s">
        <v>1517</v>
      </c>
      <c r="J3521" s="44" t="s">
        <v>519</v>
      </c>
      <c r="K3521" s="44" t="s">
        <v>519</v>
      </c>
      <c r="L3521" s="44" t="s">
        <v>552</v>
      </c>
      <c r="M3521" s="44" t="s">
        <v>514</v>
      </c>
      <c r="N3521" s="44" t="s">
        <v>515</v>
      </c>
      <c r="O3521" s="45" t="s">
        <v>382</v>
      </c>
      <c r="P3521" s="45" t="s">
        <v>3760</v>
      </c>
      <c r="Q3521" s="59" t="str">
        <f>MID(Tabla1[[#This Row],[Aplicación]],14,1)</f>
        <v>2</v>
      </c>
      <c r="R3521" s="35" t="s">
        <v>298</v>
      </c>
      <c r="S3521" s="59" t="str">
        <f>MID(Tabla1[[#This Row],[Aplicación]],6,2)</f>
        <v>10</v>
      </c>
      <c r="T3521" s="35" t="str">
        <f>VLOOKUP(Tabla1[[#This Row],[AREA]],Hoja1!A:B,2,FALSE)</f>
        <v>10. Servicios sociales y mediación comunitaria</v>
      </c>
      <c r="U3521" s="56" t="str">
        <f>MID(Tabla1[[#This Row],[Aplicación]],9,4)</f>
        <v>2412</v>
      </c>
      <c r="V3521" s="35" t="str">
        <f>VLOOKUP(Tabla1[[#This Row],[PROGRAMA]],Hoja1!A:B,2,FALSE)</f>
        <v>2412. Formación para el empleo</v>
      </c>
      <c r="W3521" s="56" t="str">
        <f>MID(Tabla1[[#This Row],[Aplicación]],14,2)</f>
        <v>22</v>
      </c>
      <c r="X3521" s="56" t="str">
        <f>MID(Tabla1[[#This Row],[Aplicación]],14,6)</f>
        <v>22199</v>
      </c>
    </row>
    <row r="3522" spans="1:24" x14ac:dyDescent="0.25">
      <c r="A3522" s="63">
        <v>220230032395</v>
      </c>
      <c r="B3522" s="44" t="s">
        <v>1514</v>
      </c>
      <c r="C3522" s="64">
        <v>45107</v>
      </c>
      <c r="D3522" s="62">
        <v>22023003832</v>
      </c>
      <c r="E3522" s="44" t="s">
        <v>1502</v>
      </c>
      <c r="F3522" s="65">
        <v>90.76</v>
      </c>
      <c r="G3522" s="44" t="s">
        <v>97</v>
      </c>
      <c r="H3522" s="44" t="s">
        <v>5237</v>
      </c>
      <c r="I3522" s="62" t="s">
        <v>1517</v>
      </c>
      <c r="J3522" s="44" t="s">
        <v>519</v>
      </c>
      <c r="K3522" s="44" t="s">
        <v>519</v>
      </c>
      <c r="L3522" s="44" t="s">
        <v>552</v>
      </c>
      <c r="M3522" s="44" t="s">
        <v>514</v>
      </c>
      <c r="N3522" s="44" t="s">
        <v>515</v>
      </c>
      <c r="O3522" s="45" t="s">
        <v>382</v>
      </c>
      <c r="P3522" s="45" t="s">
        <v>3760</v>
      </c>
      <c r="Q3522" s="59" t="str">
        <f>MID(Tabla1[[#This Row],[Aplicación]],14,1)</f>
        <v>2</v>
      </c>
      <c r="R3522" s="35" t="s">
        <v>298</v>
      </c>
      <c r="S3522" s="59" t="str">
        <f>MID(Tabla1[[#This Row],[Aplicación]],6,2)</f>
        <v>10</v>
      </c>
      <c r="T3522" s="35" t="str">
        <f>VLOOKUP(Tabla1[[#This Row],[AREA]],Hoja1!A:B,2,FALSE)</f>
        <v>10. Servicios sociales y mediación comunitaria</v>
      </c>
      <c r="U3522" s="56" t="str">
        <f>MID(Tabla1[[#This Row],[Aplicación]],9,4)</f>
        <v>2412</v>
      </c>
      <c r="V3522" s="35" t="str">
        <f>VLOOKUP(Tabla1[[#This Row],[PROGRAMA]],Hoja1!A:B,2,FALSE)</f>
        <v>2412. Formación para el empleo</v>
      </c>
      <c r="W3522" s="56" t="str">
        <f>MID(Tabla1[[#This Row],[Aplicación]],14,2)</f>
        <v>22</v>
      </c>
      <c r="X3522" s="56" t="str">
        <f>MID(Tabla1[[#This Row],[Aplicación]],14,6)</f>
        <v>22199</v>
      </c>
    </row>
    <row r="3523" spans="1:24" x14ac:dyDescent="0.25">
      <c r="A3523" s="63">
        <v>220230032397</v>
      </c>
      <c r="B3523" s="44" t="s">
        <v>1514</v>
      </c>
      <c r="C3523" s="64">
        <v>45107</v>
      </c>
      <c r="D3523" s="62">
        <v>22023003925</v>
      </c>
      <c r="E3523" s="44" t="s">
        <v>616</v>
      </c>
      <c r="F3523" s="65">
        <v>178.5</v>
      </c>
      <c r="G3523" s="44" t="s">
        <v>97</v>
      </c>
      <c r="H3523" s="44" t="s">
        <v>5238</v>
      </c>
      <c r="I3523" s="62" t="s">
        <v>1517</v>
      </c>
      <c r="J3523" s="44" t="s">
        <v>519</v>
      </c>
      <c r="K3523" s="44" t="s">
        <v>519</v>
      </c>
      <c r="L3523" s="44" t="s">
        <v>552</v>
      </c>
      <c r="M3523" s="44" t="s">
        <v>514</v>
      </c>
      <c r="N3523" s="44" t="s">
        <v>515</v>
      </c>
      <c r="O3523" s="45" t="s">
        <v>382</v>
      </c>
      <c r="P3523" s="45" t="s">
        <v>3760</v>
      </c>
      <c r="Q3523" s="59" t="str">
        <f>MID(Tabla1[[#This Row],[Aplicación]],14,1)</f>
        <v>2</v>
      </c>
      <c r="R3523" s="35" t="s">
        <v>298</v>
      </c>
      <c r="S3523" s="59" t="str">
        <f>MID(Tabla1[[#This Row],[Aplicación]],6,2)</f>
        <v>10</v>
      </c>
      <c r="T3523" s="35" t="str">
        <f>VLOOKUP(Tabla1[[#This Row],[AREA]],Hoja1!A:B,2,FALSE)</f>
        <v>10. Servicios sociales y mediación comunitaria</v>
      </c>
      <c r="U3523" s="56" t="str">
        <f>MID(Tabla1[[#This Row],[Aplicación]],9,4)</f>
        <v>2412</v>
      </c>
      <c r="V3523" s="35" t="str">
        <f>VLOOKUP(Tabla1[[#This Row],[PROGRAMA]],Hoja1!A:B,2,FALSE)</f>
        <v>2412. Formación para el empleo</v>
      </c>
      <c r="W3523" s="56" t="str">
        <f>MID(Tabla1[[#This Row],[Aplicación]],14,2)</f>
        <v>21</v>
      </c>
      <c r="X3523" s="56" t="str">
        <f>MID(Tabla1[[#This Row],[Aplicación]],14,6)</f>
        <v>213</v>
      </c>
    </row>
    <row r="3524" spans="1:24" x14ac:dyDescent="0.25">
      <c r="A3524" s="63">
        <v>220230032492</v>
      </c>
      <c r="B3524" s="44" t="s">
        <v>1514</v>
      </c>
      <c r="C3524" s="64">
        <v>45107</v>
      </c>
      <c r="D3524" s="62">
        <v>22023003925</v>
      </c>
      <c r="E3524" s="44" t="s">
        <v>616</v>
      </c>
      <c r="F3524" s="65">
        <v>35.43</v>
      </c>
      <c r="G3524" s="44" t="s">
        <v>97</v>
      </c>
      <c r="H3524" s="44" t="s">
        <v>5239</v>
      </c>
      <c r="I3524" s="62" t="s">
        <v>1517</v>
      </c>
      <c r="J3524" s="44" t="s">
        <v>519</v>
      </c>
      <c r="K3524" s="44" t="s">
        <v>519</v>
      </c>
      <c r="L3524" s="44" t="s">
        <v>552</v>
      </c>
      <c r="M3524" s="44" t="s">
        <v>514</v>
      </c>
      <c r="N3524" s="44" t="s">
        <v>515</v>
      </c>
      <c r="O3524" s="45" t="s">
        <v>382</v>
      </c>
      <c r="P3524" s="45" t="s">
        <v>3760</v>
      </c>
      <c r="Q3524" s="59" t="str">
        <f>MID(Tabla1[[#This Row],[Aplicación]],14,1)</f>
        <v>2</v>
      </c>
      <c r="R3524" s="35" t="s">
        <v>298</v>
      </c>
      <c r="S3524" s="59" t="str">
        <f>MID(Tabla1[[#This Row],[Aplicación]],6,2)</f>
        <v>10</v>
      </c>
      <c r="T3524" s="35" t="str">
        <f>VLOOKUP(Tabla1[[#This Row],[AREA]],Hoja1!A:B,2,FALSE)</f>
        <v>10. Servicios sociales y mediación comunitaria</v>
      </c>
      <c r="U3524" s="56" t="str">
        <f>MID(Tabla1[[#This Row],[Aplicación]],9,4)</f>
        <v>2412</v>
      </c>
      <c r="V3524" s="35" t="str">
        <f>VLOOKUP(Tabla1[[#This Row],[PROGRAMA]],Hoja1!A:B,2,FALSE)</f>
        <v>2412. Formación para el empleo</v>
      </c>
      <c r="W3524" s="56" t="str">
        <f>MID(Tabla1[[#This Row],[Aplicación]],14,2)</f>
        <v>21</v>
      </c>
      <c r="X3524" s="56" t="str">
        <f>MID(Tabla1[[#This Row],[Aplicación]],14,6)</f>
        <v>213</v>
      </c>
    </row>
    <row r="3525" spans="1:24" x14ac:dyDescent="0.25">
      <c r="A3525" s="63">
        <v>220230032517</v>
      </c>
      <c r="B3525" s="44" t="s">
        <v>1514</v>
      </c>
      <c r="C3525" s="64">
        <v>45107</v>
      </c>
      <c r="D3525" s="62">
        <v>22023004185</v>
      </c>
      <c r="E3525" s="44" t="s">
        <v>5063</v>
      </c>
      <c r="F3525" s="65">
        <v>3098.62</v>
      </c>
      <c r="G3525" s="44" t="s">
        <v>97</v>
      </c>
      <c r="H3525" s="44" t="s">
        <v>5240</v>
      </c>
      <c r="I3525" s="62" t="s">
        <v>1517</v>
      </c>
      <c r="J3525" s="44" t="s">
        <v>519</v>
      </c>
      <c r="K3525" s="44" t="s">
        <v>519</v>
      </c>
      <c r="L3525" s="44" t="s">
        <v>552</v>
      </c>
      <c r="M3525" s="44" t="s">
        <v>514</v>
      </c>
      <c r="N3525" s="44" t="s">
        <v>515</v>
      </c>
      <c r="O3525" s="45" t="s">
        <v>382</v>
      </c>
      <c r="P3525" s="45" t="s">
        <v>3760</v>
      </c>
      <c r="Q3525" s="59" t="str">
        <f>MID(Tabla1[[#This Row],[Aplicación]],14,1)</f>
        <v>2</v>
      </c>
      <c r="R3525" s="35" t="s">
        <v>298</v>
      </c>
      <c r="S3525" s="59" t="str">
        <f>MID(Tabla1[[#This Row],[Aplicación]],6,2)</f>
        <v>07</v>
      </c>
      <c r="T3525" s="35" t="str">
        <f>VLOOKUP(Tabla1[[#This Row],[AREA]],Hoja1!A:B,2,FALSE)</f>
        <v>07. Medio ambiente y desarrollo sostenible</v>
      </c>
      <c r="U3525" s="56" t="str">
        <f>MID(Tabla1[[#This Row],[Aplicación]],9,4)</f>
        <v>1711</v>
      </c>
      <c r="V3525" s="35" t="str">
        <f>VLOOKUP(Tabla1[[#This Row],[PROGRAMA]],Hoja1!A:B,2,FALSE)</f>
        <v>1711. Parques y jardines</v>
      </c>
      <c r="W3525" s="56" t="str">
        <f>MID(Tabla1[[#This Row],[Aplicación]],14,2)</f>
        <v>22</v>
      </c>
      <c r="X3525" s="56" t="str">
        <f>MID(Tabla1[[#This Row],[Aplicación]],14,6)</f>
        <v>22104</v>
      </c>
    </row>
    <row r="3526" spans="1:24" x14ac:dyDescent="0.25">
      <c r="A3526" s="63">
        <v>220230032554</v>
      </c>
      <c r="B3526" s="44" t="s">
        <v>1514</v>
      </c>
      <c r="C3526" s="64">
        <v>45107</v>
      </c>
      <c r="D3526" s="62">
        <v>22023001607</v>
      </c>
      <c r="E3526" s="44" t="s">
        <v>1603</v>
      </c>
      <c r="F3526" s="65">
        <v>48.75</v>
      </c>
      <c r="G3526" s="44" t="s">
        <v>97</v>
      </c>
      <c r="H3526" s="44" t="s">
        <v>5241</v>
      </c>
      <c r="I3526" s="62" t="s">
        <v>1517</v>
      </c>
      <c r="J3526" s="44" t="s">
        <v>519</v>
      </c>
      <c r="K3526" s="44" t="s">
        <v>519</v>
      </c>
      <c r="L3526" s="44" t="s">
        <v>520</v>
      </c>
      <c r="M3526" s="44" t="s">
        <v>514</v>
      </c>
      <c r="N3526" s="44" t="s">
        <v>515</v>
      </c>
      <c r="O3526" s="45" t="s">
        <v>382</v>
      </c>
      <c r="P3526" s="45" t="s">
        <v>3760</v>
      </c>
      <c r="Q3526" s="59" t="str">
        <f>MID(Tabla1[[#This Row],[Aplicación]],14,1)</f>
        <v>2</v>
      </c>
      <c r="R3526" s="35" t="s">
        <v>298</v>
      </c>
      <c r="S3526" s="59" t="str">
        <f>MID(Tabla1[[#This Row],[Aplicación]],6,2)</f>
        <v>08</v>
      </c>
      <c r="T3526" s="35" t="str">
        <f>VLOOKUP(Tabla1[[#This Row],[AREA]],Hoja1!A:B,2,FALSE)</f>
        <v>08. Movilidad y espacio urbano</v>
      </c>
      <c r="U3526" s="56" t="str">
        <f>MID(Tabla1[[#This Row],[Aplicación]],9,4)</f>
        <v>1532</v>
      </c>
      <c r="V3526" s="35" t="str">
        <f>VLOOKUP(Tabla1[[#This Row],[PROGRAMA]],Hoja1!A:B,2,FALSE)</f>
        <v>1532. Pavimentación vias públicas y otros servicios urbanísticos</v>
      </c>
      <c r="W3526" s="56" t="str">
        <f>MID(Tabla1[[#This Row],[Aplicación]],14,2)</f>
        <v>21</v>
      </c>
      <c r="X3526" s="56" t="str">
        <f>MID(Tabla1[[#This Row],[Aplicación]],14,6)</f>
        <v>210</v>
      </c>
    </row>
    <row r="3527" spans="1:24" x14ac:dyDescent="0.25">
      <c r="A3527" s="63">
        <v>220230029451</v>
      </c>
      <c r="B3527" s="44" t="s">
        <v>1514</v>
      </c>
      <c r="C3527" s="64">
        <v>45090</v>
      </c>
      <c r="D3527" s="62">
        <v>22023003935</v>
      </c>
      <c r="E3527" s="44" t="s">
        <v>741</v>
      </c>
      <c r="F3527" s="65">
        <v>6618.15</v>
      </c>
      <c r="G3527" s="44" t="s">
        <v>4637</v>
      </c>
      <c r="H3527" s="44" t="s">
        <v>5242</v>
      </c>
      <c r="I3527" s="62" t="s">
        <v>1517</v>
      </c>
      <c r="J3527" s="44" t="s">
        <v>4639</v>
      </c>
      <c r="K3527" s="44" t="s">
        <v>519</v>
      </c>
      <c r="L3527" s="44" t="s">
        <v>552</v>
      </c>
      <c r="M3527" s="44" t="s">
        <v>514</v>
      </c>
      <c r="N3527" s="44" t="s">
        <v>515</v>
      </c>
      <c r="O3527" s="45" t="s">
        <v>382</v>
      </c>
      <c r="P3527" s="45" t="s">
        <v>3760</v>
      </c>
      <c r="Q3527" s="59" t="str">
        <f>MID(Tabla1[[#This Row],[Aplicación]],14,1)</f>
        <v>6</v>
      </c>
      <c r="R3527" s="35" t="s">
        <v>299</v>
      </c>
      <c r="S3527" s="59" t="str">
        <f>MID(Tabla1[[#This Row],[Aplicación]],6,2)</f>
        <v>07</v>
      </c>
      <c r="T3527" s="35" t="str">
        <f>VLOOKUP(Tabla1[[#This Row],[AREA]],Hoja1!A:B,2,FALSE)</f>
        <v>07. Medio ambiente y desarrollo sostenible</v>
      </c>
      <c r="U3527" s="56" t="str">
        <f>MID(Tabla1[[#This Row],[Aplicación]],9,4)</f>
        <v>1711</v>
      </c>
      <c r="V3527" s="35" t="str">
        <f>VLOOKUP(Tabla1[[#This Row],[PROGRAMA]],Hoja1!A:B,2,FALSE)</f>
        <v>1711. Parques y jardines</v>
      </c>
      <c r="W3527" s="56" t="str">
        <f>MID(Tabla1[[#This Row],[Aplicación]],14,2)</f>
        <v>61</v>
      </c>
      <c r="X3527" s="56" t="str">
        <f>MID(Tabla1[[#This Row],[Aplicación]],14,6)</f>
        <v>619</v>
      </c>
    </row>
    <row r="3528" spans="1:24" x14ac:dyDescent="0.25">
      <c r="A3528" s="63">
        <v>220230028219</v>
      </c>
      <c r="B3528" s="44" t="s">
        <v>1514</v>
      </c>
      <c r="C3528" s="64">
        <v>45084</v>
      </c>
      <c r="D3528" s="62">
        <v>22023001607</v>
      </c>
      <c r="E3528" s="44" t="s">
        <v>1603</v>
      </c>
      <c r="F3528" s="65">
        <v>4832.07</v>
      </c>
      <c r="G3528" s="44" t="s">
        <v>2823</v>
      </c>
      <c r="H3528" s="44" t="s">
        <v>5243</v>
      </c>
      <c r="I3528" s="62" t="s">
        <v>1517</v>
      </c>
      <c r="J3528" s="44" t="s">
        <v>519</v>
      </c>
      <c r="K3528" s="44" t="s">
        <v>519</v>
      </c>
      <c r="L3528" s="44" t="s">
        <v>552</v>
      </c>
      <c r="M3528" s="44" t="s">
        <v>514</v>
      </c>
      <c r="N3528" s="44" t="s">
        <v>515</v>
      </c>
      <c r="O3528" s="45" t="s">
        <v>382</v>
      </c>
      <c r="P3528" s="45" t="s">
        <v>3760</v>
      </c>
      <c r="Q3528" s="59" t="str">
        <f>MID(Tabla1[[#This Row],[Aplicación]],14,1)</f>
        <v>2</v>
      </c>
      <c r="R3528" s="35" t="s">
        <v>298</v>
      </c>
      <c r="S3528" s="59" t="str">
        <f>MID(Tabla1[[#This Row],[Aplicación]],6,2)</f>
        <v>08</v>
      </c>
      <c r="T3528" s="35" t="str">
        <f>VLOOKUP(Tabla1[[#This Row],[AREA]],Hoja1!A:B,2,FALSE)</f>
        <v>08. Movilidad y espacio urbano</v>
      </c>
      <c r="U3528" s="56" t="str">
        <f>MID(Tabla1[[#This Row],[Aplicación]],9,4)</f>
        <v>1532</v>
      </c>
      <c r="V3528" s="35" t="str">
        <f>VLOOKUP(Tabla1[[#This Row],[PROGRAMA]],Hoja1!A:B,2,FALSE)</f>
        <v>1532. Pavimentación vias públicas y otros servicios urbanísticos</v>
      </c>
      <c r="W3528" s="56" t="str">
        <f>MID(Tabla1[[#This Row],[Aplicación]],14,2)</f>
        <v>21</v>
      </c>
      <c r="X3528" s="56" t="str">
        <f>MID(Tabla1[[#This Row],[Aplicación]],14,6)</f>
        <v>210</v>
      </c>
    </row>
    <row r="3529" spans="1:24" x14ac:dyDescent="0.25">
      <c r="A3529" s="63">
        <v>220230032450</v>
      </c>
      <c r="B3529" s="44" t="s">
        <v>1514</v>
      </c>
      <c r="C3529" s="64">
        <v>45107</v>
      </c>
      <c r="D3529" s="62">
        <v>22023001514</v>
      </c>
      <c r="E3529" s="44" t="s">
        <v>1285</v>
      </c>
      <c r="F3529" s="65">
        <v>1074.6500000000001</v>
      </c>
      <c r="G3529" s="44" t="s">
        <v>2823</v>
      </c>
      <c r="H3529" s="44" t="s">
        <v>5244</v>
      </c>
      <c r="I3529" s="62" t="s">
        <v>1517</v>
      </c>
      <c r="J3529" s="44" t="s">
        <v>519</v>
      </c>
      <c r="K3529" s="44" t="s">
        <v>519</v>
      </c>
      <c r="L3529" s="44" t="s">
        <v>552</v>
      </c>
      <c r="M3529" s="44" t="s">
        <v>514</v>
      </c>
      <c r="N3529" s="44" t="s">
        <v>515</v>
      </c>
      <c r="O3529" s="45" t="s">
        <v>382</v>
      </c>
      <c r="P3529" s="45" t="s">
        <v>3760</v>
      </c>
      <c r="Q3529" s="59" t="str">
        <f>MID(Tabla1[[#This Row],[Aplicación]],14,1)</f>
        <v>2</v>
      </c>
      <c r="R3529" s="35" t="s">
        <v>298</v>
      </c>
      <c r="S3529" s="59" t="str">
        <f>MID(Tabla1[[#This Row],[Aplicación]],6,2)</f>
        <v>11</v>
      </c>
      <c r="T3529" s="35" t="str">
        <f>VLOOKUP(Tabla1[[#This Row],[AREA]],Hoja1!A:B,2,FALSE)</f>
        <v>11. Salud pública y seguridad ciudadana</v>
      </c>
      <c r="U3529" s="56" t="str">
        <f>MID(Tabla1[[#This Row],[Aplicación]],9,4)</f>
        <v>1361</v>
      </c>
      <c r="V3529" s="35" t="str">
        <f>VLOOKUP(Tabla1[[#This Row],[PROGRAMA]],Hoja1!A:B,2,FALSE)</f>
        <v>1361. Prevención y extinción de incencios</v>
      </c>
      <c r="W3529" s="56" t="str">
        <f>MID(Tabla1[[#This Row],[Aplicación]],14,2)</f>
        <v>22</v>
      </c>
      <c r="X3529" s="56" t="str">
        <f>MID(Tabla1[[#This Row],[Aplicación]],14,6)</f>
        <v>22199</v>
      </c>
    </row>
    <row r="3530" spans="1:24" x14ac:dyDescent="0.25">
      <c r="A3530" s="63">
        <v>220230032521</v>
      </c>
      <c r="B3530" s="44" t="s">
        <v>1514</v>
      </c>
      <c r="C3530" s="64">
        <v>45107</v>
      </c>
      <c r="D3530" s="62">
        <v>22023004206</v>
      </c>
      <c r="E3530" s="44" t="s">
        <v>1305</v>
      </c>
      <c r="F3530" s="65">
        <v>247.49</v>
      </c>
      <c r="G3530" s="44" t="s">
        <v>2823</v>
      </c>
      <c r="H3530" s="44" t="s">
        <v>5245</v>
      </c>
      <c r="I3530" s="62" t="s">
        <v>1517</v>
      </c>
      <c r="J3530" s="44" t="s">
        <v>519</v>
      </c>
      <c r="K3530" s="44" t="s">
        <v>519</v>
      </c>
      <c r="L3530" s="44" t="s">
        <v>552</v>
      </c>
      <c r="M3530" s="44" t="s">
        <v>514</v>
      </c>
      <c r="N3530" s="44" t="s">
        <v>515</v>
      </c>
      <c r="O3530" s="45" t="s">
        <v>382</v>
      </c>
      <c r="P3530" s="45" t="s">
        <v>3760</v>
      </c>
      <c r="Q3530" s="59" t="str">
        <f>MID(Tabla1[[#This Row],[Aplicación]],14,1)</f>
        <v>2</v>
      </c>
      <c r="R3530" s="35" t="s">
        <v>298</v>
      </c>
      <c r="S3530" s="59" t="str">
        <f>MID(Tabla1[[#This Row],[Aplicación]],6,2)</f>
        <v>06</v>
      </c>
      <c r="T3530" s="35" t="str">
        <f>VLOOKUP(Tabla1[[#This Row],[AREA]],Hoja1!A:B,2,FALSE)</f>
        <v>06. Educación, infancia, juventud e igualdad</v>
      </c>
      <c r="U3530" s="56" t="str">
        <f>MID(Tabla1[[#This Row],[Aplicación]],9,4)</f>
        <v>3232</v>
      </c>
      <c r="V3530" s="35" t="str">
        <f>VLOOKUP(Tabla1[[#This Row],[PROGRAMA]],Hoja1!A:B,2,FALSE)</f>
        <v>3232. Conservación y mantenimiento centros educación infantil y primaria</v>
      </c>
      <c r="W3530" s="56" t="str">
        <f>MID(Tabla1[[#This Row],[Aplicación]],14,2)</f>
        <v>21</v>
      </c>
      <c r="X3530" s="56" t="str">
        <f>MID(Tabla1[[#This Row],[Aplicación]],14,6)</f>
        <v>212</v>
      </c>
    </row>
    <row r="3531" spans="1:24" x14ac:dyDescent="0.25">
      <c r="A3531" s="63">
        <v>220230028651</v>
      </c>
      <c r="B3531" s="44" t="s">
        <v>507</v>
      </c>
      <c r="C3531" s="64">
        <v>45085</v>
      </c>
      <c r="D3531" s="62">
        <v>22023004902</v>
      </c>
      <c r="E3531" s="44" t="s">
        <v>1362</v>
      </c>
      <c r="F3531" s="65">
        <v>1109.3399999999999</v>
      </c>
      <c r="G3531" s="44" t="s">
        <v>75</v>
      </c>
      <c r="H3531" s="44" t="s">
        <v>5246</v>
      </c>
      <c r="I3531" s="62" t="s">
        <v>511</v>
      </c>
      <c r="J3531" s="44" t="s">
        <v>1057</v>
      </c>
      <c r="K3531" s="44" t="s">
        <v>1057</v>
      </c>
      <c r="L3531" s="44" t="s">
        <v>520</v>
      </c>
      <c r="M3531" s="44" t="s">
        <v>976</v>
      </c>
      <c r="N3531" s="44" t="s">
        <v>839</v>
      </c>
      <c r="O3531" s="45" t="s">
        <v>383</v>
      </c>
      <c r="P3531" s="45" t="s">
        <v>3760</v>
      </c>
      <c r="Q3531" s="59" t="str">
        <f>MID(Tabla1[[#This Row],[Aplicación]],14,1)</f>
        <v>2</v>
      </c>
      <c r="R3531" s="35" t="s">
        <v>298</v>
      </c>
      <c r="S3531" s="59" t="str">
        <f>MID(Tabla1[[#This Row],[Aplicación]],6,2)</f>
        <v>09</v>
      </c>
      <c r="T3531" s="35" t="str">
        <f>VLOOKUP(Tabla1[[#This Row],[AREA]],Hoja1!A:B,2,FALSE)</f>
        <v>09. Cultura y turismo</v>
      </c>
      <c r="U3531" s="56" t="str">
        <f>MID(Tabla1[[#This Row],[Aplicación]],9,4)</f>
        <v>3341</v>
      </c>
      <c r="V3531" s="35" t="str">
        <f>VLOOKUP(Tabla1[[#This Row],[PROGRAMA]],Hoja1!A:B,2,FALSE)</f>
        <v>3341. Coordinación de políticas culturales</v>
      </c>
      <c r="W3531" s="56" t="str">
        <f>MID(Tabla1[[#This Row],[Aplicación]],14,2)</f>
        <v>21</v>
      </c>
      <c r="X3531" s="56" t="str">
        <f>MID(Tabla1[[#This Row],[Aplicación]],14,6)</f>
        <v>213</v>
      </c>
    </row>
    <row r="3532" spans="1:24" x14ac:dyDescent="0.25">
      <c r="A3532" s="63">
        <v>220230029428</v>
      </c>
      <c r="B3532" s="44" t="s">
        <v>1514</v>
      </c>
      <c r="C3532" s="64">
        <v>45090</v>
      </c>
      <c r="D3532" s="62">
        <v>22023003932</v>
      </c>
      <c r="E3532" s="44" t="s">
        <v>1515</v>
      </c>
      <c r="F3532" s="65">
        <v>85.53</v>
      </c>
      <c r="G3532" s="44" t="s">
        <v>2351</v>
      </c>
      <c r="H3532" s="44" t="s">
        <v>5247</v>
      </c>
      <c r="I3532" s="62" t="s">
        <v>1517</v>
      </c>
      <c r="J3532" s="44" t="s">
        <v>519</v>
      </c>
      <c r="K3532" s="44" t="s">
        <v>519</v>
      </c>
      <c r="L3532" s="44" t="s">
        <v>552</v>
      </c>
      <c r="M3532" s="44" t="s">
        <v>514</v>
      </c>
      <c r="N3532" s="44" t="s">
        <v>515</v>
      </c>
      <c r="O3532" s="45" t="s">
        <v>382</v>
      </c>
      <c r="P3532" s="45" t="s">
        <v>3760</v>
      </c>
      <c r="Q3532" s="59" t="str">
        <f>MID(Tabla1[[#This Row],[Aplicación]],14,1)</f>
        <v>2</v>
      </c>
      <c r="R3532" s="35" t="s">
        <v>298</v>
      </c>
      <c r="S3532" s="59" t="str">
        <f>MID(Tabla1[[#This Row],[Aplicación]],6,2)</f>
        <v>07</v>
      </c>
      <c r="T3532" s="35" t="str">
        <f>VLOOKUP(Tabla1[[#This Row],[AREA]],Hoja1!A:B,2,FALSE)</f>
        <v>07. Medio ambiente y desarrollo sostenible</v>
      </c>
      <c r="U3532" s="56" t="str">
        <f>MID(Tabla1[[#This Row],[Aplicación]],9,4)</f>
        <v>1711</v>
      </c>
      <c r="V3532" s="35" t="str">
        <f>VLOOKUP(Tabla1[[#This Row],[PROGRAMA]],Hoja1!A:B,2,FALSE)</f>
        <v>1711. Parques y jardines</v>
      </c>
      <c r="W3532" s="56" t="str">
        <f>MID(Tabla1[[#This Row],[Aplicación]],14,2)</f>
        <v>22</v>
      </c>
      <c r="X3532" s="56" t="str">
        <f>MID(Tabla1[[#This Row],[Aplicación]],14,6)</f>
        <v>22199</v>
      </c>
    </row>
    <row r="3533" spans="1:24" x14ac:dyDescent="0.25">
      <c r="A3533" s="63">
        <v>220230032277</v>
      </c>
      <c r="B3533" s="44" t="s">
        <v>1514</v>
      </c>
      <c r="C3533" s="64">
        <v>45107</v>
      </c>
      <c r="D3533" s="62">
        <v>22023003932</v>
      </c>
      <c r="E3533" s="44" t="s">
        <v>1515</v>
      </c>
      <c r="F3533" s="65">
        <v>198.54</v>
      </c>
      <c r="G3533" s="44" t="s">
        <v>4637</v>
      </c>
      <c r="H3533" s="44" t="s">
        <v>5248</v>
      </c>
      <c r="I3533" s="62" t="s">
        <v>1517</v>
      </c>
      <c r="J3533" s="44" t="s">
        <v>4639</v>
      </c>
      <c r="K3533" s="44" t="s">
        <v>519</v>
      </c>
      <c r="L3533" s="44" t="s">
        <v>552</v>
      </c>
      <c r="M3533" s="44" t="s">
        <v>514</v>
      </c>
      <c r="N3533" s="44" t="s">
        <v>515</v>
      </c>
      <c r="O3533" s="45" t="s">
        <v>382</v>
      </c>
      <c r="P3533" s="45" t="s">
        <v>3760</v>
      </c>
      <c r="Q3533" s="59" t="str">
        <f>MID(Tabla1[[#This Row],[Aplicación]],14,1)</f>
        <v>2</v>
      </c>
      <c r="R3533" s="35" t="s">
        <v>298</v>
      </c>
      <c r="S3533" s="59" t="str">
        <f>MID(Tabla1[[#This Row],[Aplicación]],6,2)</f>
        <v>07</v>
      </c>
      <c r="T3533" s="35" t="str">
        <f>VLOOKUP(Tabla1[[#This Row],[AREA]],Hoja1!A:B,2,FALSE)</f>
        <v>07. Medio ambiente y desarrollo sostenible</v>
      </c>
      <c r="U3533" s="56" t="str">
        <f>MID(Tabla1[[#This Row],[Aplicación]],9,4)</f>
        <v>1711</v>
      </c>
      <c r="V3533" s="35" t="str">
        <f>VLOOKUP(Tabla1[[#This Row],[PROGRAMA]],Hoja1!A:B,2,FALSE)</f>
        <v>1711. Parques y jardines</v>
      </c>
      <c r="W3533" s="56" t="str">
        <f>MID(Tabla1[[#This Row],[Aplicación]],14,2)</f>
        <v>22</v>
      </c>
      <c r="X3533" s="56" t="str">
        <f>MID(Tabla1[[#This Row],[Aplicación]],14,6)</f>
        <v>22199</v>
      </c>
    </row>
    <row r="3534" spans="1:24" x14ac:dyDescent="0.25">
      <c r="A3534" s="63">
        <v>220230032279</v>
      </c>
      <c r="B3534" s="44" t="s">
        <v>1514</v>
      </c>
      <c r="C3534" s="64">
        <v>45107</v>
      </c>
      <c r="D3534" s="62">
        <v>22023003932</v>
      </c>
      <c r="E3534" s="44" t="s">
        <v>1515</v>
      </c>
      <c r="F3534" s="65">
        <v>905.54</v>
      </c>
      <c r="G3534" s="44" t="s">
        <v>4637</v>
      </c>
      <c r="H3534" s="44" t="s">
        <v>5249</v>
      </c>
      <c r="I3534" s="62" t="s">
        <v>1517</v>
      </c>
      <c r="J3534" s="44" t="s">
        <v>4639</v>
      </c>
      <c r="K3534" s="44" t="s">
        <v>519</v>
      </c>
      <c r="L3534" s="44" t="s">
        <v>552</v>
      </c>
      <c r="M3534" s="44" t="s">
        <v>514</v>
      </c>
      <c r="N3534" s="44" t="s">
        <v>515</v>
      </c>
      <c r="O3534" s="45" t="s">
        <v>382</v>
      </c>
      <c r="P3534" s="45" t="s">
        <v>3760</v>
      </c>
      <c r="Q3534" s="59" t="str">
        <f>MID(Tabla1[[#This Row],[Aplicación]],14,1)</f>
        <v>2</v>
      </c>
      <c r="R3534" s="35" t="s">
        <v>298</v>
      </c>
      <c r="S3534" s="59" t="str">
        <f>MID(Tabla1[[#This Row],[Aplicación]],6,2)</f>
        <v>07</v>
      </c>
      <c r="T3534" s="35" t="str">
        <f>VLOOKUP(Tabla1[[#This Row],[AREA]],Hoja1!A:B,2,FALSE)</f>
        <v>07. Medio ambiente y desarrollo sostenible</v>
      </c>
      <c r="U3534" s="56" t="str">
        <f>MID(Tabla1[[#This Row],[Aplicación]],9,4)</f>
        <v>1711</v>
      </c>
      <c r="V3534" s="35" t="str">
        <f>VLOOKUP(Tabla1[[#This Row],[PROGRAMA]],Hoja1!A:B,2,FALSE)</f>
        <v>1711. Parques y jardines</v>
      </c>
      <c r="W3534" s="56" t="str">
        <f>MID(Tabla1[[#This Row],[Aplicación]],14,2)</f>
        <v>22</v>
      </c>
      <c r="X3534" s="56" t="str">
        <f>MID(Tabla1[[#This Row],[Aplicación]],14,6)</f>
        <v>22199</v>
      </c>
    </row>
    <row r="3535" spans="1:24" x14ac:dyDescent="0.25">
      <c r="A3535" s="63">
        <v>220230032281</v>
      </c>
      <c r="B3535" s="44" t="s">
        <v>1514</v>
      </c>
      <c r="C3535" s="64">
        <v>45107</v>
      </c>
      <c r="D3535" s="62">
        <v>22023003932</v>
      </c>
      <c r="E3535" s="44" t="s">
        <v>1515</v>
      </c>
      <c r="F3535" s="65">
        <v>1381.04</v>
      </c>
      <c r="G3535" s="44" t="s">
        <v>4637</v>
      </c>
      <c r="H3535" s="44" t="s">
        <v>5250</v>
      </c>
      <c r="I3535" s="62" t="s">
        <v>1517</v>
      </c>
      <c r="J3535" s="44" t="s">
        <v>4639</v>
      </c>
      <c r="K3535" s="44" t="s">
        <v>519</v>
      </c>
      <c r="L3535" s="44" t="s">
        <v>552</v>
      </c>
      <c r="M3535" s="44" t="s">
        <v>514</v>
      </c>
      <c r="N3535" s="44" t="s">
        <v>515</v>
      </c>
      <c r="O3535" s="45" t="s">
        <v>382</v>
      </c>
      <c r="P3535" s="45" t="s">
        <v>3760</v>
      </c>
      <c r="Q3535" s="59" t="str">
        <f>MID(Tabla1[[#This Row],[Aplicación]],14,1)</f>
        <v>2</v>
      </c>
      <c r="R3535" s="35" t="s">
        <v>298</v>
      </c>
      <c r="S3535" s="59" t="str">
        <f>MID(Tabla1[[#This Row],[Aplicación]],6,2)</f>
        <v>07</v>
      </c>
      <c r="T3535" s="35" t="str">
        <f>VLOOKUP(Tabla1[[#This Row],[AREA]],Hoja1!A:B,2,FALSE)</f>
        <v>07. Medio ambiente y desarrollo sostenible</v>
      </c>
      <c r="U3535" s="56" t="str">
        <f>MID(Tabla1[[#This Row],[Aplicación]],9,4)</f>
        <v>1711</v>
      </c>
      <c r="V3535" s="35" t="str">
        <f>VLOOKUP(Tabla1[[#This Row],[PROGRAMA]],Hoja1!A:B,2,FALSE)</f>
        <v>1711. Parques y jardines</v>
      </c>
      <c r="W3535" s="56" t="str">
        <f>MID(Tabla1[[#This Row],[Aplicación]],14,2)</f>
        <v>22</v>
      </c>
      <c r="X3535" s="56" t="str">
        <f>MID(Tabla1[[#This Row],[Aplicación]],14,6)</f>
        <v>22199</v>
      </c>
    </row>
    <row r="3536" spans="1:24" x14ac:dyDescent="0.25">
      <c r="A3536" s="63">
        <v>220230030104</v>
      </c>
      <c r="B3536" s="44" t="s">
        <v>1514</v>
      </c>
      <c r="C3536" s="64">
        <v>45093</v>
      </c>
      <c r="D3536" s="62">
        <v>22023001542</v>
      </c>
      <c r="E3536" s="44" t="s">
        <v>4642</v>
      </c>
      <c r="F3536" s="65">
        <v>354.53</v>
      </c>
      <c r="G3536" s="44" t="s">
        <v>4643</v>
      </c>
      <c r="H3536" s="44" t="s">
        <v>5251</v>
      </c>
      <c r="I3536" s="62" t="s">
        <v>1517</v>
      </c>
      <c r="J3536" s="44" t="s">
        <v>519</v>
      </c>
      <c r="K3536" s="44" t="s">
        <v>519</v>
      </c>
      <c r="L3536" s="44" t="s">
        <v>520</v>
      </c>
      <c r="M3536" s="44" t="s">
        <v>514</v>
      </c>
      <c r="N3536" s="44" t="s">
        <v>515</v>
      </c>
      <c r="O3536" s="45" t="s">
        <v>382</v>
      </c>
      <c r="P3536" s="45" t="s">
        <v>3760</v>
      </c>
      <c r="Q3536" s="59" t="str">
        <f>MID(Tabla1[[#This Row],[Aplicación]],14,1)</f>
        <v>2</v>
      </c>
      <c r="R3536" s="35" t="s">
        <v>298</v>
      </c>
      <c r="S3536" s="59" t="str">
        <f>MID(Tabla1[[#This Row],[Aplicación]],6,2)</f>
        <v>07</v>
      </c>
      <c r="T3536" s="35" t="str">
        <f>VLOOKUP(Tabla1[[#This Row],[AREA]],Hoja1!A:B,2,FALSE)</f>
        <v>07. Medio ambiente y desarrollo sostenible</v>
      </c>
      <c r="U3536" s="56" t="str">
        <f>MID(Tabla1[[#This Row],[Aplicación]],9,4)</f>
        <v>1711</v>
      </c>
      <c r="V3536" s="35" t="str">
        <f>VLOOKUP(Tabla1[[#This Row],[PROGRAMA]],Hoja1!A:B,2,FALSE)</f>
        <v>1711. Parques y jardines</v>
      </c>
      <c r="W3536" s="56" t="str">
        <f>MID(Tabla1[[#This Row],[Aplicación]],14,2)</f>
        <v>20</v>
      </c>
      <c r="X3536" s="56" t="str">
        <f>MID(Tabla1[[#This Row],[Aplicación]],14,6)</f>
        <v>203</v>
      </c>
    </row>
    <row r="3537" spans="1:24" x14ac:dyDescent="0.25">
      <c r="A3537" s="63">
        <v>220230029454</v>
      </c>
      <c r="B3537" s="44" t="s">
        <v>1514</v>
      </c>
      <c r="C3537" s="64">
        <v>45090</v>
      </c>
      <c r="D3537" s="62">
        <v>22023003932</v>
      </c>
      <c r="E3537" s="44" t="s">
        <v>1515</v>
      </c>
      <c r="F3537" s="65">
        <v>239.48</v>
      </c>
      <c r="G3537" s="44" t="s">
        <v>3001</v>
      </c>
      <c r="H3537" s="44" t="s">
        <v>5252</v>
      </c>
      <c r="I3537" s="62" t="s">
        <v>1517</v>
      </c>
      <c r="J3537" s="44" t="s">
        <v>519</v>
      </c>
      <c r="K3537" s="44" t="s">
        <v>519</v>
      </c>
      <c r="L3537" s="44" t="s">
        <v>552</v>
      </c>
      <c r="M3537" s="44" t="s">
        <v>514</v>
      </c>
      <c r="N3537" s="44" t="s">
        <v>515</v>
      </c>
      <c r="O3537" s="45" t="s">
        <v>382</v>
      </c>
      <c r="P3537" s="45" t="s">
        <v>3760</v>
      </c>
      <c r="Q3537" s="59" t="str">
        <f>MID(Tabla1[[#This Row],[Aplicación]],14,1)</f>
        <v>2</v>
      </c>
      <c r="R3537" s="35" t="s">
        <v>298</v>
      </c>
      <c r="S3537" s="59" t="str">
        <f>MID(Tabla1[[#This Row],[Aplicación]],6,2)</f>
        <v>07</v>
      </c>
      <c r="T3537" s="35" t="str">
        <f>VLOOKUP(Tabla1[[#This Row],[AREA]],Hoja1!A:B,2,FALSE)</f>
        <v>07. Medio ambiente y desarrollo sostenible</v>
      </c>
      <c r="U3537" s="56" t="str">
        <f>MID(Tabla1[[#This Row],[Aplicación]],9,4)</f>
        <v>1711</v>
      </c>
      <c r="V3537" s="35" t="str">
        <f>VLOOKUP(Tabla1[[#This Row],[PROGRAMA]],Hoja1!A:B,2,FALSE)</f>
        <v>1711. Parques y jardines</v>
      </c>
      <c r="W3537" s="56" t="str">
        <f>MID(Tabla1[[#This Row],[Aplicación]],14,2)</f>
        <v>22</v>
      </c>
      <c r="X3537" s="56" t="str">
        <f>MID(Tabla1[[#This Row],[Aplicación]],14,6)</f>
        <v>22199</v>
      </c>
    </row>
    <row r="3538" spans="1:24" x14ac:dyDescent="0.25">
      <c r="A3538" s="63">
        <v>220230032303</v>
      </c>
      <c r="B3538" s="44" t="s">
        <v>1514</v>
      </c>
      <c r="C3538" s="64">
        <v>45107</v>
      </c>
      <c r="D3538" s="62">
        <v>22023004206</v>
      </c>
      <c r="E3538" s="44" t="s">
        <v>1305</v>
      </c>
      <c r="F3538" s="65">
        <v>44.32</v>
      </c>
      <c r="G3538" s="44" t="s">
        <v>97</v>
      </c>
      <c r="H3538" s="44" t="s">
        <v>5253</v>
      </c>
      <c r="I3538" s="62" t="s">
        <v>1517</v>
      </c>
      <c r="J3538" s="44" t="s">
        <v>519</v>
      </c>
      <c r="K3538" s="44" t="s">
        <v>519</v>
      </c>
      <c r="L3538" s="44" t="s">
        <v>552</v>
      </c>
      <c r="M3538" s="44" t="s">
        <v>514</v>
      </c>
      <c r="N3538" s="44" t="s">
        <v>515</v>
      </c>
      <c r="O3538" s="45" t="s">
        <v>382</v>
      </c>
      <c r="P3538" s="45" t="s">
        <v>3760</v>
      </c>
      <c r="Q3538" s="59" t="str">
        <f>MID(Tabla1[[#This Row],[Aplicación]],14,1)</f>
        <v>2</v>
      </c>
      <c r="R3538" s="35" t="s">
        <v>298</v>
      </c>
      <c r="S3538" s="59" t="str">
        <f>MID(Tabla1[[#This Row],[Aplicación]],6,2)</f>
        <v>06</v>
      </c>
      <c r="T3538" s="35" t="str">
        <f>VLOOKUP(Tabla1[[#This Row],[AREA]],Hoja1!A:B,2,FALSE)</f>
        <v>06. Educación, infancia, juventud e igualdad</v>
      </c>
      <c r="U3538" s="56" t="str">
        <f>MID(Tabla1[[#This Row],[Aplicación]],9,4)</f>
        <v>3232</v>
      </c>
      <c r="V3538" s="35" t="str">
        <f>VLOOKUP(Tabla1[[#This Row],[PROGRAMA]],Hoja1!A:B,2,FALSE)</f>
        <v>3232. Conservación y mantenimiento centros educación infantil y primaria</v>
      </c>
      <c r="W3538" s="56" t="str">
        <f>MID(Tabla1[[#This Row],[Aplicación]],14,2)</f>
        <v>21</v>
      </c>
      <c r="X3538" s="56" t="str">
        <f>MID(Tabla1[[#This Row],[Aplicación]],14,6)</f>
        <v>212</v>
      </c>
    </row>
    <row r="3539" spans="1:24" x14ac:dyDescent="0.25">
      <c r="A3539" s="63">
        <v>220230032305</v>
      </c>
      <c r="B3539" s="44" t="s">
        <v>1514</v>
      </c>
      <c r="C3539" s="64">
        <v>45107</v>
      </c>
      <c r="D3539" s="62">
        <v>22023004206</v>
      </c>
      <c r="E3539" s="44" t="s">
        <v>1305</v>
      </c>
      <c r="F3539" s="65">
        <v>64.08</v>
      </c>
      <c r="G3539" s="44" t="s">
        <v>97</v>
      </c>
      <c r="H3539" s="44" t="s">
        <v>5254</v>
      </c>
      <c r="I3539" s="62" t="s">
        <v>1517</v>
      </c>
      <c r="J3539" s="44" t="s">
        <v>519</v>
      </c>
      <c r="K3539" s="44" t="s">
        <v>519</v>
      </c>
      <c r="L3539" s="44" t="s">
        <v>552</v>
      </c>
      <c r="M3539" s="44" t="s">
        <v>514</v>
      </c>
      <c r="N3539" s="44" t="s">
        <v>515</v>
      </c>
      <c r="O3539" s="45" t="s">
        <v>382</v>
      </c>
      <c r="P3539" s="45" t="s">
        <v>3760</v>
      </c>
      <c r="Q3539" s="59" t="str">
        <f>MID(Tabla1[[#This Row],[Aplicación]],14,1)</f>
        <v>2</v>
      </c>
      <c r="R3539" s="35" t="s">
        <v>298</v>
      </c>
      <c r="S3539" s="59" t="str">
        <f>MID(Tabla1[[#This Row],[Aplicación]],6,2)</f>
        <v>06</v>
      </c>
      <c r="T3539" s="35" t="str">
        <f>VLOOKUP(Tabla1[[#This Row],[AREA]],Hoja1!A:B,2,FALSE)</f>
        <v>06. Educación, infancia, juventud e igualdad</v>
      </c>
      <c r="U3539" s="56" t="str">
        <f>MID(Tabla1[[#This Row],[Aplicación]],9,4)</f>
        <v>3232</v>
      </c>
      <c r="V3539" s="35" t="str">
        <f>VLOOKUP(Tabla1[[#This Row],[PROGRAMA]],Hoja1!A:B,2,FALSE)</f>
        <v>3232. Conservación y mantenimiento centros educación infantil y primaria</v>
      </c>
      <c r="W3539" s="56" t="str">
        <f>MID(Tabla1[[#This Row],[Aplicación]],14,2)</f>
        <v>21</v>
      </c>
      <c r="X3539" s="56" t="str">
        <f>MID(Tabla1[[#This Row],[Aplicación]],14,6)</f>
        <v>212</v>
      </c>
    </row>
    <row r="3540" spans="1:24" x14ac:dyDescent="0.25">
      <c r="A3540" s="63">
        <v>220230032307</v>
      </c>
      <c r="B3540" s="44" t="s">
        <v>1514</v>
      </c>
      <c r="C3540" s="64">
        <v>45107</v>
      </c>
      <c r="D3540" s="62">
        <v>22023004206</v>
      </c>
      <c r="E3540" s="44" t="s">
        <v>1305</v>
      </c>
      <c r="F3540" s="65">
        <v>90.85</v>
      </c>
      <c r="G3540" s="44" t="s">
        <v>97</v>
      </c>
      <c r="H3540" s="44" t="s">
        <v>5255</v>
      </c>
      <c r="I3540" s="62" t="s">
        <v>1517</v>
      </c>
      <c r="J3540" s="44" t="s">
        <v>519</v>
      </c>
      <c r="K3540" s="44" t="s">
        <v>519</v>
      </c>
      <c r="L3540" s="44" t="s">
        <v>552</v>
      </c>
      <c r="M3540" s="44" t="s">
        <v>514</v>
      </c>
      <c r="N3540" s="44" t="s">
        <v>515</v>
      </c>
      <c r="O3540" s="45" t="s">
        <v>382</v>
      </c>
      <c r="P3540" s="45" t="s">
        <v>3760</v>
      </c>
      <c r="Q3540" s="59" t="str">
        <f>MID(Tabla1[[#This Row],[Aplicación]],14,1)</f>
        <v>2</v>
      </c>
      <c r="R3540" s="35" t="s">
        <v>298</v>
      </c>
      <c r="S3540" s="59" t="str">
        <f>MID(Tabla1[[#This Row],[Aplicación]],6,2)</f>
        <v>06</v>
      </c>
      <c r="T3540" s="35" t="str">
        <f>VLOOKUP(Tabla1[[#This Row],[AREA]],Hoja1!A:B,2,FALSE)</f>
        <v>06. Educación, infancia, juventud e igualdad</v>
      </c>
      <c r="U3540" s="56" t="str">
        <f>MID(Tabla1[[#This Row],[Aplicación]],9,4)</f>
        <v>3232</v>
      </c>
      <c r="V3540" s="35" t="str">
        <f>VLOOKUP(Tabla1[[#This Row],[PROGRAMA]],Hoja1!A:B,2,FALSE)</f>
        <v>3232. Conservación y mantenimiento centros educación infantil y primaria</v>
      </c>
      <c r="W3540" s="56" t="str">
        <f>MID(Tabla1[[#This Row],[Aplicación]],14,2)</f>
        <v>21</v>
      </c>
      <c r="X3540" s="56" t="str">
        <f>MID(Tabla1[[#This Row],[Aplicación]],14,6)</f>
        <v>212</v>
      </c>
    </row>
    <row r="3541" spans="1:24" x14ac:dyDescent="0.25">
      <c r="A3541" s="63">
        <v>220230032309</v>
      </c>
      <c r="B3541" s="44" t="s">
        <v>1514</v>
      </c>
      <c r="C3541" s="64">
        <v>45107</v>
      </c>
      <c r="D3541" s="62">
        <v>22023004206</v>
      </c>
      <c r="E3541" s="44" t="s">
        <v>1305</v>
      </c>
      <c r="F3541" s="65">
        <v>73.83</v>
      </c>
      <c r="G3541" s="44" t="s">
        <v>97</v>
      </c>
      <c r="H3541" s="44" t="s">
        <v>5256</v>
      </c>
      <c r="I3541" s="62" t="s">
        <v>1517</v>
      </c>
      <c r="J3541" s="44" t="s">
        <v>519</v>
      </c>
      <c r="K3541" s="44" t="s">
        <v>519</v>
      </c>
      <c r="L3541" s="44" t="s">
        <v>552</v>
      </c>
      <c r="M3541" s="44" t="s">
        <v>514</v>
      </c>
      <c r="N3541" s="44" t="s">
        <v>515</v>
      </c>
      <c r="O3541" s="45" t="s">
        <v>382</v>
      </c>
      <c r="P3541" s="45" t="s">
        <v>3760</v>
      </c>
      <c r="Q3541" s="59" t="str">
        <f>MID(Tabla1[[#This Row],[Aplicación]],14,1)</f>
        <v>2</v>
      </c>
      <c r="R3541" s="35" t="s">
        <v>298</v>
      </c>
      <c r="S3541" s="59" t="str">
        <f>MID(Tabla1[[#This Row],[Aplicación]],6,2)</f>
        <v>06</v>
      </c>
      <c r="T3541" s="35" t="str">
        <f>VLOOKUP(Tabla1[[#This Row],[AREA]],Hoja1!A:B,2,FALSE)</f>
        <v>06. Educación, infancia, juventud e igualdad</v>
      </c>
      <c r="U3541" s="56" t="str">
        <f>MID(Tabla1[[#This Row],[Aplicación]],9,4)</f>
        <v>3232</v>
      </c>
      <c r="V3541" s="35" t="str">
        <f>VLOOKUP(Tabla1[[#This Row],[PROGRAMA]],Hoja1!A:B,2,FALSE)</f>
        <v>3232. Conservación y mantenimiento centros educación infantil y primaria</v>
      </c>
      <c r="W3541" s="56" t="str">
        <f>MID(Tabla1[[#This Row],[Aplicación]],14,2)</f>
        <v>21</v>
      </c>
      <c r="X3541" s="56" t="str">
        <f>MID(Tabla1[[#This Row],[Aplicación]],14,6)</f>
        <v>212</v>
      </c>
    </row>
    <row r="3542" spans="1:24" x14ac:dyDescent="0.25">
      <c r="A3542" s="63">
        <v>220230032314</v>
      </c>
      <c r="B3542" s="44" t="s">
        <v>1514</v>
      </c>
      <c r="C3542" s="64">
        <v>45107</v>
      </c>
      <c r="D3542" s="62">
        <v>22023004205</v>
      </c>
      <c r="E3542" s="44" t="s">
        <v>2458</v>
      </c>
      <c r="F3542" s="65">
        <v>41.67</v>
      </c>
      <c r="G3542" s="44" t="s">
        <v>97</v>
      </c>
      <c r="H3542" s="44" t="s">
        <v>5257</v>
      </c>
      <c r="I3542" s="62" t="s">
        <v>1517</v>
      </c>
      <c r="J3542" s="44" t="s">
        <v>519</v>
      </c>
      <c r="K3542" s="44" t="s">
        <v>519</v>
      </c>
      <c r="L3542" s="44" t="s">
        <v>552</v>
      </c>
      <c r="M3542" s="44" t="s">
        <v>514</v>
      </c>
      <c r="N3542" s="44" t="s">
        <v>515</v>
      </c>
      <c r="O3542" s="45" t="s">
        <v>382</v>
      </c>
      <c r="P3542" s="45" t="s">
        <v>3760</v>
      </c>
      <c r="Q3542" s="59" t="str">
        <f>MID(Tabla1[[#This Row],[Aplicación]],14,1)</f>
        <v>2</v>
      </c>
      <c r="R3542" s="35" t="s">
        <v>298</v>
      </c>
      <c r="S3542" s="59" t="str">
        <f>MID(Tabla1[[#This Row],[Aplicación]],6,2)</f>
        <v>06</v>
      </c>
      <c r="T3542" s="35" t="str">
        <f>VLOOKUP(Tabla1[[#This Row],[AREA]],Hoja1!A:B,2,FALSE)</f>
        <v>06. Educación, infancia, juventud e igualdad</v>
      </c>
      <c r="U3542" s="56" t="str">
        <f>MID(Tabla1[[#This Row],[Aplicación]],9,4)</f>
        <v>3231</v>
      </c>
      <c r="V3542" s="35" t="str">
        <f>VLOOKUP(Tabla1[[#This Row],[PROGRAMA]],Hoja1!A:B,2,FALSE)</f>
        <v>3231. Escuelas infantiles</v>
      </c>
      <c r="W3542" s="56" t="str">
        <f>MID(Tabla1[[#This Row],[Aplicación]],14,2)</f>
        <v>21</v>
      </c>
      <c r="X3542" s="56" t="str">
        <f>MID(Tabla1[[#This Row],[Aplicación]],14,6)</f>
        <v>212</v>
      </c>
    </row>
    <row r="3543" spans="1:24" x14ac:dyDescent="0.25">
      <c r="A3543" s="63">
        <v>220230030106</v>
      </c>
      <c r="B3543" s="44" t="s">
        <v>1514</v>
      </c>
      <c r="C3543" s="64">
        <v>45093</v>
      </c>
      <c r="D3543" s="62">
        <v>22023003932</v>
      </c>
      <c r="E3543" s="44" t="s">
        <v>1515</v>
      </c>
      <c r="F3543" s="65">
        <v>746.42</v>
      </c>
      <c r="G3543" s="44" t="s">
        <v>3001</v>
      </c>
      <c r="H3543" s="44" t="s">
        <v>5258</v>
      </c>
      <c r="I3543" s="62" t="s">
        <v>1517</v>
      </c>
      <c r="J3543" s="44" t="s">
        <v>519</v>
      </c>
      <c r="K3543" s="44" t="s">
        <v>519</v>
      </c>
      <c r="L3543" s="44" t="s">
        <v>552</v>
      </c>
      <c r="M3543" s="44" t="s">
        <v>514</v>
      </c>
      <c r="N3543" s="44" t="s">
        <v>515</v>
      </c>
      <c r="O3543" s="45" t="s">
        <v>382</v>
      </c>
      <c r="P3543" s="45" t="s">
        <v>3760</v>
      </c>
      <c r="Q3543" s="59" t="str">
        <f>MID(Tabla1[[#This Row],[Aplicación]],14,1)</f>
        <v>2</v>
      </c>
      <c r="R3543" s="35" t="s">
        <v>298</v>
      </c>
      <c r="S3543" s="59" t="str">
        <f>MID(Tabla1[[#This Row],[Aplicación]],6,2)</f>
        <v>07</v>
      </c>
      <c r="T3543" s="35" t="str">
        <f>VLOOKUP(Tabla1[[#This Row],[AREA]],Hoja1!A:B,2,FALSE)</f>
        <v>07. Medio ambiente y desarrollo sostenible</v>
      </c>
      <c r="U3543" s="56" t="str">
        <f>MID(Tabla1[[#This Row],[Aplicación]],9,4)</f>
        <v>1711</v>
      </c>
      <c r="V3543" s="35" t="str">
        <f>VLOOKUP(Tabla1[[#This Row],[PROGRAMA]],Hoja1!A:B,2,FALSE)</f>
        <v>1711. Parques y jardines</v>
      </c>
      <c r="W3543" s="56" t="str">
        <f>MID(Tabla1[[#This Row],[Aplicación]],14,2)</f>
        <v>22</v>
      </c>
      <c r="X3543" s="56" t="str">
        <f>MID(Tabla1[[#This Row],[Aplicación]],14,6)</f>
        <v>22199</v>
      </c>
    </row>
    <row r="3544" spans="1:24" x14ac:dyDescent="0.25">
      <c r="A3544" s="63">
        <v>220230032507</v>
      </c>
      <c r="B3544" s="44" t="s">
        <v>1514</v>
      </c>
      <c r="C3544" s="64">
        <v>45107</v>
      </c>
      <c r="D3544" s="62">
        <v>22023003932</v>
      </c>
      <c r="E3544" s="44" t="s">
        <v>1515</v>
      </c>
      <c r="F3544" s="65">
        <v>764.43</v>
      </c>
      <c r="G3544" s="44" t="s">
        <v>3001</v>
      </c>
      <c r="H3544" s="44" t="s">
        <v>5259</v>
      </c>
      <c r="I3544" s="62" t="s">
        <v>1517</v>
      </c>
      <c r="J3544" s="44" t="s">
        <v>519</v>
      </c>
      <c r="K3544" s="44" t="s">
        <v>519</v>
      </c>
      <c r="L3544" s="44" t="s">
        <v>552</v>
      </c>
      <c r="M3544" s="44" t="s">
        <v>514</v>
      </c>
      <c r="N3544" s="44" t="s">
        <v>515</v>
      </c>
      <c r="O3544" s="45" t="s">
        <v>382</v>
      </c>
      <c r="P3544" s="45" t="s">
        <v>3760</v>
      </c>
      <c r="Q3544" s="59" t="str">
        <f>MID(Tabla1[[#This Row],[Aplicación]],14,1)</f>
        <v>2</v>
      </c>
      <c r="R3544" s="35" t="s">
        <v>298</v>
      </c>
      <c r="S3544" s="59" t="str">
        <f>MID(Tabla1[[#This Row],[Aplicación]],6,2)</f>
        <v>07</v>
      </c>
      <c r="T3544" s="35" t="str">
        <f>VLOOKUP(Tabla1[[#This Row],[AREA]],Hoja1!A:B,2,FALSE)</f>
        <v>07. Medio ambiente y desarrollo sostenible</v>
      </c>
      <c r="U3544" s="56" t="str">
        <f>MID(Tabla1[[#This Row],[Aplicación]],9,4)</f>
        <v>1711</v>
      </c>
      <c r="V3544" s="35" t="str">
        <f>VLOOKUP(Tabla1[[#This Row],[PROGRAMA]],Hoja1!A:B,2,FALSE)</f>
        <v>1711. Parques y jardines</v>
      </c>
      <c r="W3544" s="56" t="str">
        <f>MID(Tabla1[[#This Row],[Aplicación]],14,2)</f>
        <v>22</v>
      </c>
      <c r="X3544" s="56" t="str">
        <f>MID(Tabla1[[#This Row],[Aplicación]],14,6)</f>
        <v>22199</v>
      </c>
    </row>
    <row r="3545" spans="1:24" x14ac:dyDescent="0.25">
      <c r="A3545" s="63">
        <v>220230032525</v>
      </c>
      <c r="B3545" s="44" t="s">
        <v>1514</v>
      </c>
      <c r="C3545" s="64">
        <v>45107</v>
      </c>
      <c r="D3545" s="62">
        <v>22023003932</v>
      </c>
      <c r="E3545" s="44" t="s">
        <v>1515</v>
      </c>
      <c r="F3545" s="65">
        <v>504.8</v>
      </c>
      <c r="G3545" s="44" t="s">
        <v>3001</v>
      </c>
      <c r="H3545" s="44" t="s">
        <v>5260</v>
      </c>
      <c r="I3545" s="62" t="s">
        <v>1517</v>
      </c>
      <c r="J3545" s="44" t="s">
        <v>519</v>
      </c>
      <c r="K3545" s="44" t="s">
        <v>519</v>
      </c>
      <c r="L3545" s="44" t="s">
        <v>552</v>
      </c>
      <c r="M3545" s="44" t="s">
        <v>514</v>
      </c>
      <c r="N3545" s="44" t="s">
        <v>515</v>
      </c>
      <c r="O3545" s="45" t="s">
        <v>382</v>
      </c>
      <c r="P3545" s="45" t="s">
        <v>3760</v>
      </c>
      <c r="Q3545" s="59" t="str">
        <f>MID(Tabla1[[#This Row],[Aplicación]],14,1)</f>
        <v>2</v>
      </c>
      <c r="R3545" s="35" t="s">
        <v>298</v>
      </c>
      <c r="S3545" s="59" t="str">
        <f>MID(Tabla1[[#This Row],[Aplicación]],6,2)</f>
        <v>07</v>
      </c>
      <c r="T3545" s="35" t="str">
        <f>VLOOKUP(Tabla1[[#This Row],[AREA]],Hoja1!A:B,2,FALSE)</f>
        <v>07. Medio ambiente y desarrollo sostenible</v>
      </c>
      <c r="U3545" s="56" t="str">
        <f>MID(Tabla1[[#This Row],[Aplicación]],9,4)</f>
        <v>1711</v>
      </c>
      <c r="V3545" s="35" t="str">
        <f>VLOOKUP(Tabla1[[#This Row],[PROGRAMA]],Hoja1!A:B,2,FALSE)</f>
        <v>1711. Parques y jardines</v>
      </c>
      <c r="W3545" s="56" t="str">
        <f>MID(Tabla1[[#This Row],[Aplicación]],14,2)</f>
        <v>22</v>
      </c>
      <c r="X3545" s="56" t="str">
        <f>MID(Tabla1[[#This Row],[Aplicación]],14,6)</f>
        <v>22199</v>
      </c>
    </row>
    <row r="3546" spans="1:24" x14ac:dyDescent="0.25">
      <c r="A3546" s="63">
        <v>220230028631</v>
      </c>
      <c r="B3546" s="44" t="s">
        <v>507</v>
      </c>
      <c r="C3546" s="64">
        <v>45085</v>
      </c>
      <c r="D3546" s="62">
        <v>22023004844</v>
      </c>
      <c r="E3546" s="44" t="s">
        <v>1641</v>
      </c>
      <c r="F3546" s="65">
        <v>2214.3000000000002</v>
      </c>
      <c r="G3546" s="44" t="s">
        <v>67</v>
      </c>
      <c r="H3546" s="44" t="s">
        <v>5261</v>
      </c>
      <c r="I3546" s="62" t="s">
        <v>511</v>
      </c>
      <c r="J3546" s="44" t="s">
        <v>953</v>
      </c>
      <c r="K3546" s="44" t="s">
        <v>519</v>
      </c>
      <c r="L3546" s="44" t="s">
        <v>520</v>
      </c>
      <c r="M3546" s="44" t="s">
        <v>976</v>
      </c>
      <c r="N3546" s="44" t="s">
        <v>839</v>
      </c>
      <c r="O3546" s="45" t="s">
        <v>383</v>
      </c>
      <c r="P3546" s="45" t="s">
        <v>3760</v>
      </c>
      <c r="Q3546" s="59" t="str">
        <f>MID(Tabla1[[#This Row],[Aplicación]],14,1)</f>
        <v>2</v>
      </c>
      <c r="R3546" s="35" t="s">
        <v>298</v>
      </c>
      <c r="S3546" s="59" t="str">
        <f>MID(Tabla1[[#This Row],[Aplicación]],6,2)</f>
        <v>06</v>
      </c>
      <c r="T3546" s="35" t="str">
        <f>VLOOKUP(Tabla1[[#This Row],[AREA]],Hoja1!A:B,2,FALSE)</f>
        <v>06. Educación, infancia, juventud e igualdad</v>
      </c>
      <c r="U3546" s="56" t="str">
        <f>MID(Tabla1[[#This Row],[Aplicación]],9,4)</f>
        <v>3232</v>
      </c>
      <c r="V3546" s="35" t="str">
        <f>VLOOKUP(Tabla1[[#This Row],[PROGRAMA]],Hoja1!A:B,2,FALSE)</f>
        <v>3232. Conservación y mantenimiento centros educación infantil y primaria</v>
      </c>
      <c r="W3546" s="56" t="str">
        <f>MID(Tabla1[[#This Row],[Aplicación]],14,2)</f>
        <v>22</v>
      </c>
      <c r="X3546" s="56" t="str">
        <f>MID(Tabla1[[#This Row],[Aplicación]],14,6)</f>
        <v>22706</v>
      </c>
    </row>
    <row r="3547" spans="1:24" x14ac:dyDescent="0.25">
      <c r="A3547" s="63">
        <v>220230032502</v>
      </c>
      <c r="B3547" s="44" t="s">
        <v>1514</v>
      </c>
      <c r="C3547" s="64">
        <v>45107</v>
      </c>
      <c r="D3547" s="62">
        <v>22023004205</v>
      </c>
      <c r="E3547" s="44" t="s">
        <v>2458</v>
      </c>
      <c r="F3547" s="65">
        <v>87.2</v>
      </c>
      <c r="G3547" s="44" t="s">
        <v>97</v>
      </c>
      <c r="H3547" s="44" t="s">
        <v>5262</v>
      </c>
      <c r="I3547" s="62" t="s">
        <v>1517</v>
      </c>
      <c r="J3547" s="44" t="s">
        <v>519</v>
      </c>
      <c r="K3547" s="44" t="s">
        <v>519</v>
      </c>
      <c r="L3547" s="44" t="s">
        <v>552</v>
      </c>
      <c r="M3547" s="44" t="s">
        <v>514</v>
      </c>
      <c r="N3547" s="44" t="s">
        <v>515</v>
      </c>
      <c r="O3547" s="45" t="s">
        <v>382</v>
      </c>
      <c r="P3547" s="45" t="s">
        <v>3760</v>
      </c>
      <c r="Q3547" s="59" t="str">
        <f>MID(Tabla1[[#This Row],[Aplicación]],14,1)</f>
        <v>2</v>
      </c>
      <c r="R3547" s="35" t="s">
        <v>298</v>
      </c>
      <c r="S3547" s="59" t="str">
        <f>MID(Tabla1[[#This Row],[Aplicación]],6,2)</f>
        <v>06</v>
      </c>
      <c r="T3547" s="35" t="str">
        <f>VLOOKUP(Tabla1[[#This Row],[AREA]],Hoja1!A:B,2,FALSE)</f>
        <v>06. Educación, infancia, juventud e igualdad</v>
      </c>
      <c r="U3547" s="56" t="str">
        <f>MID(Tabla1[[#This Row],[Aplicación]],9,4)</f>
        <v>3231</v>
      </c>
      <c r="V3547" s="35" t="str">
        <f>VLOOKUP(Tabla1[[#This Row],[PROGRAMA]],Hoja1!A:B,2,FALSE)</f>
        <v>3231. Escuelas infantiles</v>
      </c>
      <c r="W3547" s="56" t="str">
        <f>MID(Tabla1[[#This Row],[Aplicación]],14,2)</f>
        <v>21</v>
      </c>
      <c r="X3547" s="56" t="str">
        <f>MID(Tabla1[[#This Row],[Aplicación]],14,6)</f>
        <v>212</v>
      </c>
    </row>
    <row r="3548" spans="1:24" x14ac:dyDescent="0.25">
      <c r="A3548" s="63">
        <v>220230030058</v>
      </c>
      <c r="B3548" s="44" t="s">
        <v>1249</v>
      </c>
      <c r="C3548" s="64">
        <v>45093</v>
      </c>
      <c r="D3548" s="62">
        <v>22023004835</v>
      </c>
      <c r="E3548" s="44" t="s">
        <v>1911</v>
      </c>
      <c r="F3548" s="65">
        <v>9601.75</v>
      </c>
      <c r="G3548" s="44" t="s">
        <v>67</v>
      </c>
      <c r="H3548" s="44" t="s">
        <v>5263</v>
      </c>
      <c r="I3548" s="62" t="s">
        <v>1251</v>
      </c>
      <c r="J3548" s="44" t="s">
        <v>953</v>
      </c>
      <c r="K3548" s="44" t="s">
        <v>519</v>
      </c>
      <c r="L3548" s="44" t="s">
        <v>520</v>
      </c>
      <c r="M3548" s="44" t="s">
        <v>514</v>
      </c>
      <c r="N3548" s="44" t="s">
        <v>515</v>
      </c>
      <c r="O3548" s="45" t="s">
        <v>382</v>
      </c>
      <c r="P3548" s="45" t="s">
        <v>3760</v>
      </c>
      <c r="Q3548" s="59" t="str">
        <f>MID(Tabla1[[#This Row],[Aplicación]],14,1)</f>
        <v>2</v>
      </c>
      <c r="R3548" s="35" t="s">
        <v>298</v>
      </c>
      <c r="S3548" s="59" t="str">
        <f>MID(Tabla1[[#This Row],[Aplicación]],6,2)</f>
        <v>11</v>
      </c>
      <c r="T3548" s="35" t="str">
        <f>VLOOKUP(Tabla1[[#This Row],[AREA]],Hoja1!A:B,2,FALSE)</f>
        <v>11. Salud pública y seguridad ciudadana</v>
      </c>
      <c r="U3548" s="56" t="str">
        <f>MID(Tabla1[[#This Row],[Aplicación]],9,4)</f>
        <v>1621</v>
      </c>
      <c r="V3548" s="35" t="str">
        <f>VLOOKUP(Tabla1[[#This Row],[PROGRAMA]],Hoja1!A:B,2,FALSE)</f>
        <v>1621. Servicio de limpieza</v>
      </c>
      <c r="W3548" s="56" t="str">
        <f>MID(Tabla1[[#This Row],[Aplicación]],14,2)</f>
        <v>22</v>
      </c>
      <c r="X3548" s="56" t="str">
        <f>MID(Tabla1[[#This Row],[Aplicación]],14,6)</f>
        <v>22706</v>
      </c>
    </row>
    <row r="3549" spans="1:24" x14ac:dyDescent="0.25">
      <c r="A3549" s="63">
        <v>220230030677</v>
      </c>
      <c r="B3549" s="44" t="s">
        <v>507</v>
      </c>
      <c r="C3549" s="64">
        <v>45097</v>
      </c>
      <c r="D3549" s="62">
        <v>22023004545</v>
      </c>
      <c r="E3549" s="44" t="s">
        <v>1277</v>
      </c>
      <c r="F3549" s="65">
        <v>1538.41</v>
      </c>
      <c r="G3549" s="44" t="s">
        <v>67</v>
      </c>
      <c r="H3549" s="44" t="s">
        <v>3990</v>
      </c>
      <c r="I3549" s="62" t="s">
        <v>511</v>
      </c>
      <c r="J3549" s="44" t="s">
        <v>953</v>
      </c>
      <c r="K3549" s="44" t="s">
        <v>519</v>
      </c>
      <c r="L3549" s="44" t="s">
        <v>520</v>
      </c>
      <c r="M3549" s="44" t="s">
        <v>514</v>
      </c>
      <c r="N3549" s="44" t="s">
        <v>515</v>
      </c>
      <c r="O3549" s="45" t="s">
        <v>382</v>
      </c>
      <c r="P3549" s="45" t="s">
        <v>3760</v>
      </c>
      <c r="Q3549" s="59">
        <v>6</v>
      </c>
      <c r="R3549" s="35" t="s">
        <v>299</v>
      </c>
      <c r="S3549" s="59" t="str">
        <f>MID(Tabla1[[#This Row],[Aplicación]],6,2)</f>
        <v>05</v>
      </c>
      <c r="T3549" s="35" t="str">
        <f>VLOOKUP(Tabla1[[#This Row],[AREA]],Hoja1!A:B,2,FALSE)</f>
        <v>05. Innovación, desarrollo económico, empleo y comercio</v>
      </c>
      <c r="U3549" s="56" t="str">
        <f>MID(Tabla1[[#This Row],[Aplicación]],9,4)</f>
        <v>0 43</v>
      </c>
      <c r="V3549" s="59">
        <v>4312</v>
      </c>
      <c r="W3549" s="59">
        <v>63</v>
      </c>
      <c r="X3549" s="59">
        <v>632</v>
      </c>
    </row>
    <row r="3550" spans="1:24" x14ac:dyDescent="0.25">
      <c r="A3550" s="63">
        <v>220230030702</v>
      </c>
      <c r="B3550" s="44" t="s">
        <v>507</v>
      </c>
      <c r="C3550" s="64">
        <v>45097</v>
      </c>
      <c r="D3550" s="62">
        <v>22023003433</v>
      </c>
      <c r="E3550" s="44" t="s">
        <v>732</v>
      </c>
      <c r="F3550" s="65">
        <v>1000</v>
      </c>
      <c r="G3550" s="44" t="s">
        <v>118</v>
      </c>
      <c r="H3550" s="44" t="s">
        <v>5264</v>
      </c>
      <c r="I3550" s="62" t="s">
        <v>511</v>
      </c>
      <c r="J3550" s="44" t="s">
        <v>519</v>
      </c>
      <c r="K3550" s="44" t="s">
        <v>519</v>
      </c>
      <c r="L3550" s="44" t="s">
        <v>520</v>
      </c>
      <c r="M3550" s="44" t="s">
        <v>976</v>
      </c>
      <c r="N3550" s="44" t="s">
        <v>839</v>
      </c>
      <c r="O3550" s="45" t="s">
        <v>383</v>
      </c>
      <c r="P3550" s="45" t="s">
        <v>3760</v>
      </c>
      <c r="Q3550" s="59" t="str">
        <f>MID(Tabla1[[#This Row],[Aplicación]],14,1)</f>
        <v>2</v>
      </c>
      <c r="R3550" s="35" t="s">
        <v>298</v>
      </c>
      <c r="S3550" s="59" t="str">
        <f>MID(Tabla1[[#This Row],[Aplicación]],6,2)</f>
        <v>06</v>
      </c>
      <c r="T3550" s="35" t="str">
        <f>VLOOKUP(Tabla1[[#This Row],[AREA]],Hoja1!A:B,2,FALSE)</f>
        <v>06. Educación, infancia, juventud e igualdad</v>
      </c>
      <c r="U3550" s="56" t="str">
        <f>MID(Tabla1[[#This Row],[Aplicación]],9,4)</f>
        <v>3321</v>
      </c>
      <c r="V3550" s="35" t="str">
        <f>VLOOKUP(Tabla1[[#This Row],[PROGRAMA]],Hoja1!A:B,2,FALSE)</f>
        <v>3321. Bibliotecas públicas</v>
      </c>
      <c r="W3550" s="56" t="str">
        <f>MID(Tabla1[[#This Row],[Aplicación]],14,2)</f>
        <v>22</v>
      </c>
      <c r="X3550" s="56" t="str">
        <f>MID(Tabla1[[#This Row],[Aplicación]],14,6)</f>
        <v>22799</v>
      </c>
    </row>
    <row r="3551" spans="1:24" x14ac:dyDescent="0.25">
      <c r="A3551" s="63">
        <v>220230026829</v>
      </c>
      <c r="B3551" s="44" t="s">
        <v>507</v>
      </c>
      <c r="C3551" s="64">
        <v>45078</v>
      </c>
      <c r="D3551" s="62">
        <v>22023004726</v>
      </c>
      <c r="E3551" s="44" t="s">
        <v>659</v>
      </c>
      <c r="F3551" s="65">
        <v>1000</v>
      </c>
      <c r="G3551" s="44" t="s">
        <v>20</v>
      </c>
      <c r="H3551" s="44" t="s">
        <v>2059</v>
      </c>
      <c r="I3551" s="62" t="s">
        <v>511</v>
      </c>
      <c r="J3551" s="44" t="s">
        <v>519</v>
      </c>
      <c r="K3551" s="44" t="s">
        <v>519</v>
      </c>
      <c r="L3551" s="44" t="s">
        <v>520</v>
      </c>
      <c r="M3551" s="44" t="s">
        <v>976</v>
      </c>
      <c r="N3551" s="44" t="s">
        <v>839</v>
      </c>
      <c r="O3551" s="45" t="s">
        <v>383</v>
      </c>
      <c r="P3551" s="45" t="s">
        <v>3760</v>
      </c>
      <c r="Q3551" s="59" t="str">
        <f>MID(Tabla1[[#This Row],[Aplicación]],14,1)</f>
        <v>2</v>
      </c>
      <c r="R3551" s="35" t="s">
        <v>298</v>
      </c>
      <c r="S3551" s="59" t="str">
        <f>MID(Tabla1[[#This Row],[Aplicación]],6,2)</f>
        <v>11</v>
      </c>
      <c r="T3551" s="35" t="str">
        <f>VLOOKUP(Tabla1[[#This Row],[AREA]],Hoja1!A:B,2,FALSE)</f>
        <v>11. Salud pública y seguridad ciudadana</v>
      </c>
      <c r="U3551" s="56" t="str">
        <f>MID(Tabla1[[#This Row],[Aplicación]],9,4)</f>
        <v>1321</v>
      </c>
      <c r="V3551" s="35" t="str">
        <f>VLOOKUP(Tabla1[[#This Row],[PROGRAMA]],Hoja1!A:B,2,FALSE)</f>
        <v>1321. Policía municipal</v>
      </c>
      <c r="W3551" s="56" t="str">
        <f>MID(Tabla1[[#This Row],[Aplicación]],14,2)</f>
        <v>21</v>
      </c>
      <c r="X3551" s="56" t="str">
        <f>MID(Tabla1[[#This Row],[Aplicación]],14,6)</f>
        <v>213</v>
      </c>
    </row>
    <row r="3552" spans="1:24" x14ac:dyDescent="0.25">
      <c r="A3552" s="63">
        <v>220230031245</v>
      </c>
      <c r="B3552" s="44" t="s">
        <v>507</v>
      </c>
      <c r="C3552" s="64">
        <v>45099</v>
      </c>
      <c r="D3552" s="62">
        <v>22023005018</v>
      </c>
      <c r="E3552" s="44" t="s">
        <v>1913</v>
      </c>
      <c r="F3552" s="65">
        <v>5286.98</v>
      </c>
      <c r="G3552" s="44" t="s">
        <v>67</v>
      </c>
      <c r="H3552" s="44" t="s">
        <v>5265</v>
      </c>
      <c r="I3552" s="62" t="s">
        <v>511</v>
      </c>
      <c r="J3552" s="44" t="s">
        <v>953</v>
      </c>
      <c r="K3552" s="44" t="s">
        <v>519</v>
      </c>
      <c r="L3552" s="44" t="s">
        <v>520</v>
      </c>
      <c r="M3552" s="44" t="s">
        <v>514</v>
      </c>
      <c r="N3552" s="44" t="s">
        <v>515</v>
      </c>
      <c r="O3552" s="45" t="s">
        <v>382</v>
      </c>
      <c r="P3552" s="45" t="s">
        <v>3760</v>
      </c>
      <c r="Q3552" s="59" t="str">
        <f>MID(Tabla1[[#This Row],[Aplicación]],14,1)</f>
        <v>2</v>
      </c>
      <c r="R3552" s="35" t="s">
        <v>298</v>
      </c>
      <c r="S3552" s="59" t="str">
        <f>MID(Tabla1[[#This Row],[Aplicación]],6,2)</f>
        <v>05</v>
      </c>
      <c r="T3552" s="35" t="str">
        <f>VLOOKUP(Tabla1[[#This Row],[AREA]],Hoja1!A:B,2,FALSE)</f>
        <v>05. Innovación, desarrollo económico, empleo y comercio</v>
      </c>
      <c r="U3552" s="56" t="str">
        <f>MID(Tabla1[[#This Row],[Aplicación]],9,4)</f>
        <v>4312</v>
      </c>
      <c r="V3552" s="35" t="str">
        <f>VLOOKUP(Tabla1[[#This Row],[PROGRAMA]],Hoja1!A:B,2,FALSE)</f>
        <v>4312. Mercados, abastos y lonjas</v>
      </c>
      <c r="W3552" s="56" t="str">
        <f>MID(Tabla1[[#This Row],[Aplicación]],14,2)</f>
        <v>22</v>
      </c>
      <c r="X3552" s="56" t="str">
        <f>MID(Tabla1[[#This Row],[Aplicación]],14,6)</f>
        <v>22706</v>
      </c>
    </row>
    <row r="3553" spans="1:24" x14ac:dyDescent="0.25">
      <c r="A3553" s="63">
        <v>220230029422</v>
      </c>
      <c r="B3553" s="44" t="s">
        <v>1514</v>
      </c>
      <c r="C3553" s="64">
        <v>45090</v>
      </c>
      <c r="D3553" s="62">
        <v>22023003935</v>
      </c>
      <c r="E3553" s="44" t="s">
        <v>741</v>
      </c>
      <c r="F3553" s="65">
        <v>79.86</v>
      </c>
      <c r="G3553" s="44" t="s">
        <v>3016</v>
      </c>
      <c r="H3553" s="44" t="s">
        <v>5266</v>
      </c>
      <c r="I3553" s="62" t="s">
        <v>1517</v>
      </c>
      <c r="J3553" s="44" t="s">
        <v>519</v>
      </c>
      <c r="K3553" s="44" t="s">
        <v>519</v>
      </c>
      <c r="L3553" s="44" t="s">
        <v>552</v>
      </c>
      <c r="M3553" s="44" t="s">
        <v>514</v>
      </c>
      <c r="N3553" s="44" t="s">
        <v>515</v>
      </c>
      <c r="O3553" s="45" t="s">
        <v>382</v>
      </c>
      <c r="P3553" s="45" t="s">
        <v>3760</v>
      </c>
      <c r="Q3553" s="59" t="str">
        <f>MID(Tabla1[[#This Row],[Aplicación]],14,1)</f>
        <v>6</v>
      </c>
      <c r="R3553" s="35" t="s">
        <v>299</v>
      </c>
      <c r="S3553" s="59" t="str">
        <f>MID(Tabla1[[#This Row],[Aplicación]],6,2)</f>
        <v>07</v>
      </c>
      <c r="T3553" s="35" t="str">
        <f>VLOOKUP(Tabla1[[#This Row],[AREA]],Hoja1!A:B,2,FALSE)</f>
        <v>07. Medio ambiente y desarrollo sostenible</v>
      </c>
      <c r="U3553" s="56" t="str">
        <f>MID(Tabla1[[#This Row],[Aplicación]],9,4)</f>
        <v>1711</v>
      </c>
      <c r="V3553" s="35" t="str">
        <f>VLOOKUP(Tabla1[[#This Row],[PROGRAMA]],Hoja1!A:B,2,FALSE)</f>
        <v>1711. Parques y jardines</v>
      </c>
      <c r="W3553" s="56" t="str">
        <f>MID(Tabla1[[#This Row],[Aplicación]],14,2)</f>
        <v>61</v>
      </c>
      <c r="X3553" s="56" t="str">
        <f>MID(Tabla1[[#This Row],[Aplicación]],14,6)</f>
        <v>619</v>
      </c>
    </row>
    <row r="3554" spans="1:24" x14ac:dyDescent="0.25">
      <c r="A3554" s="63">
        <v>220230030116</v>
      </c>
      <c r="B3554" s="44" t="s">
        <v>1514</v>
      </c>
      <c r="C3554" s="64">
        <v>45093</v>
      </c>
      <c r="D3554" s="62">
        <v>22023003932</v>
      </c>
      <c r="E3554" s="44" t="s">
        <v>1515</v>
      </c>
      <c r="F3554" s="65">
        <v>484</v>
      </c>
      <c r="G3554" s="44" t="s">
        <v>3016</v>
      </c>
      <c r="H3554" s="44" t="s">
        <v>5267</v>
      </c>
      <c r="I3554" s="62" t="s">
        <v>1517</v>
      </c>
      <c r="J3554" s="44" t="s">
        <v>519</v>
      </c>
      <c r="K3554" s="44" t="s">
        <v>519</v>
      </c>
      <c r="L3554" s="44" t="s">
        <v>552</v>
      </c>
      <c r="M3554" s="44" t="s">
        <v>514</v>
      </c>
      <c r="N3554" s="44" t="s">
        <v>515</v>
      </c>
      <c r="O3554" s="45" t="s">
        <v>382</v>
      </c>
      <c r="P3554" s="45" t="s">
        <v>3760</v>
      </c>
      <c r="Q3554" s="59" t="str">
        <f>MID(Tabla1[[#This Row],[Aplicación]],14,1)</f>
        <v>2</v>
      </c>
      <c r="R3554" s="35" t="s">
        <v>298</v>
      </c>
      <c r="S3554" s="59" t="str">
        <f>MID(Tabla1[[#This Row],[Aplicación]],6,2)</f>
        <v>07</v>
      </c>
      <c r="T3554" s="35" t="str">
        <f>VLOOKUP(Tabla1[[#This Row],[AREA]],Hoja1!A:B,2,FALSE)</f>
        <v>07. Medio ambiente y desarrollo sostenible</v>
      </c>
      <c r="U3554" s="56" t="str">
        <f>MID(Tabla1[[#This Row],[Aplicación]],9,4)</f>
        <v>1711</v>
      </c>
      <c r="V3554" s="35" t="str">
        <f>VLOOKUP(Tabla1[[#This Row],[PROGRAMA]],Hoja1!A:B,2,FALSE)</f>
        <v>1711. Parques y jardines</v>
      </c>
      <c r="W3554" s="56" t="str">
        <f>MID(Tabla1[[#This Row],[Aplicación]],14,2)</f>
        <v>22</v>
      </c>
      <c r="X3554" s="56" t="str">
        <f>MID(Tabla1[[#This Row],[Aplicación]],14,6)</f>
        <v>22199</v>
      </c>
    </row>
    <row r="3555" spans="1:24" x14ac:dyDescent="0.25">
      <c r="A3555" s="63">
        <v>220230032389</v>
      </c>
      <c r="B3555" s="44" t="s">
        <v>1514</v>
      </c>
      <c r="C3555" s="64">
        <v>45107</v>
      </c>
      <c r="D3555" s="62">
        <v>22023003832</v>
      </c>
      <c r="E3555" s="44" t="s">
        <v>1502</v>
      </c>
      <c r="F3555" s="65">
        <v>86.9</v>
      </c>
      <c r="G3555" s="44" t="s">
        <v>3016</v>
      </c>
      <c r="H3555" s="44" t="s">
        <v>5268</v>
      </c>
      <c r="I3555" s="62" t="s">
        <v>1517</v>
      </c>
      <c r="J3555" s="44" t="s">
        <v>519</v>
      </c>
      <c r="K3555" s="44" t="s">
        <v>519</v>
      </c>
      <c r="L3555" s="44" t="s">
        <v>552</v>
      </c>
      <c r="M3555" s="44" t="s">
        <v>514</v>
      </c>
      <c r="N3555" s="44" t="s">
        <v>515</v>
      </c>
      <c r="O3555" s="45" t="s">
        <v>382</v>
      </c>
      <c r="P3555" s="45" t="s">
        <v>3760</v>
      </c>
      <c r="Q3555" s="59" t="str">
        <f>MID(Tabla1[[#This Row],[Aplicación]],14,1)</f>
        <v>2</v>
      </c>
      <c r="R3555" s="35" t="s">
        <v>298</v>
      </c>
      <c r="S3555" s="59" t="str">
        <f>MID(Tabla1[[#This Row],[Aplicación]],6,2)</f>
        <v>10</v>
      </c>
      <c r="T3555" s="35" t="str">
        <f>VLOOKUP(Tabla1[[#This Row],[AREA]],Hoja1!A:B,2,FALSE)</f>
        <v>10. Servicios sociales y mediación comunitaria</v>
      </c>
      <c r="U3555" s="56" t="str">
        <f>MID(Tabla1[[#This Row],[Aplicación]],9,4)</f>
        <v>2412</v>
      </c>
      <c r="V3555" s="35" t="str">
        <f>VLOOKUP(Tabla1[[#This Row],[PROGRAMA]],Hoja1!A:B,2,FALSE)</f>
        <v>2412. Formación para el empleo</v>
      </c>
      <c r="W3555" s="56" t="str">
        <f>MID(Tabla1[[#This Row],[Aplicación]],14,2)</f>
        <v>22</v>
      </c>
      <c r="X3555" s="56" t="str">
        <f>MID(Tabla1[[#This Row],[Aplicación]],14,6)</f>
        <v>22199</v>
      </c>
    </row>
    <row r="3556" spans="1:24" x14ac:dyDescent="0.25">
      <c r="A3556" s="63">
        <v>220230031246</v>
      </c>
      <c r="B3556" s="44" t="s">
        <v>507</v>
      </c>
      <c r="C3556" s="64">
        <v>45099</v>
      </c>
      <c r="D3556" s="62">
        <v>22023005029</v>
      </c>
      <c r="E3556" s="44" t="s">
        <v>1641</v>
      </c>
      <c r="F3556" s="65">
        <v>968</v>
      </c>
      <c r="G3556" s="44" t="s">
        <v>5269</v>
      </c>
      <c r="H3556" s="44" t="s">
        <v>5270</v>
      </c>
      <c r="I3556" s="62" t="s">
        <v>511</v>
      </c>
      <c r="J3556" s="44" t="s">
        <v>519</v>
      </c>
      <c r="K3556" s="44" t="s">
        <v>519</v>
      </c>
      <c r="L3556" s="44" t="s">
        <v>520</v>
      </c>
      <c r="M3556" s="44" t="s">
        <v>976</v>
      </c>
      <c r="N3556" s="44" t="s">
        <v>839</v>
      </c>
      <c r="O3556" s="45" t="s">
        <v>383</v>
      </c>
      <c r="P3556" s="45" t="s">
        <v>3760</v>
      </c>
      <c r="Q3556" s="59" t="str">
        <f>MID(Tabla1[[#This Row],[Aplicación]],14,1)</f>
        <v>2</v>
      </c>
      <c r="R3556" s="35" t="s">
        <v>298</v>
      </c>
      <c r="S3556" s="59" t="str">
        <f>MID(Tabla1[[#This Row],[Aplicación]],6,2)</f>
        <v>06</v>
      </c>
      <c r="T3556" s="35" t="str">
        <f>VLOOKUP(Tabla1[[#This Row],[AREA]],Hoja1!A:B,2,FALSE)</f>
        <v>06. Educación, infancia, juventud e igualdad</v>
      </c>
      <c r="U3556" s="56" t="str">
        <f>MID(Tabla1[[#This Row],[Aplicación]],9,4)</f>
        <v>3232</v>
      </c>
      <c r="V3556" s="35" t="str">
        <f>VLOOKUP(Tabla1[[#This Row],[PROGRAMA]],Hoja1!A:B,2,FALSE)</f>
        <v>3232. Conservación y mantenimiento centros educación infantil y primaria</v>
      </c>
      <c r="W3556" s="56" t="str">
        <f>MID(Tabla1[[#This Row],[Aplicación]],14,2)</f>
        <v>22</v>
      </c>
      <c r="X3556" s="56" t="str">
        <f>MID(Tabla1[[#This Row],[Aplicación]],14,6)</f>
        <v>22706</v>
      </c>
    </row>
    <row r="3557" spans="1:24" x14ac:dyDescent="0.25">
      <c r="A3557" s="63">
        <v>220230028636</v>
      </c>
      <c r="B3557" s="44" t="s">
        <v>507</v>
      </c>
      <c r="C3557" s="64">
        <v>45085</v>
      </c>
      <c r="D3557" s="62">
        <v>22023004885</v>
      </c>
      <c r="E3557" s="44" t="s">
        <v>613</v>
      </c>
      <c r="F3557" s="65">
        <v>963.16</v>
      </c>
      <c r="G3557" s="44" t="s">
        <v>15</v>
      </c>
      <c r="H3557" s="44" t="s">
        <v>5271</v>
      </c>
      <c r="I3557" s="62" t="s">
        <v>511</v>
      </c>
      <c r="J3557" s="44" t="s">
        <v>519</v>
      </c>
      <c r="K3557" s="44" t="s">
        <v>519</v>
      </c>
      <c r="L3557" s="44" t="s">
        <v>552</v>
      </c>
      <c r="M3557" s="44" t="s">
        <v>976</v>
      </c>
      <c r="N3557" s="44" t="s">
        <v>839</v>
      </c>
      <c r="O3557" s="45" t="s">
        <v>383</v>
      </c>
      <c r="P3557" s="45" t="s">
        <v>3760</v>
      </c>
      <c r="Q3557" s="59" t="str">
        <f>MID(Tabla1[[#This Row],[Aplicación]],14,1)</f>
        <v>2</v>
      </c>
      <c r="R3557" s="35" t="s">
        <v>298</v>
      </c>
      <c r="S3557" s="59" t="str">
        <f>MID(Tabla1[[#This Row],[Aplicación]],6,2)</f>
        <v>10</v>
      </c>
      <c r="T3557" s="35" t="str">
        <f>VLOOKUP(Tabla1[[#This Row],[AREA]],Hoja1!A:B,2,FALSE)</f>
        <v>10. Servicios sociales y mediación comunitaria</v>
      </c>
      <c r="U3557" s="56" t="str">
        <f>MID(Tabla1[[#This Row],[Aplicación]],9,4)</f>
        <v>2312</v>
      </c>
      <c r="V3557" s="35" t="str">
        <f>VLOOKUP(Tabla1[[#This Row],[PROGRAMA]],Hoja1!A:B,2,FALSE)</f>
        <v>2312. Iniciativas sociales</v>
      </c>
      <c r="W3557" s="56" t="str">
        <f>MID(Tabla1[[#This Row],[Aplicación]],14,2)</f>
        <v>21</v>
      </c>
      <c r="X3557" s="56" t="str">
        <f>MID(Tabla1[[#This Row],[Aplicación]],14,6)</f>
        <v>213</v>
      </c>
    </row>
    <row r="3558" spans="1:24" x14ac:dyDescent="0.25">
      <c r="A3558" s="63">
        <v>220230032458</v>
      </c>
      <c r="B3558" s="44" t="s">
        <v>1514</v>
      </c>
      <c r="C3558" s="64">
        <v>45107</v>
      </c>
      <c r="D3558" s="62">
        <v>22023000273</v>
      </c>
      <c r="E3558" s="44" t="s">
        <v>2310</v>
      </c>
      <c r="F3558" s="65">
        <v>3912.41</v>
      </c>
      <c r="G3558" s="44" t="s">
        <v>2351</v>
      </c>
      <c r="H3558" s="44" t="s">
        <v>5272</v>
      </c>
      <c r="I3558" s="62" t="s">
        <v>1517</v>
      </c>
      <c r="J3558" s="44" t="s">
        <v>519</v>
      </c>
      <c r="K3558" s="44" t="s">
        <v>519</v>
      </c>
      <c r="L3558" s="44" t="s">
        <v>552</v>
      </c>
      <c r="M3558" s="44" t="s">
        <v>514</v>
      </c>
      <c r="N3558" s="44" t="s">
        <v>515</v>
      </c>
      <c r="O3558" s="45" t="s">
        <v>382</v>
      </c>
      <c r="P3558" s="45" t="s">
        <v>3760</v>
      </c>
      <c r="Q3558" s="59" t="str">
        <f>MID(Tabla1[[#This Row],[Aplicación]],14,1)</f>
        <v>2</v>
      </c>
      <c r="R3558" s="35" t="s">
        <v>298</v>
      </c>
      <c r="S3558" s="59" t="str">
        <f>MID(Tabla1[[#This Row],[Aplicación]],6,2)</f>
        <v>11</v>
      </c>
      <c r="T3558" s="35" t="str">
        <f>VLOOKUP(Tabla1[[#This Row],[AREA]],Hoja1!A:B,2,FALSE)</f>
        <v>11. Salud pública y seguridad ciudadana</v>
      </c>
      <c r="U3558" s="56" t="str">
        <f>MID(Tabla1[[#This Row],[Aplicación]],9,4)</f>
        <v>1321</v>
      </c>
      <c r="V3558" s="35" t="str">
        <f>VLOOKUP(Tabla1[[#This Row],[PROGRAMA]],Hoja1!A:B,2,FALSE)</f>
        <v>1321. Policía municipal</v>
      </c>
      <c r="W3558" s="56" t="str">
        <f>MID(Tabla1[[#This Row],[Aplicación]],14,2)</f>
        <v>22</v>
      </c>
      <c r="X3558" s="56" t="str">
        <f>MID(Tabla1[[#This Row],[Aplicación]],14,6)</f>
        <v>22199</v>
      </c>
    </row>
    <row r="3559" spans="1:24" x14ac:dyDescent="0.25">
      <c r="A3559" s="63">
        <v>220230030701</v>
      </c>
      <c r="B3559" s="44" t="s">
        <v>507</v>
      </c>
      <c r="C3559" s="64">
        <v>45097</v>
      </c>
      <c r="D3559" s="62">
        <v>22023004934</v>
      </c>
      <c r="E3559" s="44" t="s">
        <v>1490</v>
      </c>
      <c r="F3559" s="65">
        <v>900</v>
      </c>
      <c r="G3559" s="44" t="s">
        <v>5273</v>
      </c>
      <c r="H3559" s="44" t="s">
        <v>5274</v>
      </c>
      <c r="I3559" s="62" t="s">
        <v>511</v>
      </c>
      <c r="J3559" s="44" t="s">
        <v>519</v>
      </c>
      <c r="K3559" s="44" t="s">
        <v>519</v>
      </c>
      <c r="L3559" s="44" t="s">
        <v>520</v>
      </c>
      <c r="M3559" s="44" t="s">
        <v>976</v>
      </c>
      <c r="N3559" s="44" t="s">
        <v>839</v>
      </c>
      <c r="O3559" s="45" t="s">
        <v>383</v>
      </c>
      <c r="P3559" s="45" t="s">
        <v>3760</v>
      </c>
      <c r="Q3559" s="59" t="str">
        <f>MID(Tabla1[[#This Row],[Aplicación]],14,1)</f>
        <v>2</v>
      </c>
      <c r="R3559" s="35" t="s">
        <v>298</v>
      </c>
      <c r="S3559" s="59" t="str">
        <f>MID(Tabla1[[#This Row],[Aplicación]],6,2)</f>
        <v>06</v>
      </c>
      <c r="T3559" s="35" t="str">
        <f>VLOOKUP(Tabla1[[#This Row],[AREA]],Hoja1!A:B,2,FALSE)</f>
        <v>06. Educación, infancia, juventud e igualdad</v>
      </c>
      <c r="U3559" s="56" t="str">
        <f>MID(Tabla1[[#This Row],[Aplicación]],9,4)</f>
        <v>2314</v>
      </c>
      <c r="V3559" s="35" t="str">
        <f>VLOOKUP(Tabla1[[#This Row],[PROGRAMA]],Hoja1!A:B,2,FALSE)</f>
        <v>2314. Centro de programas juveniles</v>
      </c>
      <c r="W3559" s="56" t="str">
        <f>MID(Tabla1[[#This Row],[Aplicación]],14,2)</f>
        <v>22</v>
      </c>
      <c r="X3559" s="56" t="str">
        <f>MID(Tabla1[[#This Row],[Aplicación]],14,6)</f>
        <v>22613</v>
      </c>
    </row>
    <row r="3560" spans="1:24" x14ac:dyDescent="0.25">
      <c r="A3560" s="63">
        <v>220230030704</v>
      </c>
      <c r="B3560" s="44" t="s">
        <v>507</v>
      </c>
      <c r="C3560" s="64">
        <v>45097</v>
      </c>
      <c r="D3560" s="62">
        <v>22023004936</v>
      </c>
      <c r="E3560" s="44" t="s">
        <v>3877</v>
      </c>
      <c r="F3560" s="65">
        <v>878.46</v>
      </c>
      <c r="G3560" s="44" t="s">
        <v>41</v>
      </c>
      <c r="H3560" s="44" t="s">
        <v>5275</v>
      </c>
      <c r="I3560" s="62" t="s">
        <v>511</v>
      </c>
      <c r="J3560" s="44" t="s">
        <v>519</v>
      </c>
      <c r="K3560" s="44" t="s">
        <v>519</v>
      </c>
      <c r="L3560" s="44" t="s">
        <v>520</v>
      </c>
      <c r="M3560" s="44" t="s">
        <v>976</v>
      </c>
      <c r="N3560" s="44" t="s">
        <v>839</v>
      </c>
      <c r="O3560" s="45" t="s">
        <v>383</v>
      </c>
      <c r="P3560" s="45" t="s">
        <v>3760</v>
      </c>
      <c r="Q3560" s="59" t="str">
        <f>MID(Tabla1[[#This Row],[Aplicación]],14,1)</f>
        <v>2</v>
      </c>
      <c r="R3560" s="35" t="s">
        <v>298</v>
      </c>
      <c r="S3560" s="59" t="str">
        <f>MID(Tabla1[[#This Row],[Aplicación]],6,2)</f>
        <v>10</v>
      </c>
      <c r="T3560" s="35" t="str">
        <f>VLOOKUP(Tabla1[[#This Row],[AREA]],Hoja1!A:B,2,FALSE)</f>
        <v>10. Servicios sociales y mediación comunitaria</v>
      </c>
      <c r="U3560" s="56" t="str">
        <f>MID(Tabla1[[#This Row],[Aplicación]],9,4)</f>
        <v>2312</v>
      </c>
      <c r="V3560" s="35" t="str">
        <f>VLOOKUP(Tabla1[[#This Row],[PROGRAMA]],Hoja1!A:B,2,FALSE)</f>
        <v>2312. Iniciativas sociales</v>
      </c>
      <c r="W3560" s="56" t="str">
        <f>MID(Tabla1[[#This Row],[Aplicación]],14,2)</f>
        <v>22</v>
      </c>
      <c r="X3560" s="56" t="str">
        <f>MID(Tabla1[[#This Row],[Aplicación]],14,6)</f>
        <v>22612</v>
      </c>
    </row>
    <row r="3561" spans="1:24" x14ac:dyDescent="0.25">
      <c r="A3561" s="63">
        <v>220230032391</v>
      </c>
      <c r="B3561" s="44" t="s">
        <v>1514</v>
      </c>
      <c r="C3561" s="64">
        <v>45107</v>
      </c>
      <c r="D3561" s="62">
        <v>22023003832</v>
      </c>
      <c r="E3561" s="44" t="s">
        <v>1502</v>
      </c>
      <c r="F3561" s="65">
        <v>195.21</v>
      </c>
      <c r="G3561" s="44" t="s">
        <v>3016</v>
      </c>
      <c r="H3561" s="44" t="s">
        <v>5276</v>
      </c>
      <c r="I3561" s="62" t="s">
        <v>1517</v>
      </c>
      <c r="J3561" s="44" t="s">
        <v>519</v>
      </c>
      <c r="K3561" s="44" t="s">
        <v>519</v>
      </c>
      <c r="L3561" s="44" t="s">
        <v>552</v>
      </c>
      <c r="M3561" s="44" t="s">
        <v>514</v>
      </c>
      <c r="N3561" s="44" t="s">
        <v>515</v>
      </c>
      <c r="O3561" s="45" t="s">
        <v>382</v>
      </c>
      <c r="P3561" s="45" t="s">
        <v>3760</v>
      </c>
      <c r="Q3561" s="59" t="str">
        <f>MID(Tabla1[[#This Row],[Aplicación]],14,1)</f>
        <v>2</v>
      </c>
      <c r="R3561" s="35" t="s">
        <v>298</v>
      </c>
      <c r="S3561" s="59" t="str">
        <f>MID(Tabla1[[#This Row],[Aplicación]],6,2)</f>
        <v>10</v>
      </c>
      <c r="T3561" s="35" t="str">
        <f>VLOOKUP(Tabla1[[#This Row],[AREA]],Hoja1!A:B,2,FALSE)</f>
        <v>10. Servicios sociales y mediación comunitaria</v>
      </c>
      <c r="U3561" s="56" t="str">
        <f>MID(Tabla1[[#This Row],[Aplicación]],9,4)</f>
        <v>2412</v>
      </c>
      <c r="V3561" s="35" t="str">
        <f>VLOOKUP(Tabla1[[#This Row],[PROGRAMA]],Hoja1!A:B,2,FALSE)</f>
        <v>2412. Formación para el empleo</v>
      </c>
      <c r="W3561" s="56" t="str">
        <f>MID(Tabla1[[#This Row],[Aplicación]],14,2)</f>
        <v>22</v>
      </c>
      <c r="X3561" s="56" t="str">
        <f>MID(Tabla1[[#This Row],[Aplicación]],14,6)</f>
        <v>22199</v>
      </c>
    </row>
    <row r="3562" spans="1:24" x14ac:dyDescent="0.25">
      <c r="A3562" s="63">
        <v>220230028257</v>
      </c>
      <c r="B3562" s="44" t="s">
        <v>1514</v>
      </c>
      <c r="C3562" s="64">
        <v>45084</v>
      </c>
      <c r="D3562" s="62">
        <v>22023001514</v>
      </c>
      <c r="E3562" s="44" t="s">
        <v>1285</v>
      </c>
      <c r="F3562" s="65">
        <v>130.80000000000001</v>
      </c>
      <c r="G3562" s="44" t="s">
        <v>1481</v>
      </c>
      <c r="H3562" s="44" t="s">
        <v>5277</v>
      </c>
      <c r="I3562" s="62" t="s">
        <v>1517</v>
      </c>
      <c r="J3562" s="44" t="s">
        <v>837</v>
      </c>
      <c r="K3562" s="44" t="s">
        <v>837</v>
      </c>
      <c r="L3562" s="44" t="s">
        <v>552</v>
      </c>
      <c r="M3562" s="44" t="s">
        <v>514</v>
      </c>
      <c r="N3562" s="44" t="s">
        <v>515</v>
      </c>
      <c r="O3562" s="45" t="s">
        <v>382</v>
      </c>
      <c r="P3562" s="45" t="s">
        <v>3760</v>
      </c>
      <c r="Q3562" s="59" t="str">
        <f>MID(Tabla1[[#This Row],[Aplicación]],14,1)</f>
        <v>2</v>
      </c>
      <c r="R3562" s="35" t="s">
        <v>298</v>
      </c>
      <c r="S3562" s="59" t="str">
        <f>MID(Tabla1[[#This Row],[Aplicación]],6,2)</f>
        <v>11</v>
      </c>
      <c r="T3562" s="35" t="str">
        <f>VLOOKUP(Tabla1[[#This Row],[AREA]],Hoja1!A:B,2,FALSE)</f>
        <v>11. Salud pública y seguridad ciudadana</v>
      </c>
      <c r="U3562" s="56" t="str">
        <f>MID(Tabla1[[#This Row],[Aplicación]],9,4)</f>
        <v>1361</v>
      </c>
      <c r="V3562" s="35" t="str">
        <f>VLOOKUP(Tabla1[[#This Row],[PROGRAMA]],Hoja1!A:B,2,FALSE)</f>
        <v>1361. Prevención y extinción de incencios</v>
      </c>
      <c r="W3562" s="56" t="str">
        <f>MID(Tabla1[[#This Row],[Aplicación]],14,2)</f>
        <v>22</v>
      </c>
      <c r="X3562" s="56" t="str">
        <f>MID(Tabla1[[#This Row],[Aplicación]],14,6)</f>
        <v>22199</v>
      </c>
    </row>
    <row r="3563" spans="1:24" x14ac:dyDescent="0.25">
      <c r="A3563" s="63">
        <v>220230028288</v>
      </c>
      <c r="B3563" s="44" t="s">
        <v>1514</v>
      </c>
      <c r="C3563" s="64">
        <v>45084</v>
      </c>
      <c r="D3563" s="62">
        <v>22023004200</v>
      </c>
      <c r="E3563" s="44" t="s">
        <v>1362</v>
      </c>
      <c r="F3563" s="65">
        <v>18.850000000000001</v>
      </c>
      <c r="G3563" s="44" t="s">
        <v>1481</v>
      </c>
      <c r="H3563" s="44" t="s">
        <v>5278</v>
      </c>
      <c r="I3563" s="62" t="s">
        <v>1517</v>
      </c>
      <c r="J3563" s="44" t="s">
        <v>837</v>
      </c>
      <c r="K3563" s="44" t="s">
        <v>837</v>
      </c>
      <c r="L3563" s="44" t="s">
        <v>552</v>
      </c>
      <c r="M3563" s="44" t="s">
        <v>514</v>
      </c>
      <c r="N3563" s="44" t="s">
        <v>515</v>
      </c>
      <c r="O3563" s="45" t="s">
        <v>382</v>
      </c>
      <c r="P3563" s="45" t="s">
        <v>3760</v>
      </c>
      <c r="Q3563" s="59" t="str">
        <f>MID(Tabla1[[#This Row],[Aplicación]],14,1)</f>
        <v>2</v>
      </c>
      <c r="R3563" s="35" t="s">
        <v>298</v>
      </c>
      <c r="S3563" s="59" t="str">
        <f>MID(Tabla1[[#This Row],[Aplicación]],6,2)</f>
        <v>09</v>
      </c>
      <c r="T3563" s="35" t="str">
        <f>VLOOKUP(Tabla1[[#This Row],[AREA]],Hoja1!A:B,2,FALSE)</f>
        <v>09. Cultura y turismo</v>
      </c>
      <c r="U3563" s="56" t="str">
        <f>MID(Tabla1[[#This Row],[Aplicación]],9,4)</f>
        <v>3341</v>
      </c>
      <c r="V3563" s="35" t="str">
        <f>VLOOKUP(Tabla1[[#This Row],[PROGRAMA]],Hoja1!A:B,2,FALSE)</f>
        <v>3341. Coordinación de políticas culturales</v>
      </c>
      <c r="W3563" s="56" t="str">
        <f>MID(Tabla1[[#This Row],[Aplicación]],14,2)</f>
        <v>21</v>
      </c>
      <c r="X3563" s="56" t="str">
        <f>MID(Tabla1[[#This Row],[Aplicación]],14,6)</f>
        <v>213</v>
      </c>
    </row>
    <row r="3564" spans="1:24" x14ac:dyDescent="0.25">
      <c r="A3564" s="63">
        <v>220230028315</v>
      </c>
      <c r="B3564" s="44" t="s">
        <v>1514</v>
      </c>
      <c r="C3564" s="64">
        <v>45084</v>
      </c>
      <c r="D3564" s="62">
        <v>22023004119</v>
      </c>
      <c r="E3564" s="44" t="s">
        <v>591</v>
      </c>
      <c r="F3564" s="65">
        <v>13.87</v>
      </c>
      <c r="G3564" s="44" t="s">
        <v>1481</v>
      </c>
      <c r="H3564" s="44" t="s">
        <v>5279</v>
      </c>
      <c r="I3564" s="62" t="s">
        <v>1517</v>
      </c>
      <c r="J3564" s="44" t="s">
        <v>837</v>
      </c>
      <c r="K3564" s="44" t="s">
        <v>837</v>
      </c>
      <c r="L3564" s="44" t="s">
        <v>552</v>
      </c>
      <c r="M3564" s="44" t="s">
        <v>514</v>
      </c>
      <c r="N3564" s="44" t="s">
        <v>515</v>
      </c>
      <c r="O3564" s="45" t="s">
        <v>382</v>
      </c>
      <c r="P3564" s="45" t="s">
        <v>3760</v>
      </c>
      <c r="Q3564" s="59" t="str">
        <f>MID(Tabla1[[#This Row],[Aplicación]],14,1)</f>
        <v>2</v>
      </c>
      <c r="R3564" s="35" t="s">
        <v>298</v>
      </c>
      <c r="S3564" s="59" t="str">
        <f>MID(Tabla1[[#This Row],[Aplicación]],6,2)</f>
        <v>04</v>
      </c>
      <c r="T3564" s="35" t="str">
        <f>VLOOKUP(Tabla1[[#This Row],[AREA]],Hoja1!A:B,2,FALSE)</f>
        <v>04. Planificación y recursos</v>
      </c>
      <c r="U3564" s="56" t="str">
        <f>MID(Tabla1[[#This Row],[Aplicación]],9,4)</f>
        <v>9204</v>
      </c>
      <c r="V3564" s="35" t="str">
        <f>VLOOKUP(Tabla1[[#This Row],[PROGRAMA]],Hoja1!A:B,2,FALSE)</f>
        <v>9204. Tecnologías de la información y comunicación</v>
      </c>
      <c r="W3564" s="56" t="str">
        <f>MID(Tabla1[[#This Row],[Aplicación]],14,2)</f>
        <v>21</v>
      </c>
      <c r="X3564" s="56" t="str">
        <f>MID(Tabla1[[#This Row],[Aplicación]],14,6)</f>
        <v>213</v>
      </c>
    </row>
    <row r="3565" spans="1:24" x14ac:dyDescent="0.25">
      <c r="A3565" s="63">
        <v>220230029526</v>
      </c>
      <c r="B3565" s="44" t="s">
        <v>1514</v>
      </c>
      <c r="C3565" s="64">
        <v>45090</v>
      </c>
      <c r="D3565" s="62">
        <v>22023004435</v>
      </c>
      <c r="E3565" s="44" t="s">
        <v>1551</v>
      </c>
      <c r="F3565" s="65">
        <v>52.21</v>
      </c>
      <c r="G3565" s="44" t="s">
        <v>1481</v>
      </c>
      <c r="H3565" s="44" t="s">
        <v>5280</v>
      </c>
      <c r="I3565" s="62" t="s">
        <v>1517</v>
      </c>
      <c r="J3565" s="44" t="s">
        <v>837</v>
      </c>
      <c r="K3565" s="44" t="s">
        <v>837</v>
      </c>
      <c r="L3565" s="44" t="s">
        <v>552</v>
      </c>
      <c r="M3565" s="44" t="s">
        <v>514</v>
      </c>
      <c r="N3565" s="44" t="s">
        <v>515</v>
      </c>
      <c r="O3565" s="45" t="s">
        <v>382</v>
      </c>
      <c r="P3565" s="45" t="s">
        <v>3760</v>
      </c>
      <c r="Q3565" s="59" t="str">
        <f>MID(Tabla1[[#This Row],[Aplicación]],14,1)</f>
        <v>2</v>
      </c>
      <c r="R3565" s="35" t="s">
        <v>298</v>
      </c>
      <c r="S3565" s="59" t="str">
        <f>MID(Tabla1[[#This Row],[Aplicación]],6,2)</f>
        <v>02</v>
      </c>
      <c r="T3565" s="35" t="str">
        <f>VLOOKUP(Tabla1[[#This Row],[AREA]],Hoja1!A:B,2,FALSE)</f>
        <v>02. Planeamiento urbanístico y vivienda</v>
      </c>
      <c r="U3565" s="56" t="str">
        <f>MID(Tabla1[[#This Row],[Aplicación]],9,4)</f>
        <v>9332</v>
      </c>
      <c r="V3565" s="35" t="str">
        <f>VLOOKUP(Tabla1[[#This Row],[PROGRAMA]],Hoja1!A:B,2,FALSE)</f>
        <v>9332. Mantenimiento de edificios e instalaciones municipales</v>
      </c>
      <c r="W3565" s="56" t="str">
        <f>MID(Tabla1[[#This Row],[Aplicación]],14,2)</f>
        <v>21</v>
      </c>
      <c r="X3565" s="56" t="str">
        <f>MID(Tabla1[[#This Row],[Aplicación]],14,6)</f>
        <v>212</v>
      </c>
    </row>
    <row r="3566" spans="1:24" x14ac:dyDescent="0.25">
      <c r="A3566" s="63">
        <v>220230032321</v>
      </c>
      <c r="B3566" s="44" t="s">
        <v>1514</v>
      </c>
      <c r="C3566" s="64">
        <v>45107</v>
      </c>
      <c r="D3566" s="62">
        <v>22023001578</v>
      </c>
      <c r="E3566" s="44" t="s">
        <v>2275</v>
      </c>
      <c r="F3566" s="65">
        <v>8.82</v>
      </c>
      <c r="G3566" s="44" t="s">
        <v>1481</v>
      </c>
      <c r="H3566" s="44" t="s">
        <v>5281</v>
      </c>
      <c r="I3566" s="62" t="s">
        <v>1517</v>
      </c>
      <c r="J3566" s="44" t="s">
        <v>837</v>
      </c>
      <c r="K3566" s="44" t="s">
        <v>837</v>
      </c>
      <c r="L3566" s="44" t="s">
        <v>552</v>
      </c>
      <c r="M3566" s="44" t="s">
        <v>514</v>
      </c>
      <c r="N3566" s="44" t="s">
        <v>515</v>
      </c>
      <c r="O3566" s="45" t="s">
        <v>382</v>
      </c>
      <c r="P3566" s="45" t="s">
        <v>3760</v>
      </c>
      <c r="Q3566" s="59" t="str">
        <f>MID(Tabla1[[#This Row],[Aplicación]],14,1)</f>
        <v>2</v>
      </c>
      <c r="R3566" s="35" t="s">
        <v>298</v>
      </c>
      <c r="S3566" s="59" t="str">
        <f>MID(Tabla1[[#This Row],[Aplicación]],6,2)</f>
        <v>11</v>
      </c>
      <c r="T3566" s="35" t="str">
        <f>VLOOKUP(Tabla1[[#This Row],[AREA]],Hoja1!A:B,2,FALSE)</f>
        <v>11. Salud pública y seguridad ciudadana</v>
      </c>
      <c r="U3566" s="56" t="str">
        <f>MID(Tabla1[[#This Row],[Aplicación]],9,4)</f>
        <v>3111</v>
      </c>
      <c r="V3566" s="35" t="str">
        <f>VLOOKUP(Tabla1[[#This Row],[PROGRAMA]],Hoja1!A:B,2,FALSE)</f>
        <v>3111. Protección de la salubridad pública</v>
      </c>
      <c r="W3566" s="56" t="str">
        <f>MID(Tabla1[[#This Row],[Aplicación]],14,2)</f>
        <v>22</v>
      </c>
      <c r="X3566" s="56" t="str">
        <f>MID(Tabla1[[#This Row],[Aplicación]],14,6)</f>
        <v>22199</v>
      </c>
    </row>
    <row r="3567" spans="1:24" x14ac:dyDescent="0.25">
      <c r="A3567" s="63">
        <v>220230032323</v>
      </c>
      <c r="B3567" s="44" t="s">
        <v>1514</v>
      </c>
      <c r="C3567" s="64">
        <v>45107</v>
      </c>
      <c r="D3567" s="62">
        <v>22023002740</v>
      </c>
      <c r="E3567" s="44" t="s">
        <v>1055</v>
      </c>
      <c r="F3567" s="65">
        <v>1231.27</v>
      </c>
      <c r="G3567" s="44" t="s">
        <v>1481</v>
      </c>
      <c r="H3567" s="44" t="s">
        <v>5282</v>
      </c>
      <c r="I3567" s="62" t="s">
        <v>1517</v>
      </c>
      <c r="J3567" s="44" t="s">
        <v>837</v>
      </c>
      <c r="K3567" s="44" t="s">
        <v>837</v>
      </c>
      <c r="L3567" s="44" t="s">
        <v>552</v>
      </c>
      <c r="M3567" s="44" t="s">
        <v>514</v>
      </c>
      <c r="N3567" s="44" t="s">
        <v>515</v>
      </c>
      <c r="O3567" s="45" t="s">
        <v>382</v>
      </c>
      <c r="P3567" s="45" t="s">
        <v>3760</v>
      </c>
      <c r="Q3567" s="59" t="str">
        <f>MID(Tabla1[[#This Row],[Aplicación]],14,1)</f>
        <v>2</v>
      </c>
      <c r="R3567" s="35" t="s">
        <v>298</v>
      </c>
      <c r="S3567" s="59" t="str">
        <f>MID(Tabla1[[#This Row],[Aplicación]],6,2)</f>
        <v>02</v>
      </c>
      <c r="T3567" s="35" t="str">
        <f>VLOOKUP(Tabla1[[#This Row],[AREA]],Hoja1!A:B,2,FALSE)</f>
        <v>02. Planeamiento urbanístico y vivienda</v>
      </c>
      <c r="U3567" s="56" t="str">
        <f>MID(Tabla1[[#This Row],[Aplicación]],9,4)</f>
        <v>9332</v>
      </c>
      <c r="V3567" s="35" t="str">
        <f>VLOOKUP(Tabla1[[#This Row],[PROGRAMA]],Hoja1!A:B,2,FALSE)</f>
        <v>9332. Mantenimiento de edificios e instalaciones municipales</v>
      </c>
      <c r="W3567" s="56" t="str">
        <f>MID(Tabla1[[#This Row],[Aplicación]],14,2)</f>
        <v>21</v>
      </c>
      <c r="X3567" s="56" t="str">
        <f>MID(Tabla1[[#This Row],[Aplicación]],14,6)</f>
        <v>213</v>
      </c>
    </row>
    <row r="3568" spans="1:24" x14ac:dyDescent="0.25">
      <c r="A3568" s="63">
        <v>220230032323</v>
      </c>
      <c r="B3568" s="44" t="s">
        <v>1514</v>
      </c>
      <c r="C3568" s="64">
        <v>45107</v>
      </c>
      <c r="D3568" s="62">
        <v>22023004435</v>
      </c>
      <c r="E3568" s="44" t="s">
        <v>1551</v>
      </c>
      <c r="F3568" s="65">
        <v>34.43</v>
      </c>
      <c r="G3568" s="44" t="s">
        <v>1481</v>
      </c>
      <c r="H3568" s="44" t="s">
        <v>5282</v>
      </c>
      <c r="I3568" s="62" t="s">
        <v>1517</v>
      </c>
      <c r="J3568" s="44" t="s">
        <v>837</v>
      </c>
      <c r="K3568" s="44" t="s">
        <v>837</v>
      </c>
      <c r="L3568" s="44" t="s">
        <v>552</v>
      </c>
      <c r="M3568" s="44" t="s">
        <v>514</v>
      </c>
      <c r="N3568" s="44" t="s">
        <v>515</v>
      </c>
      <c r="O3568" s="45" t="s">
        <v>382</v>
      </c>
      <c r="P3568" s="45" t="s">
        <v>3760</v>
      </c>
      <c r="Q3568" s="59" t="str">
        <f>MID(Tabla1[[#This Row],[Aplicación]],14,1)</f>
        <v>2</v>
      </c>
      <c r="R3568" s="35" t="s">
        <v>298</v>
      </c>
      <c r="S3568" s="59" t="str">
        <f>MID(Tabla1[[#This Row],[Aplicación]],6,2)</f>
        <v>02</v>
      </c>
      <c r="T3568" s="35" t="str">
        <f>VLOOKUP(Tabla1[[#This Row],[AREA]],Hoja1!A:B,2,FALSE)</f>
        <v>02. Planeamiento urbanístico y vivienda</v>
      </c>
      <c r="U3568" s="56" t="str">
        <f>MID(Tabla1[[#This Row],[Aplicación]],9,4)</f>
        <v>9332</v>
      </c>
      <c r="V3568" s="35" t="str">
        <f>VLOOKUP(Tabla1[[#This Row],[PROGRAMA]],Hoja1!A:B,2,FALSE)</f>
        <v>9332. Mantenimiento de edificios e instalaciones municipales</v>
      </c>
      <c r="W3568" s="56" t="str">
        <f>MID(Tabla1[[#This Row],[Aplicación]],14,2)</f>
        <v>21</v>
      </c>
      <c r="X3568" s="56" t="str">
        <f>MID(Tabla1[[#This Row],[Aplicación]],14,6)</f>
        <v>212</v>
      </c>
    </row>
    <row r="3569" spans="1:24" x14ac:dyDescent="0.25">
      <c r="A3569" s="63">
        <v>220230032359</v>
      </c>
      <c r="B3569" s="44" t="s">
        <v>1514</v>
      </c>
      <c r="C3569" s="64">
        <v>45107</v>
      </c>
      <c r="D3569" s="62">
        <v>22023001467</v>
      </c>
      <c r="E3569" s="44" t="s">
        <v>1512</v>
      </c>
      <c r="F3569" s="65">
        <v>16.34</v>
      </c>
      <c r="G3569" s="44" t="s">
        <v>1481</v>
      </c>
      <c r="H3569" s="44" t="s">
        <v>5283</v>
      </c>
      <c r="I3569" s="62" t="s">
        <v>1517</v>
      </c>
      <c r="J3569" s="44" t="s">
        <v>837</v>
      </c>
      <c r="K3569" s="44" t="s">
        <v>837</v>
      </c>
      <c r="L3569" s="44" t="s">
        <v>552</v>
      </c>
      <c r="M3569" s="44" t="s">
        <v>514</v>
      </c>
      <c r="N3569" s="44" t="s">
        <v>515</v>
      </c>
      <c r="O3569" s="45" t="s">
        <v>382</v>
      </c>
      <c r="P3569" s="45" t="s">
        <v>3760</v>
      </c>
      <c r="Q3569" s="59" t="str">
        <f>MID(Tabla1[[#This Row],[Aplicación]],14,1)</f>
        <v>2</v>
      </c>
      <c r="R3569" s="35" t="s">
        <v>298</v>
      </c>
      <c r="S3569" s="59" t="str">
        <f>MID(Tabla1[[#This Row],[Aplicación]],6,2)</f>
        <v>10</v>
      </c>
      <c r="T3569" s="35" t="str">
        <f>VLOOKUP(Tabla1[[#This Row],[AREA]],Hoja1!A:B,2,FALSE)</f>
        <v>10. Servicios sociales y mediación comunitaria</v>
      </c>
      <c r="U3569" s="56" t="str">
        <f>MID(Tabla1[[#This Row],[Aplicación]],9,4)</f>
        <v>2312</v>
      </c>
      <c r="V3569" s="35" t="str">
        <f>VLOOKUP(Tabla1[[#This Row],[PROGRAMA]],Hoja1!A:B,2,FALSE)</f>
        <v>2312. Iniciativas sociales</v>
      </c>
      <c r="W3569" s="56" t="str">
        <f>MID(Tabla1[[#This Row],[Aplicación]],14,2)</f>
        <v>21</v>
      </c>
      <c r="X3569" s="56" t="str">
        <f>MID(Tabla1[[#This Row],[Aplicación]],14,6)</f>
        <v>212</v>
      </c>
    </row>
    <row r="3570" spans="1:24" x14ac:dyDescent="0.25">
      <c r="A3570" s="63">
        <v>220230032425</v>
      </c>
      <c r="B3570" s="44" t="s">
        <v>1514</v>
      </c>
      <c r="C3570" s="64">
        <v>45107</v>
      </c>
      <c r="D3570" s="62">
        <v>22023004207</v>
      </c>
      <c r="E3570" s="44" t="s">
        <v>2785</v>
      </c>
      <c r="F3570" s="65">
        <v>28.06</v>
      </c>
      <c r="G3570" s="44" t="s">
        <v>1481</v>
      </c>
      <c r="H3570" s="44" t="s">
        <v>5284</v>
      </c>
      <c r="I3570" s="62" t="s">
        <v>1517</v>
      </c>
      <c r="J3570" s="44" t="s">
        <v>837</v>
      </c>
      <c r="K3570" s="44" t="s">
        <v>837</v>
      </c>
      <c r="L3570" s="44" t="s">
        <v>552</v>
      </c>
      <c r="M3570" s="44" t="s">
        <v>514</v>
      </c>
      <c r="N3570" s="44" t="s">
        <v>515</v>
      </c>
      <c r="O3570" s="45" t="s">
        <v>382</v>
      </c>
      <c r="P3570" s="45" t="s">
        <v>3760</v>
      </c>
      <c r="Q3570" s="59" t="str">
        <f>MID(Tabla1[[#This Row],[Aplicación]],14,1)</f>
        <v>2</v>
      </c>
      <c r="R3570" s="35" t="s">
        <v>298</v>
      </c>
      <c r="S3570" s="59" t="str">
        <f>MID(Tabla1[[#This Row],[Aplicación]],6,2)</f>
        <v>06</v>
      </c>
      <c r="T3570" s="35" t="str">
        <f>VLOOKUP(Tabla1[[#This Row],[AREA]],Hoja1!A:B,2,FALSE)</f>
        <v>06. Educación, infancia, juventud e igualdad</v>
      </c>
      <c r="U3570" s="56" t="str">
        <f>MID(Tabla1[[#This Row],[Aplicación]],9,4)</f>
        <v>3321</v>
      </c>
      <c r="V3570" s="35" t="str">
        <f>VLOOKUP(Tabla1[[#This Row],[PROGRAMA]],Hoja1!A:B,2,FALSE)</f>
        <v>3321. Bibliotecas públicas</v>
      </c>
      <c r="W3570" s="56" t="str">
        <f>MID(Tabla1[[#This Row],[Aplicación]],14,2)</f>
        <v>21</v>
      </c>
      <c r="X3570" s="56" t="str">
        <f>MID(Tabla1[[#This Row],[Aplicación]],14,6)</f>
        <v>212</v>
      </c>
    </row>
    <row r="3571" spans="1:24" x14ac:dyDescent="0.25">
      <c r="A3571" s="63">
        <v>220230032456</v>
      </c>
      <c r="B3571" s="44" t="s">
        <v>1514</v>
      </c>
      <c r="C3571" s="64">
        <v>45107</v>
      </c>
      <c r="D3571" s="62">
        <v>22023001514</v>
      </c>
      <c r="E3571" s="44" t="s">
        <v>1285</v>
      </c>
      <c r="F3571" s="65">
        <v>8.34</v>
      </c>
      <c r="G3571" s="44" t="s">
        <v>1481</v>
      </c>
      <c r="H3571" s="44" t="s">
        <v>5285</v>
      </c>
      <c r="I3571" s="62" t="s">
        <v>1517</v>
      </c>
      <c r="J3571" s="44" t="s">
        <v>837</v>
      </c>
      <c r="K3571" s="44" t="s">
        <v>837</v>
      </c>
      <c r="L3571" s="44" t="s">
        <v>552</v>
      </c>
      <c r="M3571" s="44" t="s">
        <v>514</v>
      </c>
      <c r="N3571" s="44" t="s">
        <v>515</v>
      </c>
      <c r="O3571" s="45" t="s">
        <v>382</v>
      </c>
      <c r="P3571" s="45" t="s">
        <v>3760</v>
      </c>
      <c r="Q3571" s="59" t="str">
        <f>MID(Tabla1[[#This Row],[Aplicación]],14,1)</f>
        <v>2</v>
      </c>
      <c r="R3571" s="35" t="s">
        <v>298</v>
      </c>
      <c r="S3571" s="59" t="str">
        <f>MID(Tabla1[[#This Row],[Aplicación]],6,2)</f>
        <v>11</v>
      </c>
      <c r="T3571" s="35" t="str">
        <f>VLOOKUP(Tabla1[[#This Row],[AREA]],Hoja1!A:B,2,FALSE)</f>
        <v>11. Salud pública y seguridad ciudadana</v>
      </c>
      <c r="U3571" s="56" t="str">
        <f>MID(Tabla1[[#This Row],[Aplicación]],9,4)</f>
        <v>1361</v>
      </c>
      <c r="V3571" s="35" t="str">
        <f>VLOOKUP(Tabla1[[#This Row],[PROGRAMA]],Hoja1!A:B,2,FALSE)</f>
        <v>1361. Prevención y extinción de incencios</v>
      </c>
      <c r="W3571" s="56" t="str">
        <f>MID(Tabla1[[#This Row],[Aplicación]],14,2)</f>
        <v>22</v>
      </c>
      <c r="X3571" s="56" t="str">
        <f>MID(Tabla1[[#This Row],[Aplicación]],14,6)</f>
        <v>22199</v>
      </c>
    </row>
    <row r="3572" spans="1:24" x14ac:dyDescent="0.25">
      <c r="A3572" s="63">
        <v>220230026832</v>
      </c>
      <c r="B3572" s="44" t="s">
        <v>507</v>
      </c>
      <c r="C3572" s="64">
        <v>45078</v>
      </c>
      <c r="D3572" s="62">
        <v>22023004752</v>
      </c>
      <c r="E3572" s="44" t="s">
        <v>1512</v>
      </c>
      <c r="F3572" s="65">
        <v>871.2</v>
      </c>
      <c r="G3572" s="44" t="s">
        <v>3347</v>
      </c>
      <c r="H3572" s="44" t="s">
        <v>5286</v>
      </c>
      <c r="I3572" s="62" t="s">
        <v>511</v>
      </c>
      <c r="J3572" s="44" t="s">
        <v>519</v>
      </c>
      <c r="K3572" s="44" t="s">
        <v>519</v>
      </c>
      <c r="L3572" s="44" t="s">
        <v>552</v>
      </c>
      <c r="M3572" s="44" t="s">
        <v>976</v>
      </c>
      <c r="N3572" s="44" t="s">
        <v>839</v>
      </c>
      <c r="O3572" s="45" t="s">
        <v>383</v>
      </c>
      <c r="P3572" s="45" t="s">
        <v>3760</v>
      </c>
      <c r="Q3572" s="59" t="str">
        <f>MID(Tabla1[[#This Row],[Aplicación]],14,1)</f>
        <v>2</v>
      </c>
      <c r="R3572" s="35" t="s">
        <v>298</v>
      </c>
      <c r="S3572" s="59" t="str">
        <f>MID(Tabla1[[#This Row],[Aplicación]],6,2)</f>
        <v>10</v>
      </c>
      <c r="T3572" s="35" t="str">
        <f>VLOOKUP(Tabla1[[#This Row],[AREA]],Hoja1!A:B,2,FALSE)</f>
        <v>10. Servicios sociales y mediación comunitaria</v>
      </c>
      <c r="U3572" s="56" t="str">
        <f>MID(Tabla1[[#This Row],[Aplicación]],9,4)</f>
        <v>2312</v>
      </c>
      <c r="V3572" s="35" t="str">
        <f>VLOOKUP(Tabla1[[#This Row],[PROGRAMA]],Hoja1!A:B,2,FALSE)</f>
        <v>2312. Iniciativas sociales</v>
      </c>
      <c r="W3572" s="56" t="str">
        <f>MID(Tabla1[[#This Row],[Aplicación]],14,2)</f>
        <v>21</v>
      </c>
      <c r="X3572" s="56" t="str">
        <f>MID(Tabla1[[#This Row],[Aplicación]],14,6)</f>
        <v>212</v>
      </c>
    </row>
    <row r="3573" spans="1:24" x14ac:dyDescent="0.25">
      <c r="A3573" s="63">
        <v>220230026798</v>
      </c>
      <c r="B3573" s="44" t="s">
        <v>507</v>
      </c>
      <c r="C3573" s="64">
        <v>45078</v>
      </c>
      <c r="D3573" s="62">
        <v>22023004818</v>
      </c>
      <c r="E3573" s="44" t="s">
        <v>1436</v>
      </c>
      <c r="F3573" s="65">
        <v>822.8</v>
      </c>
      <c r="G3573" s="44" t="s">
        <v>1437</v>
      </c>
      <c r="H3573" s="44" t="s">
        <v>5287</v>
      </c>
      <c r="I3573" s="62" t="s">
        <v>511</v>
      </c>
      <c r="J3573" s="44" t="s">
        <v>519</v>
      </c>
      <c r="K3573" s="44" t="s">
        <v>519</v>
      </c>
      <c r="L3573" s="44" t="s">
        <v>652</v>
      </c>
      <c r="M3573" s="44" t="s">
        <v>976</v>
      </c>
      <c r="N3573" s="44" t="s">
        <v>839</v>
      </c>
      <c r="O3573" s="45" t="s">
        <v>383</v>
      </c>
      <c r="P3573" s="45" t="s">
        <v>3760</v>
      </c>
      <c r="Q3573" s="59" t="str">
        <f>MID(Tabla1[[#This Row],[Aplicación]],14,1)</f>
        <v>2</v>
      </c>
      <c r="R3573" s="35" t="s">
        <v>298</v>
      </c>
      <c r="S3573" s="59" t="str">
        <f>MID(Tabla1[[#This Row],[Aplicación]],6,2)</f>
        <v>04</v>
      </c>
      <c r="T3573" s="35" t="str">
        <f>VLOOKUP(Tabla1[[#This Row],[AREA]],Hoja1!A:B,2,FALSE)</f>
        <v>04. Planificación y recursos</v>
      </c>
      <c r="U3573" s="56" t="str">
        <f>MID(Tabla1[[#This Row],[Aplicación]],9,4)</f>
        <v>9202</v>
      </c>
      <c r="V3573" s="35" t="str">
        <f>VLOOKUP(Tabla1[[#This Row],[PROGRAMA]],Hoja1!A:B,2,FALSE)</f>
        <v>9202. Gestión de recursos humanos</v>
      </c>
      <c r="W3573" s="56" t="str">
        <f>MID(Tabla1[[#This Row],[Aplicación]],14,2)</f>
        <v>22</v>
      </c>
      <c r="X3573" s="56" t="str">
        <f>MID(Tabla1[[#This Row],[Aplicación]],14,6)</f>
        <v>22607</v>
      </c>
    </row>
    <row r="3574" spans="1:24" x14ac:dyDescent="0.25">
      <c r="A3574" s="63">
        <v>220230031188</v>
      </c>
      <c r="B3574" s="44" t="s">
        <v>507</v>
      </c>
      <c r="C3574" s="64">
        <v>45099</v>
      </c>
      <c r="D3574" s="62">
        <v>22023005249</v>
      </c>
      <c r="E3574" s="44" t="s">
        <v>693</v>
      </c>
      <c r="F3574" s="65">
        <v>822.8</v>
      </c>
      <c r="G3574" s="44" t="s">
        <v>4491</v>
      </c>
      <c r="H3574" s="44" t="s">
        <v>5288</v>
      </c>
      <c r="I3574" s="62" t="s">
        <v>511</v>
      </c>
      <c r="J3574" s="44" t="s">
        <v>4493</v>
      </c>
      <c r="K3574" s="44" t="s">
        <v>512</v>
      </c>
      <c r="L3574" s="44" t="s">
        <v>520</v>
      </c>
      <c r="M3574" s="44" t="s">
        <v>976</v>
      </c>
      <c r="N3574" s="44" t="s">
        <v>839</v>
      </c>
      <c r="O3574" s="45" t="s">
        <v>383</v>
      </c>
      <c r="P3574" s="45" t="s">
        <v>3760</v>
      </c>
      <c r="Q3574" s="59" t="str">
        <f>MID(Tabla1[[#This Row],[Aplicación]],14,1)</f>
        <v>2</v>
      </c>
      <c r="R3574" s="35" t="s">
        <v>298</v>
      </c>
      <c r="S3574" s="59" t="str">
        <f>MID(Tabla1[[#This Row],[Aplicación]],6,2)</f>
        <v>11</v>
      </c>
      <c r="T3574" s="35" t="str">
        <f>VLOOKUP(Tabla1[[#This Row],[AREA]],Hoja1!A:B,2,FALSE)</f>
        <v>11. Salud pública y seguridad ciudadana</v>
      </c>
      <c r="U3574" s="56" t="str">
        <f>MID(Tabla1[[#This Row],[Aplicación]],9,4)</f>
        <v>1361</v>
      </c>
      <c r="V3574" s="35" t="str">
        <f>VLOOKUP(Tabla1[[#This Row],[PROGRAMA]],Hoja1!A:B,2,FALSE)</f>
        <v>1361. Prevención y extinción de incencios</v>
      </c>
      <c r="W3574" s="56" t="str">
        <f>MID(Tabla1[[#This Row],[Aplicación]],14,2)</f>
        <v>21</v>
      </c>
      <c r="X3574" s="56" t="str">
        <f>MID(Tabla1[[#This Row],[Aplicación]],14,6)</f>
        <v>213</v>
      </c>
    </row>
    <row r="3575" spans="1:24" x14ac:dyDescent="0.25">
      <c r="A3575" s="63">
        <v>220230029329</v>
      </c>
      <c r="B3575" s="44" t="s">
        <v>507</v>
      </c>
      <c r="C3575" s="64">
        <v>45090</v>
      </c>
      <c r="D3575" s="62">
        <v>22023004938</v>
      </c>
      <c r="E3575" s="44" t="s">
        <v>1401</v>
      </c>
      <c r="F3575" s="65">
        <v>820.4</v>
      </c>
      <c r="G3575" s="44" t="s">
        <v>5035</v>
      </c>
      <c r="H3575" s="44" t="s">
        <v>5289</v>
      </c>
      <c r="I3575" s="62" t="s">
        <v>511</v>
      </c>
      <c r="J3575" s="44" t="s">
        <v>519</v>
      </c>
      <c r="K3575" s="44" t="s">
        <v>519</v>
      </c>
      <c r="L3575" s="44" t="s">
        <v>520</v>
      </c>
      <c r="M3575" s="44" t="s">
        <v>976</v>
      </c>
      <c r="N3575" s="44" t="s">
        <v>839</v>
      </c>
      <c r="O3575" s="45" t="s">
        <v>383</v>
      </c>
      <c r="P3575" s="45" t="s">
        <v>3760</v>
      </c>
      <c r="Q3575" s="59" t="str">
        <f>MID(Tabla1[[#This Row],[Aplicación]],14,1)</f>
        <v>2</v>
      </c>
      <c r="R3575" s="35" t="s">
        <v>298</v>
      </c>
      <c r="S3575" s="59" t="str">
        <f>MID(Tabla1[[#This Row],[Aplicación]],6,2)</f>
        <v>11</v>
      </c>
      <c r="T3575" s="35" t="str">
        <f>VLOOKUP(Tabla1[[#This Row],[AREA]],Hoja1!A:B,2,FALSE)</f>
        <v>11. Salud pública y seguridad ciudadana</v>
      </c>
      <c r="U3575" s="56" t="str">
        <f>MID(Tabla1[[#This Row],[Aplicación]],9,4)</f>
        <v>1321</v>
      </c>
      <c r="V3575" s="35" t="str">
        <f>VLOOKUP(Tabla1[[#This Row],[PROGRAMA]],Hoja1!A:B,2,FALSE)</f>
        <v>1321. Policía municipal</v>
      </c>
      <c r="W3575" s="56" t="str">
        <f>MID(Tabla1[[#This Row],[Aplicación]],14,2)</f>
        <v>21</v>
      </c>
      <c r="X3575" s="56" t="str">
        <f>MID(Tabla1[[#This Row],[Aplicación]],14,6)</f>
        <v>212</v>
      </c>
    </row>
    <row r="3576" spans="1:24" x14ac:dyDescent="0.25">
      <c r="A3576" s="63">
        <v>220230030710</v>
      </c>
      <c r="B3576" s="44" t="s">
        <v>507</v>
      </c>
      <c r="C3576" s="64">
        <v>45097</v>
      </c>
      <c r="D3576" s="62">
        <v>22023004025</v>
      </c>
      <c r="E3576" s="44" t="s">
        <v>1011</v>
      </c>
      <c r="F3576" s="65">
        <v>809.49</v>
      </c>
      <c r="G3576" s="44" t="s">
        <v>4798</v>
      </c>
      <c r="H3576" s="44" t="s">
        <v>5290</v>
      </c>
      <c r="I3576" s="62" t="s">
        <v>511</v>
      </c>
      <c r="J3576" s="44" t="s">
        <v>519</v>
      </c>
      <c r="K3576" s="44" t="s">
        <v>519</v>
      </c>
      <c r="L3576" s="44" t="s">
        <v>520</v>
      </c>
      <c r="M3576" s="44" t="s">
        <v>976</v>
      </c>
      <c r="N3576" s="44" t="s">
        <v>839</v>
      </c>
      <c r="O3576" s="45" t="s">
        <v>383</v>
      </c>
      <c r="P3576" s="45" t="s">
        <v>3760</v>
      </c>
      <c r="Q3576" s="59" t="str">
        <f>MID(Tabla1[[#This Row],[Aplicación]],14,1)</f>
        <v>2</v>
      </c>
      <c r="R3576" s="35" t="s">
        <v>298</v>
      </c>
      <c r="S3576" s="59" t="str">
        <f>MID(Tabla1[[#This Row],[Aplicación]],6,2)</f>
        <v>09</v>
      </c>
      <c r="T3576" s="35" t="str">
        <f>VLOOKUP(Tabla1[[#This Row],[AREA]],Hoja1!A:B,2,FALSE)</f>
        <v>09. Cultura y turismo</v>
      </c>
      <c r="U3576" s="56" t="str">
        <f>MID(Tabla1[[#This Row],[Aplicación]],9,4)</f>
        <v>3341</v>
      </c>
      <c r="V3576" s="35" t="str">
        <f>VLOOKUP(Tabla1[[#This Row],[PROGRAMA]],Hoja1!A:B,2,FALSE)</f>
        <v>3341. Coordinación de políticas culturales</v>
      </c>
      <c r="W3576" s="56" t="str">
        <f>MID(Tabla1[[#This Row],[Aplicación]],14,2)</f>
        <v>22</v>
      </c>
      <c r="X3576" s="56" t="str">
        <f>MID(Tabla1[[#This Row],[Aplicación]],14,6)</f>
        <v>22609</v>
      </c>
    </row>
    <row r="3577" spans="1:24" x14ac:dyDescent="0.25">
      <c r="A3577" s="63">
        <v>220230026818</v>
      </c>
      <c r="B3577" s="44" t="s">
        <v>507</v>
      </c>
      <c r="C3577" s="64">
        <v>45078</v>
      </c>
      <c r="D3577" s="62">
        <v>22023004750</v>
      </c>
      <c r="E3577" s="44" t="s">
        <v>1191</v>
      </c>
      <c r="F3577" s="65">
        <v>800</v>
      </c>
      <c r="G3577" s="44" t="s">
        <v>500</v>
      </c>
      <c r="H3577" s="44" t="s">
        <v>5291</v>
      </c>
      <c r="I3577" s="62" t="s">
        <v>511</v>
      </c>
      <c r="J3577" s="44" t="s">
        <v>519</v>
      </c>
      <c r="K3577" s="44" t="s">
        <v>519</v>
      </c>
      <c r="L3577" s="44" t="s">
        <v>520</v>
      </c>
      <c r="M3577" s="44" t="s">
        <v>976</v>
      </c>
      <c r="N3577" s="44" t="s">
        <v>839</v>
      </c>
      <c r="O3577" s="45" t="s">
        <v>383</v>
      </c>
      <c r="P3577" s="45" t="s">
        <v>3760</v>
      </c>
      <c r="Q3577" s="59" t="str">
        <f>MID(Tabla1[[#This Row],[Aplicación]],14,1)</f>
        <v>2</v>
      </c>
      <c r="R3577" s="35" t="s">
        <v>298</v>
      </c>
      <c r="S3577" s="59" t="str">
        <f>MID(Tabla1[[#This Row],[Aplicación]],6,2)</f>
        <v>06</v>
      </c>
      <c r="T3577" s="35" t="str">
        <f>VLOOKUP(Tabla1[[#This Row],[AREA]],Hoja1!A:B,2,FALSE)</f>
        <v>06. Educación, infancia, juventud e igualdad</v>
      </c>
      <c r="U3577" s="56" t="str">
        <f>MID(Tabla1[[#This Row],[Aplicación]],9,4)</f>
        <v>2315</v>
      </c>
      <c r="V3577" s="35" t="str">
        <f>VLOOKUP(Tabla1[[#This Row],[PROGRAMA]],Hoja1!A:B,2,FALSE)</f>
        <v>2315. Políticas de Igualdad e infancia</v>
      </c>
      <c r="W3577" s="56" t="str">
        <f>MID(Tabla1[[#This Row],[Aplicación]],14,2)</f>
        <v>22</v>
      </c>
      <c r="X3577" s="56" t="str">
        <f>MID(Tabla1[[#This Row],[Aplicación]],14,6)</f>
        <v>22611</v>
      </c>
    </row>
    <row r="3578" spans="1:24" x14ac:dyDescent="0.25">
      <c r="A3578" s="63">
        <v>220230032533</v>
      </c>
      <c r="B3578" s="44" t="s">
        <v>1514</v>
      </c>
      <c r="C3578" s="64">
        <v>45107</v>
      </c>
      <c r="D3578" s="62">
        <v>22023003932</v>
      </c>
      <c r="E3578" s="44" t="s">
        <v>1515</v>
      </c>
      <c r="F3578" s="65">
        <v>776.19</v>
      </c>
      <c r="G3578" s="44" t="s">
        <v>2351</v>
      </c>
      <c r="H3578" s="44" t="s">
        <v>5292</v>
      </c>
      <c r="I3578" s="62" t="s">
        <v>1517</v>
      </c>
      <c r="J3578" s="44" t="s">
        <v>519</v>
      </c>
      <c r="K3578" s="44" t="s">
        <v>519</v>
      </c>
      <c r="L3578" s="44" t="s">
        <v>552</v>
      </c>
      <c r="M3578" s="44" t="s">
        <v>514</v>
      </c>
      <c r="N3578" s="44" t="s">
        <v>515</v>
      </c>
      <c r="O3578" s="45" t="s">
        <v>382</v>
      </c>
      <c r="P3578" s="45" t="s">
        <v>3760</v>
      </c>
      <c r="Q3578" s="59" t="str">
        <f>MID(Tabla1[[#This Row],[Aplicación]],14,1)</f>
        <v>2</v>
      </c>
      <c r="R3578" s="35" t="s">
        <v>298</v>
      </c>
      <c r="S3578" s="59" t="str">
        <f>MID(Tabla1[[#This Row],[Aplicación]],6,2)</f>
        <v>07</v>
      </c>
      <c r="T3578" s="35" t="str">
        <f>VLOOKUP(Tabla1[[#This Row],[AREA]],Hoja1!A:B,2,FALSE)</f>
        <v>07. Medio ambiente y desarrollo sostenible</v>
      </c>
      <c r="U3578" s="56" t="str">
        <f>MID(Tabla1[[#This Row],[Aplicación]],9,4)</f>
        <v>1711</v>
      </c>
      <c r="V3578" s="35" t="str">
        <f>VLOOKUP(Tabla1[[#This Row],[PROGRAMA]],Hoja1!A:B,2,FALSE)</f>
        <v>1711. Parques y jardines</v>
      </c>
      <c r="W3578" s="56" t="str">
        <f>MID(Tabla1[[#This Row],[Aplicación]],14,2)</f>
        <v>22</v>
      </c>
      <c r="X3578" s="56" t="str">
        <f>MID(Tabla1[[#This Row],[Aplicación]],14,6)</f>
        <v>22199</v>
      </c>
    </row>
    <row r="3579" spans="1:24" x14ac:dyDescent="0.25">
      <c r="A3579" s="63">
        <v>220230028300</v>
      </c>
      <c r="B3579" s="44" t="s">
        <v>1514</v>
      </c>
      <c r="C3579" s="64">
        <v>45084</v>
      </c>
      <c r="D3579" s="62">
        <v>22023001459</v>
      </c>
      <c r="E3579" s="44" t="s">
        <v>1290</v>
      </c>
      <c r="F3579" s="65">
        <v>3093.61</v>
      </c>
      <c r="G3579" s="44" t="s">
        <v>2343</v>
      </c>
      <c r="H3579" s="44" t="s">
        <v>5293</v>
      </c>
      <c r="I3579" s="62" t="s">
        <v>1517</v>
      </c>
      <c r="J3579" s="44" t="s">
        <v>519</v>
      </c>
      <c r="K3579" s="44" t="s">
        <v>519</v>
      </c>
      <c r="L3579" s="44" t="s">
        <v>520</v>
      </c>
      <c r="M3579" s="44" t="s">
        <v>514</v>
      </c>
      <c r="N3579" s="44" t="s">
        <v>515</v>
      </c>
      <c r="O3579" s="45" t="s">
        <v>382</v>
      </c>
      <c r="P3579" s="45" t="s">
        <v>3760</v>
      </c>
      <c r="Q3579" s="59" t="str">
        <f>MID(Tabla1[[#This Row],[Aplicación]],14,1)</f>
        <v>2</v>
      </c>
      <c r="R3579" s="35" t="s">
        <v>298</v>
      </c>
      <c r="S3579" s="59" t="str">
        <f>MID(Tabla1[[#This Row],[Aplicación]],6,2)</f>
        <v>11</v>
      </c>
      <c r="T3579" s="35" t="str">
        <f>VLOOKUP(Tabla1[[#This Row],[AREA]],Hoja1!A:B,2,FALSE)</f>
        <v>11. Salud pública y seguridad ciudadana</v>
      </c>
      <c r="U3579" s="56" t="str">
        <f>MID(Tabla1[[#This Row],[Aplicación]],9,4)</f>
        <v>1621</v>
      </c>
      <c r="V3579" s="35" t="str">
        <f>VLOOKUP(Tabla1[[#This Row],[PROGRAMA]],Hoja1!A:B,2,FALSE)</f>
        <v>1621. Servicio de limpieza</v>
      </c>
      <c r="W3579" s="56" t="str">
        <f>MID(Tabla1[[#This Row],[Aplicación]],14,2)</f>
        <v>21</v>
      </c>
      <c r="X3579" s="56" t="str">
        <f>MID(Tabla1[[#This Row],[Aplicación]],14,6)</f>
        <v>214</v>
      </c>
    </row>
    <row r="3580" spans="1:24" x14ac:dyDescent="0.25">
      <c r="A3580" s="63">
        <v>220230028319</v>
      </c>
      <c r="B3580" s="44" t="s">
        <v>1514</v>
      </c>
      <c r="C3580" s="64">
        <v>45084</v>
      </c>
      <c r="D3580" s="62">
        <v>22023001459</v>
      </c>
      <c r="E3580" s="44" t="s">
        <v>1290</v>
      </c>
      <c r="F3580" s="65">
        <v>3646.59</v>
      </c>
      <c r="G3580" s="44" t="s">
        <v>2343</v>
      </c>
      <c r="H3580" s="44" t="s">
        <v>5294</v>
      </c>
      <c r="I3580" s="62" t="s">
        <v>1517</v>
      </c>
      <c r="J3580" s="44" t="s">
        <v>519</v>
      </c>
      <c r="K3580" s="44" t="s">
        <v>519</v>
      </c>
      <c r="L3580" s="44" t="s">
        <v>520</v>
      </c>
      <c r="M3580" s="44" t="s">
        <v>514</v>
      </c>
      <c r="N3580" s="44" t="s">
        <v>515</v>
      </c>
      <c r="O3580" s="45" t="s">
        <v>382</v>
      </c>
      <c r="P3580" s="45" t="s">
        <v>3760</v>
      </c>
      <c r="Q3580" s="59" t="str">
        <f>MID(Tabla1[[#This Row],[Aplicación]],14,1)</f>
        <v>2</v>
      </c>
      <c r="R3580" s="35" t="s">
        <v>298</v>
      </c>
      <c r="S3580" s="59" t="str">
        <f>MID(Tabla1[[#This Row],[Aplicación]],6,2)</f>
        <v>11</v>
      </c>
      <c r="T3580" s="35" t="str">
        <f>VLOOKUP(Tabla1[[#This Row],[AREA]],Hoja1!A:B,2,FALSE)</f>
        <v>11. Salud pública y seguridad ciudadana</v>
      </c>
      <c r="U3580" s="56" t="str">
        <f>MID(Tabla1[[#This Row],[Aplicación]],9,4)</f>
        <v>1621</v>
      </c>
      <c r="V3580" s="35" t="str">
        <f>VLOOKUP(Tabla1[[#This Row],[PROGRAMA]],Hoja1!A:B,2,FALSE)</f>
        <v>1621. Servicio de limpieza</v>
      </c>
      <c r="W3580" s="56" t="str">
        <f>MID(Tabla1[[#This Row],[Aplicación]],14,2)</f>
        <v>21</v>
      </c>
      <c r="X3580" s="56" t="str">
        <f>MID(Tabla1[[#This Row],[Aplicación]],14,6)</f>
        <v>214</v>
      </c>
    </row>
    <row r="3581" spans="1:24" x14ac:dyDescent="0.25">
      <c r="A3581" s="63">
        <v>220230028321</v>
      </c>
      <c r="B3581" s="44" t="s">
        <v>1514</v>
      </c>
      <c r="C3581" s="64">
        <v>45084</v>
      </c>
      <c r="D3581" s="62">
        <v>22023001459</v>
      </c>
      <c r="E3581" s="44" t="s">
        <v>1290</v>
      </c>
      <c r="F3581" s="65">
        <v>2011.02</v>
      </c>
      <c r="G3581" s="44" t="s">
        <v>2343</v>
      </c>
      <c r="H3581" s="44" t="s">
        <v>5295</v>
      </c>
      <c r="I3581" s="62" t="s">
        <v>1517</v>
      </c>
      <c r="J3581" s="44" t="s">
        <v>519</v>
      </c>
      <c r="K3581" s="44" t="s">
        <v>519</v>
      </c>
      <c r="L3581" s="44" t="s">
        <v>520</v>
      </c>
      <c r="M3581" s="44" t="s">
        <v>514</v>
      </c>
      <c r="N3581" s="44" t="s">
        <v>515</v>
      </c>
      <c r="O3581" s="45" t="s">
        <v>382</v>
      </c>
      <c r="P3581" s="45" t="s">
        <v>3760</v>
      </c>
      <c r="Q3581" s="59" t="str">
        <f>MID(Tabla1[[#This Row],[Aplicación]],14,1)</f>
        <v>2</v>
      </c>
      <c r="R3581" s="35" t="s">
        <v>298</v>
      </c>
      <c r="S3581" s="59" t="str">
        <f>MID(Tabla1[[#This Row],[Aplicación]],6,2)</f>
        <v>11</v>
      </c>
      <c r="T3581" s="35" t="str">
        <f>VLOOKUP(Tabla1[[#This Row],[AREA]],Hoja1!A:B,2,FALSE)</f>
        <v>11. Salud pública y seguridad ciudadana</v>
      </c>
      <c r="U3581" s="56" t="str">
        <f>MID(Tabla1[[#This Row],[Aplicación]],9,4)</f>
        <v>1621</v>
      </c>
      <c r="V3581" s="35" t="str">
        <f>VLOOKUP(Tabla1[[#This Row],[PROGRAMA]],Hoja1!A:B,2,FALSE)</f>
        <v>1621. Servicio de limpieza</v>
      </c>
      <c r="W3581" s="56" t="str">
        <f>MID(Tabla1[[#This Row],[Aplicación]],14,2)</f>
        <v>21</v>
      </c>
      <c r="X3581" s="56" t="str">
        <f>MID(Tabla1[[#This Row],[Aplicación]],14,6)</f>
        <v>214</v>
      </c>
    </row>
    <row r="3582" spans="1:24" x14ac:dyDescent="0.25">
      <c r="A3582" s="63">
        <v>220230032365</v>
      </c>
      <c r="B3582" s="44" t="s">
        <v>1514</v>
      </c>
      <c r="C3582" s="64">
        <v>45107</v>
      </c>
      <c r="D3582" s="62">
        <v>22023001459</v>
      </c>
      <c r="E3582" s="44" t="s">
        <v>1290</v>
      </c>
      <c r="F3582" s="65">
        <v>3879.85</v>
      </c>
      <c r="G3582" s="44" t="s">
        <v>2343</v>
      </c>
      <c r="H3582" s="44" t="s">
        <v>5296</v>
      </c>
      <c r="I3582" s="62" t="s">
        <v>1517</v>
      </c>
      <c r="J3582" s="44" t="s">
        <v>519</v>
      </c>
      <c r="K3582" s="44" t="s">
        <v>519</v>
      </c>
      <c r="L3582" s="44" t="s">
        <v>520</v>
      </c>
      <c r="M3582" s="44" t="s">
        <v>514</v>
      </c>
      <c r="N3582" s="44" t="s">
        <v>515</v>
      </c>
      <c r="O3582" s="45" t="s">
        <v>382</v>
      </c>
      <c r="P3582" s="45" t="s">
        <v>3760</v>
      </c>
      <c r="Q3582" s="59" t="str">
        <f>MID(Tabla1[[#This Row],[Aplicación]],14,1)</f>
        <v>2</v>
      </c>
      <c r="R3582" s="35" t="s">
        <v>298</v>
      </c>
      <c r="S3582" s="59" t="str">
        <f>MID(Tabla1[[#This Row],[Aplicación]],6,2)</f>
        <v>11</v>
      </c>
      <c r="T3582" s="35" t="str">
        <f>VLOOKUP(Tabla1[[#This Row],[AREA]],Hoja1!A:B,2,FALSE)</f>
        <v>11. Salud pública y seguridad ciudadana</v>
      </c>
      <c r="U3582" s="56" t="str">
        <f>MID(Tabla1[[#This Row],[Aplicación]],9,4)</f>
        <v>1621</v>
      </c>
      <c r="V3582" s="35" t="str">
        <f>VLOOKUP(Tabla1[[#This Row],[PROGRAMA]],Hoja1!A:B,2,FALSE)</f>
        <v>1621. Servicio de limpieza</v>
      </c>
      <c r="W3582" s="56" t="str">
        <f>MID(Tabla1[[#This Row],[Aplicación]],14,2)</f>
        <v>21</v>
      </c>
      <c r="X3582" s="56" t="str">
        <f>MID(Tabla1[[#This Row],[Aplicación]],14,6)</f>
        <v>214</v>
      </c>
    </row>
    <row r="3583" spans="1:24" x14ac:dyDescent="0.25">
      <c r="A3583" s="63">
        <v>220230032367</v>
      </c>
      <c r="B3583" s="44" t="s">
        <v>1514</v>
      </c>
      <c r="C3583" s="64">
        <v>45107</v>
      </c>
      <c r="D3583" s="62">
        <v>22023001459</v>
      </c>
      <c r="E3583" s="44" t="s">
        <v>1290</v>
      </c>
      <c r="F3583" s="65">
        <v>2936.78</v>
      </c>
      <c r="G3583" s="44" t="s">
        <v>2343</v>
      </c>
      <c r="H3583" s="44" t="s">
        <v>5297</v>
      </c>
      <c r="I3583" s="62" t="s">
        <v>1517</v>
      </c>
      <c r="J3583" s="44" t="s">
        <v>519</v>
      </c>
      <c r="K3583" s="44" t="s">
        <v>519</v>
      </c>
      <c r="L3583" s="44" t="s">
        <v>520</v>
      </c>
      <c r="M3583" s="44" t="s">
        <v>514</v>
      </c>
      <c r="N3583" s="44" t="s">
        <v>515</v>
      </c>
      <c r="O3583" s="45" t="s">
        <v>382</v>
      </c>
      <c r="P3583" s="45" t="s">
        <v>3760</v>
      </c>
      <c r="Q3583" s="59" t="str">
        <f>MID(Tabla1[[#This Row],[Aplicación]],14,1)</f>
        <v>2</v>
      </c>
      <c r="R3583" s="35" t="s">
        <v>298</v>
      </c>
      <c r="S3583" s="59" t="str">
        <f>MID(Tabla1[[#This Row],[Aplicación]],6,2)</f>
        <v>11</v>
      </c>
      <c r="T3583" s="35" t="str">
        <f>VLOOKUP(Tabla1[[#This Row],[AREA]],Hoja1!A:B,2,FALSE)</f>
        <v>11. Salud pública y seguridad ciudadana</v>
      </c>
      <c r="U3583" s="56" t="str">
        <f>MID(Tabla1[[#This Row],[Aplicación]],9,4)</f>
        <v>1621</v>
      </c>
      <c r="V3583" s="35" t="str">
        <f>VLOOKUP(Tabla1[[#This Row],[PROGRAMA]],Hoja1!A:B,2,FALSE)</f>
        <v>1621. Servicio de limpieza</v>
      </c>
      <c r="W3583" s="56" t="str">
        <f>MID(Tabla1[[#This Row],[Aplicación]],14,2)</f>
        <v>21</v>
      </c>
      <c r="X3583" s="56" t="str">
        <f>MID(Tabla1[[#This Row],[Aplicación]],14,6)</f>
        <v>214</v>
      </c>
    </row>
    <row r="3584" spans="1:24" x14ac:dyDescent="0.25">
      <c r="A3584" s="63">
        <v>220230032369</v>
      </c>
      <c r="B3584" s="44" t="s">
        <v>1514</v>
      </c>
      <c r="C3584" s="64">
        <v>45107</v>
      </c>
      <c r="D3584" s="62">
        <v>22023001459</v>
      </c>
      <c r="E3584" s="44" t="s">
        <v>1290</v>
      </c>
      <c r="F3584" s="65">
        <v>3705.95</v>
      </c>
      <c r="G3584" s="44" t="s">
        <v>2343</v>
      </c>
      <c r="H3584" s="44" t="s">
        <v>5298</v>
      </c>
      <c r="I3584" s="62" t="s">
        <v>1517</v>
      </c>
      <c r="J3584" s="44" t="s">
        <v>519</v>
      </c>
      <c r="K3584" s="44" t="s">
        <v>519</v>
      </c>
      <c r="L3584" s="44" t="s">
        <v>520</v>
      </c>
      <c r="M3584" s="44" t="s">
        <v>514</v>
      </c>
      <c r="N3584" s="44" t="s">
        <v>515</v>
      </c>
      <c r="O3584" s="45" t="s">
        <v>382</v>
      </c>
      <c r="P3584" s="45" t="s">
        <v>3760</v>
      </c>
      <c r="Q3584" s="59" t="str">
        <f>MID(Tabla1[[#This Row],[Aplicación]],14,1)</f>
        <v>2</v>
      </c>
      <c r="R3584" s="35" t="s">
        <v>298</v>
      </c>
      <c r="S3584" s="59" t="str">
        <f>MID(Tabla1[[#This Row],[Aplicación]],6,2)</f>
        <v>11</v>
      </c>
      <c r="T3584" s="35" t="str">
        <f>VLOOKUP(Tabla1[[#This Row],[AREA]],Hoja1!A:B,2,FALSE)</f>
        <v>11. Salud pública y seguridad ciudadana</v>
      </c>
      <c r="U3584" s="56" t="str">
        <f>MID(Tabla1[[#This Row],[Aplicación]],9,4)</f>
        <v>1621</v>
      </c>
      <c r="V3584" s="35" t="str">
        <f>VLOOKUP(Tabla1[[#This Row],[PROGRAMA]],Hoja1!A:B,2,FALSE)</f>
        <v>1621. Servicio de limpieza</v>
      </c>
      <c r="W3584" s="56" t="str">
        <f>MID(Tabla1[[#This Row],[Aplicación]],14,2)</f>
        <v>21</v>
      </c>
      <c r="X3584" s="56" t="str">
        <f>MID(Tabla1[[#This Row],[Aplicación]],14,6)</f>
        <v>214</v>
      </c>
    </row>
    <row r="3585" spans="1:24" x14ac:dyDescent="0.25">
      <c r="A3585" s="63">
        <v>220230032371</v>
      </c>
      <c r="B3585" s="44" t="s">
        <v>1514</v>
      </c>
      <c r="C3585" s="64">
        <v>45107</v>
      </c>
      <c r="D3585" s="62">
        <v>22023001469</v>
      </c>
      <c r="E3585" s="44" t="s">
        <v>1683</v>
      </c>
      <c r="F3585" s="65">
        <v>1831.78</v>
      </c>
      <c r="G3585" s="44" t="s">
        <v>2343</v>
      </c>
      <c r="H3585" s="44" t="s">
        <v>5299</v>
      </c>
      <c r="I3585" s="62" t="s">
        <v>1517</v>
      </c>
      <c r="J3585" s="44" t="s">
        <v>519</v>
      </c>
      <c r="K3585" s="44" t="s">
        <v>519</v>
      </c>
      <c r="L3585" s="44" t="s">
        <v>520</v>
      </c>
      <c r="M3585" s="44" t="s">
        <v>514</v>
      </c>
      <c r="N3585" s="44" t="s">
        <v>515</v>
      </c>
      <c r="O3585" s="45" t="s">
        <v>382</v>
      </c>
      <c r="P3585" s="45" t="s">
        <v>3760</v>
      </c>
      <c r="Q3585" s="59" t="str">
        <f>MID(Tabla1[[#This Row],[Aplicación]],14,1)</f>
        <v>2</v>
      </c>
      <c r="R3585" s="35" t="s">
        <v>298</v>
      </c>
      <c r="S3585" s="59" t="str">
        <f>MID(Tabla1[[#This Row],[Aplicación]],6,2)</f>
        <v>11</v>
      </c>
      <c r="T3585" s="35" t="str">
        <f>VLOOKUP(Tabla1[[#This Row],[AREA]],Hoja1!A:B,2,FALSE)</f>
        <v>11. Salud pública y seguridad ciudadana</v>
      </c>
      <c r="U3585" s="56" t="str">
        <f>MID(Tabla1[[#This Row],[Aplicación]],9,4)</f>
        <v>1631</v>
      </c>
      <c r="V3585" s="35" t="str">
        <f>VLOOKUP(Tabla1[[#This Row],[PROGRAMA]],Hoja1!A:B,2,FALSE)</f>
        <v>1631. Limpieza viaria</v>
      </c>
      <c r="W3585" s="56" t="str">
        <f>MID(Tabla1[[#This Row],[Aplicación]],14,2)</f>
        <v>21</v>
      </c>
      <c r="X3585" s="56" t="str">
        <f>MID(Tabla1[[#This Row],[Aplicación]],14,6)</f>
        <v>214</v>
      </c>
    </row>
    <row r="3586" spans="1:24" x14ac:dyDescent="0.25">
      <c r="A3586" s="63">
        <v>220230032373</v>
      </c>
      <c r="B3586" s="44" t="s">
        <v>1514</v>
      </c>
      <c r="C3586" s="64">
        <v>45107</v>
      </c>
      <c r="D3586" s="62">
        <v>22023001469</v>
      </c>
      <c r="E3586" s="44" t="s">
        <v>1683</v>
      </c>
      <c r="F3586" s="65">
        <v>822.92</v>
      </c>
      <c r="G3586" s="44" t="s">
        <v>2343</v>
      </c>
      <c r="H3586" s="44" t="s">
        <v>5300</v>
      </c>
      <c r="I3586" s="62" t="s">
        <v>1517</v>
      </c>
      <c r="J3586" s="44" t="s">
        <v>519</v>
      </c>
      <c r="K3586" s="44" t="s">
        <v>519</v>
      </c>
      <c r="L3586" s="44" t="s">
        <v>520</v>
      </c>
      <c r="M3586" s="44" t="s">
        <v>514</v>
      </c>
      <c r="N3586" s="44" t="s">
        <v>515</v>
      </c>
      <c r="O3586" s="45" t="s">
        <v>382</v>
      </c>
      <c r="P3586" s="45" t="s">
        <v>3760</v>
      </c>
      <c r="Q3586" s="59" t="str">
        <f>MID(Tabla1[[#This Row],[Aplicación]],14,1)</f>
        <v>2</v>
      </c>
      <c r="R3586" s="35" t="s">
        <v>298</v>
      </c>
      <c r="S3586" s="59" t="str">
        <f>MID(Tabla1[[#This Row],[Aplicación]],6,2)</f>
        <v>11</v>
      </c>
      <c r="T3586" s="35" t="str">
        <f>VLOOKUP(Tabla1[[#This Row],[AREA]],Hoja1!A:B,2,FALSE)</f>
        <v>11. Salud pública y seguridad ciudadana</v>
      </c>
      <c r="U3586" s="56" t="str">
        <f>MID(Tabla1[[#This Row],[Aplicación]],9,4)</f>
        <v>1631</v>
      </c>
      <c r="V3586" s="35" t="str">
        <f>VLOOKUP(Tabla1[[#This Row],[PROGRAMA]],Hoja1!A:B,2,FALSE)</f>
        <v>1631. Limpieza viaria</v>
      </c>
      <c r="W3586" s="56" t="str">
        <f>MID(Tabla1[[#This Row],[Aplicación]],14,2)</f>
        <v>21</v>
      </c>
      <c r="X3586" s="56" t="str">
        <f>MID(Tabla1[[#This Row],[Aplicación]],14,6)</f>
        <v>214</v>
      </c>
    </row>
    <row r="3587" spans="1:24" x14ac:dyDescent="0.25">
      <c r="A3587" s="63">
        <v>220230032464</v>
      </c>
      <c r="B3587" s="44" t="s">
        <v>1514</v>
      </c>
      <c r="C3587" s="64">
        <v>45107</v>
      </c>
      <c r="D3587" s="62">
        <v>22023000263</v>
      </c>
      <c r="E3587" s="44" t="s">
        <v>3146</v>
      </c>
      <c r="F3587" s="65">
        <v>435.35</v>
      </c>
      <c r="G3587" s="44" t="s">
        <v>2343</v>
      </c>
      <c r="H3587" s="44" t="s">
        <v>5301</v>
      </c>
      <c r="I3587" s="62" t="s">
        <v>1517</v>
      </c>
      <c r="J3587" s="44" t="s">
        <v>519</v>
      </c>
      <c r="K3587" s="44" t="s">
        <v>519</v>
      </c>
      <c r="L3587" s="44" t="s">
        <v>552</v>
      </c>
      <c r="M3587" s="44" t="s">
        <v>514</v>
      </c>
      <c r="N3587" s="44" t="s">
        <v>515</v>
      </c>
      <c r="O3587" s="45" t="s">
        <v>382</v>
      </c>
      <c r="P3587" s="45" t="s">
        <v>3760</v>
      </c>
      <c r="Q3587" s="59" t="str">
        <f>MID(Tabla1[[#This Row],[Aplicación]],14,1)</f>
        <v>2</v>
      </c>
      <c r="R3587" s="35" t="s">
        <v>298</v>
      </c>
      <c r="S3587" s="59" t="str">
        <f>MID(Tabla1[[#This Row],[Aplicación]],6,2)</f>
        <v>02</v>
      </c>
      <c r="T3587" s="35" t="str">
        <f>VLOOKUP(Tabla1[[#This Row],[AREA]],Hoja1!A:B,2,FALSE)</f>
        <v>02. Planeamiento urbanístico y vivienda</v>
      </c>
      <c r="U3587" s="56" t="str">
        <f>MID(Tabla1[[#This Row],[Aplicación]],9,4)</f>
        <v>9332</v>
      </c>
      <c r="V3587" s="35" t="str">
        <f>VLOOKUP(Tabla1[[#This Row],[PROGRAMA]],Hoja1!A:B,2,FALSE)</f>
        <v>9332. Mantenimiento de edificios e instalaciones municipales</v>
      </c>
      <c r="W3587" s="56" t="str">
        <f>MID(Tabla1[[#This Row],[Aplicación]],14,2)</f>
        <v>21</v>
      </c>
      <c r="X3587" s="56" t="str">
        <f>MID(Tabla1[[#This Row],[Aplicación]],14,6)</f>
        <v>214</v>
      </c>
    </row>
    <row r="3588" spans="1:24" x14ac:dyDescent="0.25">
      <c r="A3588" s="63">
        <v>220230030673</v>
      </c>
      <c r="B3588" s="44" t="s">
        <v>507</v>
      </c>
      <c r="C3588" s="64">
        <v>45096</v>
      </c>
      <c r="D3588" s="62">
        <v>22023004894</v>
      </c>
      <c r="E3588" s="44" t="s">
        <v>4000</v>
      </c>
      <c r="F3588" s="65">
        <v>726</v>
      </c>
      <c r="G3588" s="44" t="s">
        <v>1835</v>
      </c>
      <c r="H3588" s="44" t="s">
        <v>5302</v>
      </c>
      <c r="I3588" s="62" t="s">
        <v>511</v>
      </c>
      <c r="J3588" s="44" t="s">
        <v>731</v>
      </c>
      <c r="K3588" s="44" t="s">
        <v>519</v>
      </c>
      <c r="L3588" s="44" t="s">
        <v>520</v>
      </c>
      <c r="M3588" s="44" t="s">
        <v>976</v>
      </c>
      <c r="N3588" s="44" t="s">
        <v>839</v>
      </c>
      <c r="O3588" s="45" t="s">
        <v>383</v>
      </c>
      <c r="P3588" s="45" t="s">
        <v>3760</v>
      </c>
      <c r="Q3588" s="59" t="str">
        <f>MID(Tabla1[[#This Row],[Aplicación]],14,1)</f>
        <v>2</v>
      </c>
      <c r="R3588" s="35" t="s">
        <v>298</v>
      </c>
      <c r="S3588" s="59" t="str">
        <f>MID(Tabla1[[#This Row],[Aplicación]],6,2)</f>
        <v>04</v>
      </c>
      <c r="T3588" s="35" t="str">
        <f>VLOOKUP(Tabla1[[#This Row],[AREA]],Hoja1!A:B,2,FALSE)</f>
        <v>04. Planificación y recursos</v>
      </c>
      <c r="U3588" s="56" t="str">
        <f>MID(Tabla1[[#This Row],[Aplicación]],9,4)</f>
        <v>9231</v>
      </c>
      <c r="V3588" s="35" t="str">
        <f>VLOOKUP(Tabla1[[#This Row],[PROGRAMA]],Hoja1!A:B,2,FALSE)</f>
        <v>9231. Información, registro y gestión del padrón</v>
      </c>
      <c r="W3588" s="56" t="str">
        <f>MID(Tabla1[[#This Row],[Aplicación]],14,2)</f>
        <v>22</v>
      </c>
      <c r="X3588" s="56" t="str">
        <f>MID(Tabla1[[#This Row],[Aplicación]],14,6)</f>
        <v>22705</v>
      </c>
    </row>
    <row r="3589" spans="1:24" x14ac:dyDescent="0.25">
      <c r="A3589" s="63">
        <v>220230028595</v>
      </c>
      <c r="B3589" s="44" t="s">
        <v>1514</v>
      </c>
      <c r="C3589" s="64">
        <v>45084</v>
      </c>
      <c r="D3589" s="62">
        <v>22023001463</v>
      </c>
      <c r="E3589" s="44" t="s">
        <v>557</v>
      </c>
      <c r="F3589" s="65">
        <v>1428.51</v>
      </c>
      <c r="G3589" s="44" t="s">
        <v>2430</v>
      </c>
      <c r="H3589" s="44" t="s">
        <v>4857</v>
      </c>
      <c r="I3589" s="62" t="s">
        <v>1517</v>
      </c>
      <c r="J3589" s="44" t="s">
        <v>573</v>
      </c>
      <c r="K3589" s="44" t="s">
        <v>573</v>
      </c>
      <c r="L3589" s="44" t="s">
        <v>552</v>
      </c>
      <c r="M3589" s="44" t="s">
        <v>514</v>
      </c>
      <c r="N3589" s="44" t="s">
        <v>515</v>
      </c>
      <c r="O3589" s="45" t="s">
        <v>382</v>
      </c>
      <c r="P3589" s="45" t="s">
        <v>3760</v>
      </c>
      <c r="Q3589" s="59" t="str">
        <f>MID(Tabla1[[#This Row],[Aplicación]],14,1)</f>
        <v>2</v>
      </c>
      <c r="R3589" s="35" t="s">
        <v>298</v>
      </c>
      <c r="S3589" s="59" t="str">
        <f>MID(Tabla1[[#This Row],[Aplicación]],6,2)</f>
        <v>11</v>
      </c>
      <c r="T3589" s="35" t="str">
        <f>VLOOKUP(Tabla1[[#This Row],[AREA]],Hoja1!A:B,2,FALSE)</f>
        <v>11. Salud pública y seguridad ciudadana</v>
      </c>
      <c r="U3589" s="56" t="str">
        <f>MID(Tabla1[[#This Row],[Aplicación]],9,4)</f>
        <v>1621</v>
      </c>
      <c r="V3589" s="35" t="str">
        <f>VLOOKUP(Tabla1[[#This Row],[PROGRAMA]],Hoja1!A:B,2,FALSE)</f>
        <v>1621. Servicio de limpieza</v>
      </c>
      <c r="W3589" s="56" t="str">
        <f>MID(Tabla1[[#This Row],[Aplicación]],14,2)</f>
        <v>22</v>
      </c>
      <c r="X3589" s="56" t="str">
        <f>MID(Tabla1[[#This Row],[Aplicación]],14,6)</f>
        <v>22103</v>
      </c>
    </row>
    <row r="3590" spans="1:24" x14ac:dyDescent="0.25">
      <c r="A3590" s="63">
        <v>220230032438</v>
      </c>
      <c r="B3590" s="44" t="s">
        <v>1514</v>
      </c>
      <c r="C3590" s="64">
        <v>45107</v>
      </c>
      <c r="D3590" s="62">
        <v>22023000270</v>
      </c>
      <c r="E3590" s="44" t="s">
        <v>1694</v>
      </c>
      <c r="F3590" s="65">
        <v>105.22</v>
      </c>
      <c r="G3590" s="44" t="s">
        <v>2430</v>
      </c>
      <c r="H3590" s="44" t="s">
        <v>5303</v>
      </c>
      <c r="I3590" s="62" t="s">
        <v>1517</v>
      </c>
      <c r="J3590" s="44" t="s">
        <v>573</v>
      </c>
      <c r="K3590" s="44" t="s">
        <v>573</v>
      </c>
      <c r="L3590" s="44" t="s">
        <v>552</v>
      </c>
      <c r="M3590" s="44" t="s">
        <v>514</v>
      </c>
      <c r="N3590" s="44" t="s">
        <v>515</v>
      </c>
      <c r="O3590" s="45" t="s">
        <v>382</v>
      </c>
      <c r="P3590" s="45" t="s">
        <v>3760</v>
      </c>
      <c r="Q3590" s="59" t="str">
        <f>MID(Tabla1[[#This Row],[Aplicación]],14,1)</f>
        <v>2</v>
      </c>
      <c r="R3590" s="35" t="s">
        <v>298</v>
      </c>
      <c r="S3590" s="59" t="str">
        <f>MID(Tabla1[[#This Row],[Aplicación]],6,2)</f>
        <v>11</v>
      </c>
      <c r="T3590" s="35" t="str">
        <f>VLOOKUP(Tabla1[[#This Row],[AREA]],Hoja1!A:B,2,FALSE)</f>
        <v>11. Salud pública y seguridad ciudadana</v>
      </c>
      <c r="U3590" s="56" t="str">
        <f>MID(Tabla1[[#This Row],[Aplicación]],9,4)</f>
        <v>1321</v>
      </c>
      <c r="V3590" s="35" t="str">
        <f>VLOOKUP(Tabla1[[#This Row],[PROGRAMA]],Hoja1!A:B,2,FALSE)</f>
        <v>1321. Policía municipal</v>
      </c>
      <c r="W3590" s="56" t="str">
        <f>MID(Tabla1[[#This Row],[Aplicación]],14,2)</f>
        <v>21</v>
      </c>
      <c r="X3590" s="56" t="str">
        <f>MID(Tabla1[[#This Row],[Aplicación]],14,6)</f>
        <v>214</v>
      </c>
    </row>
    <row r="3591" spans="1:24" x14ac:dyDescent="0.25">
      <c r="A3591" s="63">
        <v>220230032446</v>
      </c>
      <c r="B3591" s="44" t="s">
        <v>1514</v>
      </c>
      <c r="C3591" s="64">
        <v>45107</v>
      </c>
      <c r="D3591" s="62">
        <v>22023000270</v>
      </c>
      <c r="E3591" s="44" t="s">
        <v>1694</v>
      </c>
      <c r="F3591" s="65">
        <v>54.45</v>
      </c>
      <c r="G3591" s="44" t="s">
        <v>2430</v>
      </c>
      <c r="H3591" s="44" t="s">
        <v>5304</v>
      </c>
      <c r="I3591" s="62" t="s">
        <v>1517</v>
      </c>
      <c r="J3591" s="44" t="s">
        <v>573</v>
      </c>
      <c r="K3591" s="44" t="s">
        <v>573</v>
      </c>
      <c r="L3591" s="44" t="s">
        <v>552</v>
      </c>
      <c r="M3591" s="44" t="s">
        <v>514</v>
      </c>
      <c r="N3591" s="44" t="s">
        <v>515</v>
      </c>
      <c r="O3591" s="45" t="s">
        <v>382</v>
      </c>
      <c r="P3591" s="45" t="s">
        <v>3760</v>
      </c>
      <c r="Q3591" s="59" t="str">
        <f>MID(Tabla1[[#This Row],[Aplicación]],14,1)</f>
        <v>2</v>
      </c>
      <c r="R3591" s="35" t="s">
        <v>298</v>
      </c>
      <c r="S3591" s="59" t="str">
        <f>MID(Tabla1[[#This Row],[Aplicación]],6,2)</f>
        <v>11</v>
      </c>
      <c r="T3591" s="35" t="str">
        <f>VLOOKUP(Tabla1[[#This Row],[AREA]],Hoja1!A:B,2,FALSE)</f>
        <v>11. Salud pública y seguridad ciudadana</v>
      </c>
      <c r="U3591" s="56" t="str">
        <f>MID(Tabla1[[#This Row],[Aplicación]],9,4)</f>
        <v>1321</v>
      </c>
      <c r="V3591" s="35" t="str">
        <f>VLOOKUP(Tabla1[[#This Row],[PROGRAMA]],Hoja1!A:B,2,FALSE)</f>
        <v>1321. Policía municipal</v>
      </c>
      <c r="W3591" s="56" t="str">
        <f>MID(Tabla1[[#This Row],[Aplicación]],14,2)</f>
        <v>21</v>
      </c>
      <c r="X3591" s="56" t="str">
        <f>MID(Tabla1[[#This Row],[Aplicación]],14,6)</f>
        <v>214</v>
      </c>
    </row>
    <row r="3592" spans="1:24" x14ac:dyDescent="0.25">
      <c r="A3592" s="63">
        <v>220230031250</v>
      </c>
      <c r="B3592" s="44" t="s">
        <v>507</v>
      </c>
      <c r="C3592" s="64">
        <v>45099</v>
      </c>
      <c r="D3592" s="62">
        <v>22023005039</v>
      </c>
      <c r="E3592" s="44" t="s">
        <v>2857</v>
      </c>
      <c r="F3592" s="65">
        <v>768.35</v>
      </c>
      <c r="G3592" s="44" t="s">
        <v>4495</v>
      </c>
      <c r="H3592" s="44" t="s">
        <v>5305</v>
      </c>
      <c r="I3592" s="62" t="s">
        <v>511</v>
      </c>
      <c r="J3592" s="44" t="s">
        <v>519</v>
      </c>
      <c r="K3592" s="44" t="s">
        <v>519</v>
      </c>
      <c r="L3592" s="44" t="s">
        <v>552</v>
      </c>
      <c r="M3592" s="44" t="s">
        <v>976</v>
      </c>
      <c r="N3592" s="44" t="s">
        <v>839</v>
      </c>
      <c r="O3592" s="45" t="s">
        <v>383</v>
      </c>
      <c r="P3592" s="45" t="s">
        <v>3760</v>
      </c>
      <c r="Q3592" s="59" t="str">
        <f>MID(Tabla1[[#This Row],[Aplicación]],14,1)</f>
        <v>2</v>
      </c>
      <c r="R3592" s="35" t="s">
        <v>298</v>
      </c>
      <c r="S3592" s="59" t="str">
        <f>MID(Tabla1[[#This Row],[Aplicación]],6,2)</f>
        <v>11</v>
      </c>
      <c r="T3592" s="35" t="str">
        <f>VLOOKUP(Tabla1[[#This Row],[AREA]],Hoja1!A:B,2,FALSE)</f>
        <v>11. Salud pública y seguridad ciudadana</v>
      </c>
      <c r="U3592" s="56" t="str">
        <f>MID(Tabla1[[#This Row],[Aplicación]],9,4)</f>
        <v>1361</v>
      </c>
      <c r="V3592" s="35" t="str">
        <f>VLOOKUP(Tabla1[[#This Row],[PROGRAMA]],Hoja1!A:B,2,FALSE)</f>
        <v>1361. Prevención y extinción de incencios</v>
      </c>
      <c r="W3592" s="56" t="str">
        <f>MID(Tabla1[[#This Row],[Aplicación]],14,2)</f>
        <v>22</v>
      </c>
      <c r="X3592" s="56" t="str">
        <f>MID(Tabla1[[#This Row],[Aplicación]],14,6)</f>
        <v>22104</v>
      </c>
    </row>
    <row r="3593" spans="1:24" x14ac:dyDescent="0.25">
      <c r="A3593" s="63">
        <v>220230028645</v>
      </c>
      <c r="B3593" s="44" t="s">
        <v>507</v>
      </c>
      <c r="C3593" s="64">
        <v>45085</v>
      </c>
      <c r="D3593" s="62">
        <v>22023004891</v>
      </c>
      <c r="E3593" s="44" t="s">
        <v>1234</v>
      </c>
      <c r="F3593" s="65">
        <v>758.7</v>
      </c>
      <c r="G3593" s="44" t="s">
        <v>5306</v>
      </c>
      <c r="H3593" s="44" t="s">
        <v>5307</v>
      </c>
      <c r="I3593" s="62" t="s">
        <v>511</v>
      </c>
      <c r="J3593" s="44" t="s">
        <v>519</v>
      </c>
      <c r="K3593" s="44" t="s">
        <v>1497</v>
      </c>
      <c r="L3593" s="44" t="s">
        <v>520</v>
      </c>
      <c r="M3593" s="44" t="s">
        <v>976</v>
      </c>
      <c r="N3593" s="44" t="s">
        <v>839</v>
      </c>
      <c r="O3593" s="45" t="s">
        <v>383</v>
      </c>
      <c r="P3593" s="45" t="s">
        <v>3760</v>
      </c>
      <c r="Q3593" s="59" t="str">
        <f>MID(Tabla1[[#This Row],[Aplicación]],14,1)</f>
        <v>2</v>
      </c>
      <c r="R3593" s="35" t="s">
        <v>298</v>
      </c>
      <c r="S3593" s="59" t="str">
        <f>MID(Tabla1[[#This Row],[Aplicación]],6,2)</f>
        <v>10</v>
      </c>
      <c r="T3593" s="35" t="str">
        <f>VLOOKUP(Tabla1[[#This Row],[AREA]],Hoja1!A:B,2,FALSE)</f>
        <v>10. Servicios sociales y mediación comunitaria</v>
      </c>
      <c r="U3593" s="56" t="str">
        <f>MID(Tabla1[[#This Row],[Aplicación]],9,4)</f>
        <v>2316</v>
      </c>
      <c r="V3593" s="35" t="str">
        <f>VLOOKUP(Tabla1[[#This Row],[PROGRAMA]],Hoja1!A:B,2,FALSE)</f>
        <v>2316. Mediación comunitaria</v>
      </c>
      <c r="W3593" s="56" t="str">
        <f>MID(Tabla1[[#This Row],[Aplicación]],14,2)</f>
        <v>22</v>
      </c>
      <c r="X3593" s="56" t="str">
        <f>MID(Tabla1[[#This Row],[Aplicación]],14,6)</f>
        <v>22616</v>
      </c>
    </row>
    <row r="3594" spans="1:24" x14ac:dyDescent="0.25">
      <c r="A3594" s="63">
        <v>220230032434</v>
      </c>
      <c r="B3594" s="44" t="s">
        <v>1514</v>
      </c>
      <c r="C3594" s="64">
        <v>45107</v>
      </c>
      <c r="D3594" s="62">
        <v>22023001514</v>
      </c>
      <c r="E3594" s="44" t="s">
        <v>1285</v>
      </c>
      <c r="F3594" s="65">
        <v>256.39</v>
      </c>
      <c r="G3594" s="44" t="s">
        <v>2351</v>
      </c>
      <c r="H3594" s="44" t="s">
        <v>5308</v>
      </c>
      <c r="I3594" s="62" t="s">
        <v>1517</v>
      </c>
      <c r="J3594" s="44" t="s">
        <v>519</v>
      </c>
      <c r="K3594" s="44" t="s">
        <v>519</v>
      </c>
      <c r="L3594" s="44" t="s">
        <v>552</v>
      </c>
      <c r="M3594" s="44" t="s">
        <v>514</v>
      </c>
      <c r="N3594" s="44" t="s">
        <v>515</v>
      </c>
      <c r="O3594" s="45" t="s">
        <v>382</v>
      </c>
      <c r="P3594" s="45" t="s">
        <v>3760</v>
      </c>
      <c r="Q3594" s="59" t="str">
        <f>MID(Tabla1[[#This Row],[Aplicación]],14,1)</f>
        <v>2</v>
      </c>
      <c r="R3594" s="35" t="s">
        <v>298</v>
      </c>
      <c r="S3594" s="59" t="str">
        <f>MID(Tabla1[[#This Row],[Aplicación]],6,2)</f>
        <v>11</v>
      </c>
      <c r="T3594" s="35" t="str">
        <f>VLOOKUP(Tabla1[[#This Row],[AREA]],Hoja1!A:B,2,FALSE)</f>
        <v>11. Salud pública y seguridad ciudadana</v>
      </c>
      <c r="U3594" s="56" t="str">
        <f>MID(Tabla1[[#This Row],[Aplicación]],9,4)</f>
        <v>1361</v>
      </c>
      <c r="V3594" s="35" t="str">
        <f>VLOOKUP(Tabla1[[#This Row],[PROGRAMA]],Hoja1!A:B,2,FALSE)</f>
        <v>1361. Prevención y extinción de incencios</v>
      </c>
      <c r="W3594" s="56" t="str">
        <f>MID(Tabla1[[#This Row],[Aplicación]],14,2)</f>
        <v>22</v>
      </c>
      <c r="X3594" s="56" t="str">
        <f>MID(Tabla1[[#This Row],[Aplicación]],14,6)</f>
        <v>22199</v>
      </c>
    </row>
    <row r="3595" spans="1:24" x14ac:dyDescent="0.25">
      <c r="A3595" s="63">
        <v>220230031282</v>
      </c>
      <c r="B3595" s="44" t="s">
        <v>507</v>
      </c>
      <c r="C3595" s="64">
        <v>45100</v>
      </c>
      <c r="D3595" s="62">
        <v>22023004965</v>
      </c>
      <c r="E3595" s="44" t="s">
        <v>1390</v>
      </c>
      <c r="F3595" s="65">
        <v>750</v>
      </c>
      <c r="G3595" s="44" t="s">
        <v>5309</v>
      </c>
      <c r="H3595" s="44" t="s">
        <v>5310</v>
      </c>
      <c r="I3595" s="62" t="s">
        <v>511</v>
      </c>
      <c r="J3595" s="44" t="s">
        <v>5311</v>
      </c>
      <c r="K3595" s="44" t="s">
        <v>1718</v>
      </c>
      <c r="L3595" s="44" t="s">
        <v>520</v>
      </c>
      <c r="M3595" s="44" t="s">
        <v>976</v>
      </c>
      <c r="N3595" s="44" t="s">
        <v>839</v>
      </c>
      <c r="O3595" s="45" t="s">
        <v>383</v>
      </c>
      <c r="P3595" s="45" t="s">
        <v>3760</v>
      </c>
      <c r="Q3595" s="59" t="str">
        <f>MID(Tabla1[[#This Row],[Aplicación]],14,1)</f>
        <v>2</v>
      </c>
      <c r="R3595" s="35" t="s">
        <v>298</v>
      </c>
      <c r="S3595" s="59" t="str">
        <f>MID(Tabla1[[#This Row],[Aplicación]],6,2)</f>
        <v>07</v>
      </c>
      <c r="T3595" s="35" t="str">
        <f>VLOOKUP(Tabla1[[#This Row],[AREA]],Hoja1!A:B,2,FALSE)</f>
        <v>07. Medio ambiente y desarrollo sostenible</v>
      </c>
      <c r="U3595" s="56" t="str">
        <f>MID(Tabla1[[#This Row],[Aplicación]],9,4)</f>
        <v>1721</v>
      </c>
      <c r="V3595" s="35" t="str">
        <f>VLOOKUP(Tabla1[[#This Row],[PROGRAMA]],Hoja1!A:B,2,FALSE)</f>
        <v>1721. Protección del medio ambiente</v>
      </c>
      <c r="W3595" s="56" t="str">
        <f>MID(Tabla1[[#This Row],[Aplicación]],14,2)</f>
        <v>22</v>
      </c>
      <c r="X3595" s="56" t="str">
        <f>MID(Tabla1[[#This Row],[Aplicación]],14,6)</f>
        <v>22799</v>
      </c>
    </row>
    <row r="3596" spans="1:24" x14ac:dyDescent="0.25">
      <c r="A3596" s="63">
        <v>220230030695</v>
      </c>
      <c r="B3596" s="44" t="s">
        <v>507</v>
      </c>
      <c r="C3596" s="64">
        <v>45097</v>
      </c>
      <c r="D3596" s="62">
        <v>22023004890</v>
      </c>
      <c r="E3596" s="44" t="s">
        <v>709</v>
      </c>
      <c r="F3596" s="65">
        <v>745</v>
      </c>
      <c r="G3596" s="44" t="s">
        <v>1621</v>
      </c>
      <c r="H3596" s="44" t="s">
        <v>5312</v>
      </c>
      <c r="I3596" s="62" t="s">
        <v>511</v>
      </c>
      <c r="J3596" s="44" t="s">
        <v>1623</v>
      </c>
      <c r="K3596" s="44" t="s">
        <v>1624</v>
      </c>
      <c r="L3596" s="44" t="s">
        <v>520</v>
      </c>
      <c r="M3596" s="44" t="s">
        <v>976</v>
      </c>
      <c r="N3596" s="44" t="s">
        <v>839</v>
      </c>
      <c r="O3596" s="45" t="s">
        <v>383</v>
      </c>
      <c r="P3596" s="45" t="s">
        <v>3760</v>
      </c>
      <c r="Q3596" s="59" t="str">
        <f>MID(Tabla1[[#This Row],[Aplicación]],14,1)</f>
        <v>2</v>
      </c>
      <c r="R3596" s="35" t="s">
        <v>298</v>
      </c>
      <c r="S3596" s="59" t="str">
        <f>MID(Tabla1[[#This Row],[Aplicación]],6,2)</f>
        <v>07</v>
      </c>
      <c r="T3596" s="35" t="str">
        <f>VLOOKUP(Tabla1[[#This Row],[AREA]],Hoja1!A:B,2,FALSE)</f>
        <v>07. Medio ambiente y desarrollo sostenible</v>
      </c>
      <c r="U3596" s="56" t="str">
        <f>MID(Tabla1[[#This Row],[Aplicación]],9,4)</f>
        <v>1711</v>
      </c>
      <c r="V3596" s="35" t="str">
        <f>VLOOKUP(Tabla1[[#This Row],[PROGRAMA]],Hoja1!A:B,2,FALSE)</f>
        <v>1711. Parques y jardines</v>
      </c>
      <c r="W3596" s="56" t="str">
        <f>MID(Tabla1[[#This Row],[Aplicación]],14,2)</f>
        <v>22</v>
      </c>
      <c r="X3596" s="56" t="str">
        <f>MID(Tabla1[[#This Row],[Aplicación]],14,6)</f>
        <v>22799</v>
      </c>
    </row>
    <row r="3597" spans="1:24" x14ac:dyDescent="0.25">
      <c r="A3597" s="62">
        <v>220230024859</v>
      </c>
      <c r="B3597" s="44" t="s">
        <v>507</v>
      </c>
      <c r="C3597" s="64">
        <v>45070</v>
      </c>
      <c r="D3597" s="62">
        <v>22023004653</v>
      </c>
      <c r="E3597" s="44" t="s">
        <v>835</v>
      </c>
      <c r="F3597" s="65">
        <v>726.48</v>
      </c>
      <c r="G3597" s="44" t="s">
        <v>346</v>
      </c>
      <c r="H3597" s="44" t="s">
        <v>5313</v>
      </c>
      <c r="I3597" s="62" t="s">
        <v>511</v>
      </c>
      <c r="J3597" s="44" t="s">
        <v>519</v>
      </c>
      <c r="K3597" s="44" t="s">
        <v>519</v>
      </c>
      <c r="L3597" s="44" t="s">
        <v>520</v>
      </c>
      <c r="M3597" s="44" t="s">
        <v>514</v>
      </c>
      <c r="N3597" s="44" t="s">
        <v>515</v>
      </c>
      <c r="O3597" s="45" t="s">
        <v>382</v>
      </c>
      <c r="P3597" s="45" t="s">
        <v>3760</v>
      </c>
      <c r="Q3597" s="59" t="str">
        <f>MID(Tabla1[[#This Row],[Aplicación]],14,1)</f>
        <v>2</v>
      </c>
      <c r="R3597" s="35" t="s">
        <v>298</v>
      </c>
      <c r="S3597" s="59" t="str">
        <f>MID(Tabla1[[#This Row],[Aplicación]],6,2)</f>
        <v>05</v>
      </c>
      <c r="T3597" s="35" t="str">
        <f>VLOOKUP(Tabla1[[#This Row],[AREA]],Hoja1!A:B,2,FALSE)</f>
        <v>05. Innovación, desarrollo económico, empleo y comercio</v>
      </c>
      <c r="U3597" s="56" t="str">
        <f>MID(Tabla1[[#This Row],[Aplicación]],9,4)</f>
        <v>4331</v>
      </c>
      <c r="V3597" s="35" t="str">
        <f>VLOOKUP(Tabla1[[#This Row],[PROGRAMA]],Hoja1!A:B,2,FALSE)</f>
        <v>4331. Desarrollo empresarial</v>
      </c>
      <c r="W3597" s="56" t="str">
        <f>MID(Tabla1[[#This Row],[Aplicación]],14,2)</f>
        <v>22</v>
      </c>
      <c r="X3597" s="56" t="str">
        <f>MID(Tabla1[[#This Row],[Aplicación]],14,6)</f>
        <v>22799</v>
      </c>
    </row>
    <row r="3598" spans="1:24" x14ac:dyDescent="0.25">
      <c r="A3598" s="63">
        <v>220230032485</v>
      </c>
      <c r="B3598" s="44" t="s">
        <v>1514</v>
      </c>
      <c r="C3598" s="64">
        <v>45107</v>
      </c>
      <c r="D3598" s="62">
        <v>22023001514</v>
      </c>
      <c r="E3598" s="44" t="s">
        <v>1285</v>
      </c>
      <c r="F3598" s="65">
        <v>196.06</v>
      </c>
      <c r="G3598" s="44" t="s">
        <v>2351</v>
      </c>
      <c r="H3598" s="44" t="s">
        <v>5314</v>
      </c>
      <c r="I3598" s="62" t="s">
        <v>1517</v>
      </c>
      <c r="J3598" s="44" t="s">
        <v>519</v>
      </c>
      <c r="K3598" s="44" t="s">
        <v>519</v>
      </c>
      <c r="L3598" s="44" t="s">
        <v>552</v>
      </c>
      <c r="M3598" s="44" t="s">
        <v>514</v>
      </c>
      <c r="N3598" s="44" t="s">
        <v>515</v>
      </c>
      <c r="O3598" s="45" t="s">
        <v>382</v>
      </c>
      <c r="P3598" s="45" t="s">
        <v>3760</v>
      </c>
      <c r="Q3598" s="59" t="str">
        <f>MID(Tabla1[[#This Row],[Aplicación]],14,1)</f>
        <v>2</v>
      </c>
      <c r="R3598" s="35" t="s">
        <v>298</v>
      </c>
      <c r="S3598" s="59" t="str">
        <f>MID(Tabla1[[#This Row],[Aplicación]],6,2)</f>
        <v>11</v>
      </c>
      <c r="T3598" s="35" t="str">
        <f>VLOOKUP(Tabla1[[#This Row],[AREA]],Hoja1!A:B,2,FALSE)</f>
        <v>11. Salud pública y seguridad ciudadana</v>
      </c>
      <c r="U3598" s="56" t="str">
        <f>MID(Tabla1[[#This Row],[Aplicación]],9,4)</f>
        <v>1361</v>
      </c>
      <c r="V3598" s="35" t="str">
        <f>VLOOKUP(Tabla1[[#This Row],[PROGRAMA]],Hoja1!A:B,2,FALSE)</f>
        <v>1361. Prevención y extinción de incencios</v>
      </c>
      <c r="W3598" s="56" t="str">
        <f>MID(Tabla1[[#This Row],[Aplicación]],14,2)</f>
        <v>22</v>
      </c>
      <c r="X3598" s="56" t="str">
        <f>MID(Tabla1[[#This Row],[Aplicación]],14,6)</f>
        <v>22199</v>
      </c>
    </row>
    <row r="3599" spans="1:24" x14ac:dyDescent="0.25">
      <c r="A3599" s="63">
        <v>220230032454</v>
      </c>
      <c r="B3599" s="44" t="s">
        <v>1514</v>
      </c>
      <c r="C3599" s="64">
        <v>45107</v>
      </c>
      <c r="D3599" s="62">
        <v>22023000273</v>
      </c>
      <c r="E3599" s="44" t="s">
        <v>2310</v>
      </c>
      <c r="F3599" s="65">
        <v>99.15</v>
      </c>
      <c r="G3599" s="44" t="s">
        <v>2351</v>
      </c>
      <c r="H3599" s="44" t="s">
        <v>5315</v>
      </c>
      <c r="I3599" s="62" t="s">
        <v>1517</v>
      </c>
      <c r="J3599" s="44" t="s">
        <v>519</v>
      </c>
      <c r="K3599" s="44" t="s">
        <v>519</v>
      </c>
      <c r="L3599" s="44" t="s">
        <v>552</v>
      </c>
      <c r="M3599" s="44" t="s">
        <v>514</v>
      </c>
      <c r="N3599" s="44" t="s">
        <v>515</v>
      </c>
      <c r="O3599" s="45" t="s">
        <v>382</v>
      </c>
      <c r="P3599" s="45" t="s">
        <v>3760</v>
      </c>
      <c r="Q3599" s="59" t="str">
        <f>MID(Tabla1[[#This Row],[Aplicación]],14,1)</f>
        <v>2</v>
      </c>
      <c r="R3599" s="35" t="s">
        <v>298</v>
      </c>
      <c r="S3599" s="59" t="str">
        <f>MID(Tabla1[[#This Row],[Aplicación]],6,2)</f>
        <v>11</v>
      </c>
      <c r="T3599" s="35" t="str">
        <f>VLOOKUP(Tabla1[[#This Row],[AREA]],Hoja1!A:B,2,FALSE)</f>
        <v>11. Salud pública y seguridad ciudadana</v>
      </c>
      <c r="U3599" s="56" t="str">
        <f>MID(Tabla1[[#This Row],[Aplicación]],9,4)</f>
        <v>1321</v>
      </c>
      <c r="V3599" s="35" t="str">
        <f>VLOOKUP(Tabla1[[#This Row],[PROGRAMA]],Hoja1!A:B,2,FALSE)</f>
        <v>1321. Policía municipal</v>
      </c>
      <c r="W3599" s="56" t="str">
        <f>MID(Tabla1[[#This Row],[Aplicación]],14,2)</f>
        <v>22</v>
      </c>
      <c r="X3599" s="56" t="str">
        <f>MID(Tabla1[[#This Row],[Aplicación]],14,6)</f>
        <v>22199</v>
      </c>
    </row>
    <row r="3600" spans="1:24" x14ac:dyDescent="0.25">
      <c r="A3600" s="63">
        <v>220230029484</v>
      </c>
      <c r="B3600" s="44" t="s">
        <v>1514</v>
      </c>
      <c r="C3600" s="64">
        <v>45090</v>
      </c>
      <c r="D3600" s="62">
        <v>22023003137</v>
      </c>
      <c r="E3600" s="44" t="s">
        <v>4845</v>
      </c>
      <c r="F3600" s="65">
        <v>77.349999999999994</v>
      </c>
      <c r="G3600" s="44" t="s">
        <v>4861</v>
      </c>
      <c r="H3600" s="44" t="s">
        <v>5316</v>
      </c>
      <c r="I3600" s="62" t="s">
        <v>1517</v>
      </c>
      <c r="J3600" s="44" t="s">
        <v>519</v>
      </c>
      <c r="K3600" s="44" t="s">
        <v>519</v>
      </c>
      <c r="L3600" s="44" t="s">
        <v>552</v>
      </c>
      <c r="M3600" s="44" t="s">
        <v>514</v>
      </c>
      <c r="N3600" s="44" t="s">
        <v>515</v>
      </c>
      <c r="O3600" s="45" t="s">
        <v>382</v>
      </c>
      <c r="P3600" s="45" t="s">
        <v>3760</v>
      </c>
      <c r="Q3600" s="59" t="str">
        <f>MID(Tabla1[[#This Row],[Aplicación]],14,1)</f>
        <v>6</v>
      </c>
      <c r="R3600" s="35" t="s">
        <v>299</v>
      </c>
      <c r="S3600" s="59" t="str">
        <f>MID(Tabla1[[#This Row],[Aplicación]],6,2)</f>
        <v>06</v>
      </c>
      <c r="T3600" s="35" t="str">
        <f>VLOOKUP(Tabla1[[#This Row],[AREA]],Hoja1!A:B,2,FALSE)</f>
        <v>06. Educación, infancia, juventud e igualdad</v>
      </c>
      <c r="U3600" s="56" t="str">
        <f>MID(Tabla1[[#This Row],[Aplicación]],9,4)</f>
        <v>3321</v>
      </c>
      <c r="V3600" s="35" t="str">
        <f>VLOOKUP(Tabla1[[#This Row],[PROGRAMA]],Hoja1!A:B,2,FALSE)</f>
        <v>3321. Bibliotecas públicas</v>
      </c>
      <c r="W3600" s="56" t="str">
        <f>MID(Tabla1[[#This Row],[Aplicación]],14,2)</f>
        <v>62</v>
      </c>
      <c r="X3600" s="56" t="str">
        <f>MID(Tabla1[[#This Row],[Aplicación]],14,6)</f>
        <v>629</v>
      </c>
    </row>
    <row r="3601" spans="1:24" x14ac:dyDescent="0.25">
      <c r="A3601" s="63">
        <v>220230030130</v>
      </c>
      <c r="B3601" s="44" t="s">
        <v>1514</v>
      </c>
      <c r="C3601" s="64">
        <v>45093</v>
      </c>
      <c r="D3601" s="62">
        <v>22023004435</v>
      </c>
      <c r="E3601" s="44" t="s">
        <v>1551</v>
      </c>
      <c r="F3601" s="65">
        <v>1193.08</v>
      </c>
      <c r="G3601" s="44" t="s">
        <v>2432</v>
      </c>
      <c r="H3601" s="44" t="s">
        <v>5317</v>
      </c>
      <c r="I3601" s="62" t="s">
        <v>1517</v>
      </c>
      <c r="J3601" s="44" t="s">
        <v>519</v>
      </c>
      <c r="K3601" s="44" t="s">
        <v>519</v>
      </c>
      <c r="L3601" s="44" t="s">
        <v>552</v>
      </c>
      <c r="M3601" s="44" t="s">
        <v>514</v>
      </c>
      <c r="N3601" s="44" t="s">
        <v>515</v>
      </c>
      <c r="O3601" s="45" t="s">
        <v>382</v>
      </c>
      <c r="P3601" s="45" t="s">
        <v>3760</v>
      </c>
      <c r="Q3601" s="59" t="str">
        <f>MID(Tabla1[[#This Row],[Aplicación]],14,1)</f>
        <v>2</v>
      </c>
      <c r="R3601" s="35" t="s">
        <v>298</v>
      </c>
      <c r="S3601" s="59" t="str">
        <f>MID(Tabla1[[#This Row],[Aplicación]],6,2)</f>
        <v>02</v>
      </c>
      <c r="T3601" s="35" t="str">
        <f>VLOOKUP(Tabla1[[#This Row],[AREA]],Hoja1!A:B,2,FALSE)</f>
        <v>02. Planeamiento urbanístico y vivienda</v>
      </c>
      <c r="U3601" s="56" t="str">
        <f>MID(Tabla1[[#This Row],[Aplicación]],9,4)</f>
        <v>9332</v>
      </c>
      <c r="V3601" s="35" t="str">
        <f>VLOOKUP(Tabla1[[#This Row],[PROGRAMA]],Hoja1!A:B,2,FALSE)</f>
        <v>9332. Mantenimiento de edificios e instalaciones municipales</v>
      </c>
      <c r="W3601" s="56" t="str">
        <f>MID(Tabla1[[#This Row],[Aplicación]],14,2)</f>
        <v>21</v>
      </c>
      <c r="X3601" s="56" t="str">
        <f>MID(Tabla1[[#This Row],[Aplicación]],14,6)</f>
        <v>212</v>
      </c>
    </row>
    <row r="3602" spans="1:24" x14ac:dyDescent="0.25">
      <c r="A3602" s="63">
        <v>220230032436</v>
      </c>
      <c r="B3602" s="44" t="s">
        <v>1514</v>
      </c>
      <c r="C3602" s="64">
        <v>45107</v>
      </c>
      <c r="D3602" s="62">
        <v>22023001514</v>
      </c>
      <c r="E3602" s="44" t="s">
        <v>1285</v>
      </c>
      <c r="F3602" s="65">
        <v>146.66</v>
      </c>
      <c r="G3602" s="44" t="s">
        <v>2432</v>
      </c>
      <c r="H3602" s="44" t="s">
        <v>5318</v>
      </c>
      <c r="I3602" s="62" t="s">
        <v>1517</v>
      </c>
      <c r="J3602" s="44" t="s">
        <v>519</v>
      </c>
      <c r="K3602" s="44" t="s">
        <v>519</v>
      </c>
      <c r="L3602" s="44" t="s">
        <v>552</v>
      </c>
      <c r="M3602" s="44" t="s">
        <v>514</v>
      </c>
      <c r="N3602" s="44" t="s">
        <v>515</v>
      </c>
      <c r="O3602" s="45" t="s">
        <v>382</v>
      </c>
      <c r="P3602" s="45" t="s">
        <v>3760</v>
      </c>
      <c r="Q3602" s="59" t="str">
        <f>MID(Tabla1[[#This Row],[Aplicación]],14,1)</f>
        <v>2</v>
      </c>
      <c r="R3602" s="35" t="s">
        <v>298</v>
      </c>
      <c r="S3602" s="59" t="str">
        <f>MID(Tabla1[[#This Row],[Aplicación]],6,2)</f>
        <v>11</v>
      </c>
      <c r="T3602" s="35" t="str">
        <f>VLOOKUP(Tabla1[[#This Row],[AREA]],Hoja1!A:B,2,FALSE)</f>
        <v>11. Salud pública y seguridad ciudadana</v>
      </c>
      <c r="U3602" s="56" t="str">
        <f>MID(Tabla1[[#This Row],[Aplicación]],9,4)</f>
        <v>1361</v>
      </c>
      <c r="V3602" s="35" t="str">
        <f>VLOOKUP(Tabla1[[#This Row],[PROGRAMA]],Hoja1!A:B,2,FALSE)</f>
        <v>1361. Prevención y extinción de incencios</v>
      </c>
      <c r="W3602" s="56" t="str">
        <f>MID(Tabla1[[#This Row],[Aplicación]],14,2)</f>
        <v>22</v>
      </c>
      <c r="X3602" s="56" t="str">
        <f>MID(Tabla1[[#This Row],[Aplicación]],14,6)</f>
        <v>22199</v>
      </c>
    </row>
    <row r="3603" spans="1:24" x14ac:dyDescent="0.25">
      <c r="A3603" s="63">
        <v>220230028248</v>
      </c>
      <c r="B3603" s="44" t="s">
        <v>1514</v>
      </c>
      <c r="C3603" s="64">
        <v>45084</v>
      </c>
      <c r="D3603" s="62">
        <v>22023001514</v>
      </c>
      <c r="E3603" s="44" t="s">
        <v>1285</v>
      </c>
      <c r="F3603" s="65">
        <v>33.6</v>
      </c>
      <c r="G3603" s="44" t="s">
        <v>2743</v>
      </c>
      <c r="H3603" s="44" t="s">
        <v>5319</v>
      </c>
      <c r="I3603" s="62" t="s">
        <v>1517</v>
      </c>
      <c r="J3603" s="44" t="s">
        <v>519</v>
      </c>
      <c r="K3603" s="44" t="s">
        <v>519</v>
      </c>
      <c r="L3603" s="44" t="s">
        <v>552</v>
      </c>
      <c r="M3603" s="44" t="s">
        <v>514</v>
      </c>
      <c r="N3603" s="44" t="s">
        <v>515</v>
      </c>
      <c r="O3603" s="45" t="s">
        <v>382</v>
      </c>
      <c r="P3603" s="45" t="s">
        <v>3760</v>
      </c>
      <c r="Q3603" s="59" t="str">
        <f>MID(Tabla1[[#This Row],[Aplicación]],14,1)</f>
        <v>2</v>
      </c>
      <c r="R3603" s="35" t="s">
        <v>298</v>
      </c>
      <c r="S3603" s="59" t="str">
        <f>MID(Tabla1[[#This Row],[Aplicación]],6,2)</f>
        <v>11</v>
      </c>
      <c r="T3603" s="35" t="str">
        <f>VLOOKUP(Tabla1[[#This Row],[AREA]],Hoja1!A:B,2,FALSE)</f>
        <v>11. Salud pública y seguridad ciudadana</v>
      </c>
      <c r="U3603" s="56" t="str">
        <f>MID(Tabla1[[#This Row],[Aplicación]],9,4)</f>
        <v>1361</v>
      </c>
      <c r="V3603" s="35" t="str">
        <f>VLOOKUP(Tabla1[[#This Row],[PROGRAMA]],Hoja1!A:B,2,FALSE)</f>
        <v>1361. Prevención y extinción de incencios</v>
      </c>
      <c r="W3603" s="56" t="str">
        <f>MID(Tabla1[[#This Row],[Aplicación]],14,2)</f>
        <v>22</v>
      </c>
      <c r="X3603" s="56" t="str">
        <f>MID(Tabla1[[#This Row],[Aplicación]],14,6)</f>
        <v>22199</v>
      </c>
    </row>
    <row r="3604" spans="1:24" x14ac:dyDescent="0.25">
      <c r="A3604" s="63">
        <v>220230032313</v>
      </c>
      <c r="B3604" s="44" t="s">
        <v>1249</v>
      </c>
      <c r="C3604" s="64">
        <v>45107</v>
      </c>
      <c r="D3604" s="62">
        <v>22023004953</v>
      </c>
      <c r="E3604" s="44" t="s">
        <v>5320</v>
      </c>
      <c r="F3604" s="65">
        <v>610.5</v>
      </c>
      <c r="G3604" s="44" t="s">
        <v>409</v>
      </c>
      <c r="H3604" s="44" t="s">
        <v>5321</v>
      </c>
      <c r="I3604" s="62" t="s">
        <v>1251</v>
      </c>
      <c r="J3604" s="44" t="s">
        <v>519</v>
      </c>
      <c r="K3604" s="44" t="s">
        <v>519</v>
      </c>
      <c r="L3604" s="44" t="s">
        <v>652</v>
      </c>
      <c r="M3604" s="44" t="s">
        <v>976</v>
      </c>
      <c r="N3604" s="44" t="s">
        <v>839</v>
      </c>
      <c r="O3604" s="45" t="s">
        <v>383</v>
      </c>
      <c r="P3604" s="45" t="s">
        <v>3760</v>
      </c>
      <c r="Q3604" s="59" t="str">
        <f>MID(Tabla1[[#This Row],[Aplicación]],14,1)</f>
        <v>2</v>
      </c>
      <c r="R3604" s="35" t="s">
        <v>298</v>
      </c>
      <c r="S3604" s="59" t="str">
        <f>MID(Tabla1[[#This Row],[Aplicación]],6,2)</f>
        <v>11</v>
      </c>
      <c r="T3604" s="35" t="str">
        <f>VLOOKUP(Tabla1[[#This Row],[AREA]],Hoja1!A:B,2,FALSE)</f>
        <v>11. Salud pública y seguridad ciudadana</v>
      </c>
      <c r="U3604" s="56" t="str">
        <f>MID(Tabla1[[#This Row],[Aplicación]],9,4)</f>
        <v>1321</v>
      </c>
      <c r="V3604" s="35" t="str">
        <f>VLOOKUP(Tabla1[[#This Row],[PROGRAMA]],Hoja1!A:B,2,FALSE)</f>
        <v>1321. Policía municipal</v>
      </c>
      <c r="W3604" s="56" t="str">
        <f>MID(Tabla1[[#This Row],[Aplicación]],14,2)</f>
        <v>22</v>
      </c>
      <c r="X3604" s="56" t="str">
        <f>MID(Tabla1[[#This Row],[Aplicación]],14,6)</f>
        <v>224</v>
      </c>
    </row>
    <row r="3605" spans="1:24" x14ac:dyDescent="0.25">
      <c r="A3605" s="62">
        <v>220230013363</v>
      </c>
      <c r="B3605" s="44" t="s">
        <v>507</v>
      </c>
      <c r="C3605" s="64">
        <v>45020</v>
      </c>
      <c r="D3605" s="62">
        <v>22023003510</v>
      </c>
      <c r="E3605" s="44" t="s">
        <v>1822</v>
      </c>
      <c r="F3605" s="65">
        <v>6534</v>
      </c>
      <c r="G3605" s="44" t="s">
        <v>5322</v>
      </c>
      <c r="H3605" s="44" t="s">
        <v>5323</v>
      </c>
      <c r="I3605" s="62" t="s">
        <v>511</v>
      </c>
      <c r="J3605" s="44" t="s">
        <v>519</v>
      </c>
      <c r="K3605" s="44" t="s">
        <v>519</v>
      </c>
      <c r="L3605" s="44" t="s">
        <v>520</v>
      </c>
      <c r="M3605" s="44" t="s">
        <v>976</v>
      </c>
      <c r="N3605" s="44" t="s">
        <v>839</v>
      </c>
      <c r="O3605" s="45" t="s">
        <v>383</v>
      </c>
      <c r="P3605" s="45" t="s">
        <v>3760</v>
      </c>
      <c r="Q3605" s="59" t="str">
        <f>MID(Tabla1[[#This Row],[Aplicación]],14,1)</f>
        <v>2</v>
      </c>
      <c r="R3605" s="35" t="s">
        <v>298</v>
      </c>
      <c r="S3605" s="59" t="str">
        <f>MID(Tabla1[[#This Row],[Aplicación]],6,2)</f>
        <v>05</v>
      </c>
      <c r="T3605" s="35" t="str">
        <f>VLOOKUP(Tabla1[[#This Row],[AREA]],Hoja1!A:B,2,FALSE)</f>
        <v>05. Innovación, desarrollo económico, empleo y comercio</v>
      </c>
      <c r="U3605" s="56" t="str">
        <f>MID(Tabla1[[#This Row],[Aplicación]],9,4)</f>
        <v>4312</v>
      </c>
      <c r="V3605" s="35" t="str">
        <f>VLOOKUP(Tabla1[[#This Row],[PROGRAMA]],Hoja1!A:B,2,FALSE)</f>
        <v>4312. Mercados, abastos y lonjas</v>
      </c>
      <c r="W3605" s="56" t="str">
        <f>MID(Tabla1[[#This Row],[Aplicación]],14,2)</f>
        <v>22</v>
      </c>
      <c r="X3605" s="56" t="str">
        <f>MID(Tabla1[[#This Row],[Aplicación]],14,6)</f>
        <v>22799</v>
      </c>
    </row>
    <row r="3606" spans="1:24" x14ac:dyDescent="0.25">
      <c r="A3606" s="62">
        <v>220230020780</v>
      </c>
      <c r="B3606" s="44" t="s">
        <v>1514</v>
      </c>
      <c r="C3606" s="64">
        <v>45062</v>
      </c>
      <c r="D3606" s="62">
        <v>22023000007</v>
      </c>
      <c r="E3606" s="44" t="s">
        <v>1544</v>
      </c>
      <c r="F3606" s="65">
        <v>37000</v>
      </c>
      <c r="G3606" s="44" t="s">
        <v>5324</v>
      </c>
      <c r="H3606" s="44" t="s">
        <v>5325</v>
      </c>
      <c r="I3606" s="62" t="s">
        <v>1517</v>
      </c>
      <c r="J3606" s="44" t="s">
        <v>512</v>
      </c>
      <c r="K3606" s="44" t="s">
        <v>512</v>
      </c>
      <c r="L3606" s="44" t="s">
        <v>520</v>
      </c>
      <c r="M3606" s="44" t="s">
        <v>514</v>
      </c>
      <c r="N3606" s="44" t="s">
        <v>515</v>
      </c>
      <c r="O3606" s="45" t="s">
        <v>371</v>
      </c>
      <c r="P3606" s="45" t="s">
        <v>3760</v>
      </c>
      <c r="Q3606" s="59" t="str">
        <f>MID(Tabla1[[#This Row],[Aplicación]],14,1)</f>
        <v>2</v>
      </c>
      <c r="R3606" s="35" t="s">
        <v>298</v>
      </c>
      <c r="S3606" s="59" t="str">
        <f>MID(Tabla1[[#This Row],[Aplicación]],6,2)</f>
        <v>10</v>
      </c>
      <c r="T3606" s="35" t="str">
        <f>VLOOKUP(Tabla1[[#This Row],[AREA]],Hoja1!A:B,2,FALSE)</f>
        <v>10. Servicios sociales y mediación comunitaria</v>
      </c>
      <c r="U3606" s="56" t="str">
        <f>MID(Tabla1[[#This Row],[Aplicación]],9,4)</f>
        <v>2412</v>
      </c>
      <c r="V3606" s="35" t="str">
        <f>VLOOKUP(Tabla1[[#This Row],[PROGRAMA]],Hoja1!A:B,2,FALSE)</f>
        <v>2412. Formación para el empleo</v>
      </c>
      <c r="W3606" s="56" t="str">
        <f>MID(Tabla1[[#This Row],[Aplicación]],14,2)</f>
        <v>22</v>
      </c>
      <c r="X3606" s="56" t="str">
        <f>MID(Tabla1[[#This Row],[Aplicación]],14,6)</f>
        <v>22799</v>
      </c>
    </row>
    <row r="3607" spans="1:24" x14ac:dyDescent="0.25">
      <c r="A3607" s="63">
        <v>220230031231</v>
      </c>
      <c r="B3607" s="44" t="s">
        <v>507</v>
      </c>
      <c r="C3607" s="64">
        <v>45099</v>
      </c>
      <c r="D3607" s="62">
        <v>22023004971</v>
      </c>
      <c r="E3607" s="44" t="s">
        <v>1043</v>
      </c>
      <c r="F3607" s="65">
        <v>569.12</v>
      </c>
      <c r="G3607" s="44" t="s">
        <v>5326</v>
      </c>
      <c r="H3607" s="44" t="s">
        <v>5327</v>
      </c>
      <c r="I3607" s="62" t="s">
        <v>511</v>
      </c>
      <c r="J3607" s="44" t="s">
        <v>519</v>
      </c>
      <c r="K3607" s="44" t="s">
        <v>519</v>
      </c>
      <c r="L3607" s="44" t="s">
        <v>520</v>
      </c>
      <c r="M3607" s="44" t="s">
        <v>976</v>
      </c>
      <c r="N3607" s="44" t="s">
        <v>839</v>
      </c>
      <c r="O3607" s="45" t="s">
        <v>383</v>
      </c>
      <c r="P3607" s="45" t="s">
        <v>3760</v>
      </c>
      <c r="Q3607" s="59" t="str">
        <f>MID(Tabla1[[#This Row],[Aplicación]],14,1)</f>
        <v>2</v>
      </c>
      <c r="R3607" s="35" t="s">
        <v>298</v>
      </c>
      <c r="S3607" s="59" t="str">
        <f>MID(Tabla1[[#This Row],[Aplicación]],6,2)</f>
        <v>10</v>
      </c>
      <c r="T3607" s="35" t="str">
        <f>VLOOKUP(Tabla1[[#This Row],[AREA]],Hoja1!A:B,2,FALSE)</f>
        <v>10. Servicios sociales y mediación comunitaria</v>
      </c>
      <c r="U3607" s="56" t="str">
        <f>MID(Tabla1[[#This Row],[Aplicación]],9,4)</f>
        <v>2312</v>
      </c>
      <c r="V3607" s="35" t="str">
        <f>VLOOKUP(Tabla1[[#This Row],[PROGRAMA]],Hoja1!A:B,2,FALSE)</f>
        <v>2312. Iniciativas sociales</v>
      </c>
      <c r="W3607" s="56" t="str">
        <f>MID(Tabla1[[#This Row],[Aplicación]],14,2)</f>
        <v>22</v>
      </c>
      <c r="X3607" s="56" t="str">
        <f>MID(Tabla1[[#This Row],[Aplicación]],14,6)</f>
        <v>22699</v>
      </c>
    </row>
    <row r="3608" spans="1:24" x14ac:dyDescent="0.25">
      <c r="A3608" s="63">
        <v>220230031196</v>
      </c>
      <c r="B3608" s="44" t="s">
        <v>507</v>
      </c>
      <c r="C3608" s="64">
        <v>45099</v>
      </c>
      <c r="D3608" s="62">
        <v>22023005155</v>
      </c>
      <c r="E3608" s="44" t="s">
        <v>1285</v>
      </c>
      <c r="F3608" s="65">
        <v>528.05999999999995</v>
      </c>
      <c r="G3608" s="44" t="s">
        <v>1599</v>
      </c>
      <c r="H3608" s="44" t="s">
        <v>5328</v>
      </c>
      <c r="I3608" s="62" t="s">
        <v>511</v>
      </c>
      <c r="J3608" s="44" t="s">
        <v>519</v>
      </c>
      <c r="K3608" s="44" t="s">
        <v>519</v>
      </c>
      <c r="L3608" s="44" t="s">
        <v>552</v>
      </c>
      <c r="M3608" s="44" t="s">
        <v>976</v>
      </c>
      <c r="N3608" s="44" t="s">
        <v>839</v>
      </c>
      <c r="O3608" s="45" t="s">
        <v>383</v>
      </c>
      <c r="P3608" s="45" t="s">
        <v>3760</v>
      </c>
      <c r="Q3608" s="59" t="str">
        <f>MID(Tabla1[[#This Row],[Aplicación]],14,1)</f>
        <v>2</v>
      </c>
      <c r="R3608" s="35" t="s">
        <v>298</v>
      </c>
      <c r="S3608" s="59" t="str">
        <f>MID(Tabla1[[#This Row],[Aplicación]],6,2)</f>
        <v>11</v>
      </c>
      <c r="T3608" s="35" t="str">
        <f>VLOOKUP(Tabla1[[#This Row],[AREA]],Hoja1!A:B,2,FALSE)</f>
        <v>11. Salud pública y seguridad ciudadana</v>
      </c>
      <c r="U3608" s="56" t="str">
        <f>MID(Tabla1[[#This Row],[Aplicación]],9,4)</f>
        <v>1361</v>
      </c>
      <c r="V3608" s="35" t="str">
        <f>VLOOKUP(Tabla1[[#This Row],[PROGRAMA]],Hoja1!A:B,2,FALSE)</f>
        <v>1361. Prevención y extinción de incencios</v>
      </c>
      <c r="W3608" s="56" t="str">
        <f>MID(Tabla1[[#This Row],[Aplicación]],14,2)</f>
        <v>22</v>
      </c>
      <c r="X3608" s="56" t="str">
        <f>MID(Tabla1[[#This Row],[Aplicación]],14,6)</f>
        <v>22199</v>
      </c>
    </row>
    <row r="3609" spans="1:24" x14ac:dyDescent="0.25">
      <c r="A3609" s="63">
        <v>220230030090</v>
      </c>
      <c r="B3609" s="44" t="s">
        <v>1514</v>
      </c>
      <c r="C3609" s="64">
        <v>45093</v>
      </c>
      <c r="D3609" s="62">
        <v>22023004435</v>
      </c>
      <c r="E3609" s="44" t="s">
        <v>1551</v>
      </c>
      <c r="F3609" s="65">
        <v>1246.3</v>
      </c>
      <c r="G3609" s="44" t="s">
        <v>5329</v>
      </c>
      <c r="H3609" s="44" t="s">
        <v>5330</v>
      </c>
      <c r="I3609" s="62" t="s">
        <v>1517</v>
      </c>
      <c r="J3609" s="44" t="s">
        <v>1399</v>
      </c>
      <c r="K3609" s="44" t="s">
        <v>519</v>
      </c>
      <c r="L3609" s="44" t="s">
        <v>552</v>
      </c>
      <c r="M3609" s="44" t="s">
        <v>976</v>
      </c>
      <c r="N3609" s="44" t="s">
        <v>839</v>
      </c>
      <c r="O3609" s="45" t="s">
        <v>383</v>
      </c>
      <c r="P3609" s="45" t="s">
        <v>3760</v>
      </c>
      <c r="Q3609" s="59" t="str">
        <f>MID(Tabla1[[#This Row],[Aplicación]],14,1)</f>
        <v>2</v>
      </c>
      <c r="R3609" s="35" t="s">
        <v>298</v>
      </c>
      <c r="S3609" s="59" t="str">
        <f>MID(Tabla1[[#This Row],[Aplicación]],6,2)</f>
        <v>02</v>
      </c>
      <c r="T3609" s="35" t="str">
        <f>VLOOKUP(Tabla1[[#This Row],[AREA]],Hoja1!A:B,2,FALSE)</f>
        <v>02. Planeamiento urbanístico y vivienda</v>
      </c>
      <c r="U3609" s="56" t="str">
        <f>MID(Tabla1[[#This Row],[Aplicación]],9,4)</f>
        <v>9332</v>
      </c>
      <c r="V3609" s="35" t="str">
        <f>VLOOKUP(Tabla1[[#This Row],[PROGRAMA]],Hoja1!A:B,2,FALSE)</f>
        <v>9332. Mantenimiento de edificios e instalaciones municipales</v>
      </c>
      <c r="W3609" s="56" t="str">
        <f>MID(Tabla1[[#This Row],[Aplicación]],14,2)</f>
        <v>21</v>
      </c>
      <c r="X3609" s="56" t="str">
        <f>MID(Tabla1[[#This Row],[Aplicación]],14,6)</f>
        <v>212</v>
      </c>
    </row>
    <row r="3610" spans="1:24" x14ac:dyDescent="0.25">
      <c r="A3610" s="63">
        <v>220230026823</v>
      </c>
      <c r="B3610" s="44" t="s">
        <v>507</v>
      </c>
      <c r="C3610" s="64">
        <v>45078</v>
      </c>
      <c r="D3610" s="62">
        <v>22023004714</v>
      </c>
      <c r="E3610" s="44" t="s">
        <v>1688</v>
      </c>
      <c r="F3610" s="65">
        <v>500</v>
      </c>
      <c r="G3610" s="44" t="s">
        <v>394</v>
      </c>
      <c r="H3610" s="44" t="s">
        <v>5331</v>
      </c>
      <c r="I3610" s="62" t="s">
        <v>511</v>
      </c>
      <c r="J3610" s="44" t="s">
        <v>519</v>
      </c>
      <c r="K3610" s="44" t="s">
        <v>519</v>
      </c>
      <c r="L3610" s="44" t="s">
        <v>552</v>
      </c>
      <c r="M3610" s="44" t="s">
        <v>976</v>
      </c>
      <c r="N3610" s="44" t="s">
        <v>839</v>
      </c>
      <c r="O3610" s="45" t="s">
        <v>383</v>
      </c>
      <c r="P3610" s="45" t="s">
        <v>3760</v>
      </c>
      <c r="Q3610" s="59" t="str">
        <f>MID(Tabla1[[#This Row],[Aplicación]],14,1)</f>
        <v>2</v>
      </c>
      <c r="R3610" s="35" t="s">
        <v>298</v>
      </c>
      <c r="S3610" s="59" t="str">
        <f>MID(Tabla1[[#This Row],[Aplicación]],6,2)</f>
        <v>06</v>
      </c>
      <c r="T3610" s="35" t="str">
        <f>VLOOKUP(Tabla1[[#This Row],[AREA]],Hoja1!A:B,2,FALSE)</f>
        <v>06. Educación, infancia, juventud e igualdad</v>
      </c>
      <c r="U3610" s="56" t="str">
        <f>MID(Tabla1[[#This Row],[Aplicación]],9,4)</f>
        <v>3261</v>
      </c>
      <c r="V3610" s="35" t="str">
        <f>VLOOKUP(Tabla1[[#This Row],[PROGRAMA]],Hoja1!A:B,2,FALSE)</f>
        <v>3261. Servicios complementarios de educación</v>
      </c>
      <c r="W3610" s="56" t="str">
        <f>MID(Tabla1[[#This Row],[Aplicación]],14,2)</f>
        <v>22</v>
      </c>
      <c r="X3610" s="56" t="str">
        <f>MID(Tabla1[[#This Row],[Aplicación]],14,6)</f>
        <v>22699</v>
      </c>
    </row>
    <row r="3611" spans="1:24" x14ac:dyDescent="0.25">
      <c r="A3611" s="63">
        <v>220230026825</v>
      </c>
      <c r="B3611" s="44" t="s">
        <v>507</v>
      </c>
      <c r="C3611" s="64">
        <v>45078</v>
      </c>
      <c r="D3611" s="62">
        <v>22023004718</v>
      </c>
      <c r="E3611" s="44" t="s">
        <v>1688</v>
      </c>
      <c r="F3611" s="65">
        <v>500</v>
      </c>
      <c r="G3611" s="44" t="s">
        <v>41</v>
      </c>
      <c r="H3611" s="44" t="s">
        <v>5332</v>
      </c>
      <c r="I3611" s="62" t="s">
        <v>511</v>
      </c>
      <c r="J3611" s="44" t="s">
        <v>519</v>
      </c>
      <c r="K3611" s="44" t="s">
        <v>519</v>
      </c>
      <c r="L3611" s="44" t="s">
        <v>520</v>
      </c>
      <c r="M3611" s="44" t="s">
        <v>976</v>
      </c>
      <c r="N3611" s="44" t="s">
        <v>839</v>
      </c>
      <c r="O3611" s="45" t="s">
        <v>383</v>
      </c>
      <c r="P3611" s="45" t="s">
        <v>3760</v>
      </c>
      <c r="Q3611" s="59" t="str">
        <f>MID(Tabla1[[#This Row],[Aplicación]],14,1)</f>
        <v>2</v>
      </c>
      <c r="R3611" s="35" t="s">
        <v>298</v>
      </c>
      <c r="S3611" s="59" t="str">
        <f>MID(Tabla1[[#This Row],[Aplicación]],6,2)</f>
        <v>06</v>
      </c>
      <c r="T3611" s="35" t="str">
        <f>VLOOKUP(Tabla1[[#This Row],[AREA]],Hoja1!A:B,2,FALSE)</f>
        <v>06. Educación, infancia, juventud e igualdad</v>
      </c>
      <c r="U3611" s="56" t="str">
        <f>MID(Tabla1[[#This Row],[Aplicación]],9,4)</f>
        <v>3261</v>
      </c>
      <c r="V3611" s="35" t="str">
        <f>VLOOKUP(Tabla1[[#This Row],[PROGRAMA]],Hoja1!A:B,2,FALSE)</f>
        <v>3261. Servicios complementarios de educación</v>
      </c>
      <c r="W3611" s="56" t="str">
        <f>MID(Tabla1[[#This Row],[Aplicación]],14,2)</f>
        <v>22</v>
      </c>
      <c r="X3611" s="56" t="str">
        <f>MID(Tabla1[[#This Row],[Aplicación]],14,6)</f>
        <v>22699</v>
      </c>
    </row>
    <row r="3612" spans="1:24" x14ac:dyDescent="0.25">
      <c r="A3612" s="63">
        <v>220230028634</v>
      </c>
      <c r="B3612" s="44" t="s">
        <v>507</v>
      </c>
      <c r="C3612" s="64">
        <v>45085</v>
      </c>
      <c r="D3612" s="62">
        <v>22023004840</v>
      </c>
      <c r="E3612" s="44" t="s">
        <v>1752</v>
      </c>
      <c r="F3612" s="65">
        <v>490.05</v>
      </c>
      <c r="G3612" s="44" t="s">
        <v>5333</v>
      </c>
      <c r="H3612" s="44" t="s">
        <v>5334</v>
      </c>
      <c r="I3612" s="62" t="s">
        <v>511</v>
      </c>
      <c r="J3612" s="44" t="s">
        <v>2538</v>
      </c>
      <c r="K3612" s="44" t="s">
        <v>519</v>
      </c>
      <c r="L3612" s="44" t="s">
        <v>552</v>
      </c>
      <c r="M3612" s="44" t="s">
        <v>976</v>
      </c>
      <c r="N3612" s="44" t="s">
        <v>839</v>
      </c>
      <c r="O3612" s="45" t="s">
        <v>383</v>
      </c>
      <c r="P3612" s="45" t="s">
        <v>3760</v>
      </c>
      <c r="Q3612" s="59" t="str">
        <f>MID(Tabla1[[#This Row],[Aplicación]],14,1)</f>
        <v>2</v>
      </c>
      <c r="R3612" s="35" t="s">
        <v>298</v>
      </c>
      <c r="S3612" s="59" t="str">
        <f>MID(Tabla1[[#This Row],[Aplicación]],6,2)</f>
        <v>10</v>
      </c>
      <c r="T3612" s="35" t="str">
        <f>VLOOKUP(Tabla1[[#This Row],[AREA]],Hoja1!A:B,2,FALSE)</f>
        <v>10. Servicios sociales y mediación comunitaria</v>
      </c>
      <c r="U3612" s="56" t="str">
        <f>MID(Tabla1[[#This Row],[Aplicación]],9,4)</f>
        <v>2312</v>
      </c>
      <c r="V3612" s="35" t="str">
        <f>VLOOKUP(Tabla1[[#This Row],[PROGRAMA]],Hoja1!A:B,2,FALSE)</f>
        <v>2312. Iniciativas sociales</v>
      </c>
      <c r="W3612" s="56" t="str">
        <f>MID(Tabla1[[#This Row],[Aplicación]],14,2)</f>
        <v>22</v>
      </c>
      <c r="X3612" s="56" t="str">
        <f>MID(Tabla1[[#This Row],[Aplicación]],14,6)</f>
        <v>22199</v>
      </c>
    </row>
    <row r="3613" spans="1:24" x14ac:dyDescent="0.25">
      <c r="A3613" s="63">
        <v>220230031266</v>
      </c>
      <c r="B3613" s="44" t="s">
        <v>1514</v>
      </c>
      <c r="C3613" s="64">
        <v>45099</v>
      </c>
      <c r="D3613" s="62">
        <v>22022008399</v>
      </c>
      <c r="E3613" s="44" t="s">
        <v>1460</v>
      </c>
      <c r="F3613" s="65">
        <v>469.02</v>
      </c>
      <c r="G3613" s="44" t="s">
        <v>346</v>
      </c>
      <c r="H3613" s="44" t="s">
        <v>5335</v>
      </c>
      <c r="I3613" s="62" t="s">
        <v>1517</v>
      </c>
      <c r="J3613" s="44" t="s">
        <v>519</v>
      </c>
      <c r="K3613" s="44" t="s">
        <v>519</v>
      </c>
      <c r="L3613" s="44" t="s">
        <v>520</v>
      </c>
      <c r="M3613" s="44" t="s">
        <v>976</v>
      </c>
      <c r="N3613" s="44" t="s">
        <v>839</v>
      </c>
      <c r="O3613" s="45" t="s">
        <v>383</v>
      </c>
      <c r="P3613" s="45" t="s">
        <v>3760</v>
      </c>
      <c r="Q3613" s="59" t="str">
        <f>MID(Tabla1[[#This Row],[Aplicación]],14,1)</f>
        <v>6</v>
      </c>
      <c r="R3613" s="35" t="s">
        <v>299</v>
      </c>
      <c r="S3613" s="59" t="str">
        <f>MID(Tabla1[[#This Row],[Aplicación]],6,2)</f>
        <v>03</v>
      </c>
      <c r="T3613" s="35" t="str">
        <f>VLOOKUP(Tabla1[[#This Row],[AREA]],Hoja1!A:B,2,FALSE)</f>
        <v>03. Participación ciudadana y deportes</v>
      </c>
      <c r="U3613" s="56" t="str">
        <f>MID(Tabla1[[#This Row],[Aplicación]],9,4)</f>
        <v>9241</v>
      </c>
      <c r="V3613" s="35" t="str">
        <f>VLOOKUP(Tabla1[[#This Row],[PROGRAMA]],Hoja1!A:B,2,FALSE)</f>
        <v>9241. Participación ciudadana</v>
      </c>
      <c r="W3613" s="56" t="str">
        <f>MID(Tabla1[[#This Row],[Aplicación]],14,2)</f>
        <v>63</v>
      </c>
      <c r="X3613" s="56" t="str">
        <f>MID(Tabla1[[#This Row],[Aplicación]],14,6)</f>
        <v>633</v>
      </c>
    </row>
    <row r="3614" spans="1:24" x14ac:dyDescent="0.25">
      <c r="A3614" s="63">
        <v>220230026812</v>
      </c>
      <c r="B3614" s="44" t="s">
        <v>507</v>
      </c>
      <c r="C3614" s="64">
        <v>45078</v>
      </c>
      <c r="D3614" s="62">
        <v>22023004825</v>
      </c>
      <c r="E3614" s="44" t="s">
        <v>1479</v>
      </c>
      <c r="F3614" s="65">
        <v>440</v>
      </c>
      <c r="G3614" s="44" t="s">
        <v>42</v>
      </c>
      <c r="H3614" s="44" t="s">
        <v>5336</v>
      </c>
      <c r="I3614" s="62" t="s">
        <v>511</v>
      </c>
      <c r="J3614" s="44" t="s">
        <v>1478</v>
      </c>
      <c r="K3614" s="44" t="s">
        <v>519</v>
      </c>
      <c r="L3614" s="44" t="s">
        <v>520</v>
      </c>
      <c r="M3614" s="44" t="s">
        <v>976</v>
      </c>
      <c r="N3614" s="44" t="s">
        <v>839</v>
      </c>
      <c r="O3614" s="45" t="s">
        <v>383</v>
      </c>
      <c r="P3614" s="45" t="s">
        <v>3760</v>
      </c>
      <c r="Q3614" s="59" t="str">
        <f>MID(Tabla1[[#This Row],[Aplicación]],14,1)</f>
        <v>2</v>
      </c>
      <c r="R3614" s="35" t="s">
        <v>298</v>
      </c>
      <c r="S3614" s="59" t="str">
        <f>MID(Tabla1[[#This Row],[Aplicación]],6,2)</f>
        <v>03</v>
      </c>
      <c r="T3614" s="35" t="str">
        <f>VLOOKUP(Tabla1[[#This Row],[AREA]],Hoja1!A:B,2,FALSE)</f>
        <v>03. Participación ciudadana y deportes</v>
      </c>
      <c r="U3614" s="56" t="str">
        <f>MID(Tabla1[[#This Row],[Aplicación]],9,4)</f>
        <v>9241</v>
      </c>
      <c r="V3614" s="35" t="str">
        <f>VLOOKUP(Tabla1[[#This Row],[PROGRAMA]],Hoja1!A:B,2,FALSE)</f>
        <v>9241. Participación ciudadana</v>
      </c>
      <c r="W3614" s="56" t="str">
        <f>MID(Tabla1[[#This Row],[Aplicación]],14,2)</f>
        <v>22</v>
      </c>
      <c r="X3614" s="56" t="str">
        <f>MID(Tabla1[[#This Row],[Aplicación]],14,6)</f>
        <v>22609</v>
      </c>
    </row>
    <row r="3615" spans="1:24" x14ac:dyDescent="0.25">
      <c r="A3615" s="63">
        <v>220230026816</v>
      </c>
      <c r="B3615" s="44" t="s">
        <v>507</v>
      </c>
      <c r="C3615" s="64">
        <v>45078</v>
      </c>
      <c r="D3615" s="62">
        <v>22023004748</v>
      </c>
      <c r="E3615" s="44" t="s">
        <v>1191</v>
      </c>
      <c r="F3615" s="65">
        <v>435.6</v>
      </c>
      <c r="G3615" s="44" t="s">
        <v>5337</v>
      </c>
      <c r="H3615" s="44" t="s">
        <v>5338</v>
      </c>
      <c r="I3615" s="62" t="s">
        <v>511</v>
      </c>
      <c r="J3615" s="44" t="s">
        <v>519</v>
      </c>
      <c r="K3615" s="44" t="s">
        <v>519</v>
      </c>
      <c r="L3615" s="44" t="s">
        <v>520</v>
      </c>
      <c r="M3615" s="44" t="s">
        <v>976</v>
      </c>
      <c r="N3615" s="44" t="s">
        <v>839</v>
      </c>
      <c r="O3615" s="45" t="s">
        <v>383</v>
      </c>
      <c r="P3615" s="45" t="s">
        <v>3760</v>
      </c>
      <c r="Q3615" s="59" t="str">
        <f>MID(Tabla1[[#This Row],[Aplicación]],14,1)</f>
        <v>2</v>
      </c>
      <c r="R3615" s="35" t="s">
        <v>298</v>
      </c>
      <c r="S3615" s="59" t="str">
        <f>MID(Tabla1[[#This Row],[Aplicación]],6,2)</f>
        <v>06</v>
      </c>
      <c r="T3615" s="35" t="str">
        <f>VLOOKUP(Tabla1[[#This Row],[AREA]],Hoja1!A:B,2,FALSE)</f>
        <v>06. Educación, infancia, juventud e igualdad</v>
      </c>
      <c r="U3615" s="56" t="str">
        <f>MID(Tabla1[[#This Row],[Aplicación]],9,4)</f>
        <v>2315</v>
      </c>
      <c r="V3615" s="35" t="str">
        <f>VLOOKUP(Tabla1[[#This Row],[PROGRAMA]],Hoja1!A:B,2,FALSE)</f>
        <v>2315. Políticas de Igualdad e infancia</v>
      </c>
      <c r="W3615" s="56" t="str">
        <f>MID(Tabla1[[#This Row],[Aplicación]],14,2)</f>
        <v>22</v>
      </c>
      <c r="X3615" s="56" t="str">
        <f>MID(Tabla1[[#This Row],[Aplicación]],14,6)</f>
        <v>22611</v>
      </c>
    </row>
    <row r="3616" spans="1:24" x14ac:dyDescent="0.25">
      <c r="A3616" s="63">
        <v>220230029595</v>
      </c>
      <c r="B3616" s="44" t="s">
        <v>507</v>
      </c>
      <c r="C3616" s="64">
        <v>45091</v>
      </c>
      <c r="D3616" s="62">
        <v>22023004905</v>
      </c>
      <c r="E3616" s="44" t="s">
        <v>5339</v>
      </c>
      <c r="F3616" s="65">
        <v>415.59</v>
      </c>
      <c r="G3616" s="44" t="s">
        <v>5110</v>
      </c>
      <c r="H3616" s="44" t="s">
        <v>5340</v>
      </c>
      <c r="I3616" s="62" t="s">
        <v>511</v>
      </c>
      <c r="J3616" s="44" t="s">
        <v>1049</v>
      </c>
      <c r="K3616" s="44" t="s">
        <v>519</v>
      </c>
      <c r="L3616" s="44" t="s">
        <v>520</v>
      </c>
      <c r="M3616" s="44" t="s">
        <v>976</v>
      </c>
      <c r="N3616" s="44" t="s">
        <v>839</v>
      </c>
      <c r="O3616" s="45" t="s">
        <v>383</v>
      </c>
      <c r="P3616" s="45" t="s">
        <v>3760</v>
      </c>
      <c r="Q3616" s="59" t="str">
        <f>MID(Tabla1[[#This Row],[Aplicación]],14,1)</f>
        <v>2</v>
      </c>
      <c r="R3616" s="35" t="s">
        <v>298</v>
      </c>
      <c r="S3616" s="59" t="str">
        <f>MID(Tabla1[[#This Row],[Aplicación]],6,2)</f>
        <v>09</v>
      </c>
      <c r="T3616" s="35" t="str">
        <f>VLOOKUP(Tabla1[[#This Row],[AREA]],Hoja1!A:B,2,FALSE)</f>
        <v>09. Cultura y turismo</v>
      </c>
      <c r="U3616" s="56" t="str">
        <f>MID(Tabla1[[#This Row],[Aplicación]],9,4)</f>
        <v>4321</v>
      </c>
      <c r="V3616" s="35" t="str">
        <f>VLOOKUP(Tabla1[[#This Row],[PROGRAMA]],Hoja1!A:B,2,FALSE)</f>
        <v>4321. Turismo</v>
      </c>
      <c r="W3616" s="56" t="str">
        <f>MID(Tabla1[[#This Row],[Aplicación]],14,2)</f>
        <v>22</v>
      </c>
      <c r="X3616" s="56" t="str">
        <f>MID(Tabla1[[#This Row],[Aplicación]],14,6)</f>
        <v>22700</v>
      </c>
    </row>
    <row r="3617" spans="1:24" x14ac:dyDescent="0.25">
      <c r="A3617" s="62">
        <v>220230026274</v>
      </c>
      <c r="B3617" s="44" t="s">
        <v>1514</v>
      </c>
      <c r="C3617" s="64">
        <v>45077</v>
      </c>
      <c r="D3617" s="62">
        <v>22023004052</v>
      </c>
      <c r="E3617" s="44" t="s">
        <v>1290</v>
      </c>
      <c r="F3617" s="65">
        <v>1741.19</v>
      </c>
      <c r="G3617" s="44" t="s">
        <v>5341</v>
      </c>
      <c r="H3617" s="44" t="s">
        <v>5342</v>
      </c>
      <c r="I3617" s="62" t="s">
        <v>1517</v>
      </c>
      <c r="J3617" s="44" t="s">
        <v>519</v>
      </c>
      <c r="K3617" s="44" t="s">
        <v>519</v>
      </c>
      <c r="L3617" s="44" t="s">
        <v>552</v>
      </c>
      <c r="M3617" s="44" t="s">
        <v>514</v>
      </c>
      <c r="N3617" s="44" t="s">
        <v>515</v>
      </c>
      <c r="O3617" s="45" t="s">
        <v>382</v>
      </c>
      <c r="P3617" s="45" t="s">
        <v>3760</v>
      </c>
      <c r="Q3617" s="59" t="str">
        <f>MID(Tabla1[[#This Row],[Aplicación]],14,1)</f>
        <v>2</v>
      </c>
      <c r="R3617" s="35" t="s">
        <v>298</v>
      </c>
      <c r="S3617" s="59" t="str">
        <f>MID(Tabla1[[#This Row],[Aplicación]],6,2)</f>
        <v>11</v>
      </c>
      <c r="T3617" s="35" t="str">
        <f>VLOOKUP(Tabla1[[#This Row],[AREA]],Hoja1!A:B,2,FALSE)</f>
        <v>11. Salud pública y seguridad ciudadana</v>
      </c>
      <c r="U3617" s="56" t="str">
        <f>MID(Tabla1[[#This Row],[Aplicación]],9,4)</f>
        <v>1621</v>
      </c>
      <c r="V3617" s="35" t="str">
        <f>VLOOKUP(Tabla1[[#This Row],[PROGRAMA]],Hoja1!A:B,2,FALSE)</f>
        <v>1621. Servicio de limpieza</v>
      </c>
      <c r="W3617" s="56" t="str">
        <f>MID(Tabla1[[#This Row],[Aplicación]],14,2)</f>
        <v>21</v>
      </c>
      <c r="X3617" s="56" t="str">
        <f>MID(Tabla1[[#This Row],[Aplicación]],14,6)</f>
        <v>214</v>
      </c>
    </row>
    <row r="3618" spans="1:24" x14ac:dyDescent="0.25">
      <c r="A3618" s="63">
        <v>220230028408</v>
      </c>
      <c r="B3618" s="44" t="s">
        <v>1514</v>
      </c>
      <c r="C3618" s="64">
        <v>45084</v>
      </c>
      <c r="D3618" s="62">
        <v>22023001514</v>
      </c>
      <c r="E3618" s="44" t="s">
        <v>1285</v>
      </c>
      <c r="F3618" s="65">
        <v>18.62</v>
      </c>
      <c r="G3618" s="44" t="s">
        <v>2434</v>
      </c>
      <c r="H3618" s="44" t="s">
        <v>5343</v>
      </c>
      <c r="I3618" s="62" t="s">
        <v>1517</v>
      </c>
      <c r="J3618" s="44" t="s">
        <v>519</v>
      </c>
      <c r="K3618" s="44" t="s">
        <v>519</v>
      </c>
      <c r="L3618" s="44" t="s">
        <v>552</v>
      </c>
      <c r="M3618" s="44" t="s">
        <v>514</v>
      </c>
      <c r="N3618" s="44" t="s">
        <v>515</v>
      </c>
      <c r="O3618" s="45" t="s">
        <v>382</v>
      </c>
      <c r="P3618" s="45" t="s">
        <v>3760</v>
      </c>
      <c r="Q3618" s="59" t="str">
        <f>MID(Tabla1[[#This Row],[Aplicación]],14,1)</f>
        <v>2</v>
      </c>
      <c r="R3618" s="35" t="s">
        <v>298</v>
      </c>
      <c r="S3618" s="59" t="str">
        <f>MID(Tabla1[[#This Row],[Aplicación]],6,2)</f>
        <v>11</v>
      </c>
      <c r="T3618" s="35" t="str">
        <f>VLOOKUP(Tabla1[[#This Row],[AREA]],Hoja1!A:B,2,FALSE)</f>
        <v>11. Salud pública y seguridad ciudadana</v>
      </c>
      <c r="U3618" s="56" t="str">
        <f>MID(Tabla1[[#This Row],[Aplicación]],9,4)</f>
        <v>1361</v>
      </c>
      <c r="V3618" s="35" t="str">
        <f>VLOOKUP(Tabla1[[#This Row],[PROGRAMA]],Hoja1!A:B,2,FALSE)</f>
        <v>1361. Prevención y extinción de incencios</v>
      </c>
      <c r="W3618" s="56" t="str">
        <f>MID(Tabla1[[#This Row],[Aplicación]],14,2)</f>
        <v>22</v>
      </c>
      <c r="X3618" s="56" t="str">
        <f>MID(Tabla1[[#This Row],[Aplicación]],14,6)</f>
        <v>22199</v>
      </c>
    </row>
    <row r="3619" spans="1:24" x14ac:dyDescent="0.25">
      <c r="A3619" s="63">
        <v>220230029420</v>
      </c>
      <c r="B3619" s="44" t="s">
        <v>1514</v>
      </c>
      <c r="C3619" s="64">
        <v>45090</v>
      </c>
      <c r="D3619" s="62">
        <v>22023003930</v>
      </c>
      <c r="E3619" s="44" t="s">
        <v>1982</v>
      </c>
      <c r="F3619" s="65">
        <v>67.94</v>
      </c>
      <c r="G3619" s="44" t="s">
        <v>2434</v>
      </c>
      <c r="H3619" s="44" t="s">
        <v>5344</v>
      </c>
      <c r="I3619" s="62" t="s">
        <v>1517</v>
      </c>
      <c r="J3619" s="44" t="s">
        <v>519</v>
      </c>
      <c r="K3619" s="44" t="s">
        <v>519</v>
      </c>
      <c r="L3619" s="44" t="s">
        <v>552</v>
      </c>
      <c r="M3619" s="44" t="s">
        <v>514</v>
      </c>
      <c r="N3619" s="44" t="s">
        <v>515</v>
      </c>
      <c r="O3619" s="45" t="s">
        <v>382</v>
      </c>
      <c r="P3619" s="45" t="s">
        <v>3760</v>
      </c>
      <c r="Q3619" s="59" t="str">
        <f>MID(Tabla1[[#This Row],[Aplicación]],14,1)</f>
        <v>2</v>
      </c>
      <c r="R3619" s="35" t="s">
        <v>298</v>
      </c>
      <c r="S3619" s="59" t="str">
        <f>MID(Tabla1[[#This Row],[Aplicación]],6,2)</f>
        <v>07</v>
      </c>
      <c r="T3619" s="35" t="str">
        <f>VLOOKUP(Tabla1[[#This Row],[AREA]],Hoja1!A:B,2,FALSE)</f>
        <v>07. Medio ambiente y desarrollo sostenible</v>
      </c>
      <c r="U3619" s="56" t="str">
        <f>MID(Tabla1[[#This Row],[Aplicación]],9,4)</f>
        <v>1711</v>
      </c>
      <c r="V3619" s="35" t="str">
        <f>VLOOKUP(Tabla1[[#This Row],[PROGRAMA]],Hoja1!A:B,2,FALSE)</f>
        <v>1711. Parques y jardines</v>
      </c>
      <c r="W3619" s="56" t="str">
        <f>MID(Tabla1[[#This Row],[Aplicación]],14,2)</f>
        <v>21</v>
      </c>
      <c r="X3619" s="56" t="str">
        <f>MID(Tabla1[[#This Row],[Aplicación]],14,6)</f>
        <v>214</v>
      </c>
    </row>
    <row r="3620" spans="1:24" x14ac:dyDescent="0.25">
      <c r="A3620" s="63">
        <v>220230032496</v>
      </c>
      <c r="B3620" s="44" t="s">
        <v>1514</v>
      </c>
      <c r="C3620" s="64">
        <v>45107</v>
      </c>
      <c r="D3620" s="62">
        <v>22023000270</v>
      </c>
      <c r="E3620" s="44" t="s">
        <v>1694</v>
      </c>
      <c r="F3620" s="65">
        <v>619.12</v>
      </c>
      <c r="G3620" s="44" t="s">
        <v>2434</v>
      </c>
      <c r="H3620" s="44" t="s">
        <v>5345</v>
      </c>
      <c r="I3620" s="62" t="s">
        <v>1517</v>
      </c>
      <c r="J3620" s="44" t="s">
        <v>519</v>
      </c>
      <c r="K3620" s="44" t="s">
        <v>519</v>
      </c>
      <c r="L3620" s="44" t="s">
        <v>552</v>
      </c>
      <c r="M3620" s="44" t="s">
        <v>514</v>
      </c>
      <c r="N3620" s="44" t="s">
        <v>515</v>
      </c>
      <c r="O3620" s="45" t="s">
        <v>382</v>
      </c>
      <c r="P3620" s="45" t="s">
        <v>3760</v>
      </c>
      <c r="Q3620" s="59" t="str">
        <f>MID(Tabla1[[#This Row],[Aplicación]],14,1)</f>
        <v>2</v>
      </c>
      <c r="R3620" s="35" t="s">
        <v>298</v>
      </c>
      <c r="S3620" s="59" t="str">
        <f>MID(Tabla1[[#This Row],[Aplicación]],6,2)</f>
        <v>11</v>
      </c>
      <c r="T3620" s="35" t="str">
        <f>VLOOKUP(Tabla1[[#This Row],[AREA]],Hoja1!A:B,2,FALSE)</f>
        <v>11. Salud pública y seguridad ciudadana</v>
      </c>
      <c r="U3620" s="56" t="str">
        <f>MID(Tabla1[[#This Row],[Aplicación]],9,4)</f>
        <v>1321</v>
      </c>
      <c r="V3620" s="35" t="str">
        <f>VLOOKUP(Tabla1[[#This Row],[PROGRAMA]],Hoja1!A:B,2,FALSE)</f>
        <v>1321. Policía municipal</v>
      </c>
      <c r="W3620" s="56" t="str">
        <f>MID(Tabla1[[#This Row],[Aplicación]],14,2)</f>
        <v>21</v>
      </c>
      <c r="X3620" s="56" t="str">
        <f>MID(Tabla1[[#This Row],[Aplicación]],14,6)</f>
        <v>214</v>
      </c>
    </row>
    <row r="3621" spans="1:24" x14ac:dyDescent="0.25">
      <c r="A3621" s="63">
        <v>220230031231</v>
      </c>
      <c r="B3621" s="44" t="s">
        <v>507</v>
      </c>
      <c r="C3621" s="64">
        <v>45099</v>
      </c>
      <c r="D3621" s="62">
        <v>22023004970</v>
      </c>
      <c r="E3621" s="44" t="s">
        <v>1043</v>
      </c>
      <c r="F3621" s="65">
        <v>406.5</v>
      </c>
      <c r="G3621" s="44" t="s">
        <v>5326</v>
      </c>
      <c r="H3621" s="44" t="s">
        <v>5327</v>
      </c>
      <c r="I3621" s="62" t="s">
        <v>511</v>
      </c>
      <c r="J3621" s="44" t="s">
        <v>519</v>
      </c>
      <c r="K3621" s="44" t="s">
        <v>519</v>
      </c>
      <c r="L3621" s="44" t="s">
        <v>520</v>
      </c>
      <c r="M3621" s="44" t="s">
        <v>976</v>
      </c>
      <c r="N3621" s="44" t="s">
        <v>839</v>
      </c>
      <c r="O3621" s="45" t="s">
        <v>383</v>
      </c>
      <c r="P3621" s="45" t="s">
        <v>3760</v>
      </c>
      <c r="Q3621" s="59" t="str">
        <f>MID(Tabla1[[#This Row],[Aplicación]],14,1)</f>
        <v>2</v>
      </c>
      <c r="R3621" s="35" t="s">
        <v>298</v>
      </c>
      <c r="S3621" s="59" t="str">
        <f>MID(Tabla1[[#This Row],[Aplicación]],6,2)</f>
        <v>10</v>
      </c>
      <c r="T3621" s="35" t="str">
        <f>VLOOKUP(Tabla1[[#This Row],[AREA]],Hoja1!A:B,2,FALSE)</f>
        <v>10. Servicios sociales y mediación comunitaria</v>
      </c>
      <c r="U3621" s="56" t="str">
        <f>MID(Tabla1[[#This Row],[Aplicación]],9,4)</f>
        <v>2312</v>
      </c>
      <c r="V3621" s="35" t="str">
        <f>VLOOKUP(Tabla1[[#This Row],[PROGRAMA]],Hoja1!A:B,2,FALSE)</f>
        <v>2312. Iniciativas sociales</v>
      </c>
      <c r="W3621" s="56" t="str">
        <f>MID(Tabla1[[#This Row],[Aplicación]],14,2)</f>
        <v>22</v>
      </c>
      <c r="X3621" s="56" t="str">
        <f>MID(Tabla1[[#This Row],[Aplicación]],14,6)</f>
        <v>22699</v>
      </c>
    </row>
    <row r="3622" spans="1:24" x14ac:dyDescent="0.25">
      <c r="A3622" s="62">
        <v>220230020783</v>
      </c>
      <c r="B3622" s="44" t="s">
        <v>507</v>
      </c>
      <c r="C3622" s="64">
        <v>45062</v>
      </c>
      <c r="D3622" s="62">
        <v>22023004292</v>
      </c>
      <c r="E3622" s="44" t="s">
        <v>1548</v>
      </c>
      <c r="F3622" s="65">
        <v>12100</v>
      </c>
      <c r="G3622" s="44" t="s">
        <v>5346</v>
      </c>
      <c r="H3622" s="44" t="s">
        <v>5347</v>
      </c>
      <c r="I3622" s="62" t="s">
        <v>511</v>
      </c>
      <c r="J3622" s="44" t="s">
        <v>512</v>
      </c>
      <c r="K3622" s="44" t="s">
        <v>512</v>
      </c>
      <c r="L3622" s="44" t="s">
        <v>520</v>
      </c>
      <c r="M3622" s="44" t="s">
        <v>976</v>
      </c>
      <c r="N3622" s="44" t="s">
        <v>839</v>
      </c>
      <c r="O3622" s="45" t="s">
        <v>383</v>
      </c>
      <c r="P3622" s="45" t="s">
        <v>3760</v>
      </c>
      <c r="Q3622" s="59" t="str">
        <f>MID(Tabla1[[#This Row],[Aplicación]],14,1)</f>
        <v>2</v>
      </c>
      <c r="R3622" s="35" t="s">
        <v>298</v>
      </c>
      <c r="S3622" s="59" t="str">
        <f>MID(Tabla1[[#This Row],[Aplicación]],6,2)</f>
        <v>07</v>
      </c>
      <c r="T3622" s="35" t="str">
        <f>VLOOKUP(Tabla1[[#This Row],[AREA]],Hoja1!A:B,2,FALSE)</f>
        <v>07. Medio ambiente y desarrollo sostenible</v>
      </c>
      <c r="U3622" s="56" t="str">
        <f>MID(Tabla1[[#This Row],[Aplicación]],9,4)</f>
        <v>1721</v>
      </c>
      <c r="V3622" s="35" t="str">
        <f>VLOOKUP(Tabla1[[#This Row],[PROGRAMA]],Hoja1!A:B,2,FALSE)</f>
        <v>1721. Protección del medio ambiente</v>
      </c>
      <c r="W3622" s="56" t="str">
        <f>MID(Tabla1[[#This Row],[Aplicación]],14,2)</f>
        <v>22</v>
      </c>
      <c r="X3622" s="56" t="str">
        <f>MID(Tabla1[[#This Row],[Aplicación]],14,6)</f>
        <v>22706</v>
      </c>
    </row>
    <row r="3623" spans="1:24" x14ac:dyDescent="0.25">
      <c r="A3623" s="63">
        <v>220230031203</v>
      </c>
      <c r="B3623" s="44" t="s">
        <v>507</v>
      </c>
      <c r="C3623" s="64">
        <v>45099</v>
      </c>
      <c r="D3623" s="62">
        <v>22023005060</v>
      </c>
      <c r="E3623" s="44" t="s">
        <v>1285</v>
      </c>
      <c r="F3623" s="65">
        <v>401.12</v>
      </c>
      <c r="G3623" s="44" t="s">
        <v>18</v>
      </c>
      <c r="H3623" s="44" t="s">
        <v>5348</v>
      </c>
      <c r="I3623" s="62" t="s">
        <v>511</v>
      </c>
      <c r="J3623" s="44" t="s">
        <v>519</v>
      </c>
      <c r="K3623" s="44" t="s">
        <v>519</v>
      </c>
      <c r="L3623" s="44" t="s">
        <v>552</v>
      </c>
      <c r="M3623" s="44" t="s">
        <v>976</v>
      </c>
      <c r="N3623" s="44" t="s">
        <v>839</v>
      </c>
      <c r="O3623" s="45" t="s">
        <v>383</v>
      </c>
      <c r="P3623" s="45" t="s">
        <v>3760</v>
      </c>
      <c r="Q3623" s="59" t="str">
        <f>MID(Tabla1[[#This Row],[Aplicación]],14,1)</f>
        <v>2</v>
      </c>
      <c r="R3623" s="35" t="s">
        <v>298</v>
      </c>
      <c r="S3623" s="59" t="str">
        <f>MID(Tabla1[[#This Row],[Aplicación]],6,2)</f>
        <v>11</v>
      </c>
      <c r="T3623" s="35" t="str">
        <f>VLOOKUP(Tabla1[[#This Row],[AREA]],Hoja1!A:B,2,FALSE)</f>
        <v>11. Salud pública y seguridad ciudadana</v>
      </c>
      <c r="U3623" s="56" t="str">
        <f>MID(Tabla1[[#This Row],[Aplicación]],9,4)</f>
        <v>1361</v>
      </c>
      <c r="V3623" s="35" t="str">
        <f>VLOOKUP(Tabla1[[#This Row],[PROGRAMA]],Hoja1!A:B,2,FALSE)</f>
        <v>1361. Prevención y extinción de incencios</v>
      </c>
      <c r="W3623" s="56" t="str">
        <f>MID(Tabla1[[#This Row],[Aplicación]],14,2)</f>
        <v>22</v>
      </c>
      <c r="X3623" s="56" t="str">
        <f>MID(Tabla1[[#This Row],[Aplicación]],14,6)</f>
        <v>22199</v>
      </c>
    </row>
    <row r="3624" spans="1:24" x14ac:dyDescent="0.25">
      <c r="A3624" s="63">
        <v>220230028643</v>
      </c>
      <c r="B3624" s="44" t="s">
        <v>507</v>
      </c>
      <c r="C3624" s="64">
        <v>45085</v>
      </c>
      <c r="D3624" s="62">
        <v>22023004883</v>
      </c>
      <c r="E3624" s="44" t="s">
        <v>1479</v>
      </c>
      <c r="F3624" s="65">
        <v>400</v>
      </c>
      <c r="G3624" s="44" t="s">
        <v>5349</v>
      </c>
      <c r="H3624" s="44" t="s">
        <v>5350</v>
      </c>
      <c r="I3624" s="62" t="s">
        <v>511</v>
      </c>
      <c r="J3624" s="44" t="s">
        <v>519</v>
      </c>
      <c r="K3624" s="44" t="s">
        <v>519</v>
      </c>
      <c r="L3624" s="44" t="s">
        <v>520</v>
      </c>
      <c r="M3624" s="44" t="s">
        <v>976</v>
      </c>
      <c r="N3624" s="44" t="s">
        <v>839</v>
      </c>
      <c r="O3624" s="45" t="s">
        <v>383</v>
      </c>
      <c r="P3624" s="45" t="s">
        <v>3760</v>
      </c>
      <c r="Q3624" s="59" t="str">
        <f>MID(Tabla1[[#This Row],[Aplicación]],14,1)</f>
        <v>2</v>
      </c>
      <c r="R3624" s="35" t="s">
        <v>298</v>
      </c>
      <c r="S3624" s="59" t="str">
        <f>MID(Tabla1[[#This Row],[Aplicación]],6,2)</f>
        <v>03</v>
      </c>
      <c r="T3624" s="35" t="str">
        <f>VLOOKUP(Tabla1[[#This Row],[AREA]],Hoja1!A:B,2,FALSE)</f>
        <v>03. Participación ciudadana y deportes</v>
      </c>
      <c r="U3624" s="56" t="str">
        <f>MID(Tabla1[[#This Row],[Aplicación]],9,4)</f>
        <v>9241</v>
      </c>
      <c r="V3624" s="35" t="str">
        <f>VLOOKUP(Tabla1[[#This Row],[PROGRAMA]],Hoja1!A:B,2,FALSE)</f>
        <v>9241. Participación ciudadana</v>
      </c>
      <c r="W3624" s="56" t="str">
        <f>MID(Tabla1[[#This Row],[Aplicación]],14,2)</f>
        <v>22</v>
      </c>
      <c r="X3624" s="56" t="str">
        <f>MID(Tabla1[[#This Row],[Aplicación]],14,6)</f>
        <v>22609</v>
      </c>
    </row>
    <row r="3625" spans="1:24" x14ac:dyDescent="0.25">
      <c r="A3625" s="63">
        <v>220230030706</v>
      </c>
      <c r="B3625" s="44" t="s">
        <v>507</v>
      </c>
      <c r="C3625" s="64">
        <v>45097</v>
      </c>
      <c r="D3625" s="62">
        <v>22023004941</v>
      </c>
      <c r="E3625" s="44" t="s">
        <v>1191</v>
      </c>
      <c r="F3625" s="65">
        <v>377.52</v>
      </c>
      <c r="G3625" s="44" t="s">
        <v>991</v>
      </c>
      <c r="H3625" s="44" t="s">
        <v>5351</v>
      </c>
      <c r="I3625" s="62" t="s">
        <v>511</v>
      </c>
      <c r="J3625" s="44" t="s">
        <v>519</v>
      </c>
      <c r="K3625" s="44" t="s">
        <v>519</v>
      </c>
      <c r="L3625" s="44" t="s">
        <v>520</v>
      </c>
      <c r="M3625" s="44" t="s">
        <v>976</v>
      </c>
      <c r="N3625" s="44" t="s">
        <v>839</v>
      </c>
      <c r="O3625" s="45" t="s">
        <v>383</v>
      </c>
      <c r="P3625" s="45" t="s">
        <v>3760</v>
      </c>
      <c r="Q3625" s="59" t="str">
        <f>MID(Tabla1[[#This Row],[Aplicación]],14,1)</f>
        <v>2</v>
      </c>
      <c r="R3625" s="35" t="s">
        <v>298</v>
      </c>
      <c r="S3625" s="59" t="str">
        <f>MID(Tabla1[[#This Row],[Aplicación]],6,2)</f>
        <v>06</v>
      </c>
      <c r="T3625" s="35" t="str">
        <f>VLOOKUP(Tabla1[[#This Row],[AREA]],Hoja1!A:B,2,FALSE)</f>
        <v>06. Educación, infancia, juventud e igualdad</v>
      </c>
      <c r="U3625" s="56" t="str">
        <f>MID(Tabla1[[#This Row],[Aplicación]],9,4)</f>
        <v>2315</v>
      </c>
      <c r="V3625" s="35" t="str">
        <f>VLOOKUP(Tabla1[[#This Row],[PROGRAMA]],Hoja1!A:B,2,FALSE)</f>
        <v>2315. Políticas de Igualdad e infancia</v>
      </c>
      <c r="W3625" s="56" t="str">
        <f>MID(Tabla1[[#This Row],[Aplicación]],14,2)</f>
        <v>22</v>
      </c>
      <c r="X3625" s="56" t="str">
        <f>MID(Tabla1[[#This Row],[Aplicación]],14,6)</f>
        <v>22611</v>
      </c>
    </row>
    <row r="3626" spans="1:24" x14ac:dyDescent="0.25">
      <c r="A3626" s="63">
        <v>220230030713</v>
      </c>
      <c r="B3626" s="44" t="s">
        <v>507</v>
      </c>
      <c r="C3626" s="64">
        <v>45097</v>
      </c>
      <c r="D3626" s="62">
        <v>22023004932</v>
      </c>
      <c r="E3626" s="44" t="s">
        <v>3138</v>
      </c>
      <c r="F3626" s="65">
        <v>370</v>
      </c>
      <c r="G3626" s="44" t="s">
        <v>17</v>
      </c>
      <c r="H3626" s="44" t="s">
        <v>5352</v>
      </c>
      <c r="I3626" s="62" t="s">
        <v>511</v>
      </c>
      <c r="J3626" s="44" t="s">
        <v>519</v>
      </c>
      <c r="K3626" s="44" t="s">
        <v>519</v>
      </c>
      <c r="L3626" s="44" t="s">
        <v>552</v>
      </c>
      <c r="M3626" s="44" t="s">
        <v>976</v>
      </c>
      <c r="N3626" s="44" t="s">
        <v>839</v>
      </c>
      <c r="O3626" s="45" t="s">
        <v>383</v>
      </c>
      <c r="P3626" s="45" t="s">
        <v>3760</v>
      </c>
      <c r="Q3626" s="59" t="str">
        <f>MID(Tabla1[[#This Row],[Aplicación]],14,1)</f>
        <v>2</v>
      </c>
      <c r="R3626" s="35" t="s">
        <v>298</v>
      </c>
      <c r="S3626" s="59" t="str">
        <f>MID(Tabla1[[#This Row],[Aplicación]],6,2)</f>
        <v>08</v>
      </c>
      <c r="T3626" s="35" t="str">
        <f>VLOOKUP(Tabla1[[#This Row],[AREA]],Hoja1!A:B,2,FALSE)</f>
        <v>08. Movilidad y espacio urbano</v>
      </c>
      <c r="U3626" s="56" t="str">
        <f>MID(Tabla1[[#This Row],[Aplicación]],9,4)</f>
        <v>1532</v>
      </c>
      <c r="V3626" s="35" t="str">
        <f>VLOOKUP(Tabla1[[#This Row],[PROGRAMA]],Hoja1!A:B,2,FALSE)</f>
        <v>1532. Pavimentación vias públicas y otros servicios urbanísticos</v>
      </c>
      <c r="W3626" s="56" t="str">
        <f>MID(Tabla1[[#This Row],[Aplicación]],14,2)</f>
        <v>22</v>
      </c>
      <c r="X3626" s="56" t="str">
        <f>MID(Tabla1[[#This Row],[Aplicación]],14,6)</f>
        <v>22104</v>
      </c>
    </row>
    <row r="3627" spans="1:24" x14ac:dyDescent="0.25">
      <c r="A3627" s="63">
        <v>220230031247</v>
      </c>
      <c r="B3627" s="44" t="s">
        <v>507</v>
      </c>
      <c r="C3627" s="64">
        <v>45099</v>
      </c>
      <c r="D3627" s="62">
        <v>22023005026</v>
      </c>
      <c r="E3627" s="44" t="s">
        <v>2547</v>
      </c>
      <c r="F3627" s="65">
        <v>363</v>
      </c>
      <c r="G3627" s="44" t="s">
        <v>112</v>
      </c>
      <c r="H3627" s="44" t="s">
        <v>5353</v>
      </c>
      <c r="I3627" s="62" t="s">
        <v>511</v>
      </c>
      <c r="J3627" s="44" t="s">
        <v>519</v>
      </c>
      <c r="K3627" s="44" t="s">
        <v>519</v>
      </c>
      <c r="L3627" s="44" t="s">
        <v>552</v>
      </c>
      <c r="M3627" s="44" t="s">
        <v>976</v>
      </c>
      <c r="N3627" s="44" t="s">
        <v>839</v>
      </c>
      <c r="O3627" s="45" t="s">
        <v>383</v>
      </c>
      <c r="P3627" s="45" t="s">
        <v>3760</v>
      </c>
      <c r="Q3627" s="59" t="str">
        <f>MID(Tabla1[[#This Row],[Aplicación]],14,1)</f>
        <v>2</v>
      </c>
      <c r="R3627" s="35" t="s">
        <v>298</v>
      </c>
      <c r="S3627" s="59" t="str">
        <f>MID(Tabla1[[#This Row],[Aplicación]],6,2)</f>
        <v>06</v>
      </c>
      <c r="T3627" s="35" t="str">
        <f>VLOOKUP(Tabla1[[#This Row],[AREA]],Hoja1!A:B,2,FALSE)</f>
        <v>06. Educación, infancia, juventud e igualdad</v>
      </c>
      <c r="U3627" s="56" t="str">
        <f>MID(Tabla1[[#This Row],[Aplicación]],9,4)</f>
        <v>3231</v>
      </c>
      <c r="V3627" s="35" t="str">
        <f>VLOOKUP(Tabla1[[#This Row],[PROGRAMA]],Hoja1!A:B,2,FALSE)</f>
        <v>3231. Escuelas infantiles</v>
      </c>
      <c r="W3627" s="56" t="str">
        <f>MID(Tabla1[[#This Row],[Aplicación]],14,2)</f>
        <v>22</v>
      </c>
      <c r="X3627" s="56" t="str">
        <f>MID(Tabla1[[#This Row],[Aplicación]],14,6)</f>
        <v>22602</v>
      </c>
    </row>
    <row r="3628" spans="1:24" x14ac:dyDescent="0.25">
      <c r="A3628" s="63">
        <v>220230031244</v>
      </c>
      <c r="B3628" s="44" t="s">
        <v>507</v>
      </c>
      <c r="C3628" s="64">
        <v>45099</v>
      </c>
      <c r="D3628" s="62">
        <v>22023002558</v>
      </c>
      <c r="E3628" s="44" t="s">
        <v>1492</v>
      </c>
      <c r="F3628" s="65">
        <v>360</v>
      </c>
      <c r="G3628" s="44" t="s">
        <v>13</v>
      </c>
      <c r="H3628" s="44" t="s">
        <v>5354</v>
      </c>
      <c r="I3628" s="62" t="s">
        <v>511</v>
      </c>
      <c r="J3628" s="44" t="s">
        <v>519</v>
      </c>
      <c r="K3628" s="44" t="s">
        <v>519</v>
      </c>
      <c r="L3628" s="44" t="s">
        <v>520</v>
      </c>
      <c r="M3628" s="44" t="s">
        <v>976</v>
      </c>
      <c r="N3628" s="44" t="s">
        <v>839</v>
      </c>
      <c r="O3628" s="45" t="s">
        <v>383</v>
      </c>
      <c r="P3628" s="45" t="s">
        <v>3760</v>
      </c>
      <c r="Q3628" s="59" t="str">
        <f>MID(Tabla1[[#This Row],[Aplicación]],14,1)</f>
        <v>2</v>
      </c>
      <c r="R3628" s="35" t="s">
        <v>298</v>
      </c>
      <c r="S3628" s="59" t="str">
        <f>MID(Tabla1[[#This Row],[Aplicación]],6,2)</f>
        <v>10</v>
      </c>
      <c r="T3628" s="35" t="str">
        <f>VLOOKUP(Tabla1[[#This Row],[AREA]],Hoja1!A:B,2,FALSE)</f>
        <v>10. Servicios sociales y mediación comunitaria</v>
      </c>
      <c r="U3628" s="56" t="str">
        <f>MID(Tabla1[[#This Row],[Aplicación]],9,4)</f>
        <v>2316</v>
      </c>
      <c r="V3628" s="35" t="str">
        <f>VLOOKUP(Tabla1[[#This Row],[PROGRAMA]],Hoja1!A:B,2,FALSE)</f>
        <v>2316. Mediación comunitaria</v>
      </c>
      <c r="W3628" s="56" t="str">
        <f>MID(Tabla1[[#This Row],[Aplicación]],14,2)</f>
        <v>22</v>
      </c>
      <c r="X3628" s="56" t="str">
        <f>MID(Tabla1[[#This Row],[Aplicación]],14,6)</f>
        <v>22799</v>
      </c>
    </row>
    <row r="3629" spans="1:24" x14ac:dyDescent="0.25">
      <c r="A3629" s="63">
        <v>220230030694</v>
      </c>
      <c r="B3629" s="44" t="s">
        <v>507</v>
      </c>
      <c r="C3629" s="64">
        <v>45097</v>
      </c>
      <c r="D3629" s="62">
        <v>22023004855</v>
      </c>
      <c r="E3629" s="44" t="s">
        <v>1308</v>
      </c>
      <c r="F3629" s="65">
        <v>336.11</v>
      </c>
      <c r="G3629" s="44" t="s">
        <v>3581</v>
      </c>
      <c r="H3629" s="44" t="s">
        <v>5355</v>
      </c>
      <c r="I3629" s="62" t="s">
        <v>511</v>
      </c>
      <c r="J3629" s="44" t="s">
        <v>519</v>
      </c>
      <c r="K3629" s="44" t="s">
        <v>519</v>
      </c>
      <c r="L3629" s="44" t="s">
        <v>520</v>
      </c>
      <c r="M3629" s="44" t="s">
        <v>976</v>
      </c>
      <c r="N3629" s="44" t="s">
        <v>839</v>
      </c>
      <c r="O3629" s="45" t="s">
        <v>383</v>
      </c>
      <c r="P3629" s="45" t="s">
        <v>3760</v>
      </c>
      <c r="Q3629" s="59" t="str">
        <f>MID(Tabla1[[#This Row],[Aplicación]],14,1)</f>
        <v>2</v>
      </c>
      <c r="R3629" s="35" t="s">
        <v>298</v>
      </c>
      <c r="S3629" s="59" t="str">
        <f>MID(Tabla1[[#This Row],[Aplicación]],6,2)</f>
        <v>10</v>
      </c>
      <c r="T3629" s="35" t="str">
        <f>VLOOKUP(Tabla1[[#This Row],[AREA]],Hoja1!A:B,2,FALSE)</f>
        <v>10. Servicios sociales y mediación comunitaria</v>
      </c>
      <c r="U3629" s="56" t="str">
        <f>MID(Tabla1[[#This Row],[Aplicación]],9,4)</f>
        <v>2412</v>
      </c>
      <c r="V3629" s="35" t="str">
        <f>VLOOKUP(Tabla1[[#This Row],[PROGRAMA]],Hoja1!A:B,2,FALSE)</f>
        <v>2412. Formación para el empleo</v>
      </c>
      <c r="W3629" s="56" t="str">
        <f>MID(Tabla1[[#This Row],[Aplicación]],14,2)</f>
        <v>22</v>
      </c>
      <c r="X3629" s="56" t="str">
        <f>MID(Tabla1[[#This Row],[Aplicación]],14,6)</f>
        <v>223</v>
      </c>
    </row>
    <row r="3630" spans="1:24" x14ac:dyDescent="0.25">
      <c r="A3630" s="63">
        <v>220230026814</v>
      </c>
      <c r="B3630" s="44" t="s">
        <v>507</v>
      </c>
      <c r="C3630" s="64">
        <v>45078</v>
      </c>
      <c r="D3630" s="62">
        <v>22023004716</v>
      </c>
      <c r="E3630" s="44" t="s">
        <v>1043</v>
      </c>
      <c r="F3630" s="65">
        <v>335.41</v>
      </c>
      <c r="G3630" s="44" t="s">
        <v>5356</v>
      </c>
      <c r="H3630" s="44" t="s">
        <v>5357</v>
      </c>
      <c r="I3630" s="62" t="s">
        <v>511</v>
      </c>
      <c r="J3630" s="44" t="s">
        <v>5358</v>
      </c>
      <c r="K3630" s="44" t="s">
        <v>1359</v>
      </c>
      <c r="L3630" s="44" t="s">
        <v>520</v>
      </c>
      <c r="M3630" s="44" t="s">
        <v>976</v>
      </c>
      <c r="N3630" s="44" t="s">
        <v>839</v>
      </c>
      <c r="O3630" s="45" t="s">
        <v>383</v>
      </c>
      <c r="P3630" s="45" t="s">
        <v>3760</v>
      </c>
      <c r="Q3630" s="59" t="str">
        <f>MID(Tabla1[[#This Row],[Aplicación]],14,1)</f>
        <v>2</v>
      </c>
      <c r="R3630" s="35" t="s">
        <v>298</v>
      </c>
      <c r="S3630" s="59" t="str">
        <f>MID(Tabla1[[#This Row],[Aplicación]],6,2)</f>
        <v>10</v>
      </c>
      <c r="T3630" s="35" t="str">
        <f>VLOOKUP(Tabla1[[#This Row],[AREA]],Hoja1!A:B,2,FALSE)</f>
        <v>10. Servicios sociales y mediación comunitaria</v>
      </c>
      <c r="U3630" s="56" t="str">
        <f>MID(Tabla1[[#This Row],[Aplicación]],9,4)</f>
        <v>2312</v>
      </c>
      <c r="V3630" s="35" t="str">
        <f>VLOOKUP(Tabla1[[#This Row],[PROGRAMA]],Hoja1!A:B,2,FALSE)</f>
        <v>2312. Iniciativas sociales</v>
      </c>
      <c r="W3630" s="56" t="str">
        <f>MID(Tabla1[[#This Row],[Aplicación]],14,2)</f>
        <v>22</v>
      </c>
      <c r="X3630" s="56" t="str">
        <f>MID(Tabla1[[#This Row],[Aplicación]],14,6)</f>
        <v>22699</v>
      </c>
    </row>
    <row r="3631" spans="1:24" x14ac:dyDescent="0.25">
      <c r="A3631" s="63">
        <v>220230028585</v>
      </c>
      <c r="B3631" s="44" t="s">
        <v>1514</v>
      </c>
      <c r="C3631" s="64">
        <v>45084</v>
      </c>
      <c r="D3631" s="62">
        <v>22023004052</v>
      </c>
      <c r="E3631" s="44" t="s">
        <v>1290</v>
      </c>
      <c r="F3631" s="65">
        <v>6318.61</v>
      </c>
      <c r="G3631" s="44" t="s">
        <v>2424</v>
      </c>
      <c r="H3631" s="44" t="s">
        <v>5359</v>
      </c>
      <c r="I3631" s="62" t="s">
        <v>1517</v>
      </c>
      <c r="J3631" s="44" t="s">
        <v>519</v>
      </c>
      <c r="K3631" s="44" t="s">
        <v>519</v>
      </c>
      <c r="L3631" s="44" t="s">
        <v>552</v>
      </c>
      <c r="M3631" s="44" t="s">
        <v>514</v>
      </c>
      <c r="N3631" s="44" t="s">
        <v>515</v>
      </c>
      <c r="O3631" s="45" t="s">
        <v>382</v>
      </c>
      <c r="P3631" s="45" t="s">
        <v>3760</v>
      </c>
      <c r="Q3631" s="59" t="str">
        <f>MID(Tabla1[[#This Row],[Aplicación]],14,1)</f>
        <v>2</v>
      </c>
      <c r="R3631" s="35" t="s">
        <v>298</v>
      </c>
      <c r="S3631" s="59" t="str">
        <f>MID(Tabla1[[#This Row],[Aplicación]],6,2)</f>
        <v>11</v>
      </c>
      <c r="T3631" s="35" t="str">
        <f>VLOOKUP(Tabla1[[#This Row],[AREA]],Hoja1!A:B,2,FALSE)</f>
        <v>11. Salud pública y seguridad ciudadana</v>
      </c>
      <c r="U3631" s="56" t="str">
        <f>MID(Tabla1[[#This Row],[Aplicación]],9,4)</f>
        <v>1621</v>
      </c>
      <c r="V3631" s="35" t="str">
        <f>VLOOKUP(Tabla1[[#This Row],[PROGRAMA]],Hoja1!A:B,2,FALSE)</f>
        <v>1621. Servicio de limpieza</v>
      </c>
      <c r="W3631" s="56" t="str">
        <f>MID(Tabla1[[#This Row],[Aplicación]],14,2)</f>
        <v>21</v>
      </c>
      <c r="X3631" s="56" t="str">
        <f>MID(Tabla1[[#This Row],[Aplicación]],14,6)</f>
        <v>214</v>
      </c>
    </row>
    <row r="3632" spans="1:24" x14ac:dyDescent="0.25">
      <c r="A3632" s="63">
        <v>220230030124</v>
      </c>
      <c r="B3632" s="44" t="s">
        <v>1514</v>
      </c>
      <c r="C3632" s="64">
        <v>45093</v>
      </c>
      <c r="D3632" s="62">
        <v>22023000263</v>
      </c>
      <c r="E3632" s="44" t="s">
        <v>3146</v>
      </c>
      <c r="F3632" s="65">
        <v>24.2</v>
      </c>
      <c r="G3632" s="44" t="s">
        <v>2424</v>
      </c>
      <c r="H3632" s="44" t="s">
        <v>5360</v>
      </c>
      <c r="I3632" s="62" t="s">
        <v>1517</v>
      </c>
      <c r="J3632" s="44" t="s">
        <v>519</v>
      </c>
      <c r="K3632" s="44" t="s">
        <v>519</v>
      </c>
      <c r="L3632" s="44" t="s">
        <v>552</v>
      </c>
      <c r="M3632" s="44" t="s">
        <v>514</v>
      </c>
      <c r="N3632" s="44" t="s">
        <v>515</v>
      </c>
      <c r="O3632" s="45" t="s">
        <v>382</v>
      </c>
      <c r="P3632" s="45" t="s">
        <v>3760</v>
      </c>
      <c r="Q3632" s="59" t="str">
        <f>MID(Tabla1[[#This Row],[Aplicación]],14,1)</f>
        <v>2</v>
      </c>
      <c r="R3632" s="35" t="s">
        <v>298</v>
      </c>
      <c r="S3632" s="59" t="str">
        <f>MID(Tabla1[[#This Row],[Aplicación]],6,2)</f>
        <v>02</v>
      </c>
      <c r="T3632" s="35" t="str">
        <f>VLOOKUP(Tabla1[[#This Row],[AREA]],Hoja1!A:B,2,FALSE)</f>
        <v>02. Planeamiento urbanístico y vivienda</v>
      </c>
      <c r="U3632" s="56" t="str">
        <f>MID(Tabla1[[#This Row],[Aplicación]],9,4)</f>
        <v>9332</v>
      </c>
      <c r="V3632" s="35" t="str">
        <f>VLOOKUP(Tabla1[[#This Row],[PROGRAMA]],Hoja1!A:B,2,FALSE)</f>
        <v>9332. Mantenimiento de edificios e instalaciones municipales</v>
      </c>
      <c r="W3632" s="56" t="str">
        <f>MID(Tabla1[[#This Row],[Aplicación]],14,2)</f>
        <v>21</v>
      </c>
      <c r="X3632" s="56" t="str">
        <f>MID(Tabla1[[#This Row],[Aplicación]],14,6)</f>
        <v>214</v>
      </c>
    </row>
    <row r="3633" spans="1:24" x14ac:dyDescent="0.25">
      <c r="A3633" s="63">
        <v>220230026797</v>
      </c>
      <c r="B3633" s="44" t="s">
        <v>507</v>
      </c>
      <c r="C3633" s="64">
        <v>45078</v>
      </c>
      <c r="D3633" s="62">
        <v>22023004637</v>
      </c>
      <c r="E3633" s="44" t="s">
        <v>4784</v>
      </c>
      <c r="F3633" s="65">
        <v>4030.03</v>
      </c>
      <c r="G3633" s="44" t="s">
        <v>4785</v>
      </c>
      <c r="H3633" s="44" t="s">
        <v>5361</v>
      </c>
      <c r="I3633" s="62" t="s">
        <v>511</v>
      </c>
      <c r="J3633" s="44" t="s">
        <v>519</v>
      </c>
      <c r="K3633" s="44" t="s">
        <v>519</v>
      </c>
      <c r="L3633" s="44" t="s">
        <v>552</v>
      </c>
      <c r="M3633" s="44" t="s">
        <v>976</v>
      </c>
      <c r="N3633" s="44" t="s">
        <v>839</v>
      </c>
      <c r="O3633" s="45" t="s">
        <v>383</v>
      </c>
      <c r="P3633" s="45" t="s">
        <v>3760</v>
      </c>
      <c r="Q3633" s="59" t="str">
        <f>MID(Tabla1[[#This Row],[Aplicación]],14,1)</f>
        <v>1</v>
      </c>
      <c r="R3633" s="35" t="s">
        <v>306</v>
      </c>
      <c r="S3633" s="59" t="str">
        <f>MID(Tabla1[[#This Row],[Aplicación]],6,2)</f>
        <v>04</v>
      </c>
      <c r="T3633" s="35" t="str">
        <f>VLOOKUP(Tabla1[[#This Row],[AREA]],Hoja1!A:B,2,FALSE)</f>
        <v>04. Planificación y recursos</v>
      </c>
      <c r="U3633" s="56" t="str">
        <f>MID(Tabla1[[#This Row],[Aplicación]],9,4)</f>
        <v>9202</v>
      </c>
      <c r="V3633" s="35" t="str">
        <f>VLOOKUP(Tabla1[[#This Row],[PROGRAMA]],Hoja1!A:B,2,FALSE)</f>
        <v>9202. Gestión de recursos humanos</v>
      </c>
      <c r="W3633" s="56" t="str">
        <f>MID(Tabla1[[#This Row],[Aplicación]],14,2)</f>
        <v>16</v>
      </c>
      <c r="X3633" s="56" t="str">
        <f>MID(Tabla1[[#This Row],[Aplicación]],14,6)</f>
        <v>16204</v>
      </c>
    </row>
    <row r="3634" spans="1:24" x14ac:dyDescent="0.25">
      <c r="A3634" s="63">
        <v>220230032462</v>
      </c>
      <c r="B3634" s="44" t="s">
        <v>1514</v>
      </c>
      <c r="C3634" s="64">
        <v>45107</v>
      </c>
      <c r="D3634" s="62">
        <v>22023004436</v>
      </c>
      <c r="E3634" s="44" t="s">
        <v>1055</v>
      </c>
      <c r="F3634" s="65">
        <v>300.41000000000003</v>
      </c>
      <c r="G3634" s="44" t="s">
        <v>5362</v>
      </c>
      <c r="H3634" s="44" t="s">
        <v>5363</v>
      </c>
      <c r="I3634" s="62" t="s">
        <v>1517</v>
      </c>
      <c r="J3634" s="44" t="s">
        <v>1049</v>
      </c>
      <c r="K3634" s="44" t="s">
        <v>519</v>
      </c>
      <c r="L3634" s="44" t="s">
        <v>552</v>
      </c>
      <c r="M3634" s="44" t="s">
        <v>976</v>
      </c>
      <c r="N3634" s="44" t="s">
        <v>839</v>
      </c>
      <c r="O3634" s="45" t="s">
        <v>383</v>
      </c>
      <c r="P3634" s="45" t="s">
        <v>3760</v>
      </c>
      <c r="Q3634" s="59" t="str">
        <f>MID(Tabla1[[#This Row],[Aplicación]],14,1)</f>
        <v>2</v>
      </c>
      <c r="R3634" s="35" t="s">
        <v>298</v>
      </c>
      <c r="S3634" s="59" t="str">
        <f>MID(Tabla1[[#This Row],[Aplicación]],6,2)</f>
        <v>02</v>
      </c>
      <c r="T3634" s="35" t="str">
        <f>VLOOKUP(Tabla1[[#This Row],[AREA]],Hoja1!A:B,2,FALSE)</f>
        <v>02. Planeamiento urbanístico y vivienda</v>
      </c>
      <c r="U3634" s="56" t="str">
        <f>MID(Tabla1[[#This Row],[Aplicación]],9,4)</f>
        <v>9332</v>
      </c>
      <c r="V3634" s="35" t="str">
        <f>VLOOKUP(Tabla1[[#This Row],[PROGRAMA]],Hoja1!A:B,2,FALSE)</f>
        <v>9332. Mantenimiento de edificios e instalaciones municipales</v>
      </c>
      <c r="W3634" s="56" t="str">
        <f>MID(Tabla1[[#This Row],[Aplicación]],14,2)</f>
        <v>21</v>
      </c>
      <c r="X3634" s="56" t="str">
        <f>MID(Tabla1[[#This Row],[Aplicación]],14,6)</f>
        <v>213</v>
      </c>
    </row>
    <row r="3635" spans="1:24" x14ac:dyDescent="0.25">
      <c r="A3635" s="63">
        <v>220230031234</v>
      </c>
      <c r="B3635" s="44" t="s">
        <v>507</v>
      </c>
      <c r="C3635" s="64">
        <v>45099</v>
      </c>
      <c r="D3635" s="62">
        <v>22023005002</v>
      </c>
      <c r="E3635" s="44" t="s">
        <v>2275</v>
      </c>
      <c r="F3635" s="65">
        <v>300</v>
      </c>
      <c r="G3635" s="44" t="s">
        <v>5364</v>
      </c>
      <c r="H3635" s="44" t="s">
        <v>5365</v>
      </c>
      <c r="I3635" s="62" t="s">
        <v>511</v>
      </c>
      <c r="J3635" s="44" t="s">
        <v>519</v>
      </c>
      <c r="K3635" s="44" t="s">
        <v>519</v>
      </c>
      <c r="L3635" s="44" t="s">
        <v>552</v>
      </c>
      <c r="M3635" s="44" t="s">
        <v>976</v>
      </c>
      <c r="N3635" s="44" t="s">
        <v>839</v>
      </c>
      <c r="O3635" s="45" t="s">
        <v>383</v>
      </c>
      <c r="P3635" s="45" t="s">
        <v>3760</v>
      </c>
      <c r="Q3635" s="59" t="str">
        <f>MID(Tabla1[[#This Row],[Aplicación]],14,1)</f>
        <v>2</v>
      </c>
      <c r="R3635" s="35" t="s">
        <v>298</v>
      </c>
      <c r="S3635" s="59" t="str">
        <f>MID(Tabla1[[#This Row],[Aplicación]],6,2)</f>
        <v>11</v>
      </c>
      <c r="T3635" s="35" t="str">
        <f>VLOOKUP(Tabla1[[#This Row],[AREA]],Hoja1!A:B,2,FALSE)</f>
        <v>11. Salud pública y seguridad ciudadana</v>
      </c>
      <c r="U3635" s="56" t="str">
        <f>MID(Tabla1[[#This Row],[Aplicación]],9,4)</f>
        <v>3111</v>
      </c>
      <c r="V3635" s="35" t="str">
        <f>VLOOKUP(Tabla1[[#This Row],[PROGRAMA]],Hoja1!A:B,2,FALSE)</f>
        <v>3111. Protección de la salubridad pública</v>
      </c>
      <c r="W3635" s="56" t="str">
        <f>MID(Tabla1[[#This Row],[Aplicación]],14,2)</f>
        <v>22</v>
      </c>
      <c r="X3635" s="56" t="str">
        <f>MID(Tabla1[[#This Row],[Aplicación]],14,6)</f>
        <v>22199</v>
      </c>
    </row>
    <row r="3636" spans="1:24" x14ac:dyDescent="0.25">
      <c r="A3636" s="63">
        <v>220230030055</v>
      </c>
      <c r="B3636" s="44" t="s">
        <v>1514</v>
      </c>
      <c r="C3636" s="64">
        <v>45093</v>
      </c>
      <c r="D3636" s="62">
        <v>22023002795</v>
      </c>
      <c r="E3636" s="44" t="s">
        <v>5366</v>
      </c>
      <c r="F3636" s="65">
        <v>6500</v>
      </c>
      <c r="G3636" s="44" t="s">
        <v>5367</v>
      </c>
      <c r="H3636" s="44" t="s">
        <v>5368</v>
      </c>
      <c r="I3636" s="62" t="s">
        <v>1517</v>
      </c>
      <c r="J3636" s="44" t="s">
        <v>1333</v>
      </c>
      <c r="K3636" s="44" t="s">
        <v>512</v>
      </c>
      <c r="L3636" s="44" t="s">
        <v>520</v>
      </c>
      <c r="M3636" s="44" t="s">
        <v>976</v>
      </c>
      <c r="N3636" s="44" t="s">
        <v>839</v>
      </c>
      <c r="O3636" s="45" t="s">
        <v>383</v>
      </c>
      <c r="P3636" s="45" t="s">
        <v>3760</v>
      </c>
      <c r="Q3636" s="59" t="str">
        <f>MID(Tabla1[[#This Row],[Aplicación]],14,1)</f>
        <v>1</v>
      </c>
      <c r="R3636" s="35" t="s">
        <v>306</v>
      </c>
      <c r="S3636" s="59" t="str">
        <f>MID(Tabla1[[#This Row],[Aplicación]],6,2)</f>
        <v>11</v>
      </c>
      <c r="T3636" s="35" t="str">
        <f>VLOOKUP(Tabla1[[#This Row],[AREA]],Hoja1!A:B,2,FALSE)</f>
        <v>11. Salud pública y seguridad ciudadana</v>
      </c>
      <c r="U3636" s="56" t="str">
        <f>MID(Tabla1[[#This Row],[Aplicación]],9,4)</f>
        <v>1321</v>
      </c>
      <c r="V3636" s="35" t="str">
        <f>VLOOKUP(Tabla1[[#This Row],[PROGRAMA]],Hoja1!A:B,2,FALSE)</f>
        <v>1321. Policía municipal</v>
      </c>
      <c r="W3636" s="56" t="str">
        <f>MID(Tabla1[[#This Row],[Aplicación]],14,2)</f>
        <v>16</v>
      </c>
      <c r="X3636" s="56" t="str">
        <f>MID(Tabla1[[#This Row],[Aplicación]],14,6)</f>
        <v>16200</v>
      </c>
    </row>
    <row r="3637" spans="1:24" x14ac:dyDescent="0.25">
      <c r="A3637" s="63">
        <v>220230032531</v>
      </c>
      <c r="B3637" s="44" t="s">
        <v>1514</v>
      </c>
      <c r="C3637" s="64">
        <v>45107</v>
      </c>
      <c r="D3637" s="62">
        <v>22023003930</v>
      </c>
      <c r="E3637" s="44" t="s">
        <v>1982</v>
      </c>
      <c r="F3637" s="65">
        <v>173.13</v>
      </c>
      <c r="G3637" s="44" t="s">
        <v>2434</v>
      </c>
      <c r="H3637" s="44" t="s">
        <v>5369</v>
      </c>
      <c r="I3637" s="62" t="s">
        <v>1517</v>
      </c>
      <c r="J3637" s="44" t="s">
        <v>519</v>
      </c>
      <c r="K3637" s="44" t="s">
        <v>519</v>
      </c>
      <c r="L3637" s="44" t="s">
        <v>552</v>
      </c>
      <c r="M3637" s="44" t="s">
        <v>514</v>
      </c>
      <c r="N3637" s="44" t="s">
        <v>515</v>
      </c>
      <c r="O3637" s="45" t="s">
        <v>382</v>
      </c>
      <c r="P3637" s="45" t="s">
        <v>3760</v>
      </c>
      <c r="Q3637" s="59" t="str">
        <f>MID(Tabla1[[#This Row],[Aplicación]],14,1)</f>
        <v>2</v>
      </c>
      <c r="R3637" s="35" t="s">
        <v>298</v>
      </c>
      <c r="S3637" s="59" t="str">
        <f>MID(Tabla1[[#This Row],[Aplicación]],6,2)</f>
        <v>07</v>
      </c>
      <c r="T3637" s="35" t="str">
        <f>VLOOKUP(Tabla1[[#This Row],[AREA]],Hoja1!A:B,2,FALSE)</f>
        <v>07. Medio ambiente y desarrollo sostenible</v>
      </c>
      <c r="U3637" s="56" t="str">
        <f>MID(Tabla1[[#This Row],[Aplicación]],9,4)</f>
        <v>1711</v>
      </c>
      <c r="V3637" s="35" t="str">
        <f>VLOOKUP(Tabla1[[#This Row],[PROGRAMA]],Hoja1!A:B,2,FALSE)</f>
        <v>1711. Parques y jardines</v>
      </c>
      <c r="W3637" s="56" t="str">
        <f>MID(Tabla1[[#This Row],[Aplicación]],14,2)</f>
        <v>21</v>
      </c>
      <c r="X3637" s="56" t="str">
        <f>MID(Tabla1[[#This Row],[Aplicación]],14,6)</f>
        <v>214</v>
      </c>
    </row>
    <row r="3638" spans="1:24" x14ac:dyDescent="0.25">
      <c r="A3638" s="63">
        <v>220230030699</v>
      </c>
      <c r="B3638" s="44" t="s">
        <v>507</v>
      </c>
      <c r="C3638" s="64">
        <v>45097</v>
      </c>
      <c r="D3638" s="62">
        <v>22023004915</v>
      </c>
      <c r="E3638" s="44" t="s">
        <v>1043</v>
      </c>
      <c r="F3638" s="65">
        <v>291.67</v>
      </c>
      <c r="G3638" s="44" t="s">
        <v>96</v>
      </c>
      <c r="H3638" s="44" t="s">
        <v>5370</v>
      </c>
      <c r="I3638" s="62" t="s">
        <v>511</v>
      </c>
      <c r="J3638" s="44" t="s">
        <v>519</v>
      </c>
      <c r="K3638" s="44" t="s">
        <v>519</v>
      </c>
      <c r="L3638" s="44" t="s">
        <v>520</v>
      </c>
      <c r="M3638" s="44" t="s">
        <v>976</v>
      </c>
      <c r="N3638" s="44" t="s">
        <v>839</v>
      </c>
      <c r="O3638" s="45" t="s">
        <v>383</v>
      </c>
      <c r="P3638" s="45" t="s">
        <v>3760</v>
      </c>
      <c r="Q3638" s="59" t="str">
        <f>MID(Tabla1[[#This Row],[Aplicación]],14,1)</f>
        <v>2</v>
      </c>
      <c r="R3638" s="35" t="s">
        <v>298</v>
      </c>
      <c r="S3638" s="59" t="str">
        <f>MID(Tabla1[[#This Row],[Aplicación]],6,2)</f>
        <v>10</v>
      </c>
      <c r="T3638" s="35" t="str">
        <f>VLOOKUP(Tabla1[[#This Row],[AREA]],Hoja1!A:B,2,FALSE)</f>
        <v>10. Servicios sociales y mediación comunitaria</v>
      </c>
      <c r="U3638" s="56" t="str">
        <f>MID(Tabla1[[#This Row],[Aplicación]],9,4)</f>
        <v>2312</v>
      </c>
      <c r="V3638" s="35" t="str">
        <f>VLOOKUP(Tabla1[[#This Row],[PROGRAMA]],Hoja1!A:B,2,FALSE)</f>
        <v>2312. Iniciativas sociales</v>
      </c>
      <c r="W3638" s="56" t="str">
        <f>MID(Tabla1[[#This Row],[Aplicación]],14,2)</f>
        <v>22</v>
      </c>
      <c r="X3638" s="56" t="str">
        <f>MID(Tabla1[[#This Row],[Aplicación]],14,6)</f>
        <v>22699</v>
      </c>
    </row>
    <row r="3639" spans="1:24" x14ac:dyDescent="0.25">
      <c r="A3639" s="63">
        <v>220230028176</v>
      </c>
      <c r="B3639" s="44" t="s">
        <v>1514</v>
      </c>
      <c r="C3639" s="64">
        <v>45084</v>
      </c>
      <c r="D3639" s="62">
        <v>22023000270</v>
      </c>
      <c r="E3639" s="44" t="s">
        <v>1694</v>
      </c>
      <c r="F3639" s="65">
        <v>764.97</v>
      </c>
      <c r="G3639" s="44" t="s">
        <v>2427</v>
      </c>
      <c r="H3639" s="44" t="s">
        <v>2428</v>
      </c>
      <c r="I3639" s="62" t="s">
        <v>1517</v>
      </c>
      <c r="J3639" s="44" t="s">
        <v>519</v>
      </c>
      <c r="K3639" s="44" t="s">
        <v>519</v>
      </c>
      <c r="L3639" s="44" t="s">
        <v>552</v>
      </c>
      <c r="M3639" s="44" t="s">
        <v>514</v>
      </c>
      <c r="N3639" s="44" t="s">
        <v>515</v>
      </c>
      <c r="O3639" s="45" t="s">
        <v>382</v>
      </c>
      <c r="P3639" s="45" t="s">
        <v>3760</v>
      </c>
      <c r="Q3639" s="59" t="str">
        <f>MID(Tabla1[[#This Row],[Aplicación]],14,1)</f>
        <v>2</v>
      </c>
      <c r="R3639" s="35" t="s">
        <v>298</v>
      </c>
      <c r="S3639" s="59" t="str">
        <f>MID(Tabla1[[#This Row],[Aplicación]],6,2)</f>
        <v>11</v>
      </c>
      <c r="T3639" s="35" t="str">
        <f>VLOOKUP(Tabla1[[#This Row],[AREA]],Hoja1!A:B,2,FALSE)</f>
        <v>11. Salud pública y seguridad ciudadana</v>
      </c>
      <c r="U3639" s="56" t="str">
        <f>MID(Tabla1[[#This Row],[Aplicación]],9,4)</f>
        <v>1321</v>
      </c>
      <c r="V3639" s="35" t="str">
        <f>VLOOKUP(Tabla1[[#This Row],[PROGRAMA]],Hoja1!A:B,2,FALSE)</f>
        <v>1321. Policía municipal</v>
      </c>
      <c r="W3639" s="56" t="str">
        <f>MID(Tabla1[[#This Row],[Aplicación]],14,2)</f>
        <v>21</v>
      </c>
      <c r="X3639" s="56" t="str">
        <f>MID(Tabla1[[#This Row],[Aplicación]],14,6)</f>
        <v>214</v>
      </c>
    </row>
    <row r="3640" spans="1:24" x14ac:dyDescent="0.25">
      <c r="A3640" s="63">
        <v>220230032494</v>
      </c>
      <c r="B3640" s="44" t="s">
        <v>1514</v>
      </c>
      <c r="C3640" s="64">
        <v>45107</v>
      </c>
      <c r="D3640" s="62">
        <v>22023000270</v>
      </c>
      <c r="E3640" s="44" t="s">
        <v>1694</v>
      </c>
      <c r="F3640" s="65">
        <v>412.03</v>
      </c>
      <c r="G3640" s="44" t="s">
        <v>2427</v>
      </c>
      <c r="H3640" s="44" t="s">
        <v>5371</v>
      </c>
      <c r="I3640" s="62" t="s">
        <v>1517</v>
      </c>
      <c r="J3640" s="44" t="s">
        <v>519</v>
      </c>
      <c r="K3640" s="44" t="s">
        <v>519</v>
      </c>
      <c r="L3640" s="44" t="s">
        <v>552</v>
      </c>
      <c r="M3640" s="44" t="s">
        <v>514</v>
      </c>
      <c r="N3640" s="44" t="s">
        <v>515</v>
      </c>
      <c r="O3640" s="45" t="s">
        <v>382</v>
      </c>
      <c r="P3640" s="45" t="s">
        <v>3760</v>
      </c>
      <c r="Q3640" s="59" t="str">
        <f>MID(Tabla1[[#This Row],[Aplicación]],14,1)</f>
        <v>2</v>
      </c>
      <c r="R3640" s="35" t="s">
        <v>298</v>
      </c>
      <c r="S3640" s="59" t="str">
        <f>MID(Tabla1[[#This Row],[Aplicación]],6,2)</f>
        <v>11</v>
      </c>
      <c r="T3640" s="35" t="str">
        <f>VLOOKUP(Tabla1[[#This Row],[AREA]],Hoja1!A:B,2,FALSE)</f>
        <v>11. Salud pública y seguridad ciudadana</v>
      </c>
      <c r="U3640" s="56" t="str">
        <f>MID(Tabla1[[#This Row],[Aplicación]],9,4)</f>
        <v>1321</v>
      </c>
      <c r="V3640" s="35" t="str">
        <f>VLOOKUP(Tabla1[[#This Row],[PROGRAMA]],Hoja1!A:B,2,FALSE)</f>
        <v>1321. Policía municipal</v>
      </c>
      <c r="W3640" s="56" t="str">
        <f>MID(Tabla1[[#This Row],[Aplicación]],14,2)</f>
        <v>21</v>
      </c>
      <c r="X3640" s="56" t="str">
        <f>MID(Tabla1[[#This Row],[Aplicación]],14,6)</f>
        <v>214</v>
      </c>
    </row>
    <row r="3641" spans="1:24" x14ac:dyDescent="0.25">
      <c r="A3641" s="63">
        <v>220230032515</v>
      </c>
      <c r="B3641" s="44" t="s">
        <v>1514</v>
      </c>
      <c r="C3641" s="64">
        <v>45107</v>
      </c>
      <c r="D3641" s="62">
        <v>22023001607</v>
      </c>
      <c r="E3641" s="44" t="s">
        <v>1603</v>
      </c>
      <c r="F3641" s="65">
        <v>4336.95</v>
      </c>
      <c r="G3641" s="44" t="s">
        <v>2841</v>
      </c>
      <c r="H3641" s="44" t="s">
        <v>5372</v>
      </c>
      <c r="I3641" s="62" t="s">
        <v>1517</v>
      </c>
      <c r="J3641" s="44" t="s">
        <v>519</v>
      </c>
      <c r="K3641" s="44" t="s">
        <v>519</v>
      </c>
      <c r="L3641" s="44" t="s">
        <v>520</v>
      </c>
      <c r="M3641" s="44" t="s">
        <v>514</v>
      </c>
      <c r="N3641" s="44" t="s">
        <v>515</v>
      </c>
      <c r="O3641" s="45" t="s">
        <v>382</v>
      </c>
      <c r="P3641" s="45" t="s">
        <v>3760</v>
      </c>
      <c r="Q3641" s="59" t="str">
        <f>MID(Tabla1[[#This Row],[Aplicación]],14,1)</f>
        <v>2</v>
      </c>
      <c r="R3641" s="35" t="s">
        <v>298</v>
      </c>
      <c r="S3641" s="59" t="str">
        <f>MID(Tabla1[[#This Row],[Aplicación]],6,2)</f>
        <v>08</v>
      </c>
      <c r="T3641" s="35" t="str">
        <f>VLOOKUP(Tabla1[[#This Row],[AREA]],Hoja1!A:B,2,FALSE)</f>
        <v>08. Movilidad y espacio urbano</v>
      </c>
      <c r="U3641" s="56" t="str">
        <f>MID(Tabla1[[#This Row],[Aplicación]],9,4)</f>
        <v>1532</v>
      </c>
      <c r="V3641" s="35" t="str">
        <f>VLOOKUP(Tabla1[[#This Row],[PROGRAMA]],Hoja1!A:B,2,FALSE)</f>
        <v>1532. Pavimentación vias públicas y otros servicios urbanísticos</v>
      </c>
      <c r="W3641" s="56" t="str">
        <f>MID(Tabla1[[#This Row],[Aplicación]],14,2)</f>
        <v>21</v>
      </c>
      <c r="X3641" s="56" t="str">
        <f>MID(Tabla1[[#This Row],[Aplicación]],14,6)</f>
        <v>210</v>
      </c>
    </row>
    <row r="3642" spans="1:24" x14ac:dyDescent="0.25">
      <c r="A3642" s="63">
        <v>220230032556</v>
      </c>
      <c r="B3642" s="44" t="s">
        <v>1514</v>
      </c>
      <c r="C3642" s="64">
        <v>45107</v>
      </c>
      <c r="D3642" s="62">
        <v>22023001599</v>
      </c>
      <c r="E3642" s="44" t="s">
        <v>4879</v>
      </c>
      <c r="F3642" s="65">
        <v>177.89</v>
      </c>
      <c r="G3642" s="44" t="s">
        <v>2841</v>
      </c>
      <c r="H3642" s="44" t="s">
        <v>5373</v>
      </c>
      <c r="I3642" s="62" t="s">
        <v>1517</v>
      </c>
      <c r="J3642" s="44" t="s">
        <v>519</v>
      </c>
      <c r="K3642" s="44" t="s">
        <v>519</v>
      </c>
      <c r="L3642" s="44" t="s">
        <v>520</v>
      </c>
      <c r="M3642" s="44" t="s">
        <v>514</v>
      </c>
      <c r="N3642" s="44" t="s">
        <v>515</v>
      </c>
      <c r="O3642" s="45" t="s">
        <v>382</v>
      </c>
      <c r="P3642" s="45" t="s">
        <v>3760</v>
      </c>
      <c r="Q3642" s="59" t="str">
        <f>MID(Tabla1[[#This Row],[Aplicación]],14,1)</f>
        <v>2</v>
      </c>
      <c r="R3642" s="35" t="s">
        <v>298</v>
      </c>
      <c r="S3642" s="59" t="str">
        <f>MID(Tabla1[[#This Row],[Aplicación]],6,2)</f>
        <v>08</v>
      </c>
      <c r="T3642" s="35" t="str">
        <f>VLOOKUP(Tabla1[[#This Row],[AREA]],Hoja1!A:B,2,FALSE)</f>
        <v>08. Movilidad y espacio urbano</v>
      </c>
      <c r="U3642" s="56" t="str">
        <f>MID(Tabla1[[#This Row],[Aplicación]],9,4)</f>
        <v>1651</v>
      </c>
      <c r="V3642" s="35" t="str">
        <f>VLOOKUP(Tabla1[[#This Row],[PROGRAMA]],Hoja1!A:B,2,FALSE)</f>
        <v>1651. Alumbrado público</v>
      </c>
      <c r="W3642" s="56" t="str">
        <f>MID(Tabla1[[#This Row],[Aplicación]],14,2)</f>
        <v>21</v>
      </c>
      <c r="X3642" s="56" t="str">
        <f>MID(Tabla1[[#This Row],[Aplicación]],14,6)</f>
        <v>214</v>
      </c>
    </row>
    <row r="3643" spans="1:24" x14ac:dyDescent="0.25">
      <c r="A3643" s="63">
        <v>220230028571</v>
      </c>
      <c r="B3643" s="44" t="s">
        <v>1514</v>
      </c>
      <c r="C3643" s="64">
        <v>45084</v>
      </c>
      <c r="D3643" s="62">
        <v>22023004052</v>
      </c>
      <c r="E3643" s="44" t="s">
        <v>1290</v>
      </c>
      <c r="F3643" s="65">
        <v>379.94</v>
      </c>
      <c r="G3643" s="44" t="s">
        <v>5374</v>
      </c>
      <c r="H3643" s="44" t="s">
        <v>5375</v>
      </c>
      <c r="I3643" s="62" t="s">
        <v>1517</v>
      </c>
      <c r="J3643" s="44" t="s">
        <v>519</v>
      </c>
      <c r="K3643" s="44" t="s">
        <v>519</v>
      </c>
      <c r="L3643" s="44" t="s">
        <v>552</v>
      </c>
      <c r="M3643" s="44" t="s">
        <v>514</v>
      </c>
      <c r="N3643" s="44" t="s">
        <v>515</v>
      </c>
      <c r="O3643" s="45" t="s">
        <v>382</v>
      </c>
      <c r="P3643" s="45" t="s">
        <v>3760</v>
      </c>
      <c r="Q3643" s="59" t="str">
        <f>MID(Tabla1[[#This Row],[Aplicación]],14,1)</f>
        <v>2</v>
      </c>
      <c r="R3643" s="35" t="s">
        <v>298</v>
      </c>
      <c r="S3643" s="59" t="str">
        <f>MID(Tabla1[[#This Row],[Aplicación]],6,2)</f>
        <v>11</v>
      </c>
      <c r="T3643" s="35" t="str">
        <f>VLOOKUP(Tabla1[[#This Row],[AREA]],Hoja1!A:B,2,FALSE)</f>
        <v>11. Salud pública y seguridad ciudadana</v>
      </c>
      <c r="U3643" s="56" t="str">
        <f>MID(Tabla1[[#This Row],[Aplicación]],9,4)</f>
        <v>1621</v>
      </c>
      <c r="V3643" s="35" t="str">
        <f>VLOOKUP(Tabla1[[#This Row],[PROGRAMA]],Hoja1!A:B,2,FALSE)</f>
        <v>1621. Servicio de limpieza</v>
      </c>
      <c r="W3643" s="56" t="str">
        <f>MID(Tabla1[[#This Row],[Aplicación]],14,2)</f>
        <v>21</v>
      </c>
      <c r="X3643" s="56" t="str">
        <f>MID(Tabla1[[#This Row],[Aplicación]],14,6)</f>
        <v>214</v>
      </c>
    </row>
    <row r="3644" spans="1:24" x14ac:dyDescent="0.25">
      <c r="A3644" s="63">
        <v>220230028640</v>
      </c>
      <c r="B3644" s="44" t="s">
        <v>507</v>
      </c>
      <c r="C3644" s="64">
        <v>45085</v>
      </c>
      <c r="D3644" s="62">
        <v>22023004838</v>
      </c>
      <c r="E3644" s="44" t="s">
        <v>1479</v>
      </c>
      <c r="F3644" s="65">
        <v>290.39999999999998</v>
      </c>
      <c r="G3644" s="44" t="s">
        <v>41</v>
      </c>
      <c r="H3644" s="44" t="s">
        <v>5376</v>
      </c>
      <c r="I3644" s="62" t="s">
        <v>511</v>
      </c>
      <c r="J3644" s="44" t="s">
        <v>519</v>
      </c>
      <c r="K3644" s="44" t="s">
        <v>519</v>
      </c>
      <c r="L3644" s="44" t="s">
        <v>552</v>
      </c>
      <c r="M3644" s="44" t="s">
        <v>976</v>
      </c>
      <c r="N3644" s="44" t="s">
        <v>839</v>
      </c>
      <c r="O3644" s="45" t="s">
        <v>383</v>
      </c>
      <c r="P3644" s="45" t="s">
        <v>3760</v>
      </c>
      <c r="Q3644" s="59" t="str">
        <f>MID(Tabla1[[#This Row],[Aplicación]],14,1)</f>
        <v>2</v>
      </c>
      <c r="R3644" s="35" t="s">
        <v>298</v>
      </c>
      <c r="S3644" s="59" t="str">
        <f>MID(Tabla1[[#This Row],[Aplicación]],6,2)</f>
        <v>03</v>
      </c>
      <c r="T3644" s="35" t="str">
        <f>VLOOKUP(Tabla1[[#This Row],[AREA]],Hoja1!A:B,2,FALSE)</f>
        <v>03. Participación ciudadana y deportes</v>
      </c>
      <c r="U3644" s="56" t="str">
        <f>MID(Tabla1[[#This Row],[Aplicación]],9,4)</f>
        <v>9241</v>
      </c>
      <c r="V3644" s="35" t="str">
        <f>VLOOKUP(Tabla1[[#This Row],[PROGRAMA]],Hoja1!A:B,2,FALSE)</f>
        <v>9241. Participación ciudadana</v>
      </c>
      <c r="W3644" s="56" t="str">
        <f>MID(Tabla1[[#This Row],[Aplicación]],14,2)</f>
        <v>22</v>
      </c>
      <c r="X3644" s="56" t="str">
        <f>MID(Tabla1[[#This Row],[Aplicación]],14,6)</f>
        <v>22609</v>
      </c>
    </row>
    <row r="3645" spans="1:24" x14ac:dyDescent="0.25">
      <c r="A3645" s="63">
        <v>220230031214</v>
      </c>
      <c r="B3645" s="44" t="s">
        <v>507</v>
      </c>
      <c r="C3645" s="64">
        <v>45099</v>
      </c>
      <c r="D3645" s="62">
        <v>22023005077</v>
      </c>
      <c r="E3645" s="44" t="s">
        <v>613</v>
      </c>
      <c r="F3645" s="65">
        <v>284.95999999999998</v>
      </c>
      <c r="G3645" s="44" t="s">
        <v>1621</v>
      </c>
      <c r="H3645" s="44" t="s">
        <v>5377</v>
      </c>
      <c r="I3645" s="62" t="s">
        <v>511</v>
      </c>
      <c r="J3645" s="44" t="s">
        <v>1623</v>
      </c>
      <c r="K3645" s="44" t="s">
        <v>1624</v>
      </c>
      <c r="L3645" s="44" t="s">
        <v>552</v>
      </c>
      <c r="M3645" s="44" t="s">
        <v>976</v>
      </c>
      <c r="N3645" s="44" t="s">
        <v>839</v>
      </c>
      <c r="O3645" s="45" t="s">
        <v>383</v>
      </c>
      <c r="P3645" s="45" t="s">
        <v>3760</v>
      </c>
      <c r="Q3645" s="59" t="str">
        <f>MID(Tabla1[[#This Row],[Aplicación]],14,1)</f>
        <v>2</v>
      </c>
      <c r="R3645" s="35" t="s">
        <v>298</v>
      </c>
      <c r="S3645" s="59" t="str">
        <f>MID(Tabla1[[#This Row],[Aplicación]],6,2)</f>
        <v>10</v>
      </c>
      <c r="T3645" s="35" t="str">
        <f>VLOOKUP(Tabla1[[#This Row],[AREA]],Hoja1!A:B,2,FALSE)</f>
        <v>10. Servicios sociales y mediación comunitaria</v>
      </c>
      <c r="U3645" s="56" t="str">
        <f>MID(Tabla1[[#This Row],[Aplicación]],9,4)</f>
        <v>2312</v>
      </c>
      <c r="V3645" s="35" t="str">
        <f>VLOOKUP(Tabla1[[#This Row],[PROGRAMA]],Hoja1!A:B,2,FALSE)</f>
        <v>2312. Iniciativas sociales</v>
      </c>
      <c r="W3645" s="56" t="str">
        <f>MID(Tabla1[[#This Row],[Aplicación]],14,2)</f>
        <v>21</v>
      </c>
      <c r="X3645" s="56" t="str">
        <f>MID(Tabla1[[#This Row],[Aplicación]],14,6)</f>
        <v>213</v>
      </c>
    </row>
    <row r="3646" spans="1:24" x14ac:dyDescent="0.25">
      <c r="A3646" s="63">
        <v>220230030694</v>
      </c>
      <c r="B3646" s="44" t="s">
        <v>507</v>
      </c>
      <c r="C3646" s="64">
        <v>45097</v>
      </c>
      <c r="D3646" s="62">
        <v>22023004856</v>
      </c>
      <c r="E3646" s="44" t="s">
        <v>1308</v>
      </c>
      <c r="F3646" s="65">
        <v>268.89</v>
      </c>
      <c r="G3646" s="44" t="s">
        <v>3581</v>
      </c>
      <c r="H3646" s="44" t="s">
        <v>5355</v>
      </c>
      <c r="I3646" s="62" t="s">
        <v>511</v>
      </c>
      <c r="J3646" s="44" t="s">
        <v>519</v>
      </c>
      <c r="K3646" s="44" t="s">
        <v>519</v>
      </c>
      <c r="L3646" s="44" t="s">
        <v>520</v>
      </c>
      <c r="M3646" s="44" t="s">
        <v>976</v>
      </c>
      <c r="N3646" s="44" t="s">
        <v>839</v>
      </c>
      <c r="O3646" s="45" t="s">
        <v>383</v>
      </c>
      <c r="P3646" s="45" t="s">
        <v>3760</v>
      </c>
      <c r="Q3646" s="59" t="str">
        <f>MID(Tabla1[[#This Row],[Aplicación]],14,1)</f>
        <v>2</v>
      </c>
      <c r="R3646" s="35" t="s">
        <v>298</v>
      </c>
      <c r="S3646" s="59" t="str">
        <f>MID(Tabla1[[#This Row],[Aplicación]],6,2)</f>
        <v>10</v>
      </c>
      <c r="T3646" s="35" t="str">
        <f>VLOOKUP(Tabla1[[#This Row],[AREA]],Hoja1!A:B,2,FALSE)</f>
        <v>10. Servicios sociales y mediación comunitaria</v>
      </c>
      <c r="U3646" s="56" t="str">
        <f>MID(Tabla1[[#This Row],[Aplicación]],9,4)</f>
        <v>2412</v>
      </c>
      <c r="V3646" s="35" t="str">
        <f>VLOOKUP(Tabla1[[#This Row],[PROGRAMA]],Hoja1!A:B,2,FALSE)</f>
        <v>2412. Formación para el empleo</v>
      </c>
      <c r="W3646" s="56" t="str">
        <f>MID(Tabla1[[#This Row],[Aplicación]],14,2)</f>
        <v>22</v>
      </c>
      <c r="X3646" s="56" t="str">
        <f>MID(Tabla1[[#This Row],[Aplicación]],14,6)</f>
        <v>223</v>
      </c>
    </row>
    <row r="3647" spans="1:24" x14ac:dyDescent="0.25">
      <c r="A3647" s="63">
        <v>220230028587</v>
      </c>
      <c r="B3647" s="44" t="s">
        <v>1514</v>
      </c>
      <c r="C3647" s="64">
        <v>45084</v>
      </c>
      <c r="D3647" s="62">
        <v>22023004052</v>
      </c>
      <c r="E3647" s="44" t="s">
        <v>1290</v>
      </c>
      <c r="F3647" s="65">
        <v>233.77</v>
      </c>
      <c r="G3647" s="44" t="s">
        <v>5374</v>
      </c>
      <c r="H3647" s="44" t="s">
        <v>5378</v>
      </c>
      <c r="I3647" s="62" t="s">
        <v>1517</v>
      </c>
      <c r="J3647" s="44" t="s">
        <v>519</v>
      </c>
      <c r="K3647" s="44" t="s">
        <v>519</v>
      </c>
      <c r="L3647" s="44" t="s">
        <v>552</v>
      </c>
      <c r="M3647" s="44" t="s">
        <v>514</v>
      </c>
      <c r="N3647" s="44" t="s">
        <v>515</v>
      </c>
      <c r="O3647" s="45" t="s">
        <v>382</v>
      </c>
      <c r="P3647" s="45" t="s">
        <v>3760</v>
      </c>
      <c r="Q3647" s="59" t="str">
        <f>MID(Tabla1[[#This Row],[Aplicación]],14,1)</f>
        <v>2</v>
      </c>
      <c r="R3647" s="35" t="s">
        <v>298</v>
      </c>
      <c r="S3647" s="59" t="str">
        <f>MID(Tabla1[[#This Row],[Aplicación]],6,2)</f>
        <v>11</v>
      </c>
      <c r="T3647" s="35" t="str">
        <f>VLOOKUP(Tabla1[[#This Row],[AREA]],Hoja1!A:B,2,FALSE)</f>
        <v>11. Salud pública y seguridad ciudadana</v>
      </c>
      <c r="U3647" s="56" t="str">
        <f>MID(Tabla1[[#This Row],[Aplicación]],9,4)</f>
        <v>1621</v>
      </c>
      <c r="V3647" s="35" t="str">
        <f>VLOOKUP(Tabla1[[#This Row],[PROGRAMA]],Hoja1!A:B,2,FALSE)</f>
        <v>1621. Servicio de limpieza</v>
      </c>
      <c r="W3647" s="56" t="str">
        <f>MID(Tabla1[[#This Row],[Aplicación]],14,2)</f>
        <v>21</v>
      </c>
      <c r="X3647" s="56" t="str">
        <f>MID(Tabla1[[#This Row],[Aplicación]],14,6)</f>
        <v>214</v>
      </c>
    </row>
    <row r="3648" spans="1:24" x14ac:dyDescent="0.25">
      <c r="A3648" s="63">
        <v>220230026806</v>
      </c>
      <c r="B3648" s="44" t="s">
        <v>507</v>
      </c>
      <c r="C3648" s="64">
        <v>45078</v>
      </c>
      <c r="D3648" s="62">
        <v>22023004701</v>
      </c>
      <c r="E3648" s="44" t="s">
        <v>2624</v>
      </c>
      <c r="F3648" s="65">
        <v>266.2</v>
      </c>
      <c r="G3648" s="44" t="s">
        <v>41</v>
      </c>
      <c r="H3648" s="44" t="s">
        <v>5379</v>
      </c>
      <c r="I3648" s="62" t="s">
        <v>511</v>
      </c>
      <c r="J3648" s="44" t="s">
        <v>519</v>
      </c>
      <c r="K3648" s="44" t="s">
        <v>519</v>
      </c>
      <c r="L3648" s="44" t="s">
        <v>520</v>
      </c>
      <c r="M3648" s="44" t="s">
        <v>976</v>
      </c>
      <c r="N3648" s="44" t="s">
        <v>839</v>
      </c>
      <c r="O3648" s="45" t="s">
        <v>383</v>
      </c>
      <c r="P3648" s="45" t="s">
        <v>3760</v>
      </c>
      <c r="Q3648" s="59" t="str">
        <f>MID(Tabla1[[#This Row],[Aplicación]],14,1)</f>
        <v>2</v>
      </c>
      <c r="R3648" s="35" t="s">
        <v>298</v>
      </c>
      <c r="S3648" s="59" t="str">
        <f>MID(Tabla1[[#This Row],[Aplicación]],6,2)</f>
        <v>11</v>
      </c>
      <c r="T3648" s="35" t="str">
        <f>VLOOKUP(Tabla1[[#This Row],[AREA]],Hoja1!A:B,2,FALSE)</f>
        <v>11. Salud pública y seguridad ciudadana</v>
      </c>
      <c r="U3648" s="56" t="str">
        <f>MID(Tabla1[[#This Row],[Aplicación]],9,4)</f>
        <v>1621</v>
      </c>
      <c r="V3648" s="35" t="str">
        <f>VLOOKUP(Tabla1[[#This Row],[PROGRAMA]],Hoja1!A:B,2,FALSE)</f>
        <v>1621. Servicio de limpieza</v>
      </c>
      <c r="W3648" s="56" t="str">
        <f>MID(Tabla1[[#This Row],[Aplicación]],14,2)</f>
        <v>22</v>
      </c>
      <c r="X3648" s="56" t="str">
        <f>MID(Tabla1[[#This Row],[Aplicación]],14,6)</f>
        <v>22199</v>
      </c>
    </row>
    <row r="3649" spans="1:24" x14ac:dyDescent="0.25">
      <c r="A3649" s="63">
        <v>220230031215</v>
      </c>
      <c r="B3649" s="44" t="s">
        <v>507</v>
      </c>
      <c r="C3649" s="64">
        <v>45099</v>
      </c>
      <c r="D3649" s="62">
        <v>22023005059</v>
      </c>
      <c r="E3649" s="44" t="s">
        <v>1285</v>
      </c>
      <c r="F3649" s="65">
        <v>264.05</v>
      </c>
      <c r="G3649" s="44" t="s">
        <v>5380</v>
      </c>
      <c r="H3649" s="44" t="s">
        <v>5381</v>
      </c>
      <c r="I3649" s="62" t="s">
        <v>511</v>
      </c>
      <c r="J3649" s="44" t="s">
        <v>519</v>
      </c>
      <c r="K3649" s="44" t="s">
        <v>519</v>
      </c>
      <c r="L3649" s="44" t="s">
        <v>552</v>
      </c>
      <c r="M3649" s="44" t="s">
        <v>976</v>
      </c>
      <c r="N3649" s="44" t="s">
        <v>839</v>
      </c>
      <c r="O3649" s="45" t="s">
        <v>383</v>
      </c>
      <c r="P3649" s="45" t="s">
        <v>3760</v>
      </c>
      <c r="Q3649" s="59" t="str">
        <f>MID(Tabla1[[#This Row],[Aplicación]],14,1)</f>
        <v>2</v>
      </c>
      <c r="R3649" s="35" t="s">
        <v>298</v>
      </c>
      <c r="S3649" s="59" t="str">
        <f>MID(Tabla1[[#This Row],[Aplicación]],6,2)</f>
        <v>11</v>
      </c>
      <c r="T3649" s="35" t="str">
        <f>VLOOKUP(Tabla1[[#This Row],[AREA]],Hoja1!A:B,2,FALSE)</f>
        <v>11. Salud pública y seguridad ciudadana</v>
      </c>
      <c r="U3649" s="56" t="str">
        <f>MID(Tabla1[[#This Row],[Aplicación]],9,4)</f>
        <v>1361</v>
      </c>
      <c r="V3649" s="35" t="str">
        <f>VLOOKUP(Tabla1[[#This Row],[PROGRAMA]],Hoja1!A:B,2,FALSE)</f>
        <v>1361. Prevención y extinción de incencios</v>
      </c>
      <c r="W3649" s="56" t="str">
        <f>MID(Tabla1[[#This Row],[Aplicación]],14,2)</f>
        <v>22</v>
      </c>
      <c r="X3649" s="56" t="str">
        <f>MID(Tabla1[[#This Row],[Aplicación]],14,6)</f>
        <v>22199</v>
      </c>
    </row>
    <row r="3650" spans="1:24" x14ac:dyDescent="0.25">
      <c r="A3650" s="63">
        <v>220230030679</v>
      </c>
      <c r="B3650" s="44" t="s">
        <v>507</v>
      </c>
      <c r="C3650" s="64">
        <v>45097</v>
      </c>
      <c r="D3650" s="62">
        <v>22023004708</v>
      </c>
      <c r="E3650" s="44" t="s">
        <v>669</v>
      </c>
      <c r="F3650" s="65">
        <v>915.44</v>
      </c>
      <c r="G3650" s="44" t="s">
        <v>33</v>
      </c>
      <c r="H3650" s="44" t="s">
        <v>5382</v>
      </c>
      <c r="I3650" s="62" t="s">
        <v>511</v>
      </c>
      <c r="J3650" s="44" t="s">
        <v>519</v>
      </c>
      <c r="K3650" s="44" t="s">
        <v>519</v>
      </c>
      <c r="L3650" s="44" t="s">
        <v>520</v>
      </c>
      <c r="M3650" s="44" t="s">
        <v>514</v>
      </c>
      <c r="N3650" s="44" t="s">
        <v>604</v>
      </c>
      <c r="O3650" s="45" t="s">
        <v>371</v>
      </c>
      <c r="P3650" s="45" t="s">
        <v>3760</v>
      </c>
      <c r="Q3650" s="59" t="str">
        <f>MID(Tabla1[[#This Row],[Aplicación]],14,1)</f>
        <v>2</v>
      </c>
      <c r="R3650" s="35" t="s">
        <v>298</v>
      </c>
      <c r="S3650" s="59" t="str">
        <f>MID(Tabla1[[#This Row],[Aplicación]],6,2)</f>
        <v>06</v>
      </c>
      <c r="T3650" s="35" t="str">
        <f>VLOOKUP(Tabla1[[#This Row],[AREA]],Hoja1!A:B,2,FALSE)</f>
        <v>06. Educación, infancia, juventud e igualdad</v>
      </c>
      <c r="U3650" s="56" t="str">
        <f>MID(Tabla1[[#This Row],[Aplicación]],9,4)</f>
        <v>3232</v>
      </c>
      <c r="V3650" s="35" t="str">
        <f>VLOOKUP(Tabla1[[#This Row],[PROGRAMA]],Hoja1!A:B,2,FALSE)</f>
        <v>3232. Conservación y mantenimiento centros educación infantil y primaria</v>
      </c>
      <c r="W3650" s="56" t="str">
        <f>MID(Tabla1[[#This Row],[Aplicación]],14,2)</f>
        <v>21</v>
      </c>
      <c r="X3650" s="56" t="str">
        <f>MID(Tabla1[[#This Row],[Aplicación]],14,6)</f>
        <v>213</v>
      </c>
    </row>
    <row r="3651" spans="1:24" x14ac:dyDescent="0.25">
      <c r="A3651" s="62">
        <v>220230016027</v>
      </c>
      <c r="B3651" s="44" t="s">
        <v>507</v>
      </c>
      <c r="C3651" s="64">
        <v>45042</v>
      </c>
      <c r="D3651" s="62">
        <v>22023004024</v>
      </c>
      <c r="E3651" s="44" t="s">
        <v>3143</v>
      </c>
      <c r="F3651" s="65">
        <v>1149.5</v>
      </c>
      <c r="G3651" s="44" t="s">
        <v>5383</v>
      </c>
      <c r="H3651" s="44" t="s">
        <v>5384</v>
      </c>
      <c r="I3651" s="62" t="s">
        <v>511</v>
      </c>
      <c r="J3651" s="44" t="s">
        <v>519</v>
      </c>
      <c r="K3651" s="44" t="s">
        <v>519</v>
      </c>
      <c r="L3651" s="44" t="s">
        <v>520</v>
      </c>
      <c r="M3651" s="44" t="s">
        <v>976</v>
      </c>
      <c r="N3651" s="44" t="s">
        <v>839</v>
      </c>
      <c r="O3651" s="45" t="s">
        <v>383</v>
      </c>
      <c r="P3651" s="45" t="s">
        <v>3760</v>
      </c>
      <c r="Q3651" s="59" t="str">
        <f>MID(Tabla1[[#This Row],[Aplicación]],14,1)</f>
        <v>2</v>
      </c>
      <c r="R3651" s="35" t="s">
        <v>298</v>
      </c>
      <c r="S3651" s="59" t="str">
        <f>MID(Tabla1[[#This Row],[Aplicación]],6,2)</f>
        <v>10</v>
      </c>
      <c r="T3651" s="35" t="str">
        <f>VLOOKUP(Tabla1[[#This Row],[AREA]],Hoja1!A:B,2,FALSE)</f>
        <v>10. Servicios sociales y mediación comunitaria</v>
      </c>
      <c r="U3651" s="56" t="str">
        <f>MID(Tabla1[[#This Row],[Aplicación]],9,4)</f>
        <v>2312</v>
      </c>
      <c r="V3651" s="35" t="str">
        <f>VLOOKUP(Tabla1[[#This Row],[PROGRAMA]],Hoja1!A:B,2,FALSE)</f>
        <v>2312. Iniciativas sociales</v>
      </c>
      <c r="W3651" s="56" t="str">
        <f>MID(Tabla1[[#This Row],[Aplicación]],14,2)</f>
        <v>22</v>
      </c>
      <c r="X3651" s="56" t="str">
        <f>MID(Tabla1[[#This Row],[Aplicación]],14,6)</f>
        <v>223</v>
      </c>
    </row>
    <row r="3652" spans="1:24" x14ac:dyDescent="0.25">
      <c r="A3652" s="62">
        <v>220230026330</v>
      </c>
      <c r="B3652" s="44" t="s">
        <v>1514</v>
      </c>
      <c r="C3652" s="64">
        <v>45077</v>
      </c>
      <c r="D3652" s="62">
        <v>22023004052</v>
      </c>
      <c r="E3652" s="44" t="s">
        <v>1290</v>
      </c>
      <c r="F3652" s="65">
        <v>1174.6300000000001</v>
      </c>
      <c r="G3652" s="44" t="s">
        <v>62</v>
      </c>
      <c r="H3652" s="44" t="s">
        <v>5385</v>
      </c>
      <c r="I3652" s="62" t="s">
        <v>1517</v>
      </c>
      <c r="J3652" s="44" t="s">
        <v>3014</v>
      </c>
      <c r="K3652" s="44" t="s">
        <v>3015</v>
      </c>
      <c r="L3652" s="44" t="s">
        <v>552</v>
      </c>
      <c r="M3652" s="44" t="s">
        <v>514</v>
      </c>
      <c r="N3652" s="44" t="s">
        <v>515</v>
      </c>
      <c r="O3652" s="45" t="s">
        <v>382</v>
      </c>
      <c r="P3652" s="45" t="s">
        <v>3760</v>
      </c>
      <c r="Q3652" s="59" t="str">
        <f>MID(Tabla1[[#This Row],[Aplicación]],14,1)</f>
        <v>2</v>
      </c>
      <c r="R3652" s="35" t="s">
        <v>298</v>
      </c>
      <c r="S3652" s="59" t="str">
        <f>MID(Tabla1[[#This Row],[Aplicación]],6,2)</f>
        <v>11</v>
      </c>
      <c r="T3652" s="35" t="str">
        <f>VLOOKUP(Tabla1[[#This Row],[AREA]],Hoja1!A:B,2,FALSE)</f>
        <v>11. Salud pública y seguridad ciudadana</v>
      </c>
      <c r="U3652" s="56" t="str">
        <f>MID(Tabla1[[#This Row],[Aplicación]],9,4)</f>
        <v>1621</v>
      </c>
      <c r="V3652" s="35" t="str">
        <f>VLOOKUP(Tabla1[[#This Row],[PROGRAMA]],Hoja1!A:B,2,FALSE)</f>
        <v>1621. Servicio de limpieza</v>
      </c>
      <c r="W3652" s="56" t="str">
        <f>MID(Tabla1[[#This Row],[Aplicación]],14,2)</f>
        <v>21</v>
      </c>
      <c r="X3652" s="56" t="str">
        <f>MID(Tabla1[[#This Row],[Aplicación]],14,6)</f>
        <v>214</v>
      </c>
    </row>
    <row r="3653" spans="1:24" x14ac:dyDescent="0.25">
      <c r="A3653" s="62">
        <v>220230026284</v>
      </c>
      <c r="B3653" s="44" t="s">
        <v>1514</v>
      </c>
      <c r="C3653" s="64">
        <v>45077</v>
      </c>
      <c r="D3653" s="62">
        <v>22023004052</v>
      </c>
      <c r="E3653" s="44" t="s">
        <v>1290</v>
      </c>
      <c r="F3653" s="65">
        <v>1095.57</v>
      </c>
      <c r="G3653" s="44" t="s">
        <v>62</v>
      </c>
      <c r="H3653" s="44" t="s">
        <v>5386</v>
      </c>
      <c r="I3653" s="62" t="s">
        <v>1517</v>
      </c>
      <c r="J3653" s="44" t="s">
        <v>3014</v>
      </c>
      <c r="K3653" s="44" t="s">
        <v>3015</v>
      </c>
      <c r="L3653" s="44" t="s">
        <v>552</v>
      </c>
      <c r="M3653" s="44" t="s">
        <v>514</v>
      </c>
      <c r="N3653" s="44" t="s">
        <v>515</v>
      </c>
      <c r="O3653" s="45" t="s">
        <v>382</v>
      </c>
      <c r="P3653" s="45" t="s">
        <v>3760</v>
      </c>
      <c r="Q3653" s="59" t="str">
        <f>MID(Tabla1[[#This Row],[Aplicación]],14,1)</f>
        <v>2</v>
      </c>
      <c r="R3653" s="35" t="s">
        <v>298</v>
      </c>
      <c r="S3653" s="59" t="str">
        <f>MID(Tabla1[[#This Row],[Aplicación]],6,2)</f>
        <v>11</v>
      </c>
      <c r="T3653" s="35" t="str">
        <f>VLOOKUP(Tabla1[[#This Row],[AREA]],Hoja1!A:B,2,FALSE)</f>
        <v>11. Salud pública y seguridad ciudadana</v>
      </c>
      <c r="U3653" s="56" t="str">
        <f>MID(Tabla1[[#This Row],[Aplicación]],9,4)</f>
        <v>1621</v>
      </c>
      <c r="V3653" s="35" t="str">
        <f>VLOOKUP(Tabla1[[#This Row],[PROGRAMA]],Hoja1!A:B,2,FALSE)</f>
        <v>1621. Servicio de limpieza</v>
      </c>
      <c r="W3653" s="56" t="str">
        <f>MID(Tabla1[[#This Row],[Aplicación]],14,2)</f>
        <v>21</v>
      </c>
      <c r="X3653" s="56" t="str">
        <f>MID(Tabla1[[#This Row],[Aplicación]],14,6)</f>
        <v>214</v>
      </c>
    </row>
    <row r="3654" spans="1:24" x14ac:dyDescent="0.25">
      <c r="A3654" s="63">
        <v>220230026814</v>
      </c>
      <c r="B3654" s="44" t="s">
        <v>507</v>
      </c>
      <c r="C3654" s="64">
        <v>45078</v>
      </c>
      <c r="D3654" s="62">
        <v>22023004715</v>
      </c>
      <c r="E3654" s="44" t="s">
        <v>1043</v>
      </c>
      <c r="F3654" s="65">
        <v>239.59</v>
      </c>
      <c r="G3654" s="44" t="s">
        <v>5356</v>
      </c>
      <c r="H3654" s="44" t="s">
        <v>5357</v>
      </c>
      <c r="I3654" s="62" t="s">
        <v>511</v>
      </c>
      <c r="J3654" s="44" t="s">
        <v>5358</v>
      </c>
      <c r="K3654" s="44" t="s">
        <v>1359</v>
      </c>
      <c r="L3654" s="44" t="s">
        <v>520</v>
      </c>
      <c r="M3654" s="44" t="s">
        <v>976</v>
      </c>
      <c r="N3654" s="44" t="s">
        <v>839</v>
      </c>
      <c r="O3654" s="45" t="s">
        <v>383</v>
      </c>
      <c r="P3654" s="45" t="s">
        <v>3760</v>
      </c>
      <c r="Q3654" s="59" t="str">
        <f>MID(Tabla1[[#This Row],[Aplicación]],14,1)</f>
        <v>2</v>
      </c>
      <c r="R3654" s="35" t="s">
        <v>298</v>
      </c>
      <c r="S3654" s="59" t="str">
        <f>MID(Tabla1[[#This Row],[Aplicación]],6,2)</f>
        <v>10</v>
      </c>
      <c r="T3654" s="35" t="str">
        <f>VLOOKUP(Tabla1[[#This Row],[AREA]],Hoja1!A:B,2,FALSE)</f>
        <v>10. Servicios sociales y mediación comunitaria</v>
      </c>
      <c r="U3654" s="56" t="str">
        <f>MID(Tabla1[[#This Row],[Aplicación]],9,4)</f>
        <v>2312</v>
      </c>
      <c r="V3654" s="35" t="str">
        <f>VLOOKUP(Tabla1[[#This Row],[PROGRAMA]],Hoja1!A:B,2,FALSE)</f>
        <v>2312. Iniciativas sociales</v>
      </c>
      <c r="W3654" s="56" t="str">
        <f>MID(Tabla1[[#This Row],[Aplicación]],14,2)</f>
        <v>22</v>
      </c>
      <c r="X3654" s="56" t="str">
        <f>MID(Tabla1[[#This Row],[Aplicación]],14,6)</f>
        <v>22699</v>
      </c>
    </row>
    <row r="3655" spans="1:24" x14ac:dyDescent="0.25">
      <c r="A3655" s="63">
        <v>220230026804</v>
      </c>
      <c r="B3655" s="44" t="s">
        <v>507</v>
      </c>
      <c r="C3655" s="64">
        <v>45078</v>
      </c>
      <c r="D3655" s="62">
        <v>22023004696</v>
      </c>
      <c r="E3655" s="44" t="s">
        <v>574</v>
      </c>
      <c r="F3655" s="65">
        <v>231</v>
      </c>
      <c r="G3655" s="44" t="s">
        <v>59</v>
      </c>
      <c r="H3655" s="44" t="s">
        <v>5387</v>
      </c>
      <c r="I3655" s="62" t="s">
        <v>511</v>
      </c>
      <c r="J3655" s="44" t="s">
        <v>519</v>
      </c>
      <c r="K3655" s="44" t="s">
        <v>519</v>
      </c>
      <c r="L3655" s="44" t="s">
        <v>520</v>
      </c>
      <c r="M3655" s="44" t="s">
        <v>976</v>
      </c>
      <c r="N3655" s="44" t="s">
        <v>839</v>
      </c>
      <c r="O3655" s="45" t="s">
        <v>383</v>
      </c>
      <c r="P3655" s="45" t="s">
        <v>3760</v>
      </c>
      <c r="Q3655" s="59" t="str">
        <f>MID(Tabla1[[#This Row],[Aplicación]],14,1)</f>
        <v>2</v>
      </c>
      <c r="R3655" s="35" t="s">
        <v>298</v>
      </c>
      <c r="S3655" s="59" t="str">
        <f>MID(Tabla1[[#This Row],[Aplicación]],6,2)</f>
        <v>11</v>
      </c>
      <c r="T3655" s="35" t="str">
        <f>VLOOKUP(Tabla1[[#This Row],[AREA]],Hoja1!A:B,2,FALSE)</f>
        <v>11. Salud pública y seguridad ciudadana</v>
      </c>
      <c r="U3655" s="56" t="str">
        <f>MID(Tabla1[[#This Row],[Aplicación]],9,4)</f>
        <v>1621</v>
      </c>
      <c r="V3655" s="35" t="str">
        <f>VLOOKUP(Tabla1[[#This Row],[PROGRAMA]],Hoja1!A:B,2,FALSE)</f>
        <v>1621. Servicio de limpieza</v>
      </c>
      <c r="W3655" s="56" t="str">
        <f>MID(Tabla1[[#This Row],[Aplicación]],14,2)</f>
        <v>22</v>
      </c>
      <c r="X3655" s="56" t="str">
        <f>MID(Tabla1[[#This Row],[Aplicación]],14,6)</f>
        <v>22700</v>
      </c>
    </row>
    <row r="3656" spans="1:24" x14ac:dyDescent="0.25">
      <c r="A3656" s="63">
        <v>220230030714</v>
      </c>
      <c r="B3656" s="44" t="s">
        <v>507</v>
      </c>
      <c r="C3656" s="64">
        <v>45097</v>
      </c>
      <c r="D3656" s="62">
        <v>22023004942</v>
      </c>
      <c r="E3656" s="44" t="s">
        <v>3911</v>
      </c>
      <c r="F3656" s="65">
        <v>225</v>
      </c>
      <c r="G3656" s="44" t="s">
        <v>5388</v>
      </c>
      <c r="H3656" s="44" t="s">
        <v>5389</v>
      </c>
      <c r="I3656" s="62" t="s">
        <v>511</v>
      </c>
      <c r="J3656" s="44" t="s">
        <v>519</v>
      </c>
      <c r="K3656" s="44" t="s">
        <v>519</v>
      </c>
      <c r="L3656" s="44" t="s">
        <v>520</v>
      </c>
      <c r="M3656" s="44" t="s">
        <v>976</v>
      </c>
      <c r="N3656" s="44" t="s">
        <v>839</v>
      </c>
      <c r="O3656" s="45" t="s">
        <v>383</v>
      </c>
      <c r="P3656" s="45" t="s">
        <v>3760</v>
      </c>
      <c r="Q3656" s="59" t="str">
        <f>MID(Tabla1[[#This Row],[Aplicación]],14,1)</f>
        <v>2</v>
      </c>
      <c r="R3656" s="35" t="s">
        <v>298</v>
      </c>
      <c r="S3656" s="59" t="str">
        <f>MID(Tabla1[[#This Row],[Aplicación]],6,2)</f>
        <v>10</v>
      </c>
      <c r="T3656" s="35" t="str">
        <f>VLOOKUP(Tabla1[[#This Row],[AREA]],Hoja1!A:B,2,FALSE)</f>
        <v>10. Servicios sociales y mediación comunitaria</v>
      </c>
      <c r="U3656" s="56" t="str">
        <f>MID(Tabla1[[#This Row],[Aplicación]],9,4)</f>
        <v>2311</v>
      </c>
      <c r="V3656" s="35" t="str">
        <f>VLOOKUP(Tabla1[[#This Row],[PROGRAMA]],Hoja1!A:B,2,FALSE)</f>
        <v>2311. Intervención social</v>
      </c>
      <c r="W3656" s="56" t="str">
        <f>MID(Tabla1[[#This Row],[Aplicación]],14,2)</f>
        <v>22</v>
      </c>
      <c r="X3656" s="56" t="str">
        <f>MID(Tabla1[[#This Row],[Aplicación]],14,6)</f>
        <v>22699</v>
      </c>
    </row>
    <row r="3657" spans="1:24" x14ac:dyDescent="0.25">
      <c r="A3657" s="63">
        <v>220230031186</v>
      </c>
      <c r="B3657" s="44" t="s">
        <v>507</v>
      </c>
      <c r="C3657" s="64">
        <v>45099</v>
      </c>
      <c r="D3657" s="62">
        <v>22023005192</v>
      </c>
      <c r="E3657" s="44" t="s">
        <v>1285</v>
      </c>
      <c r="F3657" s="65">
        <v>216.59</v>
      </c>
      <c r="G3657" s="44" t="s">
        <v>41</v>
      </c>
      <c r="H3657" s="44" t="s">
        <v>5390</v>
      </c>
      <c r="I3657" s="62" t="s">
        <v>511</v>
      </c>
      <c r="J3657" s="44" t="s">
        <v>519</v>
      </c>
      <c r="K3657" s="44" t="s">
        <v>519</v>
      </c>
      <c r="L3657" s="44" t="s">
        <v>520</v>
      </c>
      <c r="M3657" s="44" t="s">
        <v>976</v>
      </c>
      <c r="N3657" s="44" t="s">
        <v>839</v>
      </c>
      <c r="O3657" s="45" t="s">
        <v>383</v>
      </c>
      <c r="P3657" s="45" t="s">
        <v>3760</v>
      </c>
      <c r="Q3657" s="59" t="str">
        <f>MID(Tabla1[[#This Row],[Aplicación]],14,1)</f>
        <v>2</v>
      </c>
      <c r="R3657" s="35" t="s">
        <v>298</v>
      </c>
      <c r="S3657" s="59" t="str">
        <f>MID(Tabla1[[#This Row],[Aplicación]],6,2)</f>
        <v>11</v>
      </c>
      <c r="T3657" s="35" t="str">
        <f>VLOOKUP(Tabla1[[#This Row],[AREA]],Hoja1!A:B,2,FALSE)</f>
        <v>11. Salud pública y seguridad ciudadana</v>
      </c>
      <c r="U3657" s="56" t="str">
        <f>MID(Tabla1[[#This Row],[Aplicación]],9,4)</f>
        <v>1361</v>
      </c>
      <c r="V3657" s="35" t="str">
        <f>VLOOKUP(Tabla1[[#This Row],[PROGRAMA]],Hoja1!A:B,2,FALSE)</f>
        <v>1361. Prevención y extinción de incencios</v>
      </c>
      <c r="W3657" s="56" t="str">
        <f>MID(Tabla1[[#This Row],[Aplicación]],14,2)</f>
        <v>22</v>
      </c>
      <c r="X3657" s="56" t="str">
        <f>MID(Tabla1[[#This Row],[Aplicación]],14,6)</f>
        <v>22199</v>
      </c>
    </row>
    <row r="3658" spans="1:24" x14ac:dyDescent="0.25">
      <c r="A3658" s="63">
        <v>220230030675</v>
      </c>
      <c r="B3658" s="44" t="s">
        <v>507</v>
      </c>
      <c r="C3658" s="64">
        <v>45097</v>
      </c>
      <c r="D3658" s="62">
        <v>22023004359</v>
      </c>
      <c r="E3658" s="44" t="s">
        <v>1548</v>
      </c>
      <c r="F3658" s="65">
        <v>11434.5</v>
      </c>
      <c r="G3658" s="44" t="s">
        <v>5391</v>
      </c>
      <c r="H3658" s="44" t="s">
        <v>5392</v>
      </c>
      <c r="I3658" s="62" t="s">
        <v>511</v>
      </c>
      <c r="J3658" s="44" t="s">
        <v>1637</v>
      </c>
      <c r="K3658" s="44" t="s">
        <v>1637</v>
      </c>
      <c r="L3658" s="44" t="s">
        <v>520</v>
      </c>
      <c r="M3658" s="44" t="s">
        <v>976</v>
      </c>
      <c r="N3658" s="44" t="s">
        <v>839</v>
      </c>
      <c r="O3658" s="45" t="s">
        <v>383</v>
      </c>
      <c r="P3658" s="45" t="s">
        <v>3760</v>
      </c>
      <c r="Q3658" s="59" t="str">
        <f>MID(Tabla1[[#This Row],[Aplicación]],14,1)</f>
        <v>2</v>
      </c>
      <c r="R3658" s="35" t="s">
        <v>298</v>
      </c>
      <c r="S3658" s="59" t="str">
        <f>MID(Tabla1[[#This Row],[Aplicación]],6,2)</f>
        <v>07</v>
      </c>
      <c r="T3658" s="35" t="str">
        <f>VLOOKUP(Tabla1[[#This Row],[AREA]],Hoja1!A:B,2,FALSE)</f>
        <v>07. Medio ambiente y desarrollo sostenible</v>
      </c>
      <c r="U3658" s="56" t="str">
        <f>MID(Tabla1[[#This Row],[Aplicación]],9,4)</f>
        <v>1721</v>
      </c>
      <c r="V3658" s="35" t="str">
        <f>VLOOKUP(Tabla1[[#This Row],[PROGRAMA]],Hoja1!A:B,2,FALSE)</f>
        <v>1721. Protección del medio ambiente</v>
      </c>
      <c r="W3658" s="56" t="str">
        <f>MID(Tabla1[[#This Row],[Aplicación]],14,2)</f>
        <v>22</v>
      </c>
      <c r="X3658" s="56" t="str">
        <f>MID(Tabla1[[#This Row],[Aplicación]],14,6)</f>
        <v>22706</v>
      </c>
    </row>
    <row r="3659" spans="1:24" x14ac:dyDescent="0.25">
      <c r="A3659" s="63">
        <v>220230030699</v>
      </c>
      <c r="B3659" s="44" t="s">
        <v>507</v>
      </c>
      <c r="C3659" s="64">
        <v>45097</v>
      </c>
      <c r="D3659" s="62">
        <v>22023002347</v>
      </c>
      <c r="E3659" s="44" t="s">
        <v>1043</v>
      </c>
      <c r="F3659" s="65">
        <v>208.33</v>
      </c>
      <c r="G3659" s="44" t="s">
        <v>96</v>
      </c>
      <c r="H3659" s="44" t="s">
        <v>5370</v>
      </c>
      <c r="I3659" s="62" t="s">
        <v>511</v>
      </c>
      <c r="J3659" s="44" t="s">
        <v>519</v>
      </c>
      <c r="K3659" s="44" t="s">
        <v>519</v>
      </c>
      <c r="L3659" s="44" t="s">
        <v>520</v>
      </c>
      <c r="M3659" s="44" t="s">
        <v>976</v>
      </c>
      <c r="N3659" s="44" t="s">
        <v>839</v>
      </c>
      <c r="O3659" s="45" t="s">
        <v>383</v>
      </c>
      <c r="P3659" s="45" t="s">
        <v>3760</v>
      </c>
      <c r="Q3659" s="59" t="str">
        <f>MID(Tabla1[[#This Row],[Aplicación]],14,1)</f>
        <v>2</v>
      </c>
      <c r="R3659" s="35" t="s">
        <v>298</v>
      </c>
      <c r="S3659" s="59" t="str">
        <f>MID(Tabla1[[#This Row],[Aplicación]],6,2)</f>
        <v>10</v>
      </c>
      <c r="T3659" s="35" t="str">
        <f>VLOOKUP(Tabla1[[#This Row],[AREA]],Hoja1!A:B,2,FALSE)</f>
        <v>10. Servicios sociales y mediación comunitaria</v>
      </c>
      <c r="U3659" s="56" t="str">
        <f>MID(Tabla1[[#This Row],[Aplicación]],9,4)</f>
        <v>2312</v>
      </c>
      <c r="V3659" s="35" t="str">
        <f>VLOOKUP(Tabla1[[#This Row],[PROGRAMA]],Hoja1!A:B,2,FALSE)</f>
        <v>2312. Iniciativas sociales</v>
      </c>
      <c r="W3659" s="56" t="str">
        <f>MID(Tabla1[[#This Row],[Aplicación]],14,2)</f>
        <v>22</v>
      </c>
      <c r="X3659" s="56" t="str">
        <f>MID(Tabla1[[#This Row],[Aplicación]],14,6)</f>
        <v>22699</v>
      </c>
    </row>
    <row r="3660" spans="1:24" x14ac:dyDescent="0.25">
      <c r="A3660" s="62">
        <v>220230024845</v>
      </c>
      <c r="B3660" s="44" t="s">
        <v>507</v>
      </c>
      <c r="C3660" s="64">
        <v>45070</v>
      </c>
      <c r="D3660" s="62">
        <v>22023004324</v>
      </c>
      <c r="E3660" s="44" t="s">
        <v>5393</v>
      </c>
      <c r="F3660" s="65">
        <v>28670.93</v>
      </c>
      <c r="G3660" s="44" t="s">
        <v>809</v>
      </c>
      <c r="H3660" s="44" t="s">
        <v>5394</v>
      </c>
      <c r="I3660" s="62" t="s">
        <v>511</v>
      </c>
      <c r="J3660" s="44" t="s">
        <v>811</v>
      </c>
      <c r="K3660" s="44" t="s">
        <v>812</v>
      </c>
      <c r="L3660" s="44" t="s">
        <v>527</v>
      </c>
      <c r="M3660" s="44" t="s">
        <v>514</v>
      </c>
      <c r="N3660" s="44" t="s">
        <v>604</v>
      </c>
      <c r="O3660" s="45" t="s">
        <v>371</v>
      </c>
      <c r="P3660" s="45" t="s">
        <v>3760</v>
      </c>
      <c r="Q3660" s="59" t="str">
        <f>MID(Tabla1[[#This Row],[Aplicación]],14,1)</f>
        <v>6</v>
      </c>
      <c r="R3660" s="35" t="s">
        <v>299</v>
      </c>
      <c r="S3660" s="59" t="str">
        <f>MID(Tabla1[[#This Row],[Aplicación]],6,2)</f>
        <v>05</v>
      </c>
      <c r="T3660" s="35" t="str">
        <f>VLOOKUP(Tabla1[[#This Row],[AREA]],Hoja1!A:B,2,FALSE)</f>
        <v>05. Innovación, desarrollo económico, empleo y comercio</v>
      </c>
      <c r="U3660" s="56" t="str">
        <f>MID(Tabla1[[#This Row],[Aplicación]],9,4)</f>
        <v>4331</v>
      </c>
      <c r="V3660" s="35" t="str">
        <f>VLOOKUP(Tabla1[[#This Row],[PROGRAMA]],Hoja1!A:B,2,FALSE)</f>
        <v>4331. Desarrollo empresarial</v>
      </c>
      <c r="W3660" s="56" t="str">
        <f>MID(Tabla1[[#This Row],[Aplicación]],14,2)</f>
        <v>63</v>
      </c>
      <c r="X3660" s="56" t="str">
        <f>MID(Tabla1[[#This Row],[Aplicación]],14,6)</f>
        <v>632</v>
      </c>
    </row>
    <row r="3661" spans="1:24" x14ac:dyDescent="0.25">
      <c r="A3661" s="63">
        <v>220230031253</v>
      </c>
      <c r="B3661" s="44" t="s">
        <v>507</v>
      </c>
      <c r="C3661" s="64">
        <v>45099</v>
      </c>
      <c r="D3661" s="62">
        <v>22023005047</v>
      </c>
      <c r="E3661" s="44" t="s">
        <v>2857</v>
      </c>
      <c r="F3661" s="65">
        <v>196.02</v>
      </c>
      <c r="G3661" s="44" t="s">
        <v>468</v>
      </c>
      <c r="H3661" s="44" t="s">
        <v>5395</v>
      </c>
      <c r="I3661" s="62" t="s">
        <v>511</v>
      </c>
      <c r="J3661" s="44" t="s">
        <v>2863</v>
      </c>
      <c r="K3661" s="44" t="s">
        <v>729</v>
      </c>
      <c r="L3661" s="44" t="s">
        <v>552</v>
      </c>
      <c r="M3661" s="44" t="s">
        <v>976</v>
      </c>
      <c r="N3661" s="44" t="s">
        <v>839</v>
      </c>
      <c r="O3661" s="45" t="s">
        <v>383</v>
      </c>
      <c r="P3661" s="45" t="s">
        <v>3760</v>
      </c>
      <c r="Q3661" s="59" t="str">
        <f>MID(Tabla1[[#This Row],[Aplicación]],14,1)</f>
        <v>2</v>
      </c>
      <c r="R3661" s="35" t="s">
        <v>298</v>
      </c>
      <c r="S3661" s="59" t="str">
        <f>MID(Tabla1[[#This Row],[Aplicación]],6,2)</f>
        <v>11</v>
      </c>
      <c r="T3661" s="35" t="str">
        <f>VLOOKUP(Tabla1[[#This Row],[AREA]],Hoja1!A:B,2,FALSE)</f>
        <v>11. Salud pública y seguridad ciudadana</v>
      </c>
      <c r="U3661" s="56" t="str">
        <f>MID(Tabla1[[#This Row],[Aplicación]],9,4)</f>
        <v>1361</v>
      </c>
      <c r="V3661" s="35" t="str">
        <f>VLOOKUP(Tabla1[[#This Row],[PROGRAMA]],Hoja1!A:B,2,FALSE)</f>
        <v>1361. Prevención y extinción de incencios</v>
      </c>
      <c r="W3661" s="56" t="str">
        <f>MID(Tabla1[[#This Row],[Aplicación]],14,2)</f>
        <v>22</v>
      </c>
      <c r="X3661" s="56" t="str">
        <f>MID(Tabla1[[#This Row],[Aplicación]],14,6)</f>
        <v>22104</v>
      </c>
    </row>
    <row r="3662" spans="1:24" x14ac:dyDescent="0.25">
      <c r="A3662" s="63">
        <v>220230031190</v>
      </c>
      <c r="B3662" s="44" t="s">
        <v>507</v>
      </c>
      <c r="C3662" s="64">
        <v>45099</v>
      </c>
      <c r="D3662" s="62">
        <v>22023005122</v>
      </c>
      <c r="E3662" s="44" t="s">
        <v>1911</v>
      </c>
      <c r="F3662" s="65">
        <v>193.15</v>
      </c>
      <c r="G3662" s="44" t="s">
        <v>346</v>
      </c>
      <c r="H3662" s="44" t="s">
        <v>5396</v>
      </c>
      <c r="I3662" s="62" t="s">
        <v>511</v>
      </c>
      <c r="J3662" s="44" t="s">
        <v>519</v>
      </c>
      <c r="K3662" s="44" t="s">
        <v>519</v>
      </c>
      <c r="L3662" s="44" t="s">
        <v>520</v>
      </c>
      <c r="M3662" s="44" t="s">
        <v>976</v>
      </c>
      <c r="N3662" s="44" t="s">
        <v>839</v>
      </c>
      <c r="O3662" s="45" t="s">
        <v>383</v>
      </c>
      <c r="P3662" s="45" t="s">
        <v>3760</v>
      </c>
      <c r="Q3662" s="59" t="str">
        <f>MID(Tabla1[[#This Row],[Aplicación]],14,1)</f>
        <v>2</v>
      </c>
      <c r="R3662" s="35" t="s">
        <v>298</v>
      </c>
      <c r="S3662" s="59" t="str">
        <f>MID(Tabla1[[#This Row],[Aplicación]],6,2)</f>
        <v>11</v>
      </c>
      <c r="T3662" s="35" t="str">
        <f>VLOOKUP(Tabla1[[#This Row],[AREA]],Hoja1!A:B,2,FALSE)</f>
        <v>11. Salud pública y seguridad ciudadana</v>
      </c>
      <c r="U3662" s="56" t="str">
        <f>MID(Tabla1[[#This Row],[Aplicación]],9,4)</f>
        <v>1621</v>
      </c>
      <c r="V3662" s="35" t="str">
        <f>VLOOKUP(Tabla1[[#This Row],[PROGRAMA]],Hoja1!A:B,2,FALSE)</f>
        <v>1621. Servicio de limpieza</v>
      </c>
      <c r="W3662" s="56" t="str">
        <f>MID(Tabla1[[#This Row],[Aplicación]],14,2)</f>
        <v>22</v>
      </c>
      <c r="X3662" s="56" t="str">
        <f>MID(Tabla1[[#This Row],[Aplicación]],14,6)</f>
        <v>22706</v>
      </c>
    </row>
    <row r="3663" spans="1:24" x14ac:dyDescent="0.25">
      <c r="A3663" s="62">
        <v>220230026404</v>
      </c>
      <c r="B3663" s="44" t="s">
        <v>1514</v>
      </c>
      <c r="C3663" s="64">
        <v>45077</v>
      </c>
      <c r="D3663" s="62">
        <v>22023004052</v>
      </c>
      <c r="E3663" s="44" t="s">
        <v>1290</v>
      </c>
      <c r="F3663" s="65">
        <v>83.54</v>
      </c>
      <c r="G3663" s="44" t="s">
        <v>62</v>
      </c>
      <c r="H3663" s="44" t="s">
        <v>5397</v>
      </c>
      <c r="I3663" s="62" t="s">
        <v>1517</v>
      </c>
      <c r="J3663" s="44" t="s">
        <v>3014</v>
      </c>
      <c r="K3663" s="44" t="s">
        <v>3015</v>
      </c>
      <c r="L3663" s="44" t="s">
        <v>552</v>
      </c>
      <c r="M3663" s="44" t="s">
        <v>514</v>
      </c>
      <c r="N3663" s="44" t="s">
        <v>515</v>
      </c>
      <c r="O3663" s="45" t="s">
        <v>382</v>
      </c>
      <c r="P3663" s="45" t="s">
        <v>3760</v>
      </c>
      <c r="Q3663" s="59" t="str">
        <f>MID(Tabla1[[#This Row],[Aplicación]],14,1)</f>
        <v>2</v>
      </c>
      <c r="R3663" s="35" t="s">
        <v>298</v>
      </c>
      <c r="S3663" s="59" t="str">
        <f>MID(Tabla1[[#This Row],[Aplicación]],6,2)</f>
        <v>11</v>
      </c>
      <c r="T3663" s="35" t="str">
        <f>VLOOKUP(Tabla1[[#This Row],[AREA]],Hoja1!A:B,2,FALSE)</f>
        <v>11. Salud pública y seguridad ciudadana</v>
      </c>
      <c r="U3663" s="56" t="str">
        <f>MID(Tabla1[[#This Row],[Aplicación]],9,4)</f>
        <v>1621</v>
      </c>
      <c r="V3663" s="35" t="str">
        <f>VLOOKUP(Tabla1[[#This Row],[PROGRAMA]],Hoja1!A:B,2,FALSE)</f>
        <v>1621. Servicio de limpieza</v>
      </c>
      <c r="W3663" s="56" t="str">
        <f>MID(Tabla1[[#This Row],[Aplicación]],14,2)</f>
        <v>21</v>
      </c>
      <c r="X3663" s="56" t="str">
        <f>MID(Tabla1[[#This Row],[Aplicación]],14,6)</f>
        <v>214</v>
      </c>
    </row>
    <row r="3664" spans="1:24" x14ac:dyDescent="0.25">
      <c r="A3664" s="63">
        <v>220230030110</v>
      </c>
      <c r="B3664" s="44" t="s">
        <v>1514</v>
      </c>
      <c r="C3664" s="64">
        <v>45093</v>
      </c>
      <c r="D3664" s="62">
        <v>22023001956</v>
      </c>
      <c r="E3664" s="44" t="s">
        <v>1982</v>
      </c>
      <c r="F3664" s="65">
        <v>48.16</v>
      </c>
      <c r="G3664" s="44" t="s">
        <v>2025</v>
      </c>
      <c r="H3664" s="44" t="s">
        <v>5398</v>
      </c>
      <c r="I3664" s="62" t="s">
        <v>1517</v>
      </c>
      <c r="J3664" s="44" t="s">
        <v>519</v>
      </c>
      <c r="K3664" s="44" t="s">
        <v>519</v>
      </c>
      <c r="L3664" s="44" t="s">
        <v>520</v>
      </c>
      <c r="M3664" s="44" t="s">
        <v>514</v>
      </c>
      <c r="N3664" s="44" t="s">
        <v>515</v>
      </c>
      <c r="O3664" s="45" t="s">
        <v>382</v>
      </c>
      <c r="P3664" s="45" t="s">
        <v>3760</v>
      </c>
      <c r="Q3664" s="59" t="str">
        <f>MID(Tabla1[[#This Row],[Aplicación]],14,1)</f>
        <v>2</v>
      </c>
      <c r="R3664" s="35" t="s">
        <v>298</v>
      </c>
      <c r="S3664" s="59" t="str">
        <f>MID(Tabla1[[#This Row],[Aplicación]],6,2)</f>
        <v>07</v>
      </c>
      <c r="T3664" s="35" t="str">
        <f>VLOOKUP(Tabla1[[#This Row],[AREA]],Hoja1!A:B,2,FALSE)</f>
        <v>07. Medio ambiente y desarrollo sostenible</v>
      </c>
      <c r="U3664" s="56" t="str">
        <f>MID(Tabla1[[#This Row],[Aplicación]],9,4)</f>
        <v>1711</v>
      </c>
      <c r="V3664" s="35" t="str">
        <f>VLOOKUP(Tabla1[[#This Row],[PROGRAMA]],Hoja1!A:B,2,FALSE)</f>
        <v>1711. Parques y jardines</v>
      </c>
      <c r="W3664" s="56" t="str">
        <f>MID(Tabla1[[#This Row],[Aplicación]],14,2)</f>
        <v>21</v>
      </c>
      <c r="X3664" s="56" t="str">
        <f>MID(Tabla1[[#This Row],[Aplicación]],14,6)</f>
        <v>214</v>
      </c>
    </row>
    <row r="3665" spans="1:24" x14ac:dyDescent="0.25">
      <c r="A3665" s="63">
        <v>220230032512</v>
      </c>
      <c r="B3665" s="44" t="s">
        <v>1514</v>
      </c>
      <c r="C3665" s="64">
        <v>45107</v>
      </c>
      <c r="D3665" s="62">
        <v>22023001956</v>
      </c>
      <c r="E3665" s="44" t="s">
        <v>1982</v>
      </c>
      <c r="F3665" s="65">
        <v>25.17</v>
      </c>
      <c r="G3665" s="44" t="s">
        <v>2025</v>
      </c>
      <c r="H3665" s="44" t="s">
        <v>5399</v>
      </c>
      <c r="I3665" s="62" t="s">
        <v>1517</v>
      </c>
      <c r="J3665" s="44" t="s">
        <v>519</v>
      </c>
      <c r="K3665" s="44" t="s">
        <v>519</v>
      </c>
      <c r="L3665" s="44" t="s">
        <v>520</v>
      </c>
      <c r="M3665" s="44" t="s">
        <v>514</v>
      </c>
      <c r="N3665" s="44" t="s">
        <v>515</v>
      </c>
      <c r="O3665" s="45" t="s">
        <v>382</v>
      </c>
      <c r="P3665" s="45" t="s">
        <v>3760</v>
      </c>
      <c r="Q3665" s="59" t="str">
        <f>MID(Tabla1[[#This Row],[Aplicación]],14,1)</f>
        <v>2</v>
      </c>
      <c r="R3665" s="35" t="s">
        <v>298</v>
      </c>
      <c r="S3665" s="59" t="str">
        <f>MID(Tabla1[[#This Row],[Aplicación]],6,2)</f>
        <v>07</v>
      </c>
      <c r="T3665" s="35" t="str">
        <f>VLOOKUP(Tabla1[[#This Row],[AREA]],Hoja1!A:B,2,FALSE)</f>
        <v>07. Medio ambiente y desarrollo sostenible</v>
      </c>
      <c r="U3665" s="56" t="str">
        <f>MID(Tabla1[[#This Row],[Aplicación]],9,4)</f>
        <v>1711</v>
      </c>
      <c r="V3665" s="35" t="str">
        <f>VLOOKUP(Tabla1[[#This Row],[PROGRAMA]],Hoja1!A:B,2,FALSE)</f>
        <v>1711. Parques y jardines</v>
      </c>
      <c r="W3665" s="56" t="str">
        <f>MID(Tabla1[[#This Row],[Aplicación]],14,2)</f>
        <v>21</v>
      </c>
      <c r="X3665" s="56" t="str">
        <f>MID(Tabla1[[#This Row],[Aplicación]],14,6)</f>
        <v>214</v>
      </c>
    </row>
    <row r="3666" spans="1:24" x14ac:dyDescent="0.25">
      <c r="A3666" s="63">
        <v>220230030707</v>
      </c>
      <c r="B3666" s="44" t="s">
        <v>507</v>
      </c>
      <c r="C3666" s="64">
        <v>45097</v>
      </c>
      <c r="D3666" s="62">
        <v>22023004943</v>
      </c>
      <c r="E3666" s="44" t="s">
        <v>1502</v>
      </c>
      <c r="F3666" s="65">
        <v>190.78</v>
      </c>
      <c r="G3666" s="44" t="s">
        <v>5400</v>
      </c>
      <c r="H3666" s="44" t="s">
        <v>5401</v>
      </c>
      <c r="I3666" s="62" t="s">
        <v>511</v>
      </c>
      <c r="J3666" s="44" t="s">
        <v>519</v>
      </c>
      <c r="K3666" s="44" t="s">
        <v>519</v>
      </c>
      <c r="L3666" s="44" t="s">
        <v>552</v>
      </c>
      <c r="M3666" s="44" t="s">
        <v>976</v>
      </c>
      <c r="N3666" s="44" t="s">
        <v>839</v>
      </c>
      <c r="O3666" s="45" t="s">
        <v>383</v>
      </c>
      <c r="P3666" s="45" t="s">
        <v>3760</v>
      </c>
      <c r="Q3666" s="59" t="str">
        <f>MID(Tabla1[[#This Row],[Aplicación]],14,1)</f>
        <v>2</v>
      </c>
      <c r="R3666" s="35" t="s">
        <v>298</v>
      </c>
      <c r="S3666" s="59" t="str">
        <f>MID(Tabla1[[#This Row],[Aplicación]],6,2)</f>
        <v>10</v>
      </c>
      <c r="T3666" s="35" t="str">
        <f>VLOOKUP(Tabla1[[#This Row],[AREA]],Hoja1!A:B,2,FALSE)</f>
        <v>10. Servicios sociales y mediación comunitaria</v>
      </c>
      <c r="U3666" s="56" t="str">
        <f>MID(Tabla1[[#This Row],[Aplicación]],9,4)</f>
        <v>2412</v>
      </c>
      <c r="V3666" s="35" t="str">
        <f>VLOOKUP(Tabla1[[#This Row],[PROGRAMA]],Hoja1!A:B,2,FALSE)</f>
        <v>2412. Formación para el empleo</v>
      </c>
      <c r="W3666" s="56" t="str">
        <f>MID(Tabla1[[#This Row],[Aplicación]],14,2)</f>
        <v>22</v>
      </c>
      <c r="X3666" s="56" t="str">
        <f>MID(Tabla1[[#This Row],[Aplicación]],14,6)</f>
        <v>22199</v>
      </c>
    </row>
    <row r="3667" spans="1:24" x14ac:dyDescent="0.25">
      <c r="A3667" s="63">
        <v>220230031207</v>
      </c>
      <c r="B3667" s="44" t="s">
        <v>507</v>
      </c>
      <c r="C3667" s="64">
        <v>45099</v>
      </c>
      <c r="D3667" s="62">
        <v>22023005074</v>
      </c>
      <c r="E3667" s="44" t="s">
        <v>1285</v>
      </c>
      <c r="F3667" s="65">
        <v>181.5</v>
      </c>
      <c r="G3667" s="44" t="s">
        <v>5402</v>
      </c>
      <c r="H3667" s="44" t="s">
        <v>5403</v>
      </c>
      <c r="I3667" s="62" t="s">
        <v>511</v>
      </c>
      <c r="J3667" s="44" t="s">
        <v>519</v>
      </c>
      <c r="K3667" s="44" t="s">
        <v>519</v>
      </c>
      <c r="L3667" s="44" t="s">
        <v>520</v>
      </c>
      <c r="M3667" s="44" t="s">
        <v>976</v>
      </c>
      <c r="N3667" s="44" t="s">
        <v>839</v>
      </c>
      <c r="O3667" s="45" t="s">
        <v>383</v>
      </c>
      <c r="P3667" s="45" t="s">
        <v>3760</v>
      </c>
      <c r="Q3667" s="59" t="str">
        <f>MID(Tabla1[[#This Row],[Aplicación]],14,1)</f>
        <v>2</v>
      </c>
      <c r="R3667" s="35" t="s">
        <v>298</v>
      </c>
      <c r="S3667" s="59" t="str">
        <f>MID(Tabla1[[#This Row],[Aplicación]],6,2)</f>
        <v>11</v>
      </c>
      <c r="T3667" s="35" t="str">
        <f>VLOOKUP(Tabla1[[#This Row],[AREA]],Hoja1!A:B,2,FALSE)</f>
        <v>11. Salud pública y seguridad ciudadana</v>
      </c>
      <c r="U3667" s="56" t="str">
        <f>MID(Tabla1[[#This Row],[Aplicación]],9,4)</f>
        <v>1361</v>
      </c>
      <c r="V3667" s="35" t="str">
        <f>VLOOKUP(Tabla1[[#This Row],[PROGRAMA]],Hoja1!A:B,2,FALSE)</f>
        <v>1361. Prevención y extinción de incencios</v>
      </c>
      <c r="W3667" s="56" t="str">
        <f>MID(Tabla1[[#This Row],[Aplicación]],14,2)</f>
        <v>22</v>
      </c>
      <c r="X3667" s="56" t="str">
        <f>MID(Tabla1[[#This Row],[Aplicación]],14,6)</f>
        <v>22199</v>
      </c>
    </row>
    <row r="3668" spans="1:24" x14ac:dyDescent="0.25">
      <c r="A3668" s="63">
        <v>220230026824</v>
      </c>
      <c r="B3668" s="44" t="s">
        <v>507</v>
      </c>
      <c r="C3668" s="64">
        <v>45078</v>
      </c>
      <c r="D3668" s="62">
        <v>22023004717</v>
      </c>
      <c r="E3668" s="44" t="s">
        <v>1191</v>
      </c>
      <c r="F3668" s="65">
        <v>180</v>
      </c>
      <c r="G3668" s="44" t="s">
        <v>2873</v>
      </c>
      <c r="H3668" s="44" t="s">
        <v>5404</v>
      </c>
      <c r="I3668" s="62" t="s">
        <v>511</v>
      </c>
      <c r="J3668" s="44" t="s">
        <v>519</v>
      </c>
      <c r="K3668" s="44" t="s">
        <v>519</v>
      </c>
      <c r="L3668" s="44" t="s">
        <v>520</v>
      </c>
      <c r="M3668" s="44" t="s">
        <v>976</v>
      </c>
      <c r="N3668" s="44" t="s">
        <v>839</v>
      </c>
      <c r="O3668" s="45" t="s">
        <v>383</v>
      </c>
      <c r="P3668" s="45" t="s">
        <v>3760</v>
      </c>
      <c r="Q3668" s="59" t="str">
        <f>MID(Tabla1[[#This Row],[Aplicación]],14,1)</f>
        <v>2</v>
      </c>
      <c r="R3668" s="35" t="s">
        <v>298</v>
      </c>
      <c r="S3668" s="59" t="str">
        <f>MID(Tabla1[[#This Row],[Aplicación]],6,2)</f>
        <v>06</v>
      </c>
      <c r="T3668" s="35" t="str">
        <f>VLOOKUP(Tabla1[[#This Row],[AREA]],Hoja1!A:B,2,FALSE)</f>
        <v>06. Educación, infancia, juventud e igualdad</v>
      </c>
      <c r="U3668" s="56" t="str">
        <f>MID(Tabla1[[#This Row],[Aplicación]],9,4)</f>
        <v>2315</v>
      </c>
      <c r="V3668" s="35" t="str">
        <f>VLOOKUP(Tabla1[[#This Row],[PROGRAMA]],Hoja1!A:B,2,FALSE)</f>
        <v>2315. Políticas de Igualdad e infancia</v>
      </c>
      <c r="W3668" s="56" t="str">
        <f>MID(Tabla1[[#This Row],[Aplicación]],14,2)</f>
        <v>22</v>
      </c>
      <c r="X3668" s="56" t="str">
        <f>MID(Tabla1[[#This Row],[Aplicación]],14,6)</f>
        <v>22611</v>
      </c>
    </row>
    <row r="3669" spans="1:24" x14ac:dyDescent="0.25">
      <c r="A3669" s="63">
        <v>220230030692</v>
      </c>
      <c r="B3669" s="44" t="s">
        <v>507</v>
      </c>
      <c r="C3669" s="64">
        <v>45097</v>
      </c>
      <c r="D3669" s="62">
        <v>22023002294</v>
      </c>
      <c r="E3669" s="44" t="s">
        <v>1011</v>
      </c>
      <c r="F3669" s="65">
        <v>180</v>
      </c>
      <c r="G3669" s="44" t="s">
        <v>112</v>
      </c>
      <c r="H3669" s="44" t="s">
        <v>5405</v>
      </c>
      <c r="I3669" s="62" t="s">
        <v>2168</v>
      </c>
      <c r="J3669" s="44" t="s">
        <v>519</v>
      </c>
      <c r="K3669" s="44" t="s">
        <v>519</v>
      </c>
      <c r="L3669" s="44" t="s">
        <v>520</v>
      </c>
      <c r="M3669" s="44" t="s">
        <v>976</v>
      </c>
      <c r="N3669" s="44" t="s">
        <v>839</v>
      </c>
      <c r="O3669" s="45" t="s">
        <v>383</v>
      </c>
      <c r="P3669" s="45" t="s">
        <v>3760</v>
      </c>
      <c r="Q3669" s="59" t="str">
        <f>MID(Tabla1[[#This Row],[Aplicación]],14,1)</f>
        <v>2</v>
      </c>
      <c r="R3669" s="35" t="s">
        <v>298</v>
      </c>
      <c r="S3669" s="59" t="str">
        <f>MID(Tabla1[[#This Row],[Aplicación]],6,2)</f>
        <v>09</v>
      </c>
      <c r="T3669" s="35" t="str">
        <f>VLOOKUP(Tabla1[[#This Row],[AREA]],Hoja1!A:B,2,FALSE)</f>
        <v>09. Cultura y turismo</v>
      </c>
      <c r="U3669" s="56" t="str">
        <f>MID(Tabla1[[#This Row],[Aplicación]],9,4)</f>
        <v>3341</v>
      </c>
      <c r="V3669" s="35" t="str">
        <f>VLOOKUP(Tabla1[[#This Row],[PROGRAMA]],Hoja1!A:B,2,FALSE)</f>
        <v>3341. Coordinación de políticas culturales</v>
      </c>
      <c r="W3669" s="56" t="str">
        <f>MID(Tabla1[[#This Row],[Aplicación]],14,2)</f>
        <v>22</v>
      </c>
      <c r="X3669" s="56" t="str">
        <f>MID(Tabla1[[#This Row],[Aplicación]],14,6)</f>
        <v>22609</v>
      </c>
    </row>
    <row r="3670" spans="1:24" x14ac:dyDescent="0.25">
      <c r="A3670" s="63">
        <v>220230028650</v>
      </c>
      <c r="B3670" s="44" t="s">
        <v>507</v>
      </c>
      <c r="C3670" s="64">
        <v>45085</v>
      </c>
      <c r="D3670" s="62">
        <v>22023004888</v>
      </c>
      <c r="E3670" s="44" t="s">
        <v>1191</v>
      </c>
      <c r="F3670" s="65">
        <v>179</v>
      </c>
      <c r="G3670" s="44" t="s">
        <v>418</v>
      </c>
      <c r="H3670" s="44" t="s">
        <v>5406</v>
      </c>
      <c r="I3670" s="62" t="s">
        <v>511</v>
      </c>
      <c r="J3670" s="44" t="s">
        <v>519</v>
      </c>
      <c r="K3670" s="44" t="s">
        <v>519</v>
      </c>
      <c r="L3670" s="44" t="s">
        <v>520</v>
      </c>
      <c r="M3670" s="44" t="s">
        <v>976</v>
      </c>
      <c r="N3670" s="44" t="s">
        <v>839</v>
      </c>
      <c r="O3670" s="45" t="s">
        <v>383</v>
      </c>
      <c r="P3670" s="45" t="s">
        <v>3760</v>
      </c>
      <c r="Q3670" s="59" t="str">
        <f>MID(Tabla1[[#This Row],[Aplicación]],14,1)</f>
        <v>2</v>
      </c>
      <c r="R3670" s="35" t="s">
        <v>298</v>
      </c>
      <c r="S3670" s="59" t="str">
        <f>MID(Tabla1[[#This Row],[Aplicación]],6,2)</f>
        <v>06</v>
      </c>
      <c r="T3670" s="35" t="str">
        <f>VLOOKUP(Tabla1[[#This Row],[AREA]],Hoja1!A:B,2,FALSE)</f>
        <v>06. Educación, infancia, juventud e igualdad</v>
      </c>
      <c r="U3670" s="56" t="str">
        <f>MID(Tabla1[[#This Row],[Aplicación]],9,4)</f>
        <v>2315</v>
      </c>
      <c r="V3670" s="35" t="str">
        <f>VLOOKUP(Tabla1[[#This Row],[PROGRAMA]],Hoja1!A:B,2,FALSE)</f>
        <v>2315. Políticas de Igualdad e infancia</v>
      </c>
      <c r="W3670" s="56" t="str">
        <f>MID(Tabla1[[#This Row],[Aplicación]],14,2)</f>
        <v>22</v>
      </c>
      <c r="X3670" s="56" t="str">
        <f>MID(Tabla1[[#This Row],[Aplicación]],14,6)</f>
        <v>22611</v>
      </c>
    </row>
    <row r="3671" spans="1:24" x14ac:dyDescent="0.25">
      <c r="A3671" s="63">
        <v>220230031204</v>
      </c>
      <c r="B3671" s="44" t="s">
        <v>507</v>
      </c>
      <c r="C3671" s="64">
        <v>45099</v>
      </c>
      <c r="D3671" s="62">
        <v>22023005061</v>
      </c>
      <c r="E3671" s="44" t="s">
        <v>1285</v>
      </c>
      <c r="F3671" s="65">
        <v>177.99</v>
      </c>
      <c r="G3671" s="44" t="s">
        <v>112</v>
      </c>
      <c r="H3671" s="44" t="s">
        <v>5407</v>
      </c>
      <c r="I3671" s="62" t="s">
        <v>511</v>
      </c>
      <c r="J3671" s="44" t="s">
        <v>519</v>
      </c>
      <c r="K3671" s="44" t="s">
        <v>519</v>
      </c>
      <c r="L3671" s="44" t="s">
        <v>552</v>
      </c>
      <c r="M3671" s="44" t="s">
        <v>976</v>
      </c>
      <c r="N3671" s="44" t="s">
        <v>839</v>
      </c>
      <c r="O3671" s="45" t="s">
        <v>383</v>
      </c>
      <c r="P3671" s="45" t="s">
        <v>3760</v>
      </c>
      <c r="Q3671" s="59" t="str">
        <f>MID(Tabla1[[#This Row],[Aplicación]],14,1)</f>
        <v>2</v>
      </c>
      <c r="R3671" s="35" t="s">
        <v>298</v>
      </c>
      <c r="S3671" s="59" t="str">
        <f>MID(Tabla1[[#This Row],[Aplicación]],6,2)</f>
        <v>11</v>
      </c>
      <c r="T3671" s="35" t="str">
        <f>VLOOKUP(Tabla1[[#This Row],[AREA]],Hoja1!A:B,2,FALSE)</f>
        <v>11. Salud pública y seguridad ciudadana</v>
      </c>
      <c r="U3671" s="56" t="str">
        <f>MID(Tabla1[[#This Row],[Aplicación]],9,4)</f>
        <v>1361</v>
      </c>
      <c r="V3671" s="35" t="str">
        <f>VLOOKUP(Tabla1[[#This Row],[PROGRAMA]],Hoja1!A:B,2,FALSE)</f>
        <v>1361. Prevención y extinción de incencios</v>
      </c>
      <c r="W3671" s="56" t="str">
        <f>MID(Tabla1[[#This Row],[Aplicación]],14,2)</f>
        <v>22</v>
      </c>
      <c r="X3671" s="56" t="str">
        <f>MID(Tabla1[[#This Row],[Aplicación]],14,6)</f>
        <v>22199</v>
      </c>
    </row>
    <row r="3672" spans="1:24" x14ac:dyDescent="0.25">
      <c r="A3672" s="62">
        <v>220230013732</v>
      </c>
      <c r="B3672" s="44" t="s">
        <v>507</v>
      </c>
      <c r="C3672" s="64">
        <v>45027</v>
      </c>
      <c r="D3672" s="62">
        <v>22023003728</v>
      </c>
      <c r="E3672" s="44" t="s">
        <v>3940</v>
      </c>
      <c r="F3672" s="65">
        <v>162.44999999999999</v>
      </c>
      <c r="G3672" s="44" t="s">
        <v>346</v>
      </c>
      <c r="H3672" s="44" t="s">
        <v>5408</v>
      </c>
      <c r="I3672" s="62" t="s">
        <v>511</v>
      </c>
      <c r="J3672" s="44" t="s">
        <v>519</v>
      </c>
      <c r="K3672" s="44" t="s">
        <v>519</v>
      </c>
      <c r="L3672" s="44" t="s">
        <v>520</v>
      </c>
      <c r="M3672" s="44" t="s">
        <v>976</v>
      </c>
      <c r="N3672" s="44" t="s">
        <v>839</v>
      </c>
      <c r="O3672" s="45" t="s">
        <v>383</v>
      </c>
      <c r="P3672" s="45" t="s">
        <v>3760</v>
      </c>
      <c r="Q3672" s="59" t="str">
        <f>MID(Tabla1[[#This Row],[Aplicación]],14,1)</f>
        <v>6</v>
      </c>
      <c r="R3672" s="35" t="s">
        <v>299</v>
      </c>
      <c r="S3672" s="59" t="str">
        <f>MID(Tabla1[[#This Row],[Aplicación]],6,2)</f>
        <v>06</v>
      </c>
      <c r="T3672" s="35" t="str">
        <f>VLOOKUP(Tabla1[[#This Row],[AREA]],Hoja1!A:B,2,FALSE)</f>
        <v>06. Educación, infancia, juventud e igualdad</v>
      </c>
      <c r="U3672" s="56" t="str">
        <f>MID(Tabla1[[#This Row],[Aplicación]],9,4)</f>
        <v>3231</v>
      </c>
      <c r="V3672" s="35" t="str">
        <f>VLOOKUP(Tabla1[[#This Row],[PROGRAMA]],Hoja1!A:B,2,FALSE)</f>
        <v>3231. Escuelas infantiles</v>
      </c>
      <c r="W3672" s="56" t="str">
        <f>MID(Tabla1[[#This Row],[Aplicación]],14,2)</f>
        <v>63</v>
      </c>
      <c r="X3672" s="56" t="str">
        <f>MID(Tabla1[[#This Row],[Aplicación]],14,6)</f>
        <v>632</v>
      </c>
    </row>
    <row r="3673" spans="1:24" x14ac:dyDescent="0.25">
      <c r="A3673" s="63">
        <v>220230031211</v>
      </c>
      <c r="B3673" s="44" t="s">
        <v>507</v>
      </c>
      <c r="C3673" s="64">
        <v>45099</v>
      </c>
      <c r="D3673" s="62">
        <v>22023005082</v>
      </c>
      <c r="E3673" s="44" t="s">
        <v>2732</v>
      </c>
      <c r="F3673" s="65">
        <v>162.41</v>
      </c>
      <c r="G3673" s="44" t="s">
        <v>346</v>
      </c>
      <c r="H3673" s="44" t="s">
        <v>5409</v>
      </c>
      <c r="I3673" s="62" t="s">
        <v>511</v>
      </c>
      <c r="J3673" s="44" t="s">
        <v>519</v>
      </c>
      <c r="K3673" s="44" t="s">
        <v>519</v>
      </c>
      <c r="L3673" s="44" t="s">
        <v>520</v>
      </c>
      <c r="M3673" s="44" t="s">
        <v>976</v>
      </c>
      <c r="N3673" s="44" t="s">
        <v>839</v>
      </c>
      <c r="O3673" s="45" t="s">
        <v>383</v>
      </c>
      <c r="P3673" s="45" t="s">
        <v>3760</v>
      </c>
      <c r="Q3673" s="59" t="str">
        <f>MID(Tabla1[[#This Row],[Aplicación]],14,1)</f>
        <v>6</v>
      </c>
      <c r="R3673" s="35" t="s">
        <v>299</v>
      </c>
      <c r="S3673" s="59" t="str">
        <f>MID(Tabla1[[#This Row],[Aplicación]],6,2)</f>
        <v>06</v>
      </c>
      <c r="T3673" s="35" t="str">
        <f>VLOOKUP(Tabla1[[#This Row],[AREA]],Hoja1!A:B,2,FALSE)</f>
        <v>06. Educación, infancia, juventud e igualdad</v>
      </c>
      <c r="U3673" s="56" t="str">
        <f>MID(Tabla1[[#This Row],[Aplicación]],9,4)</f>
        <v>3232</v>
      </c>
      <c r="V3673" s="35" t="str">
        <f>VLOOKUP(Tabla1[[#This Row],[PROGRAMA]],Hoja1!A:B,2,FALSE)</f>
        <v>3232. Conservación y mantenimiento centros educación infantil y primaria</v>
      </c>
      <c r="W3673" s="56" t="str">
        <f>MID(Tabla1[[#This Row],[Aplicación]],14,2)</f>
        <v>63</v>
      </c>
      <c r="X3673" s="56" t="str">
        <f>MID(Tabla1[[#This Row],[Aplicación]],14,6)</f>
        <v>632</v>
      </c>
    </row>
    <row r="3674" spans="1:24" x14ac:dyDescent="0.25">
      <c r="A3674" s="63">
        <v>220230028323</v>
      </c>
      <c r="B3674" s="44" t="s">
        <v>1514</v>
      </c>
      <c r="C3674" s="64">
        <v>45084</v>
      </c>
      <c r="D3674" s="62">
        <v>22023004052</v>
      </c>
      <c r="E3674" s="44" t="s">
        <v>1290</v>
      </c>
      <c r="F3674" s="65">
        <v>177.65</v>
      </c>
      <c r="G3674" s="44" t="s">
        <v>62</v>
      </c>
      <c r="H3674" s="44" t="s">
        <v>5410</v>
      </c>
      <c r="I3674" s="62" t="s">
        <v>1517</v>
      </c>
      <c r="J3674" s="44" t="s">
        <v>3014</v>
      </c>
      <c r="K3674" s="44" t="s">
        <v>3015</v>
      </c>
      <c r="L3674" s="44" t="s">
        <v>552</v>
      </c>
      <c r="M3674" s="44" t="s">
        <v>514</v>
      </c>
      <c r="N3674" s="44" t="s">
        <v>515</v>
      </c>
      <c r="O3674" s="45" t="s">
        <v>382</v>
      </c>
      <c r="P3674" s="45" t="s">
        <v>3760</v>
      </c>
      <c r="Q3674" s="59" t="str">
        <f>MID(Tabla1[[#This Row],[Aplicación]],14,1)</f>
        <v>2</v>
      </c>
      <c r="R3674" s="35" t="s">
        <v>298</v>
      </c>
      <c r="S3674" s="59" t="str">
        <f>MID(Tabla1[[#This Row],[Aplicación]],6,2)</f>
        <v>11</v>
      </c>
      <c r="T3674" s="35" t="str">
        <f>VLOOKUP(Tabla1[[#This Row],[AREA]],Hoja1!A:B,2,FALSE)</f>
        <v>11. Salud pública y seguridad ciudadana</v>
      </c>
      <c r="U3674" s="56" t="str">
        <f>MID(Tabla1[[#This Row],[Aplicación]],9,4)</f>
        <v>1621</v>
      </c>
      <c r="V3674" s="35" t="str">
        <f>VLOOKUP(Tabla1[[#This Row],[PROGRAMA]],Hoja1!A:B,2,FALSE)</f>
        <v>1621. Servicio de limpieza</v>
      </c>
      <c r="W3674" s="56" t="str">
        <f>MID(Tabla1[[#This Row],[Aplicación]],14,2)</f>
        <v>21</v>
      </c>
      <c r="X3674" s="56" t="str">
        <f>MID(Tabla1[[#This Row],[Aplicación]],14,6)</f>
        <v>214</v>
      </c>
    </row>
    <row r="3675" spans="1:24" x14ac:dyDescent="0.25">
      <c r="A3675" s="63">
        <v>220230028325</v>
      </c>
      <c r="B3675" s="44" t="s">
        <v>1514</v>
      </c>
      <c r="C3675" s="64">
        <v>45084</v>
      </c>
      <c r="D3675" s="62">
        <v>22023004052</v>
      </c>
      <c r="E3675" s="44" t="s">
        <v>1290</v>
      </c>
      <c r="F3675" s="65">
        <v>368.4</v>
      </c>
      <c r="G3675" s="44" t="s">
        <v>62</v>
      </c>
      <c r="H3675" s="44" t="s">
        <v>5411</v>
      </c>
      <c r="I3675" s="62" t="s">
        <v>1517</v>
      </c>
      <c r="J3675" s="44" t="s">
        <v>3014</v>
      </c>
      <c r="K3675" s="44" t="s">
        <v>3015</v>
      </c>
      <c r="L3675" s="44" t="s">
        <v>552</v>
      </c>
      <c r="M3675" s="44" t="s">
        <v>514</v>
      </c>
      <c r="N3675" s="44" t="s">
        <v>515</v>
      </c>
      <c r="O3675" s="45" t="s">
        <v>382</v>
      </c>
      <c r="P3675" s="45" t="s">
        <v>3760</v>
      </c>
      <c r="Q3675" s="59" t="str">
        <f>MID(Tabla1[[#This Row],[Aplicación]],14,1)</f>
        <v>2</v>
      </c>
      <c r="R3675" s="35" t="s">
        <v>298</v>
      </c>
      <c r="S3675" s="59" t="str">
        <f>MID(Tabla1[[#This Row],[Aplicación]],6,2)</f>
        <v>11</v>
      </c>
      <c r="T3675" s="35" t="str">
        <f>VLOOKUP(Tabla1[[#This Row],[AREA]],Hoja1!A:B,2,FALSE)</f>
        <v>11. Salud pública y seguridad ciudadana</v>
      </c>
      <c r="U3675" s="56" t="str">
        <f>MID(Tabla1[[#This Row],[Aplicación]],9,4)</f>
        <v>1621</v>
      </c>
      <c r="V3675" s="35" t="str">
        <f>VLOOKUP(Tabla1[[#This Row],[PROGRAMA]],Hoja1!A:B,2,FALSE)</f>
        <v>1621. Servicio de limpieza</v>
      </c>
      <c r="W3675" s="56" t="str">
        <f>MID(Tabla1[[#This Row],[Aplicación]],14,2)</f>
        <v>21</v>
      </c>
      <c r="X3675" s="56" t="str">
        <f>MID(Tabla1[[#This Row],[Aplicación]],14,6)</f>
        <v>214</v>
      </c>
    </row>
    <row r="3676" spans="1:24" x14ac:dyDescent="0.25">
      <c r="A3676" s="63">
        <v>220230028597</v>
      </c>
      <c r="B3676" s="44" t="s">
        <v>1514</v>
      </c>
      <c r="C3676" s="64">
        <v>45084</v>
      </c>
      <c r="D3676" s="62">
        <v>22023004052</v>
      </c>
      <c r="E3676" s="44" t="s">
        <v>1290</v>
      </c>
      <c r="F3676" s="65">
        <v>1683.65</v>
      </c>
      <c r="G3676" s="44" t="s">
        <v>62</v>
      </c>
      <c r="H3676" s="44" t="s">
        <v>5412</v>
      </c>
      <c r="I3676" s="62" t="s">
        <v>1517</v>
      </c>
      <c r="J3676" s="44" t="s">
        <v>3014</v>
      </c>
      <c r="K3676" s="44" t="s">
        <v>3015</v>
      </c>
      <c r="L3676" s="44" t="s">
        <v>552</v>
      </c>
      <c r="M3676" s="44" t="s">
        <v>514</v>
      </c>
      <c r="N3676" s="44" t="s">
        <v>515</v>
      </c>
      <c r="O3676" s="45" t="s">
        <v>382</v>
      </c>
      <c r="P3676" s="45" t="s">
        <v>3760</v>
      </c>
      <c r="Q3676" s="59" t="str">
        <f>MID(Tabla1[[#This Row],[Aplicación]],14,1)</f>
        <v>2</v>
      </c>
      <c r="R3676" s="35" t="s">
        <v>298</v>
      </c>
      <c r="S3676" s="59" t="str">
        <f>MID(Tabla1[[#This Row],[Aplicación]],6,2)</f>
        <v>11</v>
      </c>
      <c r="T3676" s="35" t="str">
        <f>VLOOKUP(Tabla1[[#This Row],[AREA]],Hoja1!A:B,2,FALSE)</f>
        <v>11. Salud pública y seguridad ciudadana</v>
      </c>
      <c r="U3676" s="56" t="str">
        <f>MID(Tabla1[[#This Row],[Aplicación]],9,4)</f>
        <v>1621</v>
      </c>
      <c r="V3676" s="35" t="str">
        <f>VLOOKUP(Tabla1[[#This Row],[PROGRAMA]],Hoja1!A:B,2,FALSE)</f>
        <v>1621. Servicio de limpieza</v>
      </c>
      <c r="W3676" s="56" t="str">
        <f>MID(Tabla1[[#This Row],[Aplicación]],14,2)</f>
        <v>21</v>
      </c>
      <c r="X3676" s="56" t="str">
        <f>MID(Tabla1[[#This Row],[Aplicación]],14,6)</f>
        <v>214</v>
      </c>
    </row>
    <row r="3677" spans="1:24" x14ac:dyDescent="0.25">
      <c r="A3677" s="63">
        <v>220230028599</v>
      </c>
      <c r="B3677" s="44" t="s">
        <v>1514</v>
      </c>
      <c r="C3677" s="64">
        <v>45084</v>
      </c>
      <c r="D3677" s="62">
        <v>22023004052</v>
      </c>
      <c r="E3677" s="44" t="s">
        <v>1290</v>
      </c>
      <c r="F3677" s="65">
        <v>72.48</v>
      </c>
      <c r="G3677" s="44" t="s">
        <v>62</v>
      </c>
      <c r="H3677" s="44" t="s">
        <v>5413</v>
      </c>
      <c r="I3677" s="62" t="s">
        <v>1517</v>
      </c>
      <c r="J3677" s="44" t="s">
        <v>3014</v>
      </c>
      <c r="K3677" s="44" t="s">
        <v>3015</v>
      </c>
      <c r="L3677" s="44" t="s">
        <v>552</v>
      </c>
      <c r="M3677" s="44" t="s">
        <v>514</v>
      </c>
      <c r="N3677" s="44" t="s">
        <v>515</v>
      </c>
      <c r="O3677" s="45" t="s">
        <v>382</v>
      </c>
      <c r="P3677" s="45" t="s">
        <v>3760</v>
      </c>
      <c r="Q3677" s="59" t="str">
        <f>MID(Tabla1[[#This Row],[Aplicación]],14,1)</f>
        <v>2</v>
      </c>
      <c r="R3677" s="35" t="s">
        <v>298</v>
      </c>
      <c r="S3677" s="59" t="str">
        <f>MID(Tabla1[[#This Row],[Aplicación]],6,2)</f>
        <v>11</v>
      </c>
      <c r="T3677" s="35" t="str">
        <f>VLOOKUP(Tabla1[[#This Row],[AREA]],Hoja1!A:B,2,FALSE)</f>
        <v>11. Salud pública y seguridad ciudadana</v>
      </c>
      <c r="U3677" s="56" t="str">
        <f>MID(Tabla1[[#This Row],[Aplicación]],9,4)</f>
        <v>1621</v>
      </c>
      <c r="V3677" s="35" t="str">
        <f>VLOOKUP(Tabla1[[#This Row],[PROGRAMA]],Hoja1!A:B,2,FALSE)</f>
        <v>1621. Servicio de limpieza</v>
      </c>
      <c r="W3677" s="56" t="str">
        <f>MID(Tabla1[[#This Row],[Aplicación]],14,2)</f>
        <v>21</v>
      </c>
      <c r="X3677" s="56" t="str">
        <f>MID(Tabla1[[#This Row],[Aplicación]],14,6)</f>
        <v>214</v>
      </c>
    </row>
    <row r="3678" spans="1:24" x14ac:dyDescent="0.25">
      <c r="A3678" s="63">
        <v>220230031233</v>
      </c>
      <c r="B3678" s="44" t="s">
        <v>507</v>
      </c>
      <c r="C3678" s="64">
        <v>45099</v>
      </c>
      <c r="D3678" s="62">
        <v>22023004999</v>
      </c>
      <c r="E3678" s="44" t="s">
        <v>1290</v>
      </c>
      <c r="F3678" s="65">
        <v>2196.9499999999998</v>
      </c>
      <c r="G3678" s="44" t="s">
        <v>62</v>
      </c>
      <c r="H3678" s="44" t="s">
        <v>5414</v>
      </c>
      <c r="I3678" s="62" t="s">
        <v>511</v>
      </c>
      <c r="J3678" s="44" t="s">
        <v>3014</v>
      </c>
      <c r="K3678" s="44" t="s">
        <v>3015</v>
      </c>
      <c r="L3678" s="44" t="s">
        <v>520</v>
      </c>
      <c r="M3678" s="44" t="s">
        <v>976</v>
      </c>
      <c r="N3678" s="44" t="s">
        <v>839</v>
      </c>
      <c r="O3678" s="45" t="s">
        <v>383</v>
      </c>
      <c r="P3678" s="45" t="s">
        <v>3760</v>
      </c>
      <c r="Q3678" s="59" t="str">
        <f>MID(Tabla1[[#This Row],[Aplicación]],14,1)</f>
        <v>2</v>
      </c>
      <c r="R3678" s="35" t="s">
        <v>298</v>
      </c>
      <c r="S3678" s="59" t="str">
        <f>MID(Tabla1[[#This Row],[Aplicación]],6,2)</f>
        <v>11</v>
      </c>
      <c r="T3678" s="35" t="str">
        <f>VLOOKUP(Tabla1[[#This Row],[AREA]],Hoja1!A:B,2,FALSE)</f>
        <v>11. Salud pública y seguridad ciudadana</v>
      </c>
      <c r="U3678" s="56" t="str">
        <f>MID(Tabla1[[#This Row],[Aplicación]],9,4)</f>
        <v>1621</v>
      </c>
      <c r="V3678" s="35" t="str">
        <f>VLOOKUP(Tabla1[[#This Row],[PROGRAMA]],Hoja1!A:B,2,FALSE)</f>
        <v>1621. Servicio de limpieza</v>
      </c>
      <c r="W3678" s="56" t="str">
        <f>MID(Tabla1[[#This Row],[Aplicación]],14,2)</f>
        <v>21</v>
      </c>
      <c r="X3678" s="56" t="str">
        <f>MID(Tabla1[[#This Row],[Aplicación]],14,6)</f>
        <v>214</v>
      </c>
    </row>
    <row r="3679" spans="1:24" x14ac:dyDescent="0.25">
      <c r="A3679" s="63">
        <v>220230032379</v>
      </c>
      <c r="B3679" s="44" t="s">
        <v>1514</v>
      </c>
      <c r="C3679" s="64">
        <v>45107</v>
      </c>
      <c r="D3679" s="62">
        <v>22023004052</v>
      </c>
      <c r="E3679" s="44" t="s">
        <v>1290</v>
      </c>
      <c r="F3679" s="65">
        <v>107.99</v>
      </c>
      <c r="G3679" s="44" t="s">
        <v>62</v>
      </c>
      <c r="H3679" s="44" t="s">
        <v>5415</v>
      </c>
      <c r="I3679" s="62" t="s">
        <v>1517</v>
      </c>
      <c r="J3679" s="44" t="s">
        <v>3014</v>
      </c>
      <c r="K3679" s="44" t="s">
        <v>3015</v>
      </c>
      <c r="L3679" s="44" t="s">
        <v>552</v>
      </c>
      <c r="M3679" s="44" t="s">
        <v>514</v>
      </c>
      <c r="N3679" s="44" t="s">
        <v>515</v>
      </c>
      <c r="O3679" s="45" t="s">
        <v>382</v>
      </c>
      <c r="P3679" s="45" t="s">
        <v>3760</v>
      </c>
      <c r="Q3679" s="59" t="str">
        <f>MID(Tabla1[[#This Row],[Aplicación]],14,1)</f>
        <v>2</v>
      </c>
      <c r="R3679" s="35" t="s">
        <v>298</v>
      </c>
      <c r="S3679" s="59" t="str">
        <f>MID(Tabla1[[#This Row],[Aplicación]],6,2)</f>
        <v>11</v>
      </c>
      <c r="T3679" s="35" t="str">
        <f>VLOOKUP(Tabla1[[#This Row],[AREA]],Hoja1!A:B,2,FALSE)</f>
        <v>11. Salud pública y seguridad ciudadana</v>
      </c>
      <c r="U3679" s="56" t="str">
        <f>MID(Tabla1[[#This Row],[Aplicación]],9,4)</f>
        <v>1621</v>
      </c>
      <c r="V3679" s="35" t="str">
        <f>VLOOKUP(Tabla1[[#This Row],[PROGRAMA]],Hoja1!A:B,2,FALSE)</f>
        <v>1621. Servicio de limpieza</v>
      </c>
      <c r="W3679" s="56" t="str">
        <f>MID(Tabla1[[#This Row],[Aplicación]],14,2)</f>
        <v>21</v>
      </c>
      <c r="X3679" s="56" t="str">
        <f>MID(Tabla1[[#This Row],[Aplicación]],14,6)</f>
        <v>214</v>
      </c>
    </row>
    <row r="3680" spans="1:24" x14ac:dyDescent="0.25">
      <c r="A3680" s="63">
        <v>220230030061</v>
      </c>
      <c r="B3680" s="44" t="s">
        <v>1514</v>
      </c>
      <c r="C3680" s="64">
        <v>45093</v>
      </c>
      <c r="D3680" s="62">
        <v>22023003832</v>
      </c>
      <c r="E3680" s="44" t="s">
        <v>1502</v>
      </c>
      <c r="F3680" s="65">
        <v>170.22</v>
      </c>
      <c r="G3680" s="44" t="s">
        <v>2540</v>
      </c>
      <c r="H3680" s="44" t="s">
        <v>5416</v>
      </c>
      <c r="I3680" s="62" t="s">
        <v>1517</v>
      </c>
      <c r="J3680" s="44" t="s">
        <v>519</v>
      </c>
      <c r="K3680" s="44" t="s">
        <v>519</v>
      </c>
      <c r="L3680" s="44" t="s">
        <v>552</v>
      </c>
      <c r="M3680" s="44" t="s">
        <v>514</v>
      </c>
      <c r="N3680" s="44" t="s">
        <v>515</v>
      </c>
      <c r="O3680" s="45" t="s">
        <v>382</v>
      </c>
      <c r="P3680" s="45" t="s">
        <v>3760</v>
      </c>
      <c r="Q3680" s="59" t="str">
        <f>MID(Tabla1[[#This Row],[Aplicación]],14,1)</f>
        <v>2</v>
      </c>
      <c r="R3680" s="35" t="s">
        <v>298</v>
      </c>
      <c r="S3680" s="59" t="str">
        <f>MID(Tabla1[[#This Row],[Aplicación]],6,2)</f>
        <v>10</v>
      </c>
      <c r="T3680" s="35" t="str">
        <f>VLOOKUP(Tabla1[[#This Row],[AREA]],Hoja1!A:B,2,FALSE)</f>
        <v>10. Servicios sociales y mediación comunitaria</v>
      </c>
      <c r="U3680" s="56" t="str">
        <f>MID(Tabla1[[#This Row],[Aplicación]],9,4)</f>
        <v>2412</v>
      </c>
      <c r="V3680" s="35" t="str">
        <f>VLOOKUP(Tabla1[[#This Row],[PROGRAMA]],Hoja1!A:B,2,FALSE)</f>
        <v>2412. Formación para el empleo</v>
      </c>
      <c r="W3680" s="56" t="str">
        <f>MID(Tabla1[[#This Row],[Aplicación]],14,2)</f>
        <v>22</v>
      </c>
      <c r="X3680" s="56" t="str">
        <f>MID(Tabla1[[#This Row],[Aplicación]],14,6)</f>
        <v>22199</v>
      </c>
    </row>
    <row r="3681" spans="1:24" x14ac:dyDescent="0.25">
      <c r="A3681" s="63">
        <v>220230032311</v>
      </c>
      <c r="B3681" s="44" t="s">
        <v>1514</v>
      </c>
      <c r="C3681" s="64">
        <v>45107</v>
      </c>
      <c r="D3681" s="62">
        <v>22023004206</v>
      </c>
      <c r="E3681" s="44" t="s">
        <v>1305</v>
      </c>
      <c r="F3681" s="65">
        <v>39.11</v>
      </c>
      <c r="G3681" s="44" t="s">
        <v>2540</v>
      </c>
      <c r="H3681" s="44" t="s">
        <v>5417</v>
      </c>
      <c r="I3681" s="62" t="s">
        <v>1517</v>
      </c>
      <c r="J3681" s="44" t="s">
        <v>519</v>
      </c>
      <c r="K3681" s="44" t="s">
        <v>519</v>
      </c>
      <c r="L3681" s="44" t="s">
        <v>552</v>
      </c>
      <c r="M3681" s="44" t="s">
        <v>514</v>
      </c>
      <c r="N3681" s="44" t="s">
        <v>515</v>
      </c>
      <c r="O3681" s="45" t="s">
        <v>382</v>
      </c>
      <c r="P3681" s="45" t="s">
        <v>3760</v>
      </c>
      <c r="Q3681" s="59" t="str">
        <f>MID(Tabla1[[#This Row],[Aplicación]],14,1)</f>
        <v>2</v>
      </c>
      <c r="R3681" s="35" t="s">
        <v>298</v>
      </c>
      <c r="S3681" s="59" t="str">
        <f>MID(Tabla1[[#This Row],[Aplicación]],6,2)</f>
        <v>06</v>
      </c>
      <c r="T3681" s="35" t="str">
        <f>VLOOKUP(Tabla1[[#This Row],[AREA]],Hoja1!A:B,2,FALSE)</f>
        <v>06. Educación, infancia, juventud e igualdad</v>
      </c>
      <c r="U3681" s="56" t="str">
        <f>MID(Tabla1[[#This Row],[Aplicación]],9,4)</f>
        <v>3232</v>
      </c>
      <c r="V3681" s="35" t="str">
        <f>VLOOKUP(Tabla1[[#This Row],[PROGRAMA]],Hoja1!A:B,2,FALSE)</f>
        <v>3232. Conservación y mantenimiento centros educación infantil y primaria</v>
      </c>
      <c r="W3681" s="56" t="str">
        <f>MID(Tabla1[[#This Row],[Aplicación]],14,2)</f>
        <v>21</v>
      </c>
      <c r="X3681" s="56" t="str">
        <f>MID(Tabla1[[#This Row],[Aplicación]],14,6)</f>
        <v>212</v>
      </c>
    </row>
    <row r="3682" spans="1:24" x14ac:dyDescent="0.25">
      <c r="A3682" s="63">
        <v>220230031209</v>
      </c>
      <c r="B3682" s="44" t="s">
        <v>507</v>
      </c>
      <c r="C3682" s="64">
        <v>45099</v>
      </c>
      <c r="D3682" s="62">
        <v>22023005079</v>
      </c>
      <c r="E3682" s="44" t="s">
        <v>2732</v>
      </c>
      <c r="F3682" s="65">
        <v>161.61000000000001</v>
      </c>
      <c r="G3682" s="44" t="s">
        <v>346</v>
      </c>
      <c r="H3682" s="44" t="s">
        <v>5418</v>
      </c>
      <c r="I3682" s="62" t="s">
        <v>511</v>
      </c>
      <c r="J3682" s="44" t="s">
        <v>519</v>
      </c>
      <c r="K3682" s="44" t="s">
        <v>519</v>
      </c>
      <c r="L3682" s="44" t="s">
        <v>520</v>
      </c>
      <c r="M3682" s="44" t="s">
        <v>976</v>
      </c>
      <c r="N3682" s="44" t="s">
        <v>839</v>
      </c>
      <c r="O3682" s="45" t="s">
        <v>383</v>
      </c>
      <c r="P3682" s="45" t="s">
        <v>3760</v>
      </c>
      <c r="Q3682" s="59" t="str">
        <f>MID(Tabla1[[#This Row],[Aplicación]],14,1)</f>
        <v>6</v>
      </c>
      <c r="R3682" s="35" t="s">
        <v>299</v>
      </c>
      <c r="S3682" s="59" t="str">
        <f>MID(Tabla1[[#This Row],[Aplicación]],6,2)</f>
        <v>06</v>
      </c>
      <c r="T3682" s="35" t="str">
        <f>VLOOKUP(Tabla1[[#This Row],[AREA]],Hoja1!A:B,2,FALSE)</f>
        <v>06. Educación, infancia, juventud e igualdad</v>
      </c>
      <c r="U3682" s="56" t="str">
        <f>MID(Tabla1[[#This Row],[Aplicación]],9,4)</f>
        <v>3232</v>
      </c>
      <c r="V3682" s="35" t="str">
        <f>VLOOKUP(Tabla1[[#This Row],[PROGRAMA]],Hoja1!A:B,2,FALSE)</f>
        <v>3232. Conservación y mantenimiento centros educación infantil y primaria</v>
      </c>
      <c r="W3682" s="56" t="str">
        <f>MID(Tabla1[[#This Row],[Aplicación]],14,2)</f>
        <v>63</v>
      </c>
      <c r="X3682" s="56" t="str">
        <f>MID(Tabla1[[#This Row],[Aplicación]],14,6)</f>
        <v>632</v>
      </c>
    </row>
    <row r="3683" spans="1:24" x14ac:dyDescent="0.25">
      <c r="A3683" s="63">
        <v>220230032316</v>
      </c>
      <c r="B3683" s="44" t="s">
        <v>1514</v>
      </c>
      <c r="C3683" s="64">
        <v>45107</v>
      </c>
      <c r="D3683" s="62">
        <v>22023004205</v>
      </c>
      <c r="E3683" s="44" t="s">
        <v>2458</v>
      </c>
      <c r="F3683" s="65">
        <v>139.6</v>
      </c>
      <c r="G3683" s="44" t="s">
        <v>2540</v>
      </c>
      <c r="H3683" s="44" t="s">
        <v>5419</v>
      </c>
      <c r="I3683" s="62" t="s">
        <v>1517</v>
      </c>
      <c r="J3683" s="44" t="s">
        <v>519</v>
      </c>
      <c r="K3683" s="44" t="s">
        <v>519</v>
      </c>
      <c r="L3683" s="44" t="s">
        <v>552</v>
      </c>
      <c r="M3683" s="44" t="s">
        <v>514</v>
      </c>
      <c r="N3683" s="44" t="s">
        <v>515</v>
      </c>
      <c r="O3683" s="45" t="s">
        <v>382</v>
      </c>
      <c r="P3683" s="45" t="s">
        <v>3760</v>
      </c>
      <c r="Q3683" s="59" t="str">
        <f>MID(Tabla1[[#This Row],[Aplicación]],14,1)</f>
        <v>2</v>
      </c>
      <c r="R3683" s="35" t="s">
        <v>298</v>
      </c>
      <c r="S3683" s="59" t="str">
        <f>MID(Tabla1[[#This Row],[Aplicación]],6,2)</f>
        <v>06</v>
      </c>
      <c r="T3683" s="35" t="str">
        <f>VLOOKUP(Tabla1[[#This Row],[AREA]],Hoja1!A:B,2,FALSE)</f>
        <v>06. Educación, infancia, juventud e igualdad</v>
      </c>
      <c r="U3683" s="56" t="str">
        <f>MID(Tabla1[[#This Row],[Aplicación]],9,4)</f>
        <v>3231</v>
      </c>
      <c r="V3683" s="35" t="str">
        <f>VLOOKUP(Tabla1[[#This Row],[PROGRAMA]],Hoja1!A:B,2,FALSE)</f>
        <v>3231. Escuelas infantiles</v>
      </c>
      <c r="W3683" s="56" t="str">
        <f>MID(Tabla1[[#This Row],[Aplicación]],14,2)</f>
        <v>21</v>
      </c>
      <c r="X3683" s="56" t="str">
        <f>MID(Tabla1[[#This Row],[Aplicación]],14,6)</f>
        <v>212</v>
      </c>
    </row>
    <row r="3684" spans="1:24" x14ac:dyDescent="0.25">
      <c r="A3684" s="62">
        <v>220230015971</v>
      </c>
      <c r="B3684" s="44" t="s">
        <v>507</v>
      </c>
      <c r="C3684" s="64">
        <v>45042</v>
      </c>
      <c r="D3684" s="62">
        <v>22023004023</v>
      </c>
      <c r="E3684" s="44" t="s">
        <v>4235</v>
      </c>
      <c r="F3684" s="65">
        <v>1500</v>
      </c>
      <c r="G3684" s="44" t="s">
        <v>46</v>
      </c>
      <c r="H3684" s="44" t="s">
        <v>5420</v>
      </c>
      <c r="I3684" s="62" t="s">
        <v>511</v>
      </c>
      <c r="J3684" s="44" t="s">
        <v>519</v>
      </c>
      <c r="K3684" s="44" t="s">
        <v>519</v>
      </c>
      <c r="L3684" s="44" t="s">
        <v>552</v>
      </c>
      <c r="M3684" s="44" t="s">
        <v>514</v>
      </c>
      <c r="N3684" s="44" t="s">
        <v>604</v>
      </c>
      <c r="O3684" s="45" t="s">
        <v>382</v>
      </c>
      <c r="P3684" s="45" t="s">
        <v>3760</v>
      </c>
      <c r="Q3684" s="59" t="str">
        <f>MID(Tabla1[[#This Row],[Aplicación]],14,1)</f>
        <v>2</v>
      </c>
      <c r="R3684" s="35" t="s">
        <v>298</v>
      </c>
      <c r="S3684" s="59" t="str">
        <f>MID(Tabla1[[#This Row],[Aplicación]],6,2)</f>
        <v>08</v>
      </c>
      <c r="T3684" s="35" t="str">
        <f>VLOOKUP(Tabla1[[#This Row],[AREA]],Hoja1!A:B,2,FALSE)</f>
        <v>08. Movilidad y espacio urbano</v>
      </c>
      <c r="U3684" s="56" t="str">
        <f>MID(Tabla1[[#This Row],[Aplicación]],9,4)</f>
        <v>1651</v>
      </c>
      <c r="V3684" s="35" t="str">
        <f>VLOOKUP(Tabla1[[#This Row],[PROGRAMA]],Hoja1!A:B,2,FALSE)</f>
        <v>1651. Alumbrado público</v>
      </c>
      <c r="W3684" s="56" t="str">
        <f>MID(Tabla1[[#This Row],[Aplicación]],14,2)</f>
        <v>22</v>
      </c>
      <c r="X3684" s="56" t="str">
        <f>MID(Tabla1[[#This Row],[Aplicación]],14,6)</f>
        <v>22199</v>
      </c>
    </row>
    <row r="3685" spans="1:24" x14ac:dyDescent="0.25">
      <c r="A3685" s="62">
        <v>220230026386</v>
      </c>
      <c r="B3685" s="44" t="s">
        <v>1514</v>
      </c>
      <c r="C3685" s="64">
        <v>45077</v>
      </c>
      <c r="D3685" s="62">
        <v>22023003833</v>
      </c>
      <c r="E3685" s="44" t="s">
        <v>1502</v>
      </c>
      <c r="F3685" s="65">
        <v>369.97</v>
      </c>
      <c r="G3685" s="44" t="s">
        <v>46</v>
      </c>
      <c r="H3685" s="44" t="s">
        <v>5421</v>
      </c>
      <c r="I3685" s="62" t="s">
        <v>1517</v>
      </c>
      <c r="J3685" s="44" t="s">
        <v>519</v>
      </c>
      <c r="K3685" s="44" t="s">
        <v>519</v>
      </c>
      <c r="L3685" s="44" t="s">
        <v>552</v>
      </c>
      <c r="M3685" s="44" t="s">
        <v>514</v>
      </c>
      <c r="N3685" s="44" t="s">
        <v>515</v>
      </c>
      <c r="O3685" s="45" t="s">
        <v>382</v>
      </c>
      <c r="P3685" s="45" t="s">
        <v>3760</v>
      </c>
      <c r="Q3685" s="59" t="str">
        <f>MID(Tabla1[[#This Row],[Aplicación]],14,1)</f>
        <v>2</v>
      </c>
      <c r="R3685" s="35" t="s">
        <v>298</v>
      </c>
      <c r="S3685" s="59" t="str">
        <f>MID(Tabla1[[#This Row],[Aplicación]],6,2)</f>
        <v>10</v>
      </c>
      <c r="T3685" s="35" t="str">
        <f>VLOOKUP(Tabla1[[#This Row],[AREA]],Hoja1!A:B,2,FALSE)</f>
        <v>10. Servicios sociales y mediación comunitaria</v>
      </c>
      <c r="U3685" s="56" t="str">
        <f>MID(Tabla1[[#This Row],[Aplicación]],9,4)</f>
        <v>2412</v>
      </c>
      <c r="V3685" s="35" t="str">
        <f>VLOOKUP(Tabla1[[#This Row],[PROGRAMA]],Hoja1!A:B,2,FALSE)</f>
        <v>2412. Formación para el empleo</v>
      </c>
      <c r="W3685" s="56" t="str">
        <f>MID(Tabla1[[#This Row],[Aplicación]],14,2)</f>
        <v>22</v>
      </c>
      <c r="X3685" s="56" t="str">
        <f>MID(Tabla1[[#This Row],[Aplicación]],14,6)</f>
        <v>22199</v>
      </c>
    </row>
    <row r="3686" spans="1:24" x14ac:dyDescent="0.25">
      <c r="A3686" s="62">
        <v>220230026541</v>
      </c>
      <c r="B3686" s="44" t="s">
        <v>1514</v>
      </c>
      <c r="C3686" s="64">
        <v>45077</v>
      </c>
      <c r="D3686" s="62">
        <v>22023002739</v>
      </c>
      <c r="E3686" s="44" t="s">
        <v>1551</v>
      </c>
      <c r="F3686" s="65">
        <v>156.54</v>
      </c>
      <c r="G3686" s="44" t="s">
        <v>46</v>
      </c>
      <c r="H3686" s="44" t="s">
        <v>5422</v>
      </c>
      <c r="I3686" s="62" t="s">
        <v>1517</v>
      </c>
      <c r="J3686" s="44" t="s">
        <v>519</v>
      </c>
      <c r="K3686" s="44" t="s">
        <v>519</v>
      </c>
      <c r="L3686" s="44" t="s">
        <v>552</v>
      </c>
      <c r="M3686" s="44" t="s">
        <v>514</v>
      </c>
      <c r="N3686" s="44" t="s">
        <v>515</v>
      </c>
      <c r="O3686" s="45" t="s">
        <v>382</v>
      </c>
      <c r="P3686" s="45" t="s">
        <v>3760</v>
      </c>
      <c r="Q3686" s="59" t="str">
        <f>MID(Tabla1[[#This Row],[Aplicación]],14,1)</f>
        <v>2</v>
      </c>
      <c r="R3686" s="35" t="s">
        <v>298</v>
      </c>
      <c r="S3686" s="59" t="str">
        <f>MID(Tabla1[[#This Row],[Aplicación]],6,2)</f>
        <v>02</v>
      </c>
      <c r="T3686" s="35" t="str">
        <f>VLOOKUP(Tabla1[[#This Row],[AREA]],Hoja1!A:B,2,FALSE)</f>
        <v>02. Planeamiento urbanístico y vivienda</v>
      </c>
      <c r="U3686" s="56" t="str">
        <f>MID(Tabla1[[#This Row],[Aplicación]],9,4)</f>
        <v>9332</v>
      </c>
      <c r="V3686" s="35" t="str">
        <f>VLOOKUP(Tabla1[[#This Row],[PROGRAMA]],Hoja1!A:B,2,FALSE)</f>
        <v>9332. Mantenimiento de edificios e instalaciones municipales</v>
      </c>
      <c r="W3686" s="56" t="str">
        <f>MID(Tabla1[[#This Row],[Aplicación]],14,2)</f>
        <v>21</v>
      </c>
      <c r="X3686" s="56" t="str">
        <f>MID(Tabla1[[#This Row],[Aplicación]],14,6)</f>
        <v>212</v>
      </c>
    </row>
    <row r="3687" spans="1:24" x14ac:dyDescent="0.25">
      <c r="A3687" s="62">
        <v>220230026157</v>
      </c>
      <c r="B3687" s="44" t="s">
        <v>1514</v>
      </c>
      <c r="C3687" s="64">
        <v>45077</v>
      </c>
      <c r="D3687" s="62">
        <v>22023002739</v>
      </c>
      <c r="E3687" s="44" t="s">
        <v>1551</v>
      </c>
      <c r="F3687" s="65">
        <v>107.9</v>
      </c>
      <c r="G3687" s="44" t="s">
        <v>46</v>
      </c>
      <c r="H3687" s="44" t="s">
        <v>5423</v>
      </c>
      <c r="I3687" s="62" t="s">
        <v>1517</v>
      </c>
      <c r="J3687" s="44" t="s">
        <v>519</v>
      </c>
      <c r="K3687" s="44" t="s">
        <v>519</v>
      </c>
      <c r="L3687" s="44" t="s">
        <v>552</v>
      </c>
      <c r="M3687" s="44" t="s">
        <v>514</v>
      </c>
      <c r="N3687" s="44" t="s">
        <v>515</v>
      </c>
      <c r="O3687" s="45" t="s">
        <v>382</v>
      </c>
      <c r="P3687" s="45" t="s">
        <v>3760</v>
      </c>
      <c r="Q3687" s="59" t="str">
        <f>MID(Tabla1[[#This Row],[Aplicación]],14,1)</f>
        <v>2</v>
      </c>
      <c r="R3687" s="35" t="s">
        <v>298</v>
      </c>
      <c r="S3687" s="59" t="str">
        <f>MID(Tabla1[[#This Row],[Aplicación]],6,2)</f>
        <v>02</v>
      </c>
      <c r="T3687" s="35" t="str">
        <f>VLOOKUP(Tabla1[[#This Row],[AREA]],Hoja1!A:B,2,FALSE)</f>
        <v>02. Planeamiento urbanístico y vivienda</v>
      </c>
      <c r="U3687" s="56" t="str">
        <f>MID(Tabla1[[#This Row],[Aplicación]],9,4)</f>
        <v>9332</v>
      </c>
      <c r="V3687" s="35" t="str">
        <f>VLOOKUP(Tabla1[[#This Row],[PROGRAMA]],Hoja1!A:B,2,FALSE)</f>
        <v>9332. Mantenimiento de edificios e instalaciones municipales</v>
      </c>
      <c r="W3687" s="56" t="str">
        <f>MID(Tabla1[[#This Row],[Aplicación]],14,2)</f>
        <v>21</v>
      </c>
      <c r="X3687" s="56" t="str">
        <f>MID(Tabla1[[#This Row],[Aplicación]],14,6)</f>
        <v>212</v>
      </c>
    </row>
    <row r="3688" spans="1:24" x14ac:dyDescent="0.25">
      <c r="A3688" s="62">
        <v>220230026384</v>
      </c>
      <c r="B3688" s="44" t="s">
        <v>1514</v>
      </c>
      <c r="C3688" s="64">
        <v>45077</v>
      </c>
      <c r="D3688" s="62">
        <v>22023003833</v>
      </c>
      <c r="E3688" s="44" t="s">
        <v>1502</v>
      </c>
      <c r="F3688" s="65">
        <v>55.54</v>
      </c>
      <c r="G3688" s="44" t="s">
        <v>46</v>
      </c>
      <c r="H3688" s="44" t="s">
        <v>5424</v>
      </c>
      <c r="I3688" s="62" t="s">
        <v>1517</v>
      </c>
      <c r="J3688" s="44" t="s">
        <v>519</v>
      </c>
      <c r="K3688" s="44" t="s">
        <v>519</v>
      </c>
      <c r="L3688" s="44" t="s">
        <v>552</v>
      </c>
      <c r="M3688" s="44" t="s">
        <v>514</v>
      </c>
      <c r="N3688" s="44" t="s">
        <v>515</v>
      </c>
      <c r="O3688" s="45" t="s">
        <v>382</v>
      </c>
      <c r="P3688" s="45" t="s">
        <v>3760</v>
      </c>
      <c r="Q3688" s="59" t="str">
        <f>MID(Tabla1[[#This Row],[Aplicación]],14,1)</f>
        <v>2</v>
      </c>
      <c r="R3688" s="35" t="s">
        <v>298</v>
      </c>
      <c r="S3688" s="59" t="str">
        <f>MID(Tabla1[[#This Row],[Aplicación]],6,2)</f>
        <v>10</v>
      </c>
      <c r="T3688" s="35" t="str">
        <f>VLOOKUP(Tabla1[[#This Row],[AREA]],Hoja1!A:B,2,FALSE)</f>
        <v>10. Servicios sociales y mediación comunitaria</v>
      </c>
      <c r="U3688" s="56" t="str">
        <f>MID(Tabla1[[#This Row],[Aplicación]],9,4)</f>
        <v>2412</v>
      </c>
      <c r="V3688" s="35" t="str">
        <f>VLOOKUP(Tabla1[[#This Row],[PROGRAMA]],Hoja1!A:B,2,FALSE)</f>
        <v>2412. Formación para el empleo</v>
      </c>
      <c r="W3688" s="56" t="str">
        <f>MID(Tabla1[[#This Row],[Aplicación]],14,2)</f>
        <v>22</v>
      </c>
      <c r="X3688" s="56" t="str">
        <f>MID(Tabla1[[#This Row],[Aplicación]],14,6)</f>
        <v>22199</v>
      </c>
    </row>
    <row r="3689" spans="1:24" x14ac:dyDescent="0.25">
      <c r="A3689" s="63">
        <v>220230031194</v>
      </c>
      <c r="B3689" s="44" t="s">
        <v>507</v>
      </c>
      <c r="C3689" s="64">
        <v>45099</v>
      </c>
      <c r="D3689" s="62">
        <v>22023005153</v>
      </c>
      <c r="E3689" s="44" t="s">
        <v>2732</v>
      </c>
      <c r="F3689" s="65">
        <v>161.58000000000001</v>
      </c>
      <c r="G3689" s="44" t="s">
        <v>346</v>
      </c>
      <c r="H3689" s="44" t="s">
        <v>5425</v>
      </c>
      <c r="I3689" s="62" t="s">
        <v>511</v>
      </c>
      <c r="J3689" s="44" t="s">
        <v>519</v>
      </c>
      <c r="K3689" s="44" t="s">
        <v>519</v>
      </c>
      <c r="L3689" s="44" t="s">
        <v>520</v>
      </c>
      <c r="M3689" s="44" t="s">
        <v>976</v>
      </c>
      <c r="N3689" s="44" t="s">
        <v>839</v>
      </c>
      <c r="O3689" s="45" t="s">
        <v>383</v>
      </c>
      <c r="P3689" s="45" t="s">
        <v>3760</v>
      </c>
      <c r="Q3689" s="59" t="str">
        <f>MID(Tabla1[[#This Row],[Aplicación]],14,1)</f>
        <v>6</v>
      </c>
      <c r="R3689" s="35" t="s">
        <v>299</v>
      </c>
      <c r="S3689" s="59" t="str">
        <f>MID(Tabla1[[#This Row],[Aplicación]],6,2)</f>
        <v>06</v>
      </c>
      <c r="T3689" s="35" t="str">
        <f>VLOOKUP(Tabla1[[#This Row],[AREA]],Hoja1!A:B,2,FALSE)</f>
        <v>06. Educación, infancia, juventud e igualdad</v>
      </c>
      <c r="U3689" s="56" t="str">
        <f>MID(Tabla1[[#This Row],[Aplicación]],9,4)</f>
        <v>3232</v>
      </c>
      <c r="V3689" s="35" t="str">
        <f>VLOOKUP(Tabla1[[#This Row],[PROGRAMA]],Hoja1!A:B,2,FALSE)</f>
        <v>3232. Conservación y mantenimiento centros educación infantil y primaria</v>
      </c>
      <c r="W3689" s="56" t="str">
        <f>MID(Tabla1[[#This Row],[Aplicación]],14,2)</f>
        <v>63</v>
      </c>
      <c r="X3689" s="56" t="str">
        <f>MID(Tabla1[[#This Row],[Aplicación]],14,6)</f>
        <v>632</v>
      </c>
    </row>
    <row r="3690" spans="1:24" x14ac:dyDescent="0.25">
      <c r="A3690" s="63">
        <v>220230031199</v>
      </c>
      <c r="B3690" s="44" t="s">
        <v>507</v>
      </c>
      <c r="C3690" s="64">
        <v>45099</v>
      </c>
      <c r="D3690" s="62">
        <v>22023005050</v>
      </c>
      <c r="E3690" s="44" t="s">
        <v>3940</v>
      </c>
      <c r="F3690" s="65">
        <v>161.58000000000001</v>
      </c>
      <c r="G3690" s="44" t="s">
        <v>346</v>
      </c>
      <c r="H3690" s="44" t="s">
        <v>5426</v>
      </c>
      <c r="I3690" s="62" t="s">
        <v>511</v>
      </c>
      <c r="J3690" s="44" t="s">
        <v>519</v>
      </c>
      <c r="K3690" s="44" t="s">
        <v>519</v>
      </c>
      <c r="L3690" s="44" t="s">
        <v>520</v>
      </c>
      <c r="M3690" s="44" t="s">
        <v>976</v>
      </c>
      <c r="N3690" s="44" t="s">
        <v>839</v>
      </c>
      <c r="O3690" s="45" t="s">
        <v>383</v>
      </c>
      <c r="P3690" s="45" t="s">
        <v>3760</v>
      </c>
      <c r="Q3690" s="59" t="str">
        <f>MID(Tabla1[[#This Row],[Aplicación]],14,1)</f>
        <v>6</v>
      </c>
      <c r="R3690" s="35" t="s">
        <v>299</v>
      </c>
      <c r="S3690" s="59" t="str">
        <f>MID(Tabla1[[#This Row],[Aplicación]],6,2)</f>
        <v>06</v>
      </c>
      <c r="T3690" s="35" t="str">
        <f>VLOOKUP(Tabla1[[#This Row],[AREA]],Hoja1!A:B,2,FALSE)</f>
        <v>06. Educación, infancia, juventud e igualdad</v>
      </c>
      <c r="U3690" s="56" t="str">
        <f>MID(Tabla1[[#This Row],[Aplicación]],9,4)</f>
        <v>3231</v>
      </c>
      <c r="V3690" s="35" t="str">
        <f>VLOOKUP(Tabla1[[#This Row],[PROGRAMA]],Hoja1!A:B,2,FALSE)</f>
        <v>3231. Escuelas infantiles</v>
      </c>
      <c r="W3690" s="56" t="str">
        <f>MID(Tabla1[[#This Row],[Aplicación]],14,2)</f>
        <v>63</v>
      </c>
      <c r="X3690" s="56" t="str">
        <f>MID(Tabla1[[#This Row],[Aplicación]],14,6)</f>
        <v>632</v>
      </c>
    </row>
    <row r="3691" spans="1:24" x14ac:dyDescent="0.25">
      <c r="A3691" s="63">
        <v>220230026809</v>
      </c>
      <c r="B3691" s="44" t="s">
        <v>507</v>
      </c>
      <c r="C3691" s="64">
        <v>45078</v>
      </c>
      <c r="D3691" s="62">
        <v>22023004783</v>
      </c>
      <c r="E3691" s="44" t="s">
        <v>1506</v>
      </c>
      <c r="F3691" s="65">
        <v>153.09</v>
      </c>
      <c r="G3691" s="44" t="s">
        <v>1871</v>
      </c>
      <c r="H3691" s="44" t="s">
        <v>5427</v>
      </c>
      <c r="I3691" s="62" t="s">
        <v>511</v>
      </c>
      <c r="J3691" s="44" t="s">
        <v>1405</v>
      </c>
      <c r="K3691" s="44" t="s">
        <v>519</v>
      </c>
      <c r="L3691" s="44" t="s">
        <v>552</v>
      </c>
      <c r="M3691" s="44" t="s">
        <v>976</v>
      </c>
      <c r="N3691" s="44" t="s">
        <v>839</v>
      </c>
      <c r="O3691" s="45" t="s">
        <v>383</v>
      </c>
      <c r="P3691" s="45" t="s">
        <v>3760</v>
      </c>
      <c r="Q3691" s="59" t="str">
        <f>MID(Tabla1[[#This Row],[Aplicación]],14,1)</f>
        <v>2</v>
      </c>
      <c r="R3691" s="35" t="s">
        <v>298</v>
      </c>
      <c r="S3691" s="59" t="str">
        <f>MID(Tabla1[[#This Row],[Aplicación]],6,2)</f>
        <v>03</v>
      </c>
      <c r="T3691" s="35" t="str">
        <f>VLOOKUP(Tabla1[[#This Row],[AREA]],Hoja1!A:B,2,FALSE)</f>
        <v>03. Participación ciudadana y deportes</v>
      </c>
      <c r="U3691" s="56" t="str">
        <f>MID(Tabla1[[#This Row],[Aplicación]],9,4)</f>
        <v>9241</v>
      </c>
      <c r="V3691" s="35" t="str">
        <f>VLOOKUP(Tabla1[[#This Row],[PROGRAMA]],Hoja1!A:B,2,FALSE)</f>
        <v>9241. Participación ciudadana</v>
      </c>
      <c r="W3691" s="56" t="str">
        <f>MID(Tabla1[[#This Row],[Aplicación]],14,2)</f>
        <v>21</v>
      </c>
      <c r="X3691" s="56" t="str">
        <f>MID(Tabla1[[#This Row],[Aplicación]],14,6)</f>
        <v>212</v>
      </c>
    </row>
    <row r="3692" spans="1:24" x14ac:dyDescent="0.25">
      <c r="A3692" s="63">
        <v>220230031193</v>
      </c>
      <c r="B3692" s="44" t="s">
        <v>507</v>
      </c>
      <c r="C3692" s="64">
        <v>45099</v>
      </c>
      <c r="D3692" s="62">
        <v>22023005152</v>
      </c>
      <c r="E3692" s="44" t="s">
        <v>1122</v>
      </c>
      <c r="F3692" s="65">
        <v>145.65</v>
      </c>
      <c r="G3692" s="44" t="s">
        <v>4306</v>
      </c>
      <c r="H3692" s="44" t="s">
        <v>5428</v>
      </c>
      <c r="I3692" s="62" t="s">
        <v>511</v>
      </c>
      <c r="J3692" s="44" t="s">
        <v>589</v>
      </c>
      <c r="K3692" s="44" t="s">
        <v>3453</v>
      </c>
      <c r="L3692" s="44" t="s">
        <v>552</v>
      </c>
      <c r="M3692" s="44" t="s">
        <v>976</v>
      </c>
      <c r="N3692" s="44" t="s">
        <v>839</v>
      </c>
      <c r="O3692" s="45" t="s">
        <v>383</v>
      </c>
      <c r="P3692" s="45" t="s">
        <v>3760</v>
      </c>
      <c r="Q3692" s="59" t="str">
        <f>MID(Tabla1[[#This Row],[Aplicación]],14,1)</f>
        <v>2</v>
      </c>
      <c r="R3692" s="35" t="s">
        <v>298</v>
      </c>
      <c r="S3692" s="59" t="str">
        <f>MID(Tabla1[[#This Row],[Aplicación]],6,2)</f>
        <v>11</v>
      </c>
      <c r="T3692" s="35" t="str">
        <f>VLOOKUP(Tabla1[[#This Row],[AREA]],Hoja1!A:B,2,FALSE)</f>
        <v>11. Salud pública y seguridad ciudadana</v>
      </c>
      <c r="U3692" s="56" t="str">
        <f>MID(Tabla1[[#This Row],[Aplicación]],9,4)</f>
        <v>1621</v>
      </c>
      <c r="V3692" s="35" t="str">
        <f>VLOOKUP(Tabla1[[#This Row],[PROGRAMA]],Hoja1!A:B,2,FALSE)</f>
        <v>1621. Servicio de limpieza</v>
      </c>
      <c r="W3692" s="56" t="str">
        <f>MID(Tabla1[[#This Row],[Aplicación]],14,2)</f>
        <v>22</v>
      </c>
      <c r="X3692" s="56" t="str">
        <f>MID(Tabla1[[#This Row],[Aplicación]],14,6)</f>
        <v>22100</v>
      </c>
    </row>
    <row r="3693" spans="1:24" x14ac:dyDescent="0.25">
      <c r="A3693" s="63">
        <v>220230028647</v>
      </c>
      <c r="B3693" s="44" t="s">
        <v>507</v>
      </c>
      <c r="C3693" s="64">
        <v>45085</v>
      </c>
      <c r="D3693" s="62">
        <v>22023004866</v>
      </c>
      <c r="E3693" s="44" t="s">
        <v>1382</v>
      </c>
      <c r="F3693" s="65">
        <v>137.28</v>
      </c>
      <c r="G3693" s="44" t="s">
        <v>68</v>
      </c>
      <c r="H3693" s="44" t="s">
        <v>5429</v>
      </c>
      <c r="I3693" s="62" t="s">
        <v>511</v>
      </c>
      <c r="J3693" s="44" t="s">
        <v>519</v>
      </c>
      <c r="K3693" s="44" t="s">
        <v>519</v>
      </c>
      <c r="L3693" s="44" t="s">
        <v>552</v>
      </c>
      <c r="M3693" s="44" t="s">
        <v>976</v>
      </c>
      <c r="N3693" s="44" t="s">
        <v>839</v>
      </c>
      <c r="O3693" s="45" t="s">
        <v>383</v>
      </c>
      <c r="P3693" s="45" t="s">
        <v>3760</v>
      </c>
      <c r="Q3693" s="59" t="str">
        <f>MID(Tabla1[[#This Row],[Aplicación]],14,1)</f>
        <v>2</v>
      </c>
      <c r="R3693" s="35" t="s">
        <v>298</v>
      </c>
      <c r="S3693" s="59" t="str">
        <f>MID(Tabla1[[#This Row],[Aplicación]],6,2)</f>
        <v>03</v>
      </c>
      <c r="T3693" s="35" t="str">
        <f>VLOOKUP(Tabla1[[#This Row],[AREA]],Hoja1!A:B,2,FALSE)</f>
        <v>03. Participación ciudadana y deportes</v>
      </c>
      <c r="U3693" s="56" t="str">
        <f>MID(Tabla1[[#This Row],[Aplicación]],9,4)</f>
        <v>9241</v>
      </c>
      <c r="V3693" s="35" t="str">
        <f>VLOOKUP(Tabla1[[#This Row],[PROGRAMA]],Hoja1!A:B,2,FALSE)</f>
        <v>9241. Participación ciudadana</v>
      </c>
      <c r="W3693" s="56" t="str">
        <f>MID(Tabla1[[#This Row],[Aplicación]],14,2)</f>
        <v>22</v>
      </c>
      <c r="X3693" s="56" t="str">
        <f>MID(Tabla1[[#This Row],[Aplicación]],14,6)</f>
        <v>22699</v>
      </c>
    </row>
    <row r="3694" spans="1:24" x14ac:dyDescent="0.25">
      <c r="A3694" s="63">
        <v>220230031206</v>
      </c>
      <c r="B3694" s="44" t="s">
        <v>507</v>
      </c>
      <c r="C3694" s="64">
        <v>45099</v>
      </c>
      <c r="D3694" s="62">
        <v>22023005072</v>
      </c>
      <c r="E3694" s="44" t="s">
        <v>1378</v>
      </c>
      <c r="F3694" s="65">
        <v>125</v>
      </c>
      <c r="G3694" s="44" t="s">
        <v>112</v>
      </c>
      <c r="H3694" s="44" t="s">
        <v>5430</v>
      </c>
      <c r="I3694" s="62" t="s">
        <v>511</v>
      </c>
      <c r="J3694" s="44" t="s">
        <v>519</v>
      </c>
      <c r="K3694" s="44" t="s">
        <v>519</v>
      </c>
      <c r="L3694" s="44" t="s">
        <v>552</v>
      </c>
      <c r="M3694" s="44" t="s">
        <v>976</v>
      </c>
      <c r="N3694" s="44" t="s">
        <v>839</v>
      </c>
      <c r="O3694" s="45" t="s">
        <v>383</v>
      </c>
      <c r="P3694" s="45" t="s">
        <v>3760</v>
      </c>
      <c r="Q3694" s="59" t="str">
        <f>MID(Tabla1[[#This Row],[Aplicación]],14,1)</f>
        <v>6</v>
      </c>
      <c r="R3694" s="35" t="s">
        <v>299</v>
      </c>
      <c r="S3694" s="59" t="str">
        <f>MID(Tabla1[[#This Row],[Aplicación]],6,2)</f>
        <v>11</v>
      </c>
      <c r="T3694" s="35" t="str">
        <f>VLOOKUP(Tabla1[[#This Row],[AREA]],Hoja1!A:B,2,FALSE)</f>
        <v>11. Salud pública y seguridad ciudadana</v>
      </c>
      <c r="U3694" s="56" t="str">
        <f>MID(Tabla1[[#This Row],[Aplicación]],9,4)</f>
        <v>1361</v>
      </c>
      <c r="V3694" s="35" t="str">
        <f>VLOOKUP(Tabla1[[#This Row],[PROGRAMA]],Hoja1!A:B,2,FALSE)</f>
        <v>1361. Prevención y extinción de incencios</v>
      </c>
      <c r="W3694" s="56" t="str">
        <f>MID(Tabla1[[#This Row],[Aplicación]],14,2)</f>
        <v>62</v>
      </c>
      <c r="X3694" s="56" t="str">
        <f>MID(Tabla1[[#This Row],[Aplicación]],14,6)</f>
        <v>623</v>
      </c>
    </row>
    <row r="3695" spans="1:24" x14ac:dyDescent="0.25">
      <c r="A3695" s="62">
        <v>220230026390</v>
      </c>
      <c r="B3695" s="44" t="s">
        <v>1514</v>
      </c>
      <c r="C3695" s="64">
        <v>45077</v>
      </c>
      <c r="D3695" s="62">
        <v>22023003833</v>
      </c>
      <c r="E3695" s="44" t="s">
        <v>1502</v>
      </c>
      <c r="F3695" s="65">
        <v>54.1</v>
      </c>
      <c r="G3695" s="44" t="s">
        <v>46</v>
      </c>
      <c r="H3695" s="44" t="s">
        <v>5431</v>
      </c>
      <c r="I3695" s="62" t="s">
        <v>1517</v>
      </c>
      <c r="J3695" s="44" t="s">
        <v>519</v>
      </c>
      <c r="K3695" s="44" t="s">
        <v>519</v>
      </c>
      <c r="L3695" s="44" t="s">
        <v>552</v>
      </c>
      <c r="M3695" s="44" t="s">
        <v>514</v>
      </c>
      <c r="N3695" s="44" t="s">
        <v>515</v>
      </c>
      <c r="O3695" s="45" t="s">
        <v>382</v>
      </c>
      <c r="P3695" s="45" t="s">
        <v>3760</v>
      </c>
      <c r="Q3695" s="59" t="str">
        <f>MID(Tabla1[[#This Row],[Aplicación]],14,1)</f>
        <v>2</v>
      </c>
      <c r="R3695" s="35" t="s">
        <v>298</v>
      </c>
      <c r="S3695" s="59" t="str">
        <f>MID(Tabla1[[#This Row],[Aplicación]],6,2)</f>
        <v>10</v>
      </c>
      <c r="T3695" s="35" t="str">
        <f>VLOOKUP(Tabla1[[#This Row],[AREA]],Hoja1!A:B,2,FALSE)</f>
        <v>10. Servicios sociales y mediación comunitaria</v>
      </c>
      <c r="U3695" s="56" t="str">
        <f>MID(Tabla1[[#This Row],[Aplicación]],9,4)</f>
        <v>2412</v>
      </c>
      <c r="V3695" s="35" t="str">
        <f>VLOOKUP(Tabla1[[#This Row],[PROGRAMA]],Hoja1!A:B,2,FALSE)</f>
        <v>2412. Formación para el empleo</v>
      </c>
      <c r="W3695" s="56" t="str">
        <f>MID(Tabla1[[#This Row],[Aplicación]],14,2)</f>
        <v>22</v>
      </c>
      <c r="X3695" s="56" t="str">
        <f>MID(Tabla1[[#This Row],[Aplicación]],14,6)</f>
        <v>22199</v>
      </c>
    </row>
    <row r="3696" spans="1:24" x14ac:dyDescent="0.25">
      <c r="A3696" s="62">
        <v>220230026500</v>
      </c>
      <c r="B3696" s="44" t="s">
        <v>1514</v>
      </c>
      <c r="C3696" s="64">
        <v>45077</v>
      </c>
      <c r="D3696" s="62">
        <v>22023001343</v>
      </c>
      <c r="E3696" s="44" t="s">
        <v>1506</v>
      </c>
      <c r="F3696" s="65">
        <v>27.62</v>
      </c>
      <c r="G3696" s="44" t="s">
        <v>46</v>
      </c>
      <c r="H3696" s="44" t="s">
        <v>5432</v>
      </c>
      <c r="I3696" s="62" t="s">
        <v>1517</v>
      </c>
      <c r="J3696" s="44" t="s">
        <v>519</v>
      </c>
      <c r="K3696" s="44" t="s">
        <v>519</v>
      </c>
      <c r="L3696" s="44" t="s">
        <v>552</v>
      </c>
      <c r="M3696" s="44" t="s">
        <v>514</v>
      </c>
      <c r="N3696" s="44" t="s">
        <v>604</v>
      </c>
      <c r="O3696" s="45" t="s">
        <v>382</v>
      </c>
      <c r="P3696" s="45" t="s">
        <v>3760</v>
      </c>
      <c r="Q3696" s="59" t="str">
        <f>MID(Tabla1[[#This Row],[Aplicación]],14,1)</f>
        <v>2</v>
      </c>
      <c r="R3696" s="35" t="s">
        <v>298</v>
      </c>
      <c r="S3696" s="59" t="str">
        <f>MID(Tabla1[[#This Row],[Aplicación]],6,2)</f>
        <v>03</v>
      </c>
      <c r="T3696" s="35" t="str">
        <f>VLOOKUP(Tabla1[[#This Row],[AREA]],Hoja1!A:B,2,FALSE)</f>
        <v>03. Participación ciudadana y deportes</v>
      </c>
      <c r="U3696" s="56" t="str">
        <f>MID(Tabla1[[#This Row],[Aplicación]],9,4)</f>
        <v>9241</v>
      </c>
      <c r="V3696" s="35" t="str">
        <f>VLOOKUP(Tabla1[[#This Row],[PROGRAMA]],Hoja1!A:B,2,FALSE)</f>
        <v>9241. Participación ciudadana</v>
      </c>
      <c r="W3696" s="56" t="str">
        <f>MID(Tabla1[[#This Row],[Aplicación]],14,2)</f>
        <v>21</v>
      </c>
      <c r="X3696" s="56" t="str">
        <f>MID(Tabla1[[#This Row],[Aplicación]],14,6)</f>
        <v>212</v>
      </c>
    </row>
    <row r="3697" spans="1:24" x14ac:dyDescent="0.25">
      <c r="A3697" s="62">
        <v>220230026498</v>
      </c>
      <c r="B3697" s="44" t="s">
        <v>1514</v>
      </c>
      <c r="C3697" s="64">
        <v>45077</v>
      </c>
      <c r="D3697" s="62">
        <v>22023001343</v>
      </c>
      <c r="E3697" s="44" t="s">
        <v>1506</v>
      </c>
      <c r="F3697" s="65">
        <v>17.96</v>
      </c>
      <c r="G3697" s="44" t="s">
        <v>46</v>
      </c>
      <c r="H3697" s="44" t="s">
        <v>5433</v>
      </c>
      <c r="I3697" s="62" t="s">
        <v>1517</v>
      </c>
      <c r="J3697" s="44" t="s">
        <v>519</v>
      </c>
      <c r="K3697" s="44" t="s">
        <v>519</v>
      </c>
      <c r="L3697" s="44" t="s">
        <v>552</v>
      </c>
      <c r="M3697" s="44" t="s">
        <v>514</v>
      </c>
      <c r="N3697" s="44" t="s">
        <v>604</v>
      </c>
      <c r="O3697" s="45" t="s">
        <v>382</v>
      </c>
      <c r="P3697" s="45" t="s">
        <v>3760</v>
      </c>
      <c r="Q3697" s="59" t="str">
        <f>MID(Tabla1[[#This Row],[Aplicación]],14,1)</f>
        <v>2</v>
      </c>
      <c r="R3697" s="35" t="s">
        <v>298</v>
      </c>
      <c r="S3697" s="59" t="str">
        <f>MID(Tabla1[[#This Row],[Aplicación]],6,2)</f>
        <v>03</v>
      </c>
      <c r="T3697" s="35" t="str">
        <f>VLOOKUP(Tabla1[[#This Row],[AREA]],Hoja1!A:B,2,FALSE)</f>
        <v>03. Participación ciudadana y deportes</v>
      </c>
      <c r="U3697" s="56" t="str">
        <f>MID(Tabla1[[#This Row],[Aplicación]],9,4)</f>
        <v>9241</v>
      </c>
      <c r="V3697" s="35" t="str">
        <f>VLOOKUP(Tabla1[[#This Row],[PROGRAMA]],Hoja1!A:B,2,FALSE)</f>
        <v>9241. Participación ciudadana</v>
      </c>
      <c r="W3697" s="56" t="str">
        <f>MID(Tabla1[[#This Row],[Aplicación]],14,2)</f>
        <v>21</v>
      </c>
      <c r="X3697" s="56" t="str">
        <f>MID(Tabla1[[#This Row],[Aplicación]],14,6)</f>
        <v>212</v>
      </c>
    </row>
    <row r="3698" spans="1:24" x14ac:dyDescent="0.25">
      <c r="A3698" s="63">
        <v>220230028626</v>
      </c>
      <c r="B3698" s="44" t="s">
        <v>507</v>
      </c>
      <c r="C3698" s="64">
        <v>45085</v>
      </c>
      <c r="D3698" s="62">
        <v>22022005759</v>
      </c>
      <c r="E3698" s="44" t="s">
        <v>4791</v>
      </c>
      <c r="F3698" s="65">
        <v>121.31</v>
      </c>
      <c r="G3698" s="44" t="s">
        <v>346</v>
      </c>
      <c r="H3698" s="44" t="s">
        <v>5434</v>
      </c>
      <c r="I3698" s="62" t="s">
        <v>2168</v>
      </c>
      <c r="J3698" s="44" t="s">
        <v>519</v>
      </c>
      <c r="K3698" s="44" t="s">
        <v>519</v>
      </c>
      <c r="L3698" s="44" t="s">
        <v>527</v>
      </c>
      <c r="M3698" s="44" t="s">
        <v>976</v>
      </c>
      <c r="N3698" s="44" t="s">
        <v>839</v>
      </c>
      <c r="O3698" s="45" t="s">
        <v>383</v>
      </c>
      <c r="P3698" s="45" t="s">
        <v>3760</v>
      </c>
      <c r="Q3698" s="59" t="str">
        <f>MID(Tabla1[[#This Row],[Aplicación]],14,1)</f>
        <v>6</v>
      </c>
      <c r="R3698" s="35" t="s">
        <v>299</v>
      </c>
      <c r="S3698" s="59" t="str">
        <f>MID(Tabla1[[#This Row],[Aplicación]],6,2)</f>
        <v>11</v>
      </c>
      <c r="T3698" s="35" t="str">
        <f>VLOOKUP(Tabla1[[#This Row],[AREA]],Hoja1!A:B,2,FALSE)</f>
        <v>11. Salud pública y seguridad ciudadana</v>
      </c>
      <c r="U3698" s="56" t="str">
        <f>MID(Tabla1[[#This Row],[Aplicación]],9,4)</f>
        <v>1361</v>
      </c>
      <c r="V3698" s="35" t="str">
        <f>VLOOKUP(Tabla1[[#This Row],[PROGRAMA]],Hoja1!A:B,2,FALSE)</f>
        <v>1361. Prevención y extinción de incencios</v>
      </c>
      <c r="W3698" s="56" t="str">
        <f>MID(Tabla1[[#This Row],[Aplicación]],14,2)</f>
        <v>63</v>
      </c>
      <c r="X3698" s="56" t="str">
        <f>MID(Tabla1[[#This Row],[Aplicación]],14,6)</f>
        <v>632</v>
      </c>
    </row>
    <row r="3699" spans="1:24" x14ac:dyDescent="0.25">
      <c r="A3699" s="63">
        <v>220230030094</v>
      </c>
      <c r="B3699" s="44" t="s">
        <v>1514</v>
      </c>
      <c r="C3699" s="64">
        <v>45093</v>
      </c>
      <c r="D3699" s="62">
        <v>22023002739</v>
      </c>
      <c r="E3699" s="44" t="s">
        <v>1551</v>
      </c>
      <c r="F3699" s="65">
        <v>36.08</v>
      </c>
      <c r="G3699" s="44" t="s">
        <v>46</v>
      </c>
      <c r="H3699" s="44" t="s">
        <v>5435</v>
      </c>
      <c r="I3699" s="62" t="s">
        <v>1517</v>
      </c>
      <c r="J3699" s="44" t="s">
        <v>519</v>
      </c>
      <c r="K3699" s="44" t="s">
        <v>519</v>
      </c>
      <c r="L3699" s="44" t="s">
        <v>552</v>
      </c>
      <c r="M3699" s="44" t="s">
        <v>514</v>
      </c>
      <c r="N3699" s="44" t="s">
        <v>515</v>
      </c>
      <c r="O3699" s="45" t="s">
        <v>382</v>
      </c>
      <c r="P3699" s="45" t="s">
        <v>3760</v>
      </c>
      <c r="Q3699" s="59" t="str">
        <f>MID(Tabla1[[#This Row],[Aplicación]],14,1)</f>
        <v>2</v>
      </c>
      <c r="R3699" s="35" t="s">
        <v>298</v>
      </c>
      <c r="S3699" s="59" t="str">
        <f>MID(Tabla1[[#This Row],[Aplicación]],6,2)</f>
        <v>02</v>
      </c>
      <c r="T3699" s="35" t="str">
        <f>VLOOKUP(Tabla1[[#This Row],[AREA]],Hoja1!A:B,2,FALSE)</f>
        <v>02. Planeamiento urbanístico y vivienda</v>
      </c>
      <c r="U3699" s="56" t="str">
        <f>MID(Tabla1[[#This Row],[Aplicación]],9,4)</f>
        <v>9332</v>
      </c>
      <c r="V3699" s="35" t="str">
        <f>VLOOKUP(Tabla1[[#This Row],[PROGRAMA]],Hoja1!A:B,2,FALSE)</f>
        <v>9332. Mantenimiento de edificios e instalaciones municipales</v>
      </c>
      <c r="W3699" s="56" t="str">
        <f>MID(Tabla1[[#This Row],[Aplicación]],14,2)</f>
        <v>21</v>
      </c>
      <c r="X3699" s="56" t="str">
        <f>MID(Tabla1[[#This Row],[Aplicación]],14,6)</f>
        <v>212</v>
      </c>
    </row>
    <row r="3700" spans="1:24" x14ac:dyDescent="0.25">
      <c r="A3700" s="63">
        <v>220230030094</v>
      </c>
      <c r="B3700" s="44" t="s">
        <v>1514</v>
      </c>
      <c r="C3700" s="64">
        <v>45093</v>
      </c>
      <c r="D3700" s="62">
        <v>22023004435</v>
      </c>
      <c r="E3700" s="44" t="s">
        <v>1551</v>
      </c>
      <c r="F3700" s="65">
        <v>46.81</v>
      </c>
      <c r="G3700" s="44" t="s">
        <v>46</v>
      </c>
      <c r="H3700" s="44" t="s">
        <v>5435</v>
      </c>
      <c r="I3700" s="62" t="s">
        <v>1517</v>
      </c>
      <c r="J3700" s="44" t="s">
        <v>519</v>
      </c>
      <c r="K3700" s="44" t="s">
        <v>519</v>
      </c>
      <c r="L3700" s="44" t="s">
        <v>552</v>
      </c>
      <c r="M3700" s="44" t="s">
        <v>514</v>
      </c>
      <c r="N3700" s="44" t="s">
        <v>515</v>
      </c>
      <c r="O3700" s="45" t="s">
        <v>382</v>
      </c>
      <c r="P3700" s="45" t="s">
        <v>3760</v>
      </c>
      <c r="Q3700" s="59" t="str">
        <f>MID(Tabla1[[#This Row],[Aplicación]],14,1)</f>
        <v>2</v>
      </c>
      <c r="R3700" s="35" t="s">
        <v>298</v>
      </c>
      <c r="S3700" s="59" t="str">
        <f>MID(Tabla1[[#This Row],[Aplicación]],6,2)</f>
        <v>02</v>
      </c>
      <c r="T3700" s="35" t="str">
        <f>VLOOKUP(Tabla1[[#This Row],[AREA]],Hoja1!A:B,2,FALSE)</f>
        <v>02. Planeamiento urbanístico y vivienda</v>
      </c>
      <c r="U3700" s="56" t="str">
        <f>MID(Tabla1[[#This Row],[Aplicación]],9,4)</f>
        <v>9332</v>
      </c>
      <c r="V3700" s="35" t="str">
        <f>VLOOKUP(Tabla1[[#This Row],[PROGRAMA]],Hoja1!A:B,2,FALSE)</f>
        <v>9332. Mantenimiento de edificios e instalaciones municipales</v>
      </c>
      <c r="W3700" s="56" t="str">
        <f>MID(Tabla1[[#This Row],[Aplicación]],14,2)</f>
        <v>21</v>
      </c>
      <c r="X3700" s="56" t="str">
        <f>MID(Tabla1[[#This Row],[Aplicación]],14,6)</f>
        <v>212</v>
      </c>
    </row>
    <row r="3701" spans="1:24" x14ac:dyDescent="0.25">
      <c r="A3701" s="63">
        <v>220230031242</v>
      </c>
      <c r="B3701" s="44" t="s">
        <v>507</v>
      </c>
      <c r="C3701" s="64">
        <v>45099</v>
      </c>
      <c r="D3701" s="62">
        <v>22023005013</v>
      </c>
      <c r="E3701" s="44" t="s">
        <v>4385</v>
      </c>
      <c r="F3701" s="65">
        <v>215.54</v>
      </c>
      <c r="G3701" s="44" t="s">
        <v>46</v>
      </c>
      <c r="H3701" s="44" t="s">
        <v>5436</v>
      </c>
      <c r="I3701" s="62" t="s">
        <v>511</v>
      </c>
      <c r="J3701" s="44" t="s">
        <v>519</v>
      </c>
      <c r="K3701" s="44" t="s">
        <v>519</v>
      </c>
      <c r="L3701" s="44" t="s">
        <v>552</v>
      </c>
      <c r="M3701" s="44" t="s">
        <v>514</v>
      </c>
      <c r="N3701" s="44" t="s">
        <v>515</v>
      </c>
      <c r="O3701" s="45" t="s">
        <v>382</v>
      </c>
      <c r="P3701" s="45" t="s">
        <v>3760</v>
      </c>
      <c r="Q3701" s="59" t="str">
        <f>MID(Tabla1[[#This Row],[Aplicación]],14,1)</f>
        <v>2</v>
      </c>
      <c r="R3701" s="35" t="s">
        <v>298</v>
      </c>
      <c r="S3701" s="59" t="str">
        <f>MID(Tabla1[[#This Row],[Aplicación]],6,2)</f>
        <v>01</v>
      </c>
      <c r="T3701" s="35" t="str">
        <f>VLOOKUP(Tabla1[[#This Row],[AREA]],Hoja1!A:B,2,FALSE)</f>
        <v>01. Alcaldía</v>
      </c>
      <c r="U3701" s="56" t="str">
        <f>MID(Tabla1[[#This Row],[Aplicación]],9,4)</f>
        <v>9206</v>
      </c>
      <c r="V3701" s="35" t="str">
        <f>VLOOKUP(Tabla1[[#This Row],[PROGRAMA]],Hoja1!A:B,2,FALSE)</f>
        <v>9206. Archivo municipal</v>
      </c>
      <c r="W3701" s="56" t="str">
        <f>MID(Tabla1[[#This Row],[Aplicación]],14,2)</f>
        <v>22</v>
      </c>
      <c r="X3701" s="56" t="str">
        <f>MID(Tabla1[[#This Row],[Aplicación]],14,6)</f>
        <v>22199</v>
      </c>
    </row>
    <row r="3702" spans="1:24" x14ac:dyDescent="0.25">
      <c r="A3702" s="63">
        <v>220230031902</v>
      </c>
      <c r="B3702" s="44" t="s">
        <v>1514</v>
      </c>
      <c r="C3702" s="64">
        <v>45105</v>
      </c>
      <c r="D3702" s="62">
        <v>22023000273</v>
      </c>
      <c r="E3702" s="44" t="s">
        <v>2310</v>
      </c>
      <c r="F3702" s="65">
        <v>61.98</v>
      </c>
      <c r="G3702" s="44" t="s">
        <v>46</v>
      </c>
      <c r="H3702" s="44" t="s">
        <v>5437</v>
      </c>
      <c r="I3702" s="62" t="s">
        <v>1517</v>
      </c>
      <c r="J3702" s="44" t="s">
        <v>519</v>
      </c>
      <c r="K3702" s="44" t="s">
        <v>519</v>
      </c>
      <c r="L3702" s="44" t="s">
        <v>552</v>
      </c>
      <c r="M3702" s="44" t="s">
        <v>514</v>
      </c>
      <c r="N3702" s="44" t="s">
        <v>515</v>
      </c>
      <c r="O3702" s="45" t="s">
        <v>382</v>
      </c>
      <c r="P3702" s="45" t="s">
        <v>3760</v>
      </c>
      <c r="Q3702" s="59" t="str">
        <f>MID(Tabla1[[#This Row],[Aplicación]],14,1)</f>
        <v>2</v>
      </c>
      <c r="R3702" s="35" t="s">
        <v>298</v>
      </c>
      <c r="S3702" s="59" t="str">
        <f>MID(Tabla1[[#This Row],[Aplicación]],6,2)</f>
        <v>11</v>
      </c>
      <c r="T3702" s="35" t="str">
        <f>VLOOKUP(Tabla1[[#This Row],[AREA]],Hoja1!A:B,2,FALSE)</f>
        <v>11. Salud pública y seguridad ciudadana</v>
      </c>
      <c r="U3702" s="56" t="str">
        <f>MID(Tabla1[[#This Row],[Aplicación]],9,4)</f>
        <v>1321</v>
      </c>
      <c r="V3702" s="35" t="str">
        <f>VLOOKUP(Tabla1[[#This Row],[PROGRAMA]],Hoja1!A:B,2,FALSE)</f>
        <v>1321. Policía municipal</v>
      </c>
      <c r="W3702" s="56" t="str">
        <f>MID(Tabla1[[#This Row],[Aplicación]],14,2)</f>
        <v>22</v>
      </c>
      <c r="X3702" s="56" t="str">
        <f>MID(Tabla1[[#This Row],[Aplicación]],14,6)</f>
        <v>22199</v>
      </c>
    </row>
    <row r="3703" spans="1:24" x14ac:dyDescent="0.25">
      <c r="A3703" s="63">
        <v>220230032404</v>
      </c>
      <c r="B3703" s="44" t="s">
        <v>1514</v>
      </c>
      <c r="C3703" s="64">
        <v>45107</v>
      </c>
      <c r="D3703" s="62">
        <v>22023003833</v>
      </c>
      <c r="E3703" s="44" t="s">
        <v>1502</v>
      </c>
      <c r="F3703" s="65">
        <v>325.31</v>
      </c>
      <c r="G3703" s="44" t="s">
        <v>46</v>
      </c>
      <c r="H3703" s="44" t="s">
        <v>5438</v>
      </c>
      <c r="I3703" s="62" t="s">
        <v>1517</v>
      </c>
      <c r="J3703" s="44" t="s">
        <v>519</v>
      </c>
      <c r="K3703" s="44" t="s">
        <v>519</v>
      </c>
      <c r="L3703" s="44" t="s">
        <v>552</v>
      </c>
      <c r="M3703" s="44" t="s">
        <v>514</v>
      </c>
      <c r="N3703" s="44" t="s">
        <v>515</v>
      </c>
      <c r="O3703" s="45" t="s">
        <v>382</v>
      </c>
      <c r="P3703" s="45" t="s">
        <v>3760</v>
      </c>
      <c r="Q3703" s="59" t="str">
        <f>MID(Tabla1[[#This Row],[Aplicación]],14,1)</f>
        <v>2</v>
      </c>
      <c r="R3703" s="35" t="s">
        <v>298</v>
      </c>
      <c r="S3703" s="59" t="str">
        <f>MID(Tabla1[[#This Row],[Aplicación]],6,2)</f>
        <v>10</v>
      </c>
      <c r="T3703" s="35" t="str">
        <f>VLOOKUP(Tabla1[[#This Row],[AREA]],Hoja1!A:B,2,FALSE)</f>
        <v>10. Servicios sociales y mediación comunitaria</v>
      </c>
      <c r="U3703" s="56" t="str">
        <f>MID(Tabla1[[#This Row],[Aplicación]],9,4)</f>
        <v>2412</v>
      </c>
      <c r="V3703" s="35" t="str">
        <f>VLOOKUP(Tabla1[[#This Row],[PROGRAMA]],Hoja1!A:B,2,FALSE)</f>
        <v>2412. Formación para el empleo</v>
      </c>
      <c r="W3703" s="56" t="str">
        <f>MID(Tabla1[[#This Row],[Aplicación]],14,2)</f>
        <v>22</v>
      </c>
      <c r="X3703" s="56" t="str">
        <f>MID(Tabla1[[#This Row],[Aplicación]],14,6)</f>
        <v>22199</v>
      </c>
    </row>
    <row r="3704" spans="1:24" x14ac:dyDescent="0.25">
      <c r="A3704" s="63">
        <v>220230032406</v>
      </c>
      <c r="B3704" s="44" t="s">
        <v>1514</v>
      </c>
      <c r="C3704" s="64">
        <v>45107</v>
      </c>
      <c r="D3704" s="62">
        <v>22023003833</v>
      </c>
      <c r="E3704" s="44" t="s">
        <v>1502</v>
      </c>
      <c r="F3704" s="65">
        <v>181.71</v>
      </c>
      <c r="G3704" s="44" t="s">
        <v>46</v>
      </c>
      <c r="H3704" s="44" t="s">
        <v>5439</v>
      </c>
      <c r="I3704" s="62" t="s">
        <v>1517</v>
      </c>
      <c r="J3704" s="44" t="s">
        <v>519</v>
      </c>
      <c r="K3704" s="44" t="s">
        <v>519</v>
      </c>
      <c r="L3704" s="44" t="s">
        <v>552</v>
      </c>
      <c r="M3704" s="44" t="s">
        <v>514</v>
      </c>
      <c r="N3704" s="44" t="s">
        <v>515</v>
      </c>
      <c r="O3704" s="45" t="s">
        <v>382</v>
      </c>
      <c r="P3704" s="45" t="s">
        <v>3760</v>
      </c>
      <c r="Q3704" s="59" t="str">
        <f>MID(Tabla1[[#This Row],[Aplicación]],14,1)</f>
        <v>2</v>
      </c>
      <c r="R3704" s="35" t="s">
        <v>298</v>
      </c>
      <c r="S3704" s="59" t="str">
        <f>MID(Tabla1[[#This Row],[Aplicación]],6,2)</f>
        <v>10</v>
      </c>
      <c r="T3704" s="35" t="str">
        <f>VLOOKUP(Tabla1[[#This Row],[AREA]],Hoja1!A:B,2,FALSE)</f>
        <v>10. Servicios sociales y mediación comunitaria</v>
      </c>
      <c r="U3704" s="56" t="str">
        <f>MID(Tabla1[[#This Row],[Aplicación]],9,4)</f>
        <v>2412</v>
      </c>
      <c r="V3704" s="35" t="str">
        <f>VLOOKUP(Tabla1[[#This Row],[PROGRAMA]],Hoja1!A:B,2,FALSE)</f>
        <v>2412. Formación para el empleo</v>
      </c>
      <c r="W3704" s="56" t="str">
        <f>MID(Tabla1[[#This Row],[Aplicación]],14,2)</f>
        <v>22</v>
      </c>
      <c r="X3704" s="56" t="str">
        <f>MID(Tabla1[[#This Row],[Aplicación]],14,6)</f>
        <v>22199</v>
      </c>
    </row>
    <row r="3705" spans="1:24" x14ac:dyDescent="0.25">
      <c r="A3705" s="63">
        <v>220230032408</v>
      </c>
      <c r="B3705" s="44" t="s">
        <v>1514</v>
      </c>
      <c r="C3705" s="64">
        <v>45107</v>
      </c>
      <c r="D3705" s="62">
        <v>22023003833</v>
      </c>
      <c r="E3705" s="44" t="s">
        <v>1502</v>
      </c>
      <c r="F3705" s="65">
        <v>130.26</v>
      </c>
      <c r="G3705" s="44" t="s">
        <v>46</v>
      </c>
      <c r="H3705" s="44" t="s">
        <v>5440</v>
      </c>
      <c r="I3705" s="62" t="s">
        <v>1517</v>
      </c>
      <c r="J3705" s="44" t="s">
        <v>519</v>
      </c>
      <c r="K3705" s="44" t="s">
        <v>519</v>
      </c>
      <c r="L3705" s="44" t="s">
        <v>552</v>
      </c>
      <c r="M3705" s="44" t="s">
        <v>514</v>
      </c>
      <c r="N3705" s="44" t="s">
        <v>515</v>
      </c>
      <c r="O3705" s="45" t="s">
        <v>382</v>
      </c>
      <c r="P3705" s="45" t="s">
        <v>3760</v>
      </c>
      <c r="Q3705" s="59" t="str">
        <f>MID(Tabla1[[#This Row],[Aplicación]],14,1)</f>
        <v>2</v>
      </c>
      <c r="R3705" s="35" t="s">
        <v>298</v>
      </c>
      <c r="S3705" s="59" t="str">
        <f>MID(Tabla1[[#This Row],[Aplicación]],6,2)</f>
        <v>10</v>
      </c>
      <c r="T3705" s="35" t="str">
        <f>VLOOKUP(Tabla1[[#This Row],[AREA]],Hoja1!A:B,2,FALSE)</f>
        <v>10. Servicios sociales y mediación comunitaria</v>
      </c>
      <c r="U3705" s="56" t="str">
        <f>MID(Tabla1[[#This Row],[Aplicación]],9,4)</f>
        <v>2412</v>
      </c>
      <c r="V3705" s="35" t="str">
        <f>VLOOKUP(Tabla1[[#This Row],[PROGRAMA]],Hoja1!A:B,2,FALSE)</f>
        <v>2412. Formación para el empleo</v>
      </c>
      <c r="W3705" s="56" t="str">
        <f>MID(Tabla1[[#This Row],[Aplicación]],14,2)</f>
        <v>22</v>
      </c>
      <c r="X3705" s="56" t="str">
        <f>MID(Tabla1[[#This Row],[Aplicación]],14,6)</f>
        <v>22199</v>
      </c>
    </row>
    <row r="3706" spans="1:24" x14ac:dyDescent="0.25">
      <c r="A3706" s="63">
        <v>220230032410</v>
      </c>
      <c r="B3706" s="44" t="s">
        <v>1514</v>
      </c>
      <c r="C3706" s="64">
        <v>45107</v>
      </c>
      <c r="D3706" s="62">
        <v>22023003833</v>
      </c>
      <c r="E3706" s="44" t="s">
        <v>1502</v>
      </c>
      <c r="F3706" s="65">
        <v>393.95</v>
      </c>
      <c r="G3706" s="44" t="s">
        <v>46</v>
      </c>
      <c r="H3706" s="44" t="s">
        <v>5441</v>
      </c>
      <c r="I3706" s="62" t="s">
        <v>1517</v>
      </c>
      <c r="J3706" s="44" t="s">
        <v>519</v>
      </c>
      <c r="K3706" s="44" t="s">
        <v>519</v>
      </c>
      <c r="L3706" s="44" t="s">
        <v>552</v>
      </c>
      <c r="M3706" s="44" t="s">
        <v>514</v>
      </c>
      <c r="N3706" s="44" t="s">
        <v>515</v>
      </c>
      <c r="O3706" s="45" t="s">
        <v>382</v>
      </c>
      <c r="P3706" s="45" t="s">
        <v>3760</v>
      </c>
      <c r="Q3706" s="59" t="str">
        <f>MID(Tabla1[[#This Row],[Aplicación]],14,1)</f>
        <v>2</v>
      </c>
      <c r="R3706" s="35" t="s">
        <v>298</v>
      </c>
      <c r="S3706" s="59" t="str">
        <f>MID(Tabla1[[#This Row],[Aplicación]],6,2)</f>
        <v>10</v>
      </c>
      <c r="T3706" s="35" t="str">
        <f>VLOOKUP(Tabla1[[#This Row],[AREA]],Hoja1!A:B,2,FALSE)</f>
        <v>10. Servicios sociales y mediación comunitaria</v>
      </c>
      <c r="U3706" s="56" t="str">
        <f>MID(Tabla1[[#This Row],[Aplicación]],9,4)</f>
        <v>2412</v>
      </c>
      <c r="V3706" s="35" t="str">
        <f>VLOOKUP(Tabla1[[#This Row],[PROGRAMA]],Hoja1!A:B,2,FALSE)</f>
        <v>2412. Formación para el empleo</v>
      </c>
      <c r="W3706" s="56" t="str">
        <f>MID(Tabla1[[#This Row],[Aplicación]],14,2)</f>
        <v>22</v>
      </c>
      <c r="X3706" s="56" t="str">
        <f>MID(Tabla1[[#This Row],[Aplicación]],14,6)</f>
        <v>22199</v>
      </c>
    </row>
    <row r="3707" spans="1:24" x14ac:dyDescent="0.25">
      <c r="A3707" s="63">
        <v>220230032412</v>
      </c>
      <c r="B3707" s="44" t="s">
        <v>1514</v>
      </c>
      <c r="C3707" s="64">
        <v>45107</v>
      </c>
      <c r="D3707" s="62">
        <v>22023003833</v>
      </c>
      <c r="E3707" s="44" t="s">
        <v>1502</v>
      </c>
      <c r="F3707" s="65">
        <v>51.79</v>
      </c>
      <c r="G3707" s="44" t="s">
        <v>46</v>
      </c>
      <c r="H3707" s="44" t="s">
        <v>5442</v>
      </c>
      <c r="I3707" s="62" t="s">
        <v>1517</v>
      </c>
      <c r="J3707" s="44" t="s">
        <v>519</v>
      </c>
      <c r="K3707" s="44" t="s">
        <v>519</v>
      </c>
      <c r="L3707" s="44" t="s">
        <v>552</v>
      </c>
      <c r="M3707" s="44" t="s">
        <v>514</v>
      </c>
      <c r="N3707" s="44" t="s">
        <v>515</v>
      </c>
      <c r="O3707" s="45" t="s">
        <v>382</v>
      </c>
      <c r="P3707" s="45" t="s">
        <v>3760</v>
      </c>
      <c r="Q3707" s="59" t="str">
        <f>MID(Tabla1[[#This Row],[Aplicación]],14,1)</f>
        <v>2</v>
      </c>
      <c r="R3707" s="35" t="s">
        <v>298</v>
      </c>
      <c r="S3707" s="59" t="str">
        <f>MID(Tabla1[[#This Row],[Aplicación]],6,2)</f>
        <v>10</v>
      </c>
      <c r="T3707" s="35" t="str">
        <f>VLOOKUP(Tabla1[[#This Row],[AREA]],Hoja1!A:B,2,FALSE)</f>
        <v>10. Servicios sociales y mediación comunitaria</v>
      </c>
      <c r="U3707" s="56" t="str">
        <f>MID(Tabla1[[#This Row],[Aplicación]],9,4)</f>
        <v>2412</v>
      </c>
      <c r="V3707" s="35" t="str">
        <f>VLOOKUP(Tabla1[[#This Row],[PROGRAMA]],Hoja1!A:B,2,FALSE)</f>
        <v>2412. Formación para el empleo</v>
      </c>
      <c r="W3707" s="56" t="str">
        <f>MID(Tabla1[[#This Row],[Aplicación]],14,2)</f>
        <v>22</v>
      </c>
      <c r="X3707" s="56" t="str">
        <f>MID(Tabla1[[#This Row],[Aplicación]],14,6)</f>
        <v>22199</v>
      </c>
    </row>
    <row r="3708" spans="1:24" x14ac:dyDescent="0.25">
      <c r="A3708" s="63">
        <v>220230032414</v>
      </c>
      <c r="B3708" s="44" t="s">
        <v>1514</v>
      </c>
      <c r="C3708" s="64">
        <v>45107</v>
      </c>
      <c r="D3708" s="62">
        <v>22023003833</v>
      </c>
      <c r="E3708" s="44" t="s">
        <v>1502</v>
      </c>
      <c r="F3708" s="65">
        <v>55.59</v>
      </c>
      <c r="G3708" s="44" t="s">
        <v>46</v>
      </c>
      <c r="H3708" s="44" t="s">
        <v>5443</v>
      </c>
      <c r="I3708" s="62" t="s">
        <v>1517</v>
      </c>
      <c r="J3708" s="44" t="s">
        <v>519</v>
      </c>
      <c r="K3708" s="44" t="s">
        <v>519</v>
      </c>
      <c r="L3708" s="44" t="s">
        <v>552</v>
      </c>
      <c r="M3708" s="44" t="s">
        <v>514</v>
      </c>
      <c r="N3708" s="44" t="s">
        <v>515</v>
      </c>
      <c r="O3708" s="45" t="s">
        <v>382</v>
      </c>
      <c r="P3708" s="45" t="s">
        <v>3760</v>
      </c>
      <c r="Q3708" s="59" t="str">
        <f>MID(Tabla1[[#This Row],[Aplicación]],14,1)</f>
        <v>2</v>
      </c>
      <c r="R3708" s="35" t="s">
        <v>298</v>
      </c>
      <c r="S3708" s="59" t="str">
        <f>MID(Tabla1[[#This Row],[Aplicación]],6,2)</f>
        <v>10</v>
      </c>
      <c r="T3708" s="35" t="str">
        <f>VLOOKUP(Tabla1[[#This Row],[AREA]],Hoja1!A:B,2,FALSE)</f>
        <v>10. Servicios sociales y mediación comunitaria</v>
      </c>
      <c r="U3708" s="56" t="str">
        <f>MID(Tabla1[[#This Row],[Aplicación]],9,4)</f>
        <v>2412</v>
      </c>
      <c r="V3708" s="35" t="str">
        <f>VLOOKUP(Tabla1[[#This Row],[PROGRAMA]],Hoja1!A:B,2,FALSE)</f>
        <v>2412. Formación para el empleo</v>
      </c>
      <c r="W3708" s="56" t="str">
        <f>MID(Tabla1[[#This Row],[Aplicación]],14,2)</f>
        <v>22</v>
      </c>
      <c r="X3708" s="56" t="str">
        <f>MID(Tabla1[[#This Row],[Aplicación]],14,6)</f>
        <v>22199</v>
      </c>
    </row>
    <row r="3709" spans="1:24" x14ac:dyDescent="0.25">
      <c r="A3709" s="63">
        <v>220230032416</v>
      </c>
      <c r="B3709" s="44" t="s">
        <v>1514</v>
      </c>
      <c r="C3709" s="64">
        <v>45107</v>
      </c>
      <c r="D3709" s="62">
        <v>22023003833</v>
      </c>
      <c r="E3709" s="44" t="s">
        <v>1502</v>
      </c>
      <c r="F3709" s="65">
        <v>120.48</v>
      </c>
      <c r="G3709" s="44" t="s">
        <v>46</v>
      </c>
      <c r="H3709" s="44" t="s">
        <v>5444</v>
      </c>
      <c r="I3709" s="62" t="s">
        <v>1517</v>
      </c>
      <c r="J3709" s="44" t="s">
        <v>519</v>
      </c>
      <c r="K3709" s="44" t="s">
        <v>519</v>
      </c>
      <c r="L3709" s="44" t="s">
        <v>552</v>
      </c>
      <c r="M3709" s="44" t="s">
        <v>514</v>
      </c>
      <c r="N3709" s="44" t="s">
        <v>515</v>
      </c>
      <c r="O3709" s="45" t="s">
        <v>382</v>
      </c>
      <c r="P3709" s="45" t="s">
        <v>3760</v>
      </c>
      <c r="Q3709" s="59" t="str">
        <f>MID(Tabla1[[#This Row],[Aplicación]],14,1)</f>
        <v>2</v>
      </c>
      <c r="R3709" s="35" t="s">
        <v>298</v>
      </c>
      <c r="S3709" s="59" t="str">
        <f>MID(Tabla1[[#This Row],[Aplicación]],6,2)</f>
        <v>10</v>
      </c>
      <c r="T3709" s="35" t="str">
        <f>VLOOKUP(Tabla1[[#This Row],[AREA]],Hoja1!A:B,2,FALSE)</f>
        <v>10. Servicios sociales y mediación comunitaria</v>
      </c>
      <c r="U3709" s="56" t="str">
        <f>MID(Tabla1[[#This Row],[Aplicación]],9,4)</f>
        <v>2412</v>
      </c>
      <c r="V3709" s="35" t="str">
        <f>VLOOKUP(Tabla1[[#This Row],[PROGRAMA]],Hoja1!A:B,2,FALSE)</f>
        <v>2412. Formación para el empleo</v>
      </c>
      <c r="W3709" s="56" t="str">
        <f>MID(Tabla1[[#This Row],[Aplicación]],14,2)</f>
        <v>22</v>
      </c>
      <c r="X3709" s="56" t="str">
        <f>MID(Tabla1[[#This Row],[Aplicación]],14,6)</f>
        <v>22199</v>
      </c>
    </row>
    <row r="3710" spans="1:24" x14ac:dyDescent="0.25">
      <c r="A3710" s="63">
        <v>220230032418</v>
      </c>
      <c r="B3710" s="44" t="s">
        <v>1514</v>
      </c>
      <c r="C3710" s="64">
        <v>45107</v>
      </c>
      <c r="D3710" s="62">
        <v>22023003833</v>
      </c>
      <c r="E3710" s="44" t="s">
        <v>1502</v>
      </c>
      <c r="F3710" s="65">
        <v>40.380000000000003</v>
      </c>
      <c r="G3710" s="44" t="s">
        <v>46</v>
      </c>
      <c r="H3710" s="44" t="s">
        <v>5445</v>
      </c>
      <c r="I3710" s="62" t="s">
        <v>1517</v>
      </c>
      <c r="J3710" s="44" t="s">
        <v>519</v>
      </c>
      <c r="K3710" s="44" t="s">
        <v>519</v>
      </c>
      <c r="L3710" s="44" t="s">
        <v>552</v>
      </c>
      <c r="M3710" s="44" t="s">
        <v>514</v>
      </c>
      <c r="N3710" s="44" t="s">
        <v>515</v>
      </c>
      <c r="O3710" s="45" t="s">
        <v>382</v>
      </c>
      <c r="P3710" s="45" t="s">
        <v>3760</v>
      </c>
      <c r="Q3710" s="59" t="str">
        <f>MID(Tabla1[[#This Row],[Aplicación]],14,1)</f>
        <v>2</v>
      </c>
      <c r="R3710" s="35" t="s">
        <v>298</v>
      </c>
      <c r="S3710" s="59" t="str">
        <f>MID(Tabla1[[#This Row],[Aplicación]],6,2)</f>
        <v>10</v>
      </c>
      <c r="T3710" s="35" t="str">
        <f>VLOOKUP(Tabla1[[#This Row],[AREA]],Hoja1!A:B,2,FALSE)</f>
        <v>10. Servicios sociales y mediación comunitaria</v>
      </c>
      <c r="U3710" s="56" t="str">
        <f>MID(Tabla1[[#This Row],[Aplicación]],9,4)</f>
        <v>2412</v>
      </c>
      <c r="V3710" s="35" t="str">
        <f>VLOOKUP(Tabla1[[#This Row],[PROGRAMA]],Hoja1!A:B,2,FALSE)</f>
        <v>2412. Formación para el empleo</v>
      </c>
      <c r="W3710" s="56" t="str">
        <f>MID(Tabla1[[#This Row],[Aplicación]],14,2)</f>
        <v>22</v>
      </c>
      <c r="X3710" s="56" t="str">
        <f>MID(Tabla1[[#This Row],[Aplicación]],14,6)</f>
        <v>22199</v>
      </c>
    </row>
    <row r="3711" spans="1:24" x14ac:dyDescent="0.25">
      <c r="A3711" s="63">
        <v>220230032420</v>
      </c>
      <c r="B3711" s="44" t="s">
        <v>1514</v>
      </c>
      <c r="C3711" s="64">
        <v>45107</v>
      </c>
      <c r="D3711" s="62">
        <v>22023003833</v>
      </c>
      <c r="E3711" s="44" t="s">
        <v>1502</v>
      </c>
      <c r="F3711" s="65">
        <v>538.28</v>
      </c>
      <c r="G3711" s="44" t="s">
        <v>46</v>
      </c>
      <c r="H3711" s="44" t="s">
        <v>5446</v>
      </c>
      <c r="I3711" s="62" t="s">
        <v>1517</v>
      </c>
      <c r="J3711" s="44" t="s">
        <v>519</v>
      </c>
      <c r="K3711" s="44" t="s">
        <v>519</v>
      </c>
      <c r="L3711" s="44" t="s">
        <v>552</v>
      </c>
      <c r="M3711" s="44" t="s">
        <v>514</v>
      </c>
      <c r="N3711" s="44" t="s">
        <v>515</v>
      </c>
      <c r="O3711" s="45" t="s">
        <v>382</v>
      </c>
      <c r="P3711" s="45" t="s">
        <v>3760</v>
      </c>
      <c r="Q3711" s="59" t="str">
        <f>MID(Tabla1[[#This Row],[Aplicación]],14,1)</f>
        <v>2</v>
      </c>
      <c r="R3711" s="35" t="s">
        <v>298</v>
      </c>
      <c r="S3711" s="59" t="str">
        <f>MID(Tabla1[[#This Row],[Aplicación]],6,2)</f>
        <v>10</v>
      </c>
      <c r="T3711" s="35" t="str">
        <f>VLOOKUP(Tabla1[[#This Row],[AREA]],Hoja1!A:B,2,FALSE)</f>
        <v>10. Servicios sociales y mediación comunitaria</v>
      </c>
      <c r="U3711" s="56" t="str">
        <f>MID(Tabla1[[#This Row],[Aplicación]],9,4)</f>
        <v>2412</v>
      </c>
      <c r="V3711" s="35" t="str">
        <f>VLOOKUP(Tabla1[[#This Row],[PROGRAMA]],Hoja1!A:B,2,FALSE)</f>
        <v>2412. Formación para el empleo</v>
      </c>
      <c r="W3711" s="56" t="str">
        <f>MID(Tabla1[[#This Row],[Aplicación]],14,2)</f>
        <v>22</v>
      </c>
      <c r="X3711" s="56" t="str">
        <f>MID(Tabla1[[#This Row],[Aplicación]],14,6)</f>
        <v>22199</v>
      </c>
    </row>
    <row r="3712" spans="1:24" x14ac:dyDescent="0.25">
      <c r="A3712" s="63">
        <v>220230032490</v>
      </c>
      <c r="B3712" s="44" t="s">
        <v>1514</v>
      </c>
      <c r="C3712" s="64">
        <v>45107</v>
      </c>
      <c r="D3712" s="62">
        <v>22023000273</v>
      </c>
      <c r="E3712" s="44" t="s">
        <v>2310</v>
      </c>
      <c r="F3712" s="65">
        <v>50.38</v>
      </c>
      <c r="G3712" s="44" t="s">
        <v>46</v>
      </c>
      <c r="H3712" s="44" t="s">
        <v>5447</v>
      </c>
      <c r="I3712" s="62" t="s">
        <v>1517</v>
      </c>
      <c r="J3712" s="44" t="s">
        <v>519</v>
      </c>
      <c r="K3712" s="44" t="s">
        <v>519</v>
      </c>
      <c r="L3712" s="44" t="s">
        <v>552</v>
      </c>
      <c r="M3712" s="44" t="s">
        <v>514</v>
      </c>
      <c r="N3712" s="44" t="s">
        <v>515</v>
      </c>
      <c r="O3712" s="45" t="s">
        <v>382</v>
      </c>
      <c r="P3712" s="45" t="s">
        <v>3760</v>
      </c>
      <c r="Q3712" s="59" t="str">
        <f>MID(Tabla1[[#This Row],[Aplicación]],14,1)</f>
        <v>2</v>
      </c>
      <c r="R3712" s="35" t="s">
        <v>298</v>
      </c>
      <c r="S3712" s="59" t="str">
        <f>MID(Tabla1[[#This Row],[Aplicación]],6,2)</f>
        <v>11</v>
      </c>
      <c r="T3712" s="35" t="str">
        <f>VLOOKUP(Tabla1[[#This Row],[AREA]],Hoja1!A:B,2,FALSE)</f>
        <v>11. Salud pública y seguridad ciudadana</v>
      </c>
      <c r="U3712" s="56" t="str">
        <f>MID(Tabla1[[#This Row],[Aplicación]],9,4)</f>
        <v>1321</v>
      </c>
      <c r="V3712" s="35" t="str">
        <f>VLOOKUP(Tabla1[[#This Row],[PROGRAMA]],Hoja1!A:B,2,FALSE)</f>
        <v>1321. Policía municipal</v>
      </c>
      <c r="W3712" s="56" t="str">
        <f>MID(Tabla1[[#This Row],[Aplicación]],14,2)</f>
        <v>22</v>
      </c>
      <c r="X3712" s="56" t="str">
        <f>MID(Tabla1[[#This Row],[Aplicación]],14,6)</f>
        <v>22199</v>
      </c>
    </row>
    <row r="3713" spans="1:24" x14ac:dyDescent="0.25">
      <c r="A3713" s="62">
        <v>220230024845</v>
      </c>
      <c r="B3713" s="44" t="s">
        <v>507</v>
      </c>
      <c r="C3713" s="64">
        <v>45070</v>
      </c>
      <c r="D3713" s="62">
        <v>22023004325</v>
      </c>
      <c r="E3713" s="44" t="s">
        <v>3511</v>
      </c>
      <c r="F3713" s="65">
        <v>0.04</v>
      </c>
      <c r="G3713" s="44" t="s">
        <v>809</v>
      </c>
      <c r="H3713" s="44" t="s">
        <v>5394</v>
      </c>
      <c r="I3713" s="62" t="s">
        <v>511</v>
      </c>
      <c r="J3713" s="44" t="s">
        <v>811</v>
      </c>
      <c r="K3713" s="44" t="s">
        <v>812</v>
      </c>
      <c r="L3713" s="44" t="s">
        <v>527</v>
      </c>
      <c r="M3713" s="44" t="s">
        <v>514</v>
      </c>
      <c r="N3713" s="44" t="s">
        <v>604</v>
      </c>
      <c r="O3713" s="45" t="s">
        <v>371</v>
      </c>
      <c r="P3713" s="45" t="s">
        <v>3760</v>
      </c>
      <c r="Q3713" s="59" t="str">
        <f>MID(Tabla1[[#This Row],[Aplicación]],14,1)</f>
        <v>6</v>
      </c>
      <c r="R3713" s="35" t="s">
        <v>299</v>
      </c>
      <c r="S3713" s="59" t="str">
        <f>MID(Tabla1[[#This Row],[Aplicación]],6,2)</f>
        <v>05</v>
      </c>
      <c r="T3713" s="35" t="str">
        <f>VLOOKUP(Tabla1[[#This Row],[AREA]],Hoja1!A:B,2,FALSE)</f>
        <v>05. Innovación, desarrollo económico, empleo y comercio</v>
      </c>
      <c r="U3713" s="56" t="str">
        <f>MID(Tabla1[[#This Row],[Aplicación]],9,4)</f>
        <v>4331</v>
      </c>
      <c r="V3713" s="35" t="str">
        <f>VLOOKUP(Tabla1[[#This Row],[PROGRAMA]],Hoja1!A:B,2,FALSE)</f>
        <v>4331. Desarrollo empresarial</v>
      </c>
      <c r="W3713" s="56" t="str">
        <f>MID(Tabla1[[#This Row],[Aplicación]],14,2)</f>
        <v>62</v>
      </c>
      <c r="X3713" s="56" t="str">
        <f>MID(Tabla1[[#This Row],[Aplicación]],14,6)</f>
        <v>622</v>
      </c>
    </row>
    <row r="3714" spans="1:24" x14ac:dyDescent="0.25">
      <c r="A3714" s="63">
        <v>220230031288</v>
      </c>
      <c r="B3714" s="44" t="s">
        <v>1514</v>
      </c>
      <c r="C3714" s="64">
        <v>45100</v>
      </c>
      <c r="D3714" s="62">
        <v>22023000008</v>
      </c>
      <c r="E3714" s="44" t="s">
        <v>1443</v>
      </c>
      <c r="F3714" s="65">
        <v>5929</v>
      </c>
      <c r="G3714" s="44" t="s">
        <v>983</v>
      </c>
      <c r="H3714" s="44" t="s">
        <v>5448</v>
      </c>
      <c r="I3714" s="62" t="s">
        <v>1517</v>
      </c>
      <c r="J3714" s="44" t="s">
        <v>519</v>
      </c>
      <c r="K3714" s="44" t="s">
        <v>519</v>
      </c>
      <c r="L3714" s="44" t="s">
        <v>520</v>
      </c>
      <c r="M3714" s="44" t="s">
        <v>514</v>
      </c>
      <c r="N3714" s="44" t="s">
        <v>515</v>
      </c>
      <c r="O3714" s="45" t="s">
        <v>371</v>
      </c>
      <c r="P3714" s="45" t="s">
        <v>3760</v>
      </c>
      <c r="Q3714" s="59">
        <v>2</v>
      </c>
      <c r="R3714" s="35" t="s">
        <v>298</v>
      </c>
      <c r="S3714" s="59" t="str">
        <f>MID(Tabla1[[#This Row],[Aplicación]],6,2)</f>
        <v>05</v>
      </c>
      <c r="T3714" s="35" t="str">
        <f>VLOOKUP(Tabla1[[#This Row],[AREA]],Hoja1!A:B,2,FALSE)</f>
        <v>05. Innovación, desarrollo económico, empleo y comercio</v>
      </c>
      <c r="U3714" s="56" t="str">
        <f>MID(Tabla1[[#This Row],[Aplicación]],9,4)</f>
        <v>0 43</v>
      </c>
      <c r="V3714" s="59">
        <v>4312</v>
      </c>
      <c r="W3714" s="59">
        <v>22</v>
      </c>
      <c r="X3714" s="59">
        <v>22799</v>
      </c>
    </row>
    <row r="3715" spans="1:24" x14ac:dyDescent="0.25">
      <c r="A3715" s="63">
        <v>220230028504</v>
      </c>
      <c r="B3715" s="44" t="s">
        <v>1514</v>
      </c>
      <c r="C3715" s="64">
        <v>45084</v>
      </c>
      <c r="D3715" s="62">
        <v>22023001468</v>
      </c>
      <c r="E3715" s="44" t="s">
        <v>1512</v>
      </c>
      <c r="F3715" s="65">
        <v>32.020000000000003</v>
      </c>
      <c r="G3715" s="44" t="s">
        <v>2436</v>
      </c>
      <c r="H3715" s="44" t="s">
        <v>5449</v>
      </c>
      <c r="I3715" s="62" t="s">
        <v>1517</v>
      </c>
      <c r="J3715" s="44" t="s">
        <v>2438</v>
      </c>
      <c r="K3715" s="44" t="s">
        <v>1359</v>
      </c>
      <c r="L3715" s="44" t="s">
        <v>552</v>
      </c>
      <c r="M3715" s="44" t="s">
        <v>976</v>
      </c>
      <c r="N3715" s="44" t="s">
        <v>839</v>
      </c>
      <c r="O3715" s="45" t="s">
        <v>383</v>
      </c>
      <c r="P3715" s="45" t="s">
        <v>3760</v>
      </c>
      <c r="Q3715" s="59" t="str">
        <f>MID(Tabla1[[#This Row],[Aplicación]],14,1)</f>
        <v>2</v>
      </c>
      <c r="R3715" s="35" t="s">
        <v>298</v>
      </c>
      <c r="S3715" s="59" t="str">
        <f>MID(Tabla1[[#This Row],[Aplicación]],6,2)</f>
        <v>10</v>
      </c>
      <c r="T3715" s="35" t="str">
        <f>VLOOKUP(Tabla1[[#This Row],[AREA]],Hoja1!A:B,2,FALSE)</f>
        <v>10. Servicios sociales y mediación comunitaria</v>
      </c>
      <c r="U3715" s="56" t="str">
        <f>MID(Tabla1[[#This Row],[Aplicación]],9,4)</f>
        <v>2312</v>
      </c>
      <c r="V3715" s="35" t="str">
        <f>VLOOKUP(Tabla1[[#This Row],[PROGRAMA]],Hoja1!A:B,2,FALSE)</f>
        <v>2312. Iniciativas sociales</v>
      </c>
      <c r="W3715" s="56" t="str">
        <f>MID(Tabla1[[#This Row],[Aplicación]],14,2)</f>
        <v>21</v>
      </c>
      <c r="X3715" s="56" t="str">
        <f>MID(Tabla1[[#This Row],[Aplicación]],14,6)</f>
        <v>212</v>
      </c>
    </row>
    <row r="3716" spans="1:24" x14ac:dyDescent="0.25">
      <c r="A3716" s="63">
        <v>220230026808</v>
      </c>
      <c r="B3716" s="44" t="s">
        <v>507</v>
      </c>
      <c r="C3716" s="64">
        <v>45078</v>
      </c>
      <c r="D3716" s="62">
        <v>22023004782</v>
      </c>
      <c r="E3716" s="44" t="s">
        <v>1506</v>
      </c>
      <c r="F3716" s="65">
        <v>98.86</v>
      </c>
      <c r="G3716" s="44" t="s">
        <v>2436</v>
      </c>
      <c r="H3716" s="44" t="s">
        <v>5450</v>
      </c>
      <c r="I3716" s="62" t="s">
        <v>511</v>
      </c>
      <c r="J3716" s="44" t="s">
        <v>2438</v>
      </c>
      <c r="K3716" s="44" t="s">
        <v>1359</v>
      </c>
      <c r="L3716" s="44" t="s">
        <v>552</v>
      </c>
      <c r="M3716" s="44" t="s">
        <v>976</v>
      </c>
      <c r="N3716" s="44" t="s">
        <v>839</v>
      </c>
      <c r="O3716" s="45" t="s">
        <v>383</v>
      </c>
      <c r="P3716" s="45" t="s">
        <v>3760</v>
      </c>
      <c r="Q3716" s="59" t="str">
        <f>MID(Tabla1[[#This Row],[Aplicación]],14,1)</f>
        <v>2</v>
      </c>
      <c r="R3716" s="35" t="s">
        <v>298</v>
      </c>
      <c r="S3716" s="59" t="str">
        <f>MID(Tabla1[[#This Row],[Aplicación]],6,2)</f>
        <v>03</v>
      </c>
      <c r="T3716" s="35" t="str">
        <f>VLOOKUP(Tabla1[[#This Row],[AREA]],Hoja1!A:B,2,FALSE)</f>
        <v>03. Participación ciudadana y deportes</v>
      </c>
      <c r="U3716" s="56" t="str">
        <f>MID(Tabla1[[#This Row],[Aplicación]],9,4)</f>
        <v>9241</v>
      </c>
      <c r="V3716" s="35" t="str">
        <f>VLOOKUP(Tabla1[[#This Row],[PROGRAMA]],Hoja1!A:B,2,FALSE)</f>
        <v>9241. Participación ciudadana</v>
      </c>
      <c r="W3716" s="56" t="str">
        <f>MID(Tabla1[[#This Row],[Aplicación]],14,2)</f>
        <v>21</v>
      </c>
      <c r="X3716" s="56" t="str">
        <f>MID(Tabla1[[#This Row],[Aplicación]],14,6)</f>
        <v>212</v>
      </c>
    </row>
    <row r="3717" spans="1:24" x14ac:dyDescent="0.25">
      <c r="A3717" s="63">
        <v>220230031243</v>
      </c>
      <c r="B3717" s="44" t="s">
        <v>507</v>
      </c>
      <c r="C3717" s="64">
        <v>45099</v>
      </c>
      <c r="D3717" s="62">
        <v>22023005014</v>
      </c>
      <c r="E3717" s="44" t="s">
        <v>4385</v>
      </c>
      <c r="F3717" s="65">
        <v>98</v>
      </c>
      <c r="G3717" s="44" t="s">
        <v>436</v>
      </c>
      <c r="H3717" s="44" t="s">
        <v>5451</v>
      </c>
      <c r="I3717" s="62" t="s">
        <v>511</v>
      </c>
      <c r="J3717" s="44" t="s">
        <v>519</v>
      </c>
      <c r="K3717" s="44" t="s">
        <v>519</v>
      </c>
      <c r="L3717" s="44" t="s">
        <v>552</v>
      </c>
      <c r="M3717" s="44" t="s">
        <v>976</v>
      </c>
      <c r="N3717" s="44" t="s">
        <v>839</v>
      </c>
      <c r="O3717" s="45" t="s">
        <v>383</v>
      </c>
      <c r="P3717" s="45" t="s">
        <v>3760</v>
      </c>
      <c r="Q3717" s="59" t="str">
        <f>MID(Tabla1[[#This Row],[Aplicación]],14,1)</f>
        <v>2</v>
      </c>
      <c r="R3717" s="35" t="s">
        <v>298</v>
      </c>
      <c r="S3717" s="59" t="str">
        <f>MID(Tabla1[[#This Row],[Aplicación]],6,2)</f>
        <v>01</v>
      </c>
      <c r="T3717" s="35" t="str">
        <f>VLOOKUP(Tabla1[[#This Row],[AREA]],Hoja1!A:B,2,FALSE)</f>
        <v>01. Alcaldía</v>
      </c>
      <c r="U3717" s="56" t="str">
        <f>MID(Tabla1[[#This Row],[Aplicación]],9,4)</f>
        <v>9206</v>
      </c>
      <c r="V3717" s="35" t="str">
        <f>VLOOKUP(Tabla1[[#This Row],[PROGRAMA]],Hoja1!A:B,2,FALSE)</f>
        <v>9206. Archivo municipal</v>
      </c>
      <c r="W3717" s="56" t="str">
        <f>MID(Tabla1[[#This Row],[Aplicación]],14,2)</f>
        <v>22</v>
      </c>
      <c r="X3717" s="56" t="str">
        <f>MID(Tabla1[[#This Row],[Aplicación]],14,6)</f>
        <v>22199</v>
      </c>
    </row>
    <row r="3718" spans="1:24" x14ac:dyDescent="0.25">
      <c r="A3718" s="63">
        <v>220230028601</v>
      </c>
      <c r="B3718" s="44" t="s">
        <v>1514</v>
      </c>
      <c r="C3718" s="64">
        <v>45084</v>
      </c>
      <c r="D3718" s="62">
        <v>22023004048</v>
      </c>
      <c r="E3718" s="44" t="s">
        <v>1683</v>
      </c>
      <c r="F3718" s="65">
        <v>298</v>
      </c>
      <c r="G3718" s="44" t="s">
        <v>5452</v>
      </c>
      <c r="H3718" s="44" t="s">
        <v>5453</v>
      </c>
      <c r="I3718" s="62" t="s">
        <v>1517</v>
      </c>
      <c r="J3718" s="44" t="s">
        <v>512</v>
      </c>
      <c r="K3718" s="44" t="s">
        <v>512</v>
      </c>
      <c r="L3718" s="44" t="s">
        <v>552</v>
      </c>
      <c r="M3718" s="44" t="s">
        <v>514</v>
      </c>
      <c r="N3718" s="44" t="s">
        <v>515</v>
      </c>
      <c r="O3718" s="45" t="s">
        <v>382</v>
      </c>
      <c r="P3718" s="45" t="s">
        <v>3760</v>
      </c>
      <c r="Q3718" s="59" t="str">
        <f>MID(Tabla1[[#This Row],[Aplicación]],14,1)</f>
        <v>2</v>
      </c>
      <c r="R3718" s="35" t="s">
        <v>298</v>
      </c>
      <c r="S3718" s="59" t="str">
        <f>MID(Tabla1[[#This Row],[Aplicación]],6,2)</f>
        <v>11</v>
      </c>
      <c r="T3718" s="35" t="str">
        <f>VLOOKUP(Tabla1[[#This Row],[AREA]],Hoja1!A:B,2,FALSE)</f>
        <v>11. Salud pública y seguridad ciudadana</v>
      </c>
      <c r="U3718" s="56" t="str">
        <f>MID(Tabla1[[#This Row],[Aplicación]],9,4)</f>
        <v>1631</v>
      </c>
      <c r="V3718" s="35" t="str">
        <f>VLOOKUP(Tabla1[[#This Row],[PROGRAMA]],Hoja1!A:B,2,FALSE)</f>
        <v>1631. Limpieza viaria</v>
      </c>
      <c r="W3718" s="56" t="str">
        <f>MID(Tabla1[[#This Row],[Aplicación]],14,2)</f>
        <v>21</v>
      </c>
      <c r="X3718" s="56" t="str">
        <f>MID(Tabla1[[#This Row],[Aplicación]],14,6)</f>
        <v>214</v>
      </c>
    </row>
    <row r="3719" spans="1:24" x14ac:dyDescent="0.25">
      <c r="A3719" s="63">
        <v>220230031284</v>
      </c>
      <c r="B3719" s="44" t="s">
        <v>507</v>
      </c>
      <c r="C3719" s="64">
        <v>45100</v>
      </c>
      <c r="D3719" s="62">
        <v>22023005048</v>
      </c>
      <c r="E3719" s="44" t="s">
        <v>1285</v>
      </c>
      <c r="F3719" s="65">
        <v>95.9</v>
      </c>
      <c r="G3719" s="44" t="s">
        <v>1599</v>
      </c>
      <c r="H3719" s="44" t="s">
        <v>5454</v>
      </c>
      <c r="I3719" s="62" t="s">
        <v>511</v>
      </c>
      <c r="J3719" s="44" t="s">
        <v>519</v>
      </c>
      <c r="K3719" s="44" t="s">
        <v>519</v>
      </c>
      <c r="L3719" s="44" t="s">
        <v>552</v>
      </c>
      <c r="M3719" s="44" t="s">
        <v>976</v>
      </c>
      <c r="N3719" s="44" t="s">
        <v>839</v>
      </c>
      <c r="O3719" s="45" t="s">
        <v>383</v>
      </c>
      <c r="P3719" s="45" t="s">
        <v>3760</v>
      </c>
      <c r="Q3719" s="59" t="str">
        <f>MID(Tabla1[[#This Row],[Aplicación]],14,1)</f>
        <v>2</v>
      </c>
      <c r="R3719" s="35" t="s">
        <v>298</v>
      </c>
      <c r="S3719" s="59" t="str">
        <f>MID(Tabla1[[#This Row],[Aplicación]],6,2)</f>
        <v>11</v>
      </c>
      <c r="T3719" s="35" t="str">
        <f>VLOOKUP(Tabla1[[#This Row],[AREA]],Hoja1!A:B,2,FALSE)</f>
        <v>11. Salud pública y seguridad ciudadana</v>
      </c>
      <c r="U3719" s="56" t="str">
        <f>MID(Tabla1[[#This Row],[Aplicación]],9,4)</f>
        <v>1361</v>
      </c>
      <c r="V3719" s="35" t="str">
        <f>VLOOKUP(Tabla1[[#This Row],[PROGRAMA]],Hoja1!A:B,2,FALSE)</f>
        <v>1361. Prevención y extinción de incencios</v>
      </c>
      <c r="W3719" s="56" t="str">
        <f>MID(Tabla1[[#This Row],[Aplicación]],14,2)</f>
        <v>22</v>
      </c>
      <c r="X3719" s="56" t="str">
        <f>MID(Tabla1[[#This Row],[Aplicación]],14,6)</f>
        <v>22199</v>
      </c>
    </row>
    <row r="3720" spans="1:24" x14ac:dyDescent="0.25">
      <c r="A3720" s="63">
        <v>220230031235</v>
      </c>
      <c r="B3720" s="44" t="s">
        <v>507</v>
      </c>
      <c r="C3720" s="64">
        <v>45099</v>
      </c>
      <c r="D3720" s="62">
        <v>22023005004</v>
      </c>
      <c r="E3720" s="44" t="s">
        <v>1558</v>
      </c>
      <c r="F3720" s="65">
        <v>86.9</v>
      </c>
      <c r="G3720" s="44" t="s">
        <v>1559</v>
      </c>
      <c r="H3720" s="44" t="s">
        <v>5455</v>
      </c>
      <c r="I3720" s="62" t="s">
        <v>511</v>
      </c>
      <c r="J3720" s="44" t="s">
        <v>519</v>
      </c>
      <c r="K3720" s="44" t="s">
        <v>519</v>
      </c>
      <c r="L3720" s="44" t="s">
        <v>520</v>
      </c>
      <c r="M3720" s="44" t="s">
        <v>976</v>
      </c>
      <c r="N3720" s="44" t="s">
        <v>839</v>
      </c>
      <c r="O3720" s="45" t="s">
        <v>383</v>
      </c>
      <c r="P3720" s="45" t="s">
        <v>3760</v>
      </c>
      <c r="Q3720" s="59" t="str">
        <f>MID(Tabla1[[#This Row],[Aplicación]],14,1)</f>
        <v>2</v>
      </c>
      <c r="R3720" s="35" t="s">
        <v>298</v>
      </c>
      <c r="S3720" s="59" t="str">
        <f>MID(Tabla1[[#This Row],[Aplicación]],6,2)</f>
        <v>11</v>
      </c>
      <c r="T3720" s="35" t="str">
        <f>VLOOKUP(Tabla1[[#This Row],[AREA]],Hoja1!A:B,2,FALSE)</f>
        <v>11. Salud pública y seguridad ciudadana</v>
      </c>
      <c r="U3720" s="56" t="str">
        <f>MID(Tabla1[[#This Row],[Aplicación]],9,4)</f>
        <v>3111</v>
      </c>
      <c r="V3720" s="35" t="str">
        <f>VLOOKUP(Tabla1[[#This Row],[PROGRAMA]],Hoja1!A:B,2,FALSE)</f>
        <v>3111. Protección de la salubridad pública</v>
      </c>
      <c r="W3720" s="56" t="str">
        <f>MID(Tabla1[[#This Row],[Aplicación]],14,2)</f>
        <v>21</v>
      </c>
      <c r="X3720" s="56" t="str">
        <f>MID(Tabla1[[#This Row],[Aplicación]],14,6)</f>
        <v>213</v>
      </c>
    </row>
    <row r="3721" spans="1:24" x14ac:dyDescent="0.25">
      <c r="A3721" s="63">
        <v>220230030059</v>
      </c>
      <c r="B3721" s="44" t="s">
        <v>1514</v>
      </c>
      <c r="C3721" s="64">
        <v>45093</v>
      </c>
      <c r="D3721" s="62">
        <v>22023001477</v>
      </c>
      <c r="E3721" s="44" t="s">
        <v>1657</v>
      </c>
      <c r="F3721" s="65">
        <v>18.13</v>
      </c>
      <c r="G3721" s="44" t="s">
        <v>2436</v>
      </c>
      <c r="H3721" s="44" t="s">
        <v>5456</v>
      </c>
      <c r="I3721" s="62" t="s">
        <v>1517</v>
      </c>
      <c r="J3721" s="44" t="s">
        <v>2438</v>
      </c>
      <c r="K3721" s="44" t="s">
        <v>1359</v>
      </c>
      <c r="L3721" s="44" t="s">
        <v>552</v>
      </c>
      <c r="M3721" s="44" t="s">
        <v>976</v>
      </c>
      <c r="N3721" s="44" t="s">
        <v>839</v>
      </c>
      <c r="O3721" s="45" t="s">
        <v>382</v>
      </c>
      <c r="P3721" s="45" t="s">
        <v>3760</v>
      </c>
      <c r="Q3721" s="59" t="str">
        <f>MID(Tabla1[[#This Row],[Aplicación]],14,1)</f>
        <v>2</v>
      </c>
      <c r="R3721" s="35" t="s">
        <v>298</v>
      </c>
      <c r="S3721" s="59" t="str">
        <f>MID(Tabla1[[#This Row],[Aplicación]],6,2)</f>
        <v>10</v>
      </c>
      <c r="T3721" s="35" t="str">
        <f>VLOOKUP(Tabla1[[#This Row],[AREA]],Hoja1!A:B,2,FALSE)</f>
        <v>10. Servicios sociales y mediación comunitaria</v>
      </c>
      <c r="U3721" s="56" t="str">
        <f>MID(Tabla1[[#This Row],[Aplicación]],9,4)</f>
        <v>2412</v>
      </c>
      <c r="V3721" s="35" t="str">
        <f>VLOOKUP(Tabla1[[#This Row],[PROGRAMA]],Hoja1!A:B,2,FALSE)</f>
        <v>2412. Formación para el empleo</v>
      </c>
      <c r="W3721" s="56" t="str">
        <f>MID(Tabla1[[#This Row],[Aplicación]],14,2)</f>
        <v>21</v>
      </c>
      <c r="X3721" s="56" t="str">
        <f>MID(Tabla1[[#This Row],[Aplicación]],14,6)</f>
        <v>212</v>
      </c>
    </row>
    <row r="3722" spans="1:24" x14ac:dyDescent="0.25">
      <c r="A3722" s="63">
        <v>220230031191</v>
      </c>
      <c r="B3722" s="44" t="s">
        <v>507</v>
      </c>
      <c r="C3722" s="64">
        <v>45099</v>
      </c>
      <c r="D3722" s="62">
        <v>22023004159</v>
      </c>
      <c r="E3722" s="44" t="s">
        <v>3877</v>
      </c>
      <c r="F3722" s="65">
        <v>84.6</v>
      </c>
      <c r="G3722" s="44" t="s">
        <v>3878</v>
      </c>
      <c r="H3722" s="44" t="s">
        <v>5457</v>
      </c>
      <c r="I3722" s="62" t="s">
        <v>511</v>
      </c>
      <c r="J3722" s="44" t="s">
        <v>519</v>
      </c>
      <c r="K3722" s="44" t="s">
        <v>519</v>
      </c>
      <c r="L3722" s="44" t="s">
        <v>520</v>
      </c>
      <c r="M3722" s="44" t="s">
        <v>976</v>
      </c>
      <c r="N3722" s="44" t="s">
        <v>839</v>
      </c>
      <c r="O3722" s="45" t="s">
        <v>383</v>
      </c>
      <c r="P3722" s="45" t="s">
        <v>3760</v>
      </c>
      <c r="Q3722" s="59" t="str">
        <f>MID(Tabla1[[#This Row],[Aplicación]],14,1)</f>
        <v>2</v>
      </c>
      <c r="R3722" s="35" t="s">
        <v>298</v>
      </c>
      <c r="S3722" s="59" t="str">
        <f>MID(Tabla1[[#This Row],[Aplicación]],6,2)</f>
        <v>10</v>
      </c>
      <c r="T3722" s="35" t="str">
        <f>VLOOKUP(Tabla1[[#This Row],[AREA]],Hoja1!A:B,2,FALSE)</f>
        <v>10. Servicios sociales y mediación comunitaria</v>
      </c>
      <c r="U3722" s="56" t="str">
        <f>MID(Tabla1[[#This Row],[Aplicación]],9,4)</f>
        <v>2312</v>
      </c>
      <c r="V3722" s="35" t="str">
        <f>VLOOKUP(Tabla1[[#This Row],[PROGRAMA]],Hoja1!A:B,2,FALSE)</f>
        <v>2312. Iniciativas sociales</v>
      </c>
      <c r="W3722" s="56" t="str">
        <f>MID(Tabla1[[#This Row],[Aplicación]],14,2)</f>
        <v>22</v>
      </c>
      <c r="X3722" s="56" t="str">
        <f>MID(Tabla1[[#This Row],[Aplicación]],14,6)</f>
        <v>22612</v>
      </c>
    </row>
    <row r="3723" spans="1:24" x14ac:dyDescent="0.25">
      <c r="A3723" s="63">
        <v>220230032514</v>
      </c>
      <c r="B3723" s="44" t="s">
        <v>1249</v>
      </c>
      <c r="C3723" s="64">
        <v>45107</v>
      </c>
      <c r="D3723" s="62">
        <v>22023005071</v>
      </c>
      <c r="E3723" s="44" t="s">
        <v>5320</v>
      </c>
      <c r="F3723" s="65">
        <v>77.760000000000005</v>
      </c>
      <c r="G3723" s="44" t="s">
        <v>409</v>
      </c>
      <c r="H3723" s="44" t="s">
        <v>5458</v>
      </c>
      <c r="I3723" s="62" t="s">
        <v>1251</v>
      </c>
      <c r="J3723" s="44" t="s">
        <v>519</v>
      </c>
      <c r="K3723" s="44" t="s">
        <v>519</v>
      </c>
      <c r="L3723" s="44" t="s">
        <v>652</v>
      </c>
      <c r="M3723" s="44" t="s">
        <v>976</v>
      </c>
      <c r="N3723" s="44" t="s">
        <v>839</v>
      </c>
      <c r="O3723" s="45" t="s">
        <v>383</v>
      </c>
      <c r="P3723" s="45" t="s">
        <v>3760</v>
      </c>
      <c r="Q3723" s="59" t="str">
        <f>MID(Tabla1[[#This Row],[Aplicación]],14,1)</f>
        <v>2</v>
      </c>
      <c r="R3723" s="35" t="s">
        <v>298</v>
      </c>
      <c r="S3723" s="59" t="str">
        <f>MID(Tabla1[[#This Row],[Aplicación]],6,2)</f>
        <v>11</v>
      </c>
      <c r="T3723" s="35" t="str">
        <f>VLOOKUP(Tabla1[[#This Row],[AREA]],Hoja1!A:B,2,FALSE)</f>
        <v>11. Salud pública y seguridad ciudadana</v>
      </c>
      <c r="U3723" s="56" t="str">
        <f>MID(Tabla1[[#This Row],[Aplicación]],9,4)</f>
        <v>1321</v>
      </c>
      <c r="V3723" s="35" t="str">
        <f>VLOOKUP(Tabla1[[#This Row],[PROGRAMA]],Hoja1!A:B,2,FALSE)</f>
        <v>1321. Policía municipal</v>
      </c>
      <c r="W3723" s="56" t="str">
        <f>MID(Tabla1[[#This Row],[Aplicación]],14,2)</f>
        <v>22</v>
      </c>
      <c r="X3723" s="56" t="str">
        <f>MID(Tabla1[[#This Row],[Aplicación]],14,6)</f>
        <v>224</v>
      </c>
    </row>
    <row r="3724" spans="1:24" x14ac:dyDescent="0.25">
      <c r="A3724" s="63">
        <v>220230028625</v>
      </c>
      <c r="B3724" s="44" t="s">
        <v>507</v>
      </c>
      <c r="C3724" s="64">
        <v>45085</v>
      </c>
      <c r="D3724" s="62">
        <v>22023004651</v>
      </c>
      <c r="E3724" s="44" t="s">
        <v>974</v>
      </c>
      <c r="F3724" s="65">
        <v>69.25</v>
      </c>
      <c r="G3724" s="44" t="s">
        <v>400</v>
      </c>
      <c r="H3724" s="44" t="s">
        <v>5459</v>
      </c>
      <c r="I3724" s="62" t="s">
        <v>511</v>
      </c>
      <c r="J3724" s="44" t="s">
        <v>519</v>
      </c>
      <c r="K3724" s="44" t="s">
        <v>519</v>
      </c>
      <c r="L3724" s="44" t="s">
        <v>520</v>
      </c>
      <c r="M3724" s="44" t="s">
        <v>976</v>
      </c>
      <c r="N3724" s="44" t="s">
        <v>839</v>
      </c>
      <c r="O3724" s="45" t="s">
        <v>383</v>
      </c>
      <c r="P3724" s="45" t="s">
        <v>3760</v>
      </c>
      <c r="Q3724" s="59" t="str">
        <f>MID(Tabla1[[#This Row],[Aplicación]],14,1)</f>
        <v>2</v>
      </c>
      <c r="R3724" s="35" t="s">
        <v>298</v>
      </c>
      <c r="S3724" s="59" t="str">
        <f>MID(Tabla1[[#This Row],[Aplicación]],6,2)</f>
        <v>11</v>
      </c>
      <c r="T3724" s="35" t="str">
        <f>VLOOKUP(Tabla1[[#This Row],[AREA]],Hoja1!A:B,2,FALSE)</f>
        <v>11. Salud pública y seguridad ciudadana</v>
      </c>
      <c r="U3724" s="56" t="str">
        <f>MID(Tabla1[[#This Row],[Aplicación]],9,4)</f>
        <v>1621</v>
      </c>
      <c r="V3724" s="35" t="str">
        <f>VLOOKUP(Tabla1[[#This Row],[PROGRAMA]],Hoja1!A:B,2,FALSE)</f>
        <v>1621. Servicio de limpieza</v>
      </c>
      <c r="W3724" s="56" t="str">
        <f>MID(Tabla1[[#This Row],[Aplicación]],14,2)</f>
        <v>21</v>
      </c>
      <c r="X3724" s="56" t="str">
        <f>MID(Tabla1[[#This Row],[Aplicación]],14,6)</f>
        <v>212</v>
      </c>
    </row>
    <row r="3725" spans="1:24" x14ac:dyDescent="0.25">
      <c r="A3725" s="63">
        <v>220230030691</v>
      </c>
      <c r="B3725" s="44" t="s">
        <v>507</v>
      </c>
      <c r="C3725" s="64">
        <v>45097</v>
      </c>
      <c r="D3725" s="62">
        <v>22023004829</v>
      </c>
      <c r="E3725" s="44" t="s">
        <v>1386</v>
      </c>
      <c r="F3725" s="65">
        <v>69</v>
      </c>
      <c r="G3725" s="44" t="s">
        <v>5460</v>
      </c>
      <c r="H3725" s="44" t="s">
        <v>5461</v>
      </c>
      <c r="I3725" s="62" t="s">
        <v>511</v>
      </c>
      <c r="J3725" s="44" t="s">
        <v>512</v>
      </c>
      <c r="K3725" s="44" t="s">
        <v>512</v>
      </c>
      <c r="L3725" s="44" t="s">
        <v>520</v>
      </c>
      <c r="M3725" s="44" t="s">
        <v>976</v>
      </c>
      <c r="N3725" s="44" t="s">
        <v>839</v>
      </c>
      <c r="O3725" s="45" t="s">
        <v>383</v>
      </c>
      <c r="P3725" s="45" t="s">
        <v>3760</v>
      </c>
      <c r="Q3725" s="59" t="str">
        <f>MID(Tabla1[[#This Row],[Aplicación]],14,1)</f>
        <v>2</v>
      </c>
      <c r="R3725" s="35" t="s">
        <v>298</v>
      </c>
      <c r="S3725" s="59" t="str">
        <f>MID(Tabla1[[#This Row],[Aplicación]],6,2)</f>
        <v>01</v>
      </c>
      <c r="T3725" s="35" t="str">
        <f>VLOOKUP(Tabla1[[#This Row],[AREA]],Hoja1!A:B,2,FALSE)</f>
        <v>01. Alcaldía</v>
      </c>
      <c r="U3725" s="56" t="str">
        <f>MID(Tabla1[[#This Row],[Aplicación]],9,4)</f>
        <v>9207</v>
      </c>
      <c r="V3725" s="35" t="str">
        <f>VLOOKUP(Tabla1[[#This Row],[PROGRAMA]],Hoja1!A:B,2,FALSE)</f>
        <v>9207. Gobierno y relaciones</v>
      </c>
      <c r="W3725" s="56" t="str">
        <f>MID(Tabla1[[#This Row],[Aplicación]],14,2)</f>
        <v>22</v>
      </c>
      <c r="X3725" s="56" t="str">
        <f>MID(Tabla1[[#This Row],[Aplicación]],14,6)</f>
        <v>22001</v>
      </c>
    </row>
    <row r="3726" spans="1:24" x14ac:dyDescent="0.25">
      <c r="A3726" s="63">
        <v>220230026830</v>
      </c>
      <c r="B3726" s="44" t="s">
        <v>507</v>
      </c>
      <c r="C3726" s="64">
        <v>45078</v>
      </c>
      <c r="D3726" s="62">
        <v>22023004727</v>
      </c>
      <c r="E3726" s="44" t="s">
        <v>5462</v>
      </c>
      <c r="F3726" s="65">
        <v>64.13</v>
      </c>
      <c r="G3726" s="44" t="s">
        <v>5463</v>
      </c>
      <c r="H3726" s="44" t="s">
        <v>5464</v>
      </c>
      <c r="I3726" s="62" t="s">
        <v>511</v>
      </c>
      <c r="J3726" s="44" t="s">
        <v>519</v>
      </c>
      <c r="K3726" s="44" t="s">
        <v>519</v>
      </c>
      <c r="L3726" s="44" t="s">
        <v>552</v>
      </c>
      <c r="M3726" s="44" t="s">
        <v>976</v>
      </c>
      <c r="N3726" s="44" t="s">
        <v>839</v>
      </c>
      <c r="O3726" s="45" t="s">
        <v>383</v>
      </c>
      <c r="P3726" s="45" t="s">
        <v>3760</v>
      </c>
      <c r="Q3726" s="59" t="str">
        <f>MID(Tabla1[[#This Row],[Aplicación]],14,1)</f>
        <v>2</v>
      </c>
      <c r="R3726" s="35" t="s">
        <v>298</v>
      </c>
      <c r="S3726" s="59" t="str">
        <f>MID(Tabla1[[#This Row],[Aplicación]],6,2)</f>
        <v>01</v>
      </c>
      <c r="T3726" s="35" t="str">
        <f>VLOOKUP(Tabla1[[#This Row],[AREA]],Hoja1!A:B,2,FALSE)</f>
        <v>01. Alcaldía</v>
      </c>
      <c r="U3726" s="56" t="str">
        <f>MID(Tabla1[[#This Row],[Aplicación]],9,4)</f>
        <v>9206</v>
      </c>
      <c r="V3726" s="35" t="str">
        <f>VLOOKUP(Tabla1[[#This Row],[PROGRAMA]],Hoja1!A:B,2,FALSE)</f>
        <v>9206. Archivo municipal</v>
      </c>
      <c r="W3726" s="56" t="str">
        <f>MID(Tabla1[[#This Row],[Aplicación]],14,2)</f>
        <v>22</v>
      </c>
      <c r="X3726" s="56" t="str">
        <f>MID(Tabla1[[#This Row],[Aplicación]],14,6)</f>
        <v>22000</v>
      </c>
    </row>
    <row r="3727" spans="1:24" x14ac:dyDescent="0.25">
      <c r="A3727" s="63">
        <v>220230028523</v>
      </c>
      <c r="B3727" s="44" t="s">
        <v>1514</v>
      </c>
      <c r="C3727" s="64">
        <v>45084</v>
      </c>
      <c r="D3727" s="62">
        <v>22023002183</v>
      </c>
      <c r="E3727" s="44" t="s">
        <v>3253</v>
      </c>
      <c r="F3727" s="65">
        <v>13.33</v>
      </c>
      <c r="G3727" s="44" t="s">
        <v>2436</v>
      </c>
      <c r="H3727" s="44" t="s">
        <v>5465</v>
      </c>
      <c r="I3727" s="62" t="s">
        <v>1517</v>
      </c>
      <c r="J3727" s="44" t="s">
        <v>2438</v>
      </c>
      <c r="K3727" s="44" t="s">
        <v>1359</v>
      </c>
      <c r="L3727" s="44" t="s">
        <v>520</v>
      </c>
      <c r="M3727" s="44" t="s">
        <v>976</v>
      </c>
      <c r="N3727" s="44" t="s">
        <v>839</v>
      </c>
      <c r="O3727" s="45" t="s">
        <v>383</v>
      </c>
      <c r="P3727" s="45" t="s">
        <v>3760</v>
      </c>
      <c r="Q3727" s="59" t="str">
        <f>MID(Tabla1[[#This Row],[Aplicación]],14,1)</f>
        <v>2</v>
      </c>
      <c r="R3727" s="35" t="s">
        <v>298</v>
      </c>
      <c r="S3727" s="59" t="str">
        <f>MID(Tabla1[[#This Row],[Aplicación]],6,2)</f>
        <v>06</v>
      </c>
      <c r="T3727" s="35" t="str">
        <f>VLOOKUP(Tabla1[[#This Row],[AREA]],Hoja1!A:B,2,FALSE)</f>
        <v>06. Educación, infancia, juventud e igualdad</v>
      </c>
      <c r="U3727" s="56" t="str">
        <f>MID(Tabla1[[#This Row],[Aplicación]],9,4)</f>
        <v>2314</v>
      </c>
      <c r="V3727" s="35" t="str">
        <f>VLOOKUP(Tabla1[[#This Row],[PROGRAMA]],Hoja1!A:B,2,FALSE)</f>
        <v>2314. Centro de programas juveniles</v>
      </c>
      <c r="W3727" s="56" t="str">
        <f>MID(Tabla1[[#This Row],[Aplicación]],14,2)</f>
        <v>21</v>
      </c>
      <c r="X3727" s="56" t="str">
        <f>MID(Tabla1[[#This Row],[Aplicación]],14,6)</f>
        <v>212</v>
      </c>
    </row>
    <row r="3728" spans="1:24" x14ac:dyDescent="0.25">
      <c r="A3728" s="63">
        <v>220230030689</v>
      </c>
      <c r="B3728" s="44" t="s">
        <v>507</v>
      </c>
      <c r="C3728" s="64">
        <v>45097</v>
      </c>
      <c r="D3728" s="62">
        <v>22023004514</v>
      </c>
      <c r="E3728" s="44" t="s">
        <v>970</v>
      </c>
      <c r="F3728" s="65">
        <v>60.98</v>
      </c>
      <c r="G3728" s="44" t="s">
        <v>850</v>
      </c>
      <c r="H3728" s="44" t="s">
        <v>5466</v>
      </c>
      <c r="I3728" s="62" t="s">
        <v>511</v>
      </c>
      <c r="J3728" s="44" t="s">
        <v>852</v>
      </c>
      <c r="K3728" s="44" t="s">
        <v>853</v>
      </c>
      <c r="L3728" s="44" t="s">
        <v>520</v>
      </c>
      <c r="M3728" s="44" t="s">
        <v>976</v>
      </c>
      <c r="N3728" s="44" t="s">
        <v>839</v>
      </c>
      <c r="O3728" s="45" t="s">
        <v>383</v>
      </c>
      <c r="P3728" s="45" t="s">
        <v>3760</v>
      </c>
      <c r="Q3728" s="59" t="str">
        <f>MID(Tabla1[[#This Row],[Aplicación]],14,1)</f>
        <v>2</v>
      </c>
      <c r="R3728" s="35" t="s">
        <v>298</v>
      </c>
      <c r="S3728" s="59" t="str">
        <f>MID(Tabla1[[#This Row],[Aplicación]],6,2)</f>
        <v>05</v>
      </c>
      <c r="T3728" s="35" t="str">
        <f>VLOOKUP(Tabla1[[#This Row],[AREA]],Hoja1!A:B,2,FALSE)</f>
        <v>05. Innovación, desarrollo económico, empleo y comercio</v>
      </c>
      <c r="U3728" s="56" t="str">
        <f>MID(Tabla1[[#This Row],[Aplicación]],9,4)</f>
        <v>4331</v>
      </c>
      <c r="V3728" s="35" t="str">
        <f>VLOOKUP(Tabla1[[#This Row],[PROGRAMA]],Hoja1!A:B,2,FALSE)</f>
        <v>4331. Desarrollo empresarial</v>
      </c>
      <c r="W3728" s="56" t="str">
        <f>MID(Tabla1[[#This Row],[Aplicación]],14,2)</f>
        <v>22</v>
      </c>
      <c r="X3728" s="56" t="str">
        <f>MID(Tabla1[[#This Row],[Aplicación]],14,6)</f>
        <v>22700</v>
      </c>
    </row>
    <row r="3729" spans="1:24" x14ac:dyDescent="0.25">
      <c r="A3729" s="63">
        <v>220230026834</v>
      </c>
      <c r="B3729" s="44" t="s">
        <v>507</v>
      </c>
      <c r="C3729" s="64">
        <v>45078</v>
      </c>
      <c r="D3729" s="62">
        <v>22023003074</v>
      </c>
      <c r="E3729" s="44" t="s">
        <v>1428</v>
      </c>
      <c r="F3729" s="65">
        <v>60.83</v>
      </c>
      <c r="G3729" s="44" t="s">
        <v>2216</v>
      </c>
      <c r="H3729" s="44" t="s">
        <v>5467</v>
      </c>
      <c r="I3729" s="62" t="s">
        <v>511</v>
      </c>
      <c r="J3729" s="44" t="s">
        <v>519</v>
      </c>
      <c r="K3729" s="44" t="s">
        <v>519</v>
      </c>
      <c r="L3729" s="44" t="s">
        <v>520</v>
      </c>
      <c r="M3729" s="44" t="s">
        <v>976</v>
      </c>
      <c r="N3729" s="44" t="s">
        <v>839</v>
      </c>
      <c r="O3729" s="45" t="s">
        <v>383</v>
      </c>
      <c r="P3729" s="45" t="s">
        <v>3760</v>
      </c>
      <c r="Q3729" s="59" t="str">
        <f>MID(Tabla1[[#This Row],[Aplicación]],14,1)</f>
        <v>2</v>
      </c>
      <c r="R3729" s="35" t="s">
        <v>298</v>
      </c>
      <c r="S3729" s="59" t="str">
        <f>MID(Tabla1[[#This Row],[Aplicación]],6,2)</f>
        <v>09</v>
      </c>
      <c r="T3729" s="35" t="str">
        <f>VLOOKUP(Tabla1[[#This Row],[AREA]],Hoja1!A:B,2,FALSE)</f>
        <v>09. Cultura y turismo</v>
      </c>
      <c r="U3729" s="56" t="str">
        <f>MID(Tabla1[[#This Row],[Aplicación]],9,4)</f>
        <v>3301</v>
      </c>
      <c r="V3729" s="35" t="str">
        <f>VLOOKUP(Tabla1[[#This Row],[PROGRAMA]],Hoja1!A:B,2,FALSE)</f>
        <v>3301. Dirección del área de cultura</v>
      </c>
      <c r="W3729" s="56" t="str">
        <f>MID(Tabla1[[#This Row],[Aplicación]],14,2)</f>
        <v>22</v>
      </c>
      <c r="X3729" s="56" t="str">
        <f>MID(Tabla1[[#This Row],[Aplicación]],14,6)</f>
        <v>22799</v>
      </c>
    </row>
    <row r="3730" spans="1:24" x14ac:dyDescent="0.25">
      <c r="A3730" s="63">
        <v>220230030075</v>
      </c>
      <c r="B3730" s="44" t="s">
        <v>1514</v>
      </c>
      <c r="C3730" s="64">
        <v>45093</v>
      </c>
      <c r="D3730" s="62">
        <v>22023001412</v>
      </c>
      <c r="E3730" s="44" t="s">
        <v>1510</v>
      </c>
      <c r="F3730" s="65">
        <v>8.66</v>
      </c>
      <c r="G3730" s="44" t="s">
        <v>2436</v>
      </c>
      <c r="H3730" s="44" t="s">
        <v>5468</v>
      </c>
      <c r="I3730" s="62" t="s">
        <v>1517</v>
      </c>
      <c r="J3730" s="44" t="s">
        <v>2438</v>
      </c>
      <c r="K3730" s="44" t="s">
        <v>1359</v>
      </c>
      <c r="L3730" s="44" t="s">
        <v>552</v>
      </c>
      <c r="M3730" s="44" t="s">
        <v>976</v>
      </c>
      <c r="N3730" s="44" t="s">
        <v>839</v>
      </c>
      <c r="O3730" s="45" t="s">
        <v>383</v>
      </c>
      <c r="P3730" s="45" t="s">
        <v>3760</v>
      </c>
      <c r="Q3730" s="59" t="str">
        <f>MID(Tabla1[[#This Row],[Aplicación]],14,1)</f>
        <v>2</v>
      </c>
      <c r="R3730" s="35" t="s">
        <v>298</v>
      </c>
      <c r="S3730" s="59" t="str">
        <f>MID(Tabla1[[#This Row],[Aplicación]],6,2)</f>
        <v>10</v>
      </c>
      <c r="T3730" s="35" t="str">
        <f>VLOOKUP(Tabla1[[#This Row],[AREA]],Hoja1!A:B,2,FALSE)</f>
        <v>10. Servicios sociales y mediación comunitaria</v>
      </c>
      <c r="U3730" s="56" t="str">
        <f>MID(Tabla1[[#This Row],[Aplicación]],9,4)</f>
        <v>2311</v>
      </c>
      <c r="V3730" s="35" t="str">
        <f>VLOOKUP(Tabla1[[#This Row],[PROGRAMA]],Hoja1!A:B,2,FALSE)</f>
        <v>2311. Intervención social</v>
      </c>
      <c r="W3730" s="56" t="str">
        <f>MID(Tabla1[[#This Row],[Aplicación]],14,2)</f>
        <v>21</v>
      </c>
      <c r="X3730" s="56" t="str">
        <f>MID(Tabla1[[#This Row],[Aplicación]],14,6)</f>
        <v>212</v>
      </c>
    </row>
    <row r="3731" spans="1:24" x14ac:dyDescent="0.25">
      <c r="A3731" s="63">
        <v>220230031262</v>
      </c>
      <c r="B3731" s="44" t="s">
        <v>1514</v>
      </c>
      <c r="C3731" s="64">
        <v>45099</v>
      </c>
      <c r="D3731" s="62">
        <v>22023002625</v>
      </c>
      <c r="E3731" s="44" t="s">
        <v>3483</v>
      </c>
      <c r="F3731" s="65">
        <v>50269.45</v>
      </c>
      <c r="G3731" s="44" t="s">
        <v>3484</v>
      </c>
      <c r="H3731" s="44" t="s">
        <v>5469</v>
      </c>
      <c r="I3731" s="62" t="s">
        <v>1517</v>
      </c>
      <c r="J3731" s="44" t="s">
        <v>3486</v>
      </c>
      <c r="K3731" s="44" t="s">
        <v>858</v>
      </c>
      <c r="L3731" s="44" t="s">
        <v>520</v>
      </c>
      <c r="M3731" s="44" t="s">
        <v>514</v>
      </c>
      <c r="N3731" s="44" t="s">
        <v>515</v>
      </c>
      <c r="O3731" s="45" t="s">
        <v>371</v>
      </c>
      <c r="P3731" s="45" t="s">
        <v>3760</v>
      </c>
      <c r="Q3731" s="59" t="str">
        <f>MID(Tabla1[[#This Row],[Aplicación]],14,1)</f>
        <v>2</v>
      </c>
      <c r="R3731" s="35" t="s">
        <v>298</v>
      </c>
      <c r="S3731" s="59" t="str">
        <f>MID(Tabla1[[#This Row],[Aplicación]],6,2)</f>
        <v>11</v>
      </c>
      <c r="T3731" s="35" t="str">
        <f>VLOOKUP(Tabla1[[#This Row],[AREA]],Hoja1!A:B,2,FALSE)</f>
        <v>11. Salud pública y seguridad ciudadana</v>
      </c>
      <c r="U3731" s="56" t="str">
        <f>MID(Tabla1[[#This Row],[Aplicación]],9,4)</f>
        <v>1621</v>
      </c>
      <c r="V3731" s="35" t="str">
        <f>VLOOKUP(Tabla1[[#This Row],[PROGRAMA]],Hoja1!A:B,2,FALSE)</f>
        <v>1621. Servicio de limpieza</v>
      </c>
      <c r="W3731" s="56" t="str">
        <f>MID(Tabla1[[#This Row],[Aplicación]],14,2)</f>
        <v>20</v>
      </c>
      <c r="X3731" s="56" t="str">
        <f>MID(Tabla1[[#This Row],[Aplicación]],14,6)</f>
        <v>204</v>
      </c>
    </row>
    <row r="3732" spans="1:24" x14ac:dyDescent="0.25">
      <c r="A3732" s="63">
        <v>220230028589</v>
      </c>
      <c r="B3732" s="44" t="s">
        <v>1514</v>
      </c>
      <c r="C3732" s="64">
        <v>45084</v>
      </c>
      <c r="D3732" s="62">
        <v>22023004048</v>
      </c>
      <c r="E3732" s="44" t="s">
        <v>1683</v>
      </c>
      <c r="F3732" s="65">
        <v>987.84</v>
      </c>
      <c r="G3732" s="44" t="s">
        <v>101</v>
      </c>
      <c r="H3732" s="44" t="s">
        <v>5470</v>
      </c>
      <c r="I3732" s="62" t="s">
        <v>1517</v>
      </c>
      <c r="J3732" s="44" t="s">
        <v>519</v>
      </c>
      <c r="K3732" s="44" t="s">
        <v>519</v>
      </c>
      <c r="L3732" s="44" t="s">
        <v>552</v>
      </c>
      <c r="M3732" s="44" t="s">
        <v>514</v>
      </c>
      <c r="N3732" s="44" t="s">
        <v>515</v>
      </c>
      <c r="O3732" s="45" t="s">
        <v>382</v>
      </c>
      <c r="P3732" s="45" t="s">
        <v>3760</v>
      </c>
      <c r="Q3732" s="59" t="str">
        <f>MID(Tabla1[[#This Row],[Aplicación]],14,1)</f>
        <v>2</v>
      </c>
      <c r="R3732" s="35" t="s">
        <v>298</v>
      </c>
      <c r="S3732" s="59" t="str">
        <f>MID(Tabla1[[#This Row],[Aplicación]],6,2)</f>
        <v>11</v>
      </c>
      <c r="T3732" s="35" t="str">
        <f>VLOOKUP(Tabla1[[#This Row],[AREA]],Hoja1!A:B,2,FALSE)</f>
        <v>11. Salud pública y seguridad ciudadana</v>
      </c>
      <c r="U3732" s="56" t="str">
        <f>MID(Tabla1[[#This Row],[Aplicación]],9,4)</f>
        <v>1631</v>
      </c>
      <c r="V3732" s="35" t="str">
        <f>VLOOKUP(Tabla1[[#This Row],[PROGRAMA]],Hoja1!A:B,2,FALSE)</f>
        <v>1631. Limpieza viaria</v>
      </c>
      <c r="W3732" s="56" t="str">
        <f>MID(Tabla1[[#This Row],[Aplicación]],14,2)</f>
        <v>21</v>
      </c>
      <c r="X3732" s="56" t="str">
        <f>MID(Tabla1[[#This Row],[Aplicación]],14,6)</f>
        <v>214</v>
      </c>
    </row>
    <row r="3733" spans="1:24" x14ac:dyDescent="0.25">
      <c r="A3733" s="63">
        <v>220230028591</v>
      </c>
      <c r="B3733" s="44" t="s">
        <v>1514</v>
      </c>
      <c r="C3733" s="64">
        <v>45084</v>
      </c>
      <c r="D3733" s="62">
        <v>22023004056</v>
      </c>
      <c r="E3733" s="44" t="s">
        <v>2624</v>
      </c>
      <c r="F3733" s="65">
        <v>928.07</v>
      </c>
      <c r="G3733" s="44" t="s">
        <v>101</v>
      </c>
      <c r="H3733" s="44" t="s">
        <v>5471</v>
      </c>
      <c r="I3733" s="62" t="s">
        <v>1517</v>
      </c>
      <c r="J3733" s="44" t="s">
        <v>519</v>
      </c>
      <c r="K3733" s="44" t="s">
        <v>519</v>
      </c>
      <c r="L3733" s="44" t="s">
        <v>552</v>
      </c>
      <c r="M3733" s="44" t="s">
        <v>514</v>
      </c>
      <c r="N3733" s="44" t="s">
        <v>515</v>
      </c>
      <c r="O3733" s="45" t="s">
        <v>382</v>
      </c>
      <c r="P3733" s="45" t="s">
        <v>3760</v>
      </c>
      <c r="Q3733" s="59" t="str">
        <f>MID(Tabla1[[#This Row],[Aplicación]],14,1)</f>
        <v>2</v>
      </c>
      <c r="R3733" s="35" t="s">
        <v>298</v>
      </c>
      <c r="S3733" s="59" t="str">
        <f>MID(Tabla1[[#This Row],[Aplicación]],6,2)</f>
        <v>11</v>
      </c>
      <c r="T3733" s="35" t="str">
        <f>VLOOKUP(Tabla1[[#This Row],[AREA]],Hoja1!A:B,2,FALSE)</f>
        <v>11. Salud pública y seguridad ciudadana</v>
      </c>
      <c r="U3733" s="56" t="str">
        <f>MID(Tabla1[[#This Row],[Aplicación]],9,4)</f>
        <v>1621</v>
      </c>
      <c r="V3733" s="35" t="str">
        <f>VLOOKUP(Tabla1[[#This Row],[PROGRAMA]],Hoja1!A:B,2,FALSE)</f>
        <v>1621. Servicio de limpieza</v>
      </c>
      <c r="W3733" s="56" t="str">
        <f>MID(Tabla1[[#This Row],[Aplicación]],14,2)</f>
        <v>22</v>
      </c>
      <c r="X3733" s="56" t="str">
        <f>MID(Tabla1[[#This Row],[Aplicación]],14,6)</f>
        <v>22199</v>
      </c>
    </row>
    <row r="3734" spans="1:24" x14ac:dyDescent="0.25">
      <c r="A3734" s="63">
        <v>220230028593</v>
      </c>
      <c r="B3734" s="44" t="s">
        <v>1514</v>
      </c>
      <c r="C3734" s="64">
        <v>45084</v>
      </c>
      <c r="D3734" s="62">
        <v>22023004050</v>
      </c>
      <c r="E3734" s="44" t="s">
        <v>2693</v>
      </c>
      <c r="F3734" s="65">
        <v>1022.45</v>
      </c>
      <c r="G3734" s="44" t="s">
        <v>101</v>
      </c>
      <c r="H3734" s="44" t="s">
        <v>5472</v>
      </c>
      <c r="I3734" s="62" t="s">
        <v>1517</v>
      </c>
      <c r="J3734" s="44" t="s">
        <v>519</v>
      </c>
      <c r="K3734" s="44" t="s">
        <v>519</v>
      </c>
      <c r="L3734" s="44" t="s">
        <v>552</v>
      </c>
      <c r="M3734" s="44" t="s">
        <v>514</v>
      </c>
      <c r="N3734" s="44" t="s">
        <v>515</v>
      </c>
      <c r="O3734" s="45" t="s">
        <v>382</v>
      </c>
      <c r="P3734" s="45" t="s">
        <v>3760</v>
      </c>
      <c r="Q3734" s="59" t="str">
        <f>MID(Tabla1[[#This Row],[Aplicación]],14,1)</f>
        <v>2</v>
      </c>
      <c r="R3734" s="35" t="s">
        <v>298</v>
      </c>
      <c r="S3734" s="59" t="str">
        <f>MID(Tabla1[[#This Row],[Aplicación]],6,2)</f>
        <v>11</v>
      </c>
      <c r="T3734" s="35" t="str">
        <f>VLOOKUP(Tabla1[[#This Row],[AREA]],Hoja1!A:B,2,FALSE)</f>
        <v>11. Salud pública y seguridad ciudadana</v>
      </c>
      <c r="U3734" s="56" t="str">
        <f>MID(Tabla1[[#This Row],[Aplicación]],9,4)</f>
        <v>1631</v>
      </c>
      <c r="V3734" s="35" t="str">
        <f>VLOOKUP(Tabla1[[#This Row],[PROGRAMA]],Hoja1!A:B,2,FALSE)</f>
        <v>1631. Limpieza viaria</v>
      </c>
      <c r="W3734" s="56" t="str">
        <f>MID(Tabla1[[#This Row],[Aplicación]],14,2)</f>
        <v>22</v>
      </c>
      <c r="X3734" s="56" t="str">
        <f>MID(Tabla1[[#This Row],[Aplicación]],14,6)</f>
        <v>22110</v>
      </c>
    </row>
    <row r="3735" spans="1:24" x14ac:dyDescent="0.25">
      <c r="A3735" s="63">
        <v>220230028607</v>
      </c>
      <c r="B3735" s="44" t="s">
        <v>1514</v>
      </c>
      <c r="C3735" s="64">
        <v>45084</v>
      </c>
      <c r="D3735" s="62">
        <v>22023001129</v>
      </c>
      <c r="E3735" s="44" t="s">
        <v>4944</v>
      </c>
      <c r="F3735" s="65">
        <v>427.37</v>
      </c>
      <c r="G3735" s="44" t="s">
        <v>101</v>
      </c>
      <c r="H3735" s="44" t="s">
        <v>5473</v>
      </c>
      <c r="I3735" s="62" t="s">
        <v>1517</v>
      </c>
      <c r="J3735" s="44" t="s">
        <v>519</v>
      </c>
      <c r="K3735" s="44" t="s">
        <v>519</v>
      </c>
      <c r="L3735" s="44" t="s">
        <v>552</v>
      </c>
      <c r="M3735" s="44" t="s">
        <v>514</v>
      </c>
      <c r="N3735" s="44" t="s">
        <v>515</v>
      </c>
      <c r="O3735" s="45" t="s">
        <v>382</v>
      </c>
      <c r="P3735" s="45" t="s">
        <v>3760</v>
      </c>
      <c r="Q3735" s="59" t="str">
        <f>MID(Tabla1[[#This Row],[Aplicación]],14,1)</f>
        <v>2</v>
      </c>
      <c r="R3735" s="35" t="s">
        <v>298</v>
      </c>
      <c r="S3735" s="59" t="str">
        <f>MID(Tabla1[[#This Row],[Aplicación]],6,2)</f>
        <v>07</v>
      </c>
      <c r="T3735" s="35" t="str">
        <f>VLOOKUP(Tabla1[[#This Row],[AREA]],Hoja1!A:B,2,FALSE)</f>
        <v>07. Medio ambiente y desarrollo sostenible</v>
      </c>
      <c r="U3735" s="56" t="str">
        <f>MID(Tabla1[[#This Row],[Aplicación]],9,4)</f>
        <v>1721</v>
      </c>
      <c r="V3735" s="35" t="str">
        <f>VLOOKUP(Tabla1[[#This Row],[PROGRAMA]],Hoja1!A:B,2,FALSE)</f>
        <v>1721. Protección del medio ambiente</v>
      </c>
      <c r="W3735" s="56" t="str">
        <f>MID(Tabla1[[#This Row],[Aplicación]],14,2)</f>
        <v>22</v>
      </c>
      <c r="X3735" s="56" t="str">
        <f>MID(Tabla1[[#This Row],[Aplicación]],14,6)</f>
        <v>22104</v>
      </c>
    </row>
    <row r="3736" spans="1:24" x14ac:dyDescent="0.25">
      <c r="A3736" s="63">
        <v>220230032297</v>
      </c>
      <c r="B3736" s="44" t="s">
        <v>1514</v>
      </c>
      <c r="C3736" s="64">
        <v>45107</v>
      </c>
      <c r="D3736" s="62">
        <v>22023000213</v>
      </c>
      <c r="E3736" s="44" t="s">
        <v>1694</v>
      </c>
      <c r="F3736" s="65">
        <v>314.89</v>
      </c>
      <c r="G3736" s="44" t="s">
        <v>1857</v>
      </c>
      <c r="H3736" s="44" t="s">
        <v>5474</v>
      </c>
      <c r="I3736" s="62" t="s">
        <v>1517</v>
      </c>
      <c r="J3736" s="44" t="s">
        <v>519</v>
      </c>
      <c r="K3736" s="44" t="s">
        <v>519</v>
      </c>
      <c r="L3736" s="44" t="s">
        <v>520</v>
      </c>
      <c r="M3736" s="44" t="s">
        <v>514</v>
      </c>
      <c r="N3736" s="44" t="s">
        <v>515</v>
      </c>
      <c r="O3736" s="45" t="s">
        <v>382</v>
      </c>
      <c r="P3736" s="45" t="s">
        <v>3760</v>
      </c>
      <c r="Q3736" s="59" t="str">
        <f>MID(Tabla1[[#This Row],[Aplicación]],14,1)</f>
        <v>2</v>
      </c>
      <c r="R3736" s="35" t="s">
        <v>298</v>
      </c>
      <c r="S3736" s="59" t="str">
        <f>MID(Tabla1[[#This Row],[Aplicación]],6,2)</f>
        <v>11</v>
      </c>
      <c r="T3736" s="35" t="str">
        <f>VLOOKUP(Tabla1[[#This Row],[AREA]],Hoja1!A:B,2,FALSE)</f>
        <v>11. Salud pública y seguridad ciudadana</v>
      </c>
      <c r="U3736" s="56" t="str">
        <f>MID(Tabla1[[#This Row],[Aplicación]],9,4)</f>
        <v>1321</v>
      </c>
      <c r="V3736" s="35" t="str">
        <f>VLOOKUP(Tabla1[[#This Row],[PROGRAMA]],Hoja1!A:B,2,FALSE)</f>
        <v>1321. Policía municipal</v>
      </c>
      <c r="W3736" s="56" t="str">
        <f>MID(Tabla1[[#This Row],[Aplicación]],14,2)</f>
        <v>21</v>
      </c>
      <c r="X3736" s="56" t="str">
        <f>MID(Tabla1[[#This Row],[Aplicación]],14,6)</f>
        <v>214</v>
      </c>
    </row>
    <row r="3737" spans="1:24" x14ac:dyDescent="0.25">
      <c r="A3737" s="63">
        <v>220230032299</v>
      </c>
      <c r="B3737" s="44" t="s">
        <v>1514</v>
      </c>
      <c r="C3737" s="64">
        <v>45107</v>
      </c>
      <c r="D3737" s="62">
        <v>22023000213</v>
      </c>
      <c r="E3737" s="44" t="s">
        <v>1694</v>
      </c>
      <c r="F3737" s="65">
        <v>2359</v>
      </c>
      <c r="G3737" s="44" t="s">
        <v>1857</v>
      </c>
      <c r="H3737" s="44" t="s">
        <v>5475</v>
      </c>
      <c r="I3737" s="62" t="s">
        <v>1517</v>
      </c>
      <c r="J3737" s="44" t="s">
        <v>519</v>
      </c>
      <c r="K3737" s="44" t="s">
        <v>519</v>
      </c>
      <c r="L3737" s="44" t="s">
        <v>520</v>
      </c>
      <c r="M3737" s="44" t="s">
        <v>514</v>
      </c>
      <c r="N3737" s="44" t="s">
        <v>515</v>
      </c>
      <c r="O3737" s="45" t="s">
        <v>382</v>
      </c>
      <c r="P3737" s="45" t="s">
        <v>3760</v>
      </c>
      <c r="Q3737" s="59" t="str">
        <f>MID(Tabla1[[#This Row],[Aplicación]],14,1)</f>
        <v>2</v>
      </c>
      <c r="R3737" s="35" t="s">
        <v>298</v>
      </c>
      <c r="S3737" s="59" t="str">
        <f>MID(Tabla1[[#This Row],[Aplicación]],6,2)</f>
        <v>11</v>
      </c>
      <c r="T3737" s="35" t="str">
        <f>VLOOKUP(Tabla1[[#This Row],[AREA]],Hoja1!A:B,2,FALSE)</f>
        <v>11. Salud pública y seguridad ciudadana</v>
      </c>
      <c r="U3737" s="56" t="str">
        <f>MID(Tabla1[[#This Row],[Aplicación]],9,4)</f>
        <v>1321</v>
      </c>
      <c r="V3737" s="35" t="str">
        <f>VLOOKUP(Tabla1[[#This Row],[PROGRAMA]],Hoja1!A:B,2,FALSE)</f>
        <v>1321. Policía municipal</v>
      </c>
      <c r="W3737" s="56" t="str">
        <f>MID(Tabla1[[#This Row],[Aplicación]],14,2)</f>
        <v>21</v>
      </c>
      <c r="X3737" s="56" t="str">
        <f>MID(Tabla1[[#This Row],[Aplicación]],14,6)</f>
        <v>214</v>
      </c>
    </row>
    <row r="3738" spans="1:24" x14ac:dyDescent="0.25">
      <c r="A3738" s="63">
        <v>220230032301</v>
      </c>
      <c r="B3738" s="44" t="s">
        <v>1514</v>
      </c>
      <c r="C3738" s="64">
        <v>45107</v>
      </c>
      <c r="D3738" s="62">
        <v>22023000213</v>
      </c>
      <c r="E3738" s="44" t="s">
        <v>1694</v>
      </c>
      <c r="F3738" s="65">
        <v>302.5</v>
      </c>
      <c r="G3738" s="44" t="s">
        <v>1857</v>
      </c>
      <c r="H3738" s="44" t="s">
        <v>5476</v>
      </c>
      <c r="I3738" s="62" t="s">
        <v>1517</v>
      </c>
      <c r="J3738" s="44" t="s">
        <v>519</v>
      </c>
      <c r="K3738" s="44" t="s">
        <v>519</v>
      </c>
      <c r="L3738" s="44" t="s">
        <v>520</v>
      </c>
      <c r="M3738" s="44" t="s">
        <v>514</v>
      </c>
      <c r="N3738" s="44" t="s">
        <v>515</v>
      </c>
      <c r="O3738" s="45" t="s">
        <v>382</v>
      </c>
      <c r="P3738" s="45" t="s">
        <v>3760</v>
      </c>
      <c r="Q3738" s="59" t="str">
        <f>MID(Tabla1[[#This Row],[Aplicación]],14,1)</f>
        <v>2</v>
      </c>
      <c r="R3738" s="35" t="s">
        <v>298</v>
      </c>
      <c r="S3738" s="59" t="str">
        <f>MID(Tabla1[[#This Row],[Aplicación]],6,2)</f>
        <v>11</v>
      </c>
      <c r="T3738" s="35" t="str">
        <f>VLOOKUP(Tabla1[[#This Row],[AREA]],Hoja1!A:B,2,FALSE)</f>
        <v>11. Salud pública y seguridad ciudadana</v>
      </c>
      <c r="U3738" s="56" t="str">
        <f>MID(Tabla1[[#This Row],[Aplicación]],9,4)</f>
        <v>1321</v>
      </c>
      <c r="V3738" s="35" t="str">
        <f>VLOOKUP(Tabla1[[#This Row],[PROGRAMA]],Hoja1!A:B,2,FALSE)</f>
        <v>1321. Policía municipal</v>
      </c>
      <c r="W3738" s="56" t="str">
        <f>MID(Tabla1[[#This Row],[Aplicación]],14,2)</f>
        <v>21</v>
      </c>
      <c r="X3738" s="56" t="str">
        <f>MID(Tabla1[[#This Row],[Aplicación]],14,6)</f>
        <v>214</v>
      </c>
    </row>
    <row r="3739" spans="1:24" x14ac:dyDescent="0.25">
      <c r="A3739" s="63">
        <v>220230031252</v>
      </c>
      <c r="B3739" s="44" t="s">
        <v>507</v>
      </c>
      <c r="C3739" s="64">
        <v>45099</v>
      </c>
      <c r="D3739" s="62">
        <v>22023005040</v>
      </c>
      <c r="E3739" s="44" t="s">
        <v>1285</v>
      </c>
      <c r="F3739" s="65">
        <v>56.2</v>
      </c>
      <c r="G3739" s="44" t="s">
        <v>1286</v>
      </c>
      <c r="H3739" s="44" t="s">
        <v>5477</v>
      </c>
      <c r="I3739" s="62" t="s">
        <v>511</v>
      </c>
      <c r="J3739" s="44" t="s">
        <v>1288</v>
      </c>
      <c r="K3739" s="44" t="s">
        <v>1289</v>
      </c>
      <c r="L3739" s="44" t="s">
        <v>552</v>
      </c>
      <c r="M3739" s="44" t="s">
        <v>976</v>
      </c>
      <c r="N3739" s="44" t="s">
        <v>839</v>
      </c>
      <c r="O3739" s="45" t="s">
        <v>383</v>
      </c>
      <c r="P3739" s="45" t="s">
        <v>3760</v>
      </c>
      <c r="Q3739" s="59" t="str">
        <f>MID(Tabla1[[#This Row],[Aplicación]],14,1)</f>
        <v>2</v>
      </c>
      <c r="R3739" s="35" t="s">
        <v>298</v>
      </c>
      <c r="S3739" s="59" t="str">
        <f>MID(Tabla1[[#This Row],[Aplicación]],6,2)</f>
        <v>11</v>
      </c>
      <c r="T3739" s="35" t="str">
        <f>VLOOKUP(Tabla1[[#This Row],[AREA]],Hoja1!A:B,2,FALSE)</f>
        <v>11. Salud pública y seguridad ciudadana</v>
      </c>
      <c r="U3739" s="56" t="str">
        <f>MID(Tabla1[[#This Row],[Aplicación]],9,4)</f>
        <v>1361</v>
      </c>
      <c r="V3739" s="35" t="str">
        <f>VLOOKUP(Tabla1[[#This Row],[PROGRAMA]],Hoja1!A:B,2,FALSE)</f>
        <v>1361. Prevención y extinción de incencios</v>
      </c>
      <c r="W3739" s="56" t="str">
        <f>MID(Tabla1[[#This Row],[Aplicación]],14,2)</f>
        <v>22</v>
      </c>
      <c r="X3739" s="56" t="str">
        <f>MID(Tabla1[[#This Row],[Aplicación]],14,6)</f>
        <v>22199</v>
      </c>
    </row>
    <row r="3740" spans="1:24" x14ac:dyDescent="0.25">
      <c r="A3740" s="63">
        <v>220220062123</v>
      </c>
      <c r="B3740" s="44" t="s">
        <v>507</v>
      </c>
      <c r="C3740" s="64">
        <v>45100</v>
      </c>
      <c r="D3740" s="62">
        <v>22022005221</v>
      </c>
      <c r="E3740" s="44" t="s">
        <v>3424</v>
      </c>
      <c r="F3740" s="65">
        <v>47199.99</v>
      </c>
      <c r="G3740" s="44" t="s">
        <v>5478</v>
      </c>
      <c r="H3740" s="44" t="s">
        <v>5479</v>
      </c>
      <c r="I3740" s="62" t="s">
        <v>511</v>
      </c>
      <c r="J3740" s="44" t="s">
        <v>519</v>
      </c>
      <c r="K3740" s="44" t="s">
        <v>519</v>
      </c>
      <c r="L3740" s="44" t="s">
        <v>552</v>
      </c>
      <c r="M3740" s="44" t="s">
        <v>514</v>
      </c>
      <c r="N3740" s="44" t="s">
        <v>515</v>
      </c>
      <c r="O3740" s="45" t="s">
        <v>371</v>
      </c>
      <c r="P3740" s="45" t="s">
        <v>3760</v>
      </c>
      <c r="Q3740" s="59" t="str">
        <f>MID(Tabla1[[#This Row],[Aplicación]],14,1)</f>
        <v>6</v>
      </c>
      <c r="R3740" s="35" t="s">
        <v>299</v>
      </c>
      <c r="S3740" s="59" t="str">
        <f>MID(Tabla1[[#This Row],[Aplicación]],6,2)</f>
        <v>08</v>
      </c>
      <c r="T3740" s="35" t="str">
        <f>VLOOKUP(Tabla1[[#This Row],[AREA]],Hoja1!A:B,2,FALSE)</f>
        <v>08. Movilidad y espacio urbano</v>
      </c>
      <c r="U3740" s="56" t="str">
        <f>MID(Tabla1[[#This Row],[Aplicación]],9,4)</f>
        <v>1341</v>
      </c>
      <c r="V3740" s="35" t="str">
        <f>VLOOKUP(Tabla1[[#This Row],[PROGRAMA]],Hoja1!A:B,2,FALSE)</f>
        <v>1341. Movilidad</v>
      </c>
      <c r="W3740" s="56" t="str">
        <f>MID(Tabla1[[#This Row],[Aplicación]],14,2)</f>
        <v>62</v>
      </c>
      <c r="X3740" s="56" t="str">
        <f>MID(Tabla1[[#This Row],[Aplicación]],14,6)</f>
        <v>624</v>
      </c>
    </row>
    <row r="3741" spans="1:24" x14ac:dyDescent="0.25">
      <c r="A3741" s="63">
        <v>220230028644</v>
      </c>
      <c r="B3741" s="44" t="s">
        <v>507</v>
      </c>
      <c r="C3741" s="64">
        <v>45085</v>
      </c>
      <c r="D3741" s="62">
        <v>22023004884</v>
      </c>
      <c r="E3741" s="44" t="s">
        <v>1260</v>
      </c>
      <c r="F3741" s="65">
        <v>52.24</v>
      </c>
      <c r="G3741" s="44" t="s">
        <v>480</v>
      </c>
      <c r="H3741" s="44" t="s">
        <v>5480</v>
      </c>
      <c r="I3741" s="62" t="s">
        <v>511</v>
      </c>
      <c r="J3741" s="44" t="s">
        <v>519</v>
      </c>
      <c r="K3741" s="44" t="s">
        <v>519</v>
      </c>
      <c r="L3741" s="44" t="s">
        <v>552</v>
      </c>
      <c r="M3741" s="44" t="s">
        <v>976</v>
      </c>
      <c r="N3741" s="44" t="s">
        <v>839</v>
      </c>
      <c r="O3741" s="45" t="s">
        <v>383</v>
      </c>
      <c r="P3741" s="45" t="s">
        <v>3760</v>
      </c>
      <c r="Q3741" s="59" t="str">
        <f>MID(Tabla1[[#This Row],[Aplicación]],14,1)</f>
        <v>2</v>
      </c>
      <c r="R3741" s="35" t="s">
        <v>298</v>
      </c>
      <c r="S3741" s="59" t="str">
        <f>MID(Tabla1[[#This Row],[Aplicación]],6,2)</f>
        <v>03</v>
      </c>
      <c r="T3741" s="35" t="str">
        <f>VLOOKUP(Tabla1[[#This Row],[AREA]],Hoja1!A:B,2,FALSE)</f>
        <v>03. Participación ciudadana y deportes</v>
      </c>
      <c r="U3741" s="56" t="str">
        <f>MID(Tabla1[[#This Row],[Aplicación]],9,4)</f>
        <v>9241</v>
      </c>
      <c r="V3741" s="35" t="str">
        <f>VLOOKUP(Tabla1[[#This Row],[PROGRAMA]],Hoja1!A:B,2,FALSE)</f>
        <v>9241. Participación ciudadana</v>
      </c>
      <c r="W3741" s="56" t="str">
        <f>MID(Tabla1[[#This Row],[Aplicación]],14,2)</f>
        <v>22</v>
      </c>
      <c r="X3741" s="56" t="str">
        <f>MID(Tabla1[[#This Row],[Aplicación]],14,6)</f>
        <v>22602</v>
      </c>
    </row>
    <row r="3742" spans="1:24" x14ac:dyDescent="0.25">
      <c r="A3742" s="63">
        <v>220230029407</v>
      </c>
      <c r="B3742" s="44" t="s">
        <v>1514</v>
      </c>
      <c r="C3742" s="64">
        <v>45090</v>
      </c>
      <c r="D3742" s="62">
        <v>22023002053</v>
      </c>
      <c r="E3742" s="44" t="s">
        <v>2107</v>
      </c>
      <c r="F3742" s="65">
        <v>79.86</v>
      </c>
      <c r="G3742" s="44" t="s">
        <v>2120</v>
      </c>
      <c r="H3742" s="44" t="s">
        <v>5481</v>
      </c>
      <c r="I3742" s="62" t="s">
        <v>1517</v>
      </c>
      <c r="J3742" s="44" t="s">
        <v>519</v>
      </c>
      <c r="K3742" s="44" t="s">
        <v>519</v>
      </c>
      <c r="L3742" s="44" t="s">
        <v>520</v>
      </c>
      <c r="M3742" s="44" t="s">
        <v>514</v>
      </c>
      <c r="N3742" s="44" t="s">
        <v>515</v>
      </c>
      <c r="O3742" s="45" t="s">
        <v>382</v>
      </c>
      <c r="P3742" s="45" t="s">
        <v>3760</v>
      </c>
      <c r="Q3742" s="59" t="str">
        <f>MID(Tabla1[[#This Row],[Aplicación]],14,1)</f>
        <v>2</v>
      </c>
      <c r="R3742" s="35" t="s">
        <v>298</v>
      </c>
      <c r="S3742" s="59" t="str">
        <f>MID(Tabla1[[#This Row],[Aplicación]],6,2)</f>
        <v>07</v>
      </c>
      <c r="T3742" s="35" t="str">
        <f>VLOOKUP(Tabla1[[#This Row],[AREA]],Hoja1!A:B,2,FALSE)</f>
        <v>07. Medio ambiente y desarrollo sostenible</v>
      </c>
      <c r="U3742" s="56" t="str">
        <f>MID(Tabla1[[#This Row],[Aplicación]],9,4)</f>
        <v>1711</v>
      </c>
      <c r="V3742" s="35" t="str">
        <f>VLOOKUP(Tabla1[[#This Row],[PROGRAMA]],Hoja1!A:B,2,FALSE)</f>
        <v>1711. Parques y jardines</v>
      </c>
      <c r="W3742" s="56" t="str">
        <f>MID(Tabla1[[#This Row],[Aplicación]],14,2)</f>
        <v>21</v>
      </c>
      <c r="X3742" s="56" t="str">
        <f>MID(Tabla1[[#This Row],[Aplicación]],14,6)</f>
        <v>213</v>
      </c>
    </row>
    <row r="3743" spans="1:24" x14ac:dyDescent="0.25">
      <c r="A3743" s="63">
        <v>220230029458</v>
      </c>
      <c r="B3743" s="44" t="s">
        <v>1514</v>
      </c>
      <c r="C3743" s="64">
        <v>45090</v>
      </c>
      <c r="D3743" s="62">
        <v>22023002053</v>
      </c>
      <c r="E3743" s="44" t="s">
        <v>2107</v>
      </c>
      <c r="F3743" s="65">
        <v>211.75</v>
      </c>
      <c r="G3743" s="44" t="s">
        <v>2120</v>
      </c>
      <c r="H3743" s="44" t="s">
        <v>5482</v>
      </c>
      <c r="I3743" s="62" t="s">
        <v>1517</v>
      </c>
      <c r="J3743" s="44" t="s">
        <v>519</v>
      </c>
      <c r="K3743" s="44" t="s">
        <v>519</v>
      </c>
      <c r="L3743" s="44" t="s">
        <v>520</v>
      </c>
      <c r="M3743" s="44" t="s">
        <v>514</v>
      </c>
      <c r="N3743" s="44" t="s">
        <v>515</v>
      </c>
      <c r="O3743" s="45" t="s">
        <v>382</v>
      </c>
      <c r="P3743" s="45" t="s">
        <v>3760</v>
      </c>
      <c r="Q3743" s="59" t="str">
        <f>MID(Tabla1[[#This Row],[Aplicación]],14,1)</f>
        <v>2</v>
      </c>
      <c r="R3743" s="35" t="s">
        <v>298</v>
      </c>
      <c r="S3743" s="59" t="str">
        <f>MID(Tabla1[[#This Row],[Aplicación]],6,2)</f>
        <v>07</v>
      </c>
      <c r="T3743" s="35" t="str">
        <f>VLOOKUP(Tabla1[[#This Row],[AREA]],Hoja1!A:B,2,FALSE)</f>
        <v>07. Medio ambiente y desarrollo sostenible</v>
      </c>
      <c r="U3743" s="56" t="str">
        <f>MID(Tabla1[[#This Row],[Aplicación]],9,4)</f>
        <v>1711</v>
      </c>
      <c r="V3743" s="35" t="str">
        <f>VLOOKUP(Tabla1[[#This Row],[PROGRAMA]],Hoja1!A:B,2,FALSE)</f>
        <v>1711. Parques y jardines</v>
      </c>
      <c r="W3743" s="56" t="str">
        <f>MID(Tabla1[[#This Row],[Aplicación]],14,2)</f>
        <v>21</v>
      </c>
      <c r="X3743" s="56" t="str">
        <f>MID(Tabla1[[#This Row],[Aplicación]],14,6)</f>
        <v>213</v>
      </c>
    </row>
    <row r="3744" spans="1:24" x14ac:dyDescent="0.25">
      <c r="A3744" s="63">
        <v>220230030100</v>
      </c>
      <c r="B3744" s="44" t="s">
        <v>1514</v>
      </c>
      <c r="C3744" s="64">
        <v>45093</v>
      </c>
      <c r="D3744" s="62">
        <v>22023002161</v>
      </c>
      <c r="E3744" s="44" t="s">
        <v>2107</v>
      </c>
      <c r="F3744" s="65">
        <v>39.93</v>
      </c>
      <c r="G3744" s="44" t="s">
        <v>2120</v>
      </c>
      <c r="H3744" s="44" t="s">
        <v>5483</v>
      </c>
      <c r="I3744" s="62" t="s">
        <v>1517</v>
      </c>
      <c r="J3744" s="44" t="s">
        <v>519</v>
      </c>
      <c r="K3744" s="44" t="s">
        <v>519</v>
      </c>
      <c r="L3744" s="44" t="s">
        <v>520</v>
      </c>
      <c r="M3744" s="44" t="s">
        <v>514</v>
      </c>
      <c r="N3744" s="44" t="s">
        <v>515</v>
      </c>
      <c r="O3744" s="45" t="s">
        <v>382</v>
      </c>
      <c r="P3744" s="45" t="s">
        <v>3760</v>
      </c>
      <c r="Q3744" s="59" t="str">
        <f>MID(Tabla1[[#This Row],[Aplicación]],14,1)</f>
        <v>2</v>
      </c>
      <c r="R3744" s="35" t="s">
        <v>298</v>
      </c>
      <c r="S3744" s="59" t="str">
        <f>MID(Tabla1[[#This Row],[Aplicación]],6,2)</f>
        <v>07</v>
      </c>
      <c r="T3744" s="35" t="str">
        <f>VLOOKUP(Tabla1[[#This Row],[AREA]],Hoja1!A:B,2,FALSE)</f>
        <v>07. Medio ambiente y desarrollo sostenible</v>
      </c>
      <c r="U3744" s="56" t="str">
        <f>MID(Tabla1[[#This Row],[Aplicación]],9,4)</f>
        <v>1711</v>
      </c>
      <c r="V3744" s="35" t="str">
        <f>VLOOKUP(Tabla1[[#This Row],[PROGRAMA]],Hoja1!A:B,2,FALSE)</f>
        <v>1711. Parques y jardines</v>
      </c>
      <c r="W3744" s="56" t="str">
        <f>MID(Tabla1[[#This Row],[Aplicación]],14,2)</f>
        <v>21</v>
      </c>
      <c r="X3744" s="56" t="str">
        <f>MID(Tabla1[[#This Row],[Aplicación]],14,6)</f>
        <v>213</v>
      </c>
    </row>
    <row r="3745" spans="1:24" x14ac:dyDescent="0.25">
      <c r="A3745" s="63">
        <v>220230030114</v>
      </c>
      <c r="B3745" s="44" t="s">
        <v>1514</v>
      </c>
      <c r="C3745" s="64">
        <v>45093</v>
      </c>
      <c r="D3745" s="62">
        <v>22023002161</v>
      </c>
      <c r="E3745" s="44" t="s">
        <v>2107</v>
      </c>
      <c r="F3745" s="65">
        <v>192.63</v>
      </c>
      <c r="G3745" s="44" t="s">
        <v>2120</v>
      </c>
      <c r="H3745" s="44" t="s">
        <v>5484</v>
      </c>
      <c r="I3745" s="62" t="s">
        <v>1517</v>
      </c>
      <c r="J3745" s="44" t="s">
        <v>519</v>
      </c>
      <c r="K3745" s="44" t="s">
        <v>519</v>
      </c>
      <c r="L3745" s="44" t="s">
        <v>520</v>
      </c>
      <c r="M3745" s="44" t="s">
        <v>514</v>
      </c>
      <c r="N3745" s="44" t="s">
        <v>515</v>
      </c>
      <c r="O3745" s="45" t="s">
        <v>382</v>
      </c>
      <c r="P3745" s="45" t="s">
        <v>3760</v>
      </c>
      <c r="Q3745" s="59" t="str">
        <f>MID(Tabla1[[#This Row],[Aplicación]],14,1)</f>
        <v>2</v>
      </c>
      <c r="R3745" s="35" t="s">
        <v>298</v>
      </c>
      <c r="S3745" s="59" t="str">
        <f>MID(Tabla1[[#This Row],[Aplicación]],6,2)</f>
        <v>07</v>
      </c>
      <c r="T3745" s="35" t="str">
        <f>VLOOKUP(Tabla1[[#This Row],[AREA]],Hoja1!A:B,2,FALSE)</f>
        <v>07. Medio ambiente y desarrollo sostenible</v>
      </c>
      <c r="U3745" s="56" t="str">
        <f>MID(Tabla1[[#This Row],[Aplicación]],9,4)</f>
        <v>1711</v>
      </c>
      <c r="V3745" s="35" t="str">
        <f>VLOOKUP(Tabla1[[#This Row],[PROGRAMA]],Hoja1!A:B,2,FALSE)</f>
        <v>1711. Parques y jardines</v>
      </c>
      <c r="W3745" s="56" t="str">
        <f>MID(Tabla1[[#This Row],[Aplicación]],14,2)</f>
        <v>21</v>
      </c>
      <c r="X3745" s="56" t="str">
        <f>MID(Tabla1[[#This Row],[Aplicación]],14,6)</f>
        <v>213</v>
      </c>
    </row>
    <row r="3746" spans="1:24" x14ac:dyDescent="0.25">
      <c r="A3746" s="63">
        <v>220230032283</v>
      </c>
      <c r="B3746" s="44" t="s">
        <v>1514</v>
      </c>
      <c r="C3746" s="64">
        <v>45107</v>
      </c>
      <c r="D3746" s="62">
        <v>22023002161</v>
      </c>
      <c r="E3746" s="44" t="s">
        <v>2107</v>
      </c>
      <c r="F3746" s="65">
        <v>351.92</v>
      </c>
      <c r="G3746" s="44" t="s">
        <v>2120</v>
      </c>
      <c r="H3746" s="44" t="s">
        <v>5485</v>
      </c>
      <c r="I3746" s="62" t="s">
        <v>1517</v>
      </c>
      <c r="J3746" s="44" t="s">
        <v>519</v>
      </c>
      <c r="K3746" s="44" t="s">
        <v>519</v>
      </c>
      <c r="L3746" s="44" t="s">
        <v>552</v>
      </c>
      <c r="M3746" s="44" t="s">
        <v>514</v>
      </c>
      <c r="N3746" s="44" t="s">
        <v>515</v>
      </c>
      <c r="O3746" s="45" t="s">
        <v>382</v>
      </c>
      <c r="P3746" s="45" t="s">
        <v>3760</v>
      </c>
      <c r="Q3746" s="59" t="str">
        <f>MID(Tabla1[[#This Row],[Aplicación]],14,1)</f>
        <v>2</v>
      </c>
      <c r="R3746" s="35" t="s">
        <v>298</v>
      </c>
      <c r="S3746" s="59" t="str">
        <f>MID(Tabla1[[#This Row],[Aplicación]],6,2)</f>
        <v>07</v>
      </c>
      <c r="T3746" s="35" t="str">
        <f>VLOOKUP(Tabla1[[#This Row],[AREA]],Hoja1!A:B,2,FALSE)</f>
        <v>07. Medio ambiente y desarrollo sostenible</v>
      </c>
      <c r="U3746" s="56" t="str">
        <f>MID(Tabla1[[#This Row],[Aplicación]],9,4)</f>
        <v>1711</v>
      </c>
      <c r="V3746" s="35" t="str">
        <f>VLOOKUP(Tabla1[[#This Row],[PROGRAMA]],Hoja1!A:B,2,FALSE)</f>
        <v>1711. Parques y jardines</v>
      </c>
      <c r="W3746" s="56" t="str">
        <f>MID(Tabla1[[#This Row],[Aplicación]],14,2)</f>
        <v>21</v>
      </c>
      <c r="X3746" s="56" t="str">
        <f>MID(Tabla1[[#This Row],[Aplicación]],14,6)</f>
        <v>213</v>
      </c>
    </row>
    <row r="3747" spans="1:24" x14ac:dyDescent="0.25">
      <c r="A3747" s="63">
        <v>220230028637</v>
      </c>
      <c r="B3747" s="44" t="s">
        <v>507</v>
      </c>
      <c r="C3747" s="64">
        <v>45085</v>
      </c>
      <c r="D3747" s="62">
        <v>22023004889</v>
      </c>
      <c r="E3747" s="44" t="s">
        <v>613</v>
      </c>
      <c r="F3747" s="65">
        <v>82.28</v>
      </c>
      <c r="G3747" s="44" t="s">
        <v>23</v>
      </c>
      <c r="H3747" s="44" t="s">
        <v>5486</v>
      </c>
      <c r="I3747" s="62" t="s">
        <v>511</v>
      </c>
      <c r="J3747" s="44" t="s">
        <v>519</v>
      </c>
      <c r="K3747" s="44" t="s">
        <v>519</v>
      </c>
      <c r="L3747" s="44" t="s">
        <v>552</v>
      </c>
      <c r="M3747" s="44" t="s">
        <v>976</v>
      </c>
      <c r="N3747" s="44" t="s">
        <v>839</v>
      </c>
      <c r="O3747" s="45" t="s">
        <v>383</v>
      </c>
      <c r="P3747" s="45" t="s">
        <v>3760</v>
      </c>
      <c r="Q3747" s="59" t="str">
        <f>MID(Tabla1[[#This Row],[Aplicación]],14,1)</f>
        <v>2</v>
      </c>
      <c r="R3747" s="35" t="s">
        <v>298</v>
      </c>
      <c r="S3747" s="59" t="str">
        <f>MID(Tabla1[[#This Row],[Aplicación]],6,2)</f>
        <v>10</v>
      </c>
      <c r="T3747" s="35" t="str">
        <f>VLOOKUP(Tabla1[[#This Row],[AREA]],Hoja1!A:B,2,FALSE)</f>
        <v>10. Servicios sociales y mediación comunitaria</v>
      </c>
      <c r="U3747" s="56" t="str">
        <f>MID(Tabla1[[#This Row],[Aplicación]],9,4)</f>
        <v>2312</v>
      </c>
      <c r="V3747" s="35" t="str">
        <f>VLOOKUP(Tabla1[[#This Row],[PROGRAMA]],Hoja1!A:B,2,FALSE)</f>
        <v>2312. Iniciativas sociales</v>
      </c>
      <c r="W3747" s="56" t="str">
        <f>MID(Tabla1[[#This Row],[Aplicación]],14,2)</f>
        <v>21</v>
      </c>
      <c r="X3747" s="56" t="str">
        <f>MID(Tabla1[[#This Row],[Aplicación]],14,6)</f>
        <v>213</v>
      </c>
    </row>
    <row r="3748" spans="1:24" x14ac:dyDescent="0.25">
      <c r="A3748" s="63">
        <v>220230031208</v>
      </c>
      <c r="B3748" s="44" t="s">
        <v>507</v>
      </c>
      <c r="C3748" s="64">
        <v>45099</v>
      </c>
      <c r="D3748" s="62">
        <v>22023005076</v>
      </c>
      <c r="E3748" s="44" t="s">
        <v>1285</v>
      </c>
      <c r="F3748" s="65">
        <v>48.4</v>
      </c>
      <c r="G3748" s="44" t="s">
        <v>5487</v>
      </c>
      <c r="H3748" s="44" t="s">
        <v>5488</v>
      </c>
      <c r="I3748" s="62" t="s">
        <v>511</v>
      </c>
      <c r="J3748" s="44" t="s">
        <v>519</v>
      </c>
      <c r="K3748" s="44" t="s">
        <v>519</v>
      </c>
      <c r="L3748" s="44" t="s">
        <v>520</v>
      </c>
      <c r="M3748" s="44" t="s">
        <v>976</v>
      </c>
      <c r="N3748" s="44" t="s">
        <v>839</v>
      </c>
      <c r="O3748" s="45" t="s">
        <v>383</v>
      </c>
      <c r="P3748" s="45" t="s">
        <v>3760</v>
      </c>
      <c r="Q3748" s="59" t="str">
        <f>MID(Tabla1[[#This Row],[Aplicación]],14,1)</f>
        <v>2</v>
      </c>
      <c r="R3748" s="35" t="s">
        <v>298</v>
      </c>
      <c r="S3748" s="59" t="str">
        <f>MID(Tabla1[[#This Row],[Aplicación]],6,2)</f>
        <v>11</v>
      </c>
      <c r="T3748" s="35" t="str">
        <f>VLOOKUP(Tabla1[[#This Row],[AREA]],Hoja1!A:B,2,FALSE)</f>
        <v>11. Salud pública y seguridad ciudadana</v>
      </c>
      <c r="U3748" s="56" t="str">
        <f>MID(Tabla1[[#This Row],[Aplicación]],9,4)</f>
        <v>1361</v>
      </c>
      <c r="V3748" s="35" t="str">
        <f>VLOOKUP(Tabla1[[#This Row],[PROGRAMA]],Hoja1!A:B,2,FALSE)</f>
        <v>1361. Prevención y extinción de incencios</v>
      </c>
      <c r="W3748" s="56" t="str">
        <f>MID(Tabla1[[#This Row],[Aplicación]],14,2)</f>
        <v>22</v>
      </c>
      <c r="X3748" s="56" t="str">
        <f>MID(Tabla1[[#This Row],[Aplicación]],14,6)</f>
        <v>22199</v>
      </c>
    </row>
    <row r="3749" spans="1:24" x14ac:dyDescent="0.25">
      <c r="A3749" s="63">
        <v>220230031189</v>
      </c>
      <c r="B3749" s="44" t="s">
        <v>507</v>
      </c>
      <c r="C3749" s="64">
        <v>45099</v>
      </c>
      <c r="D3749" s="62">
        <v>22023005075</v>
      </c>
      <c r="E3749" s="44" t="s">
        <v>613</v>
      </c>
      <c r="F3749" s="65">
        <v>35.090000000000003</v>
      </c>
      <c r="G3749" s="44" t="s">
        <v>15</v>
      </c>
      <c r="H3749" s="44" t="s">
        <v>5489</v>
      </c>
      <c r="I3749" s="62" t="s">
        <v>511</v>
      </c>
      <c r="J3749" s="44" t="s">
        <v>519</v>
      </c>
      <c r="K3749" s="44" t="s">
        <v>519</v>
      </c>
      <c r="L3749" s="44" t="s">
        <v>552</v>
      </c>
      <c r="M3749" s="44" t="s">
        <v>976</v>
      </c>
      <c r="N3749" s="44" t="s">
        <v>839</v>
      </c>
      <c r="O3749" s="45" t="s">
        <v>383</v>
      </c>
      <c r="P3749" s="45" t="s">
        <v>3760</v>
      </c>
      <c r="Q3749" s="59" t="str">
        <f>MID(Tabla1[[#This Row],[Aplicación]],14,1)</f>
        <v>2</v>
      </c>
      <c r="R3749" s="35" t="s">
        <v>298</v>
      </c>
      <c r="S3749" s="59" t="str">
        <f>MID(Tabla1[[#This Row],[Aplicación]],6,2)</f>
        <v>10</v>
      </c>
      <c r="T3749" s="35" t="str">
        <f>VLOOKUP(Tabla1[[#This Row],[AREA]],Hoja1!A:B,2,FALSE)</f>
        <v>10. Servicios sociales y mediación comunitaria</v>
      </c>
      <c r="U3749" s="56" t="str">
        <f>MID(Tabla1[[#This Row],[Aplicación]],9,4)</f>
        <v>2312</v>
      </c>
      <c r="V3749" s="35" t="str">
        <f>VLOOKUP(Tabla1[[#This Row],[PROGRAMA]],Hoja1!A:B,2,FALSE)</f>
        <v>2312. Iniciativas sociales</v>
      </c>
      <c r="W3749" s="56" t="str">
        <f>MID(Tabla1[[#This Row],[Aplicación]],14,2)</f>
        <v>21</v>
      </c>
      <c r="X3749" s="56" t="str">
        <f>MID(Tabla1[[#This Row],[Aplicación]],14,6)</f>
        <v>213</v>
      </c>
    </row>
    <row r="3750" spans="1:24" x14ac:dyDescent="0.25">
      <c r="A3750" s="62">
        <v>220230022648</v>
      </c>
      <c r="B3750" s="44" t="s">
        <v>507</v>
      </c>
      <c r="C3750" s="64">
        <v>45068</v>
      </c>
      <c r="D3750" s="62">
        <v>22023004652</v>
      </c>
      <c r="E3750" s="44" t="s">
        <v>835</v>
      </c>
      <c r="F3750" s="65">
        <v>32.54</v>
      </c>
      <c r="G3750" s="44" t="s">
        <v>346</v>
      </c>
      <c r="H3750" s="44" t="s">
        <v>5490</v>
      </c>
      <c r="I3750" s="62" t="s">
        <v>511</v>
      </c>
      <c r="J3750" s="44" t="s">
        <v>519</v>
      </c>
      <c r="K3750" s="44" t="s">
        <v>519</v>
      </c>
      <c r="L3750" s="44" t="s">
        <v>520</v>
      </c>
      <c r="M3750" s="44" t="s">
        <v>976</v>
      </c>
      <c r="N3750" s="44" t="s">
        <v>839</v>
      </c>
      <c r="O3750" s="45" t="s">
        <v>383</v>
      </c>
      <c r="P3750" s="45" t="s">
        <v>3760</v>
      </c>
      <c r="Q3750" s="59" t="str">
        <f>MID(Tabla1[[#This Row],[Aplicación]],14,1)</f>
        <v>2</v>
      </c>
      <c r="R3750" s="35" t="s">
        <v>298</v>
      </c>
      <c r="S3750" s="59" t="str">
        <f>MID(Tabla1[[#This Row],[Aplicación]],6,2)</f>
        <v>05</v>
      </c>
      <c r="T3750" s="35" t="str">
        <f>VLOOKUP(Tabla1[[#This Row],[AREA]],Hoja1!A:B,2,FALSE)</f>
        <v>05. Innovación, desarrollo económico, empleo y comercio</v>
      </c>
      <c r="U3750" s="56" t="str">
        <f>MID(Tabla1[[#This Row],[Aplicación]],9,4)</f>
        <v>4331</v>
      </c>
      <c r="V3750" s="35" t="str">
        <f>VLOOKUP(Tabla1[[#This Row],[PROGRAMA]],Hoja1!A:B,2,FALSE)</f>
        <v>4331. Desarrollo empresarial</v>
      </c>
      <c r="W3750" s="56" t="str">
        <f>MID(Tabla1[[#This Row],[Aplicación]],14,2)</f>
        <v>22</v>
      </c>
      <c r="X3750" s="56" t="str">
        <f>MID(Tabla1[[#This Row],[Aplicación]],14,6)</f>
        <v>22799</v>
      </c>
    </row>
    <row r="3751" spans="1:24" x14ac:dyDescent="0.25">
      <c r="A3751" s="62">
        <v>220230018187</v>
      </c>
      <c r="B3751" s="44" t="s">
        <v>507</v>
      </c>
      <c r="C3751" s="64">
        <v>45054</v>
      </c>
      <c r="D3751" s="62">
        <v>22023003927</v>
      </c>
      <c r="E3751" s="44" t="s">
        <v>1272</v>
      </c>
      <c r="F3751" s="65">
        <v>23967.32</v>
      </c>
      <c r="G3751" s="44" t="s">
        <v>3477</v>
      </c>
      <c r="H3751" s="44" t="s">
        <v>5491</v>
      </c>
      <c r="I3751" s="62" t="s">
        <v>511</v>
      </c>
      <c r="J3751" s="44" t="s">
        <v>519</v>
      </c>
      <c r="K3751" s="44" t="s">
        <v>519</v>
      </c>
      <c r="L3751" s="44" t="s">
        <v>527</v>
      </c>
      <c r="M3751" s="44" t="s">
        <v>514</v>
      </c>
      <c r="N3751" s="44" t="s">
        <v>515</v>
      </c>
      <c r="O3751" s="45" t="s">
        <v>371</v>
      </c>
      <c r="P3751" s="45" t="s">
        <v>3760</v>
      </c>
      <c r="Q3751" s="59" t="str">
        <f>MID(Tabla1[[#This Row],[Aplicación]],14,1)</f>
        <v>6</v>
      </c>
      <c r="R3751" s="35" t="s">
        <v>299</v>
      </c>
      <c r="S3751" s="59" t="str">
        <f>MID(Tabla1[[#This Row],[Aplicación]],6,2)</f>
        <v>02</v>
      </c>
      <c r="T3751" s="35" t="str">
        <f>VLOOKUP(Tabla1[[#This Row],[AREA]],Hoja1!A:B,2,FALSE)</f>
        <v>02. Planeamiento urbanístico y vivienda</v>
      </c>
      <c r="U3751" s="56" t="str">
        <f>MID(Tabla1[[#This Row],[Aplicación]],9,4)</f>
        <v>9332</v>
      </c>
      <c r="V3751" s="35" t="str">
        <f>VLOOKUP(Tabla1[[#This Row],[PROGRAMA]],Hoja1!A:B,2,FALSE)</f>
        <v>9332. Mantenimiento de edificios e instalaciones municipales</v>
      </c>
      <c r="W3751" s="56" t="str">
        <f>MID(Tabla1[[#This Row],[Aplicación]],14,2)</f>
        <v>63</v>
      </c>
      <c r="X3751" s="56" t="str">
        <f>MID(Tabla1[[#This Row],[Aplicación]],14,6)</f>
        <v>632</v>
      </c>
    </row>
    <row r="3752" spans="1:24" x14ac:dyDescent="0.25">
      <c r="A3752" s="63">
        <v>220230029328</v>
      </c>
      <c r="B3752" s="44" t="s">
        <v>507</v>
      </c>
      <c r="C3752" s="64">
        <v>45090</v>
      </c>
      <c r="D3752" s="62">
        <v>22023004933</v>
      </c>
      <c r="E3752" s="44" t="s">
        <v>1401</v>
      </c>
      <c r="F3752" s="65">
        <v>28</v>
      </c>
      <c r="G3752" s="44" t="s">
        <v>346</v>
      </c>
      <c r="H3752" s="44" t="s">
        <v>5492</v>
      </c>
      <c r="I3752" s="62" t="s">
        <v>511</v>
      </c>
      <c r="J3752" s="44" t="s">
        <v>519</v>
      </c>
      <c r="K3752" s="44" t="s">
        <v>519</v>
      </c>
      <c r="L3752" s="44" t="s">
        <v>527</v>
      </c>
      <c r="M3752" s="44" t="s">
        <v>976</v>
      </c>
      <c r="N3752" s="44" t="s">
        <v>839</v>
      </c>
      <c r="O3752" s="45" t="s">
        <v>383</v>
      </c>
      <c r="P3752" s="45" t="s">
        <v>3760</v>
      </c>
      <c r="Q3752" s="59" t="str">
        <f>MID(Tabla1[[#This Row],[Aplicación]],14,1)</f>
        <v>2</v>
      </c>
      <c r="R3752" s="35" t="s">
        <v>298</v>
      </c>
      <c r="S3752" s="59" t="str">
        <f>MID(Tabla1[[#This Row],[Aplicación]],6,2)</f>
        <v>11</v>
      </c>
      <c r="T3752" s="35" t="str">
        <f>VLOOKUP(Tabla1[[#This Row],[AREA]],Hoja1!A:B,2,FALSE)</f>
        <v>11. Salud pública y seguridad ciudadana</v>
      </c>
      <c r="U3752" s="56" t="str">
        <f>MID(Tabla1[[#This Row],[Aplicación]],9,4)</f>
        <v>1321</v>
      </c>
      <c r="V3752" s="35" t="str">
        <f>VLOOKUP(Tabla1[[#This Row],[PROGRAMA]],Hoja1!A:B,2,FALSE)</f>
        <v>1321. Policía municipal</v>
      </c>
      <c r="W3752" s="56" t="str">
        <f>MID(Tabla1[[#This Row],[Aplicación]],14,2)</f>
        <v>21</v>
      </c>
      <c r="X3752" s="56" t="str">
        <f>MID(Tabla1[[#This Row],[Aplicación]],14,6)</f>
        <v>212</v>
      </c>
    </row>
    <row r="3753" spans="1:24" x14ac:dyDescent="0.25">
      <c r="A3753" s="63">
        <v>220230030674</v>
      </c>
      <c r="B3753" s="44" t="s">
        <v>507</v>
      </c>
      <c r="C3753" s="64">
        <v>45096</v>
      </c>
      <c r="D3753" s="62">
        <v>22023004898</v>
      </c>
      <c r="E3753" s="44" t="s">
        <v>4000</v>
      </c>
      <c r="F3753" s="65">
        <v>726</v>
      </c>
      <c r="G3753" s="44" t="s">
        <v>1879</v>
      </c>
      <c r="H3753" s="44" t="s">
        <v>5493</v>
      </c>
      <c r="I3753" s="62" t="s">
        <v>511</v>
      </c>
      <c r="J3753" s="44" t="s">
        <v>545</v>
      </c>
      <c r="K3753" s="44" t="s">
        <v>545</v>
      </c>
      <c r="L3753" s="44" t="s">
        <v>520</v>
      </c>
      <c r="M3753" s="44" t="s">
        <v>976</v>
      </c>
      <c r="N3753" s="44" t="s">
        <v>839</v>
      </c>
      <c r="O3753" s="45" t="s">
        <v>383</v>
      </c>
      <c r="P3753" s="45" t="s">
        <v>3760</v>
      </c>
      <c r="Q3753" s="59" t="str">
        <f>MID(Tabla1[[#This Row],[Aplicación]],14,1)</f>
        <v>2</v>
      </c>
      <c r="R3753" s="35" t="s">
        <v>298</v>
      </c>
      <c r="S3753" s="59" t="str">
        <f>MID(Tabla1[[#This Row],[Aplicación]],6,2)</f>
        <v>04</v>
      </c>
      <c r="T3753" s="35" t="str">
        <f>VLOOKUP(Tabla1[[#This Row],[AREA]],Hoja1!A:B,2,FALSE)</f>
        <v>04. Planificación y recursos</v>
      </c>
      <c r="U3753" s="56" t="str">
        <f>MID(Tabla1[[#This Row],[Aplicación]],9,4)</f>
        <v>9231</v>
      </c>
      <c r="V3753" s="35" t="str">
        <f>VLOOKUP(Tabla1[[#This Row],[PROGRAMA]],Hoja1!A:B,2,FALSE)</f>
        <v>9231. Información, registro y gestión del padrón</v>
      </c>
      <c r="W3753" s="56" t="str">
        <f>MID(Tabla1[[#This Row],[Aplicación]],14,2)</f>
        <v>22</v>
      </c>
      <c r="X3753" s="56" t="str">
        <f>MID(Tabla1[[#This Row],[Aplicación]],14,6)</f>
        <v>22705</v>
      </c>
    </row>
    <row r="3754" spans="1:24" x14ac:dyDescent="0.25">
      <c r="A3754" s="62">
        <v>220230020465</v>
      </c>
      <c r="B3754" s="44" t="s">
        <v>507</v>
      </c>
      <c r="C3754" s="64">
        <v>45057</v>
      </c>
      <c r="D3754" s="62">
        <v>22023003009</v>
      </c>
      <c r="E3754" s="44" t="s">
        <v>699</v>
      </c>
      <c r="F3754" s="65">
        <v>3339.6</v>
      </c>
      <c r="G3754" s="44" t="s">
        <v>350</v>
      </c>
      <c r="H3754" s="44" t="s">
        <v>5494</v>
      </c>
      <c r="I3754" s="62" t="s">
        <v>511</v>
      </c>
      <c r="J3754" s="44" t="s">
        <v>519</v>
      </c>
      <c r="K3754" s="44" t="s">
        <v>519</v>
      </c>
      <c r="L3754" s="44" t="s">
        <v>520</v>
      </c>
      <c r="M3754" s="44" t="s">
        <v>514</v>
      </c>
      <c r="N3754" s="44" t="s">
        <v>604</v>
      </c>
      <c r="O3754" s="45" t="s">
        <v>371</v>
      </c>
      <c r="P3754" s="45" t="s">
        <v>3760</v>
      </c>
      <c r="Q3754" s="59" t="str">
        <f>MID(Tabla1[[#This Row],[Aplicación]],14,1)</f>
        <v>2</v>
      </c>
      <c r="R3754" s="35" t="s">
        <v>298</v>
      </c>
      <c r="S3754" s="59" t="str">
        <f>MID(Tabla1[[#This Row],[Aplicación]],6,2)</f>
        <v>03</v>
      </c>
      <c r="T3754" s="35" t="str">
        <f>VLOOKUP(Tabla1[[#This Row],[AREA]],Hoja1!A:B,2,FALSE)</f>
        <v>03. Participación ciudadana y deportes</v>
      </c>
      <c r="U3754" s="56" t="str">
        <f>MID(Tabla1[[#This Row],[Aplicación]],9,4)</f>
        <v>9241</v>
      </c>
      <c r="V3754" s="35" t="str">
        <f>VLOOKUP(Tabla1[[#This Row],[PROGRAMA]],Hoja1!A:B,2,FALSE)</f>
        <v>9241. Participación ciudadana</v>
      </c>
      <c r="W3754" s="56" t="str">
        <f>MID(Tabla1[[#This Row],[Aplicación]],14,2)</f>
        <v>22</v>
      </c>
      <c r="X3754" s="56" t="str">
        <f>MID(Tabla1[[#This Row],[Aplicación]],14,6)</f>
        <v>22700</v>
      </c>
    </row>
    <row r="3755" spans="1:24" x14ac:dyDescent="0.25">
      <c r="A3755" s="63">
        <v>220230028623</v>
      </c>
      <c r="B3755" s="44" t="s">
        <v>507</v>
      </c>
      <c r="C3755" s="64">
        <v>45085</v>
      </c>
      <c r="D3755" s="62">
        <v>22023001888</v>
      </c>
      <c r="E3755" s="44" t="s">
        <v>516</v>
      </c>
      <c r="F3755" s="65">
        <v>32463.77</v>
      </c>
      <c r="G3755" s="44" t="s">
        <v>743</v>
      </c>
      <c r="H3755" s="44" t="s">
        <v>5495</v>
      </c>
      <c r="I3755" s="62" t="s">
        <v>511</v>
      </c>
      <c r="J3755" s="44" t="s">
        <v>519</v>
      </c>
      <c r="K3755" s="44" t="s">
        <v>519</v>
      </c>
      <c r="L3755" s="44" t="s">
        <v>520</v>
      </c>
      <c r="M3755" s="44" t="s">
        <v>514</v>
      </c>
      <c r="N3755" s="44" t="s">
        <v>515</v>
      </c>
      <c r="O3755" s="45" t="s">
        <v>371</v>
      </c>
      <c r="P3755" s="45" t="s">
        <v>3760</v>
      </c>
      <c r="Q3755" s="59" t="str">
        <f>MID(Tabla1[[#This Row],[Aplicación]],14,1)</f>
        <v>2</v>
      </c>
      <c r="R3755" s="35" t="s">
        <v>298</v>
      </c>
      <c r="S3755" s="59" t="str">
        <f>MID(Tabla1[[#This Row],[Aplicación]],6,2)</f>
        <v>10</v>
      </c>
      <c r="T3755" s="35" t="str">
        <f>VLOOKUP(Tabla1[[#This Row],[AREA]],Hoja1!A:B,2,FALSE)</f>
        <v>10. Servicios sociales y mediación comunitaria</v>
      </c>
      <c r="U3755" s="56" t="str">
        <f>MID(Tabla1[[#This Row],[Aplicación]],9,4)</f>
        <v>2311</v>
      </c>
      <c r="V3755" s="35" t="str">
        <f>VLOOKUP(Tabla1[[#This Row],[PROGRAMA]],Hoja1!A:B,2,FALSE)</f>
        <v>2311. Intervención social</v>
      </c>
      <c r="W3755" s="56" t="str">
        <f>MID(Tabla1[[#This Row],[Aplicación]],14,2)</f>
        <v>22</v>
      </c>
      <c r="X3755" s="56" t="str">
        <f>MID(Tabla1[[#This Row],[Aplicación]],14,6)</f>
        <v>22799</v>
      </c>
    </row>
    <row r="3756" spans="1:24" x14ac:dyDescent="0.25">
      <c r="A3756" s="63">
        <v>220230029593</v>
      </c>
      <c r="B3756" s="44" t="s">
        <v>507</v>
      </c>
      <c r="C3756" s="64">
        <v>45091</v>
      </c>
      <c r="D3756" s="62">
        <v>22023003990</v>
      </c>
      <c r="E3756" s="44" t="s">
        <v>741</v>
      </c>
      <c r="F3756" s="65">
        <v>14953.94</v>
      </c>
      <c r="G3756" s="44" t="s">
        <v>769</v>
      </c>
      <c r="H3756" s="44" t="s">
        <v>5496</v>
      </c>
      <c r="I3756" s="62" t="s">
        <v>511</v>
      </c>
      <c r="J3756" s="44" t="s">
        <v>771</v>
      </c>
      <c r="K3756" s="44" t="s">
        <v>771</v>
      </c>
      <c r="L3756" s="44" t="s">
        <v>527</v>
      </c>
      <c r="M3756" s="44" t="s">
        <v>514</v>
      </c>
      <c r="N3756" s="44" t="s">
        <v>515</v>
      </c>
      <c r="O3756" s="45" t="s">
        <v>371</v>
      </c>
      <c r="P3756" s="45" t="s">
        <v>3760</v>
      </c>
      <c r="Q3756" s="59" t="str">
        <f>MID(Tabla1[[#This Row],[Aplicación]],14,1)</f>
        <v>6</v>
      </c>
      <c r="R3756" s="35" t="s">
        <v>299</v>
      </c>
      <c r="S3756" s="59" t="str">
        <f>MID(Tabla1[[#This Row],[Aplicación]],6,2)</f>
        <v>07</v>
      </c>
      <c r="T3756" s="35" t="str">
        <f>VLOOKUP(Tabla1[[#This Row],[AREA]],Hoja1!A:B,2,FALSE)</f>
        <v>07. Medio ambiente y desarrollo sostenible</v>
      </c>
      <c r="U3756" s="56" t="str">
        <f>MID(Tabla1[[#This Row],[Aplicación]],9,4)</f>
        <v>1711</v>
      </c>
      <c r="V3756" s="35" t="str">
        <f>VLOOKUP(Tabla1[[#This Row],[PROGRAMA]],Hoja1!A:B,2,FALSE)</f>
        <v>1711. Parques y jardines</v>
      </c>
      <c r="W3756" s="56" t="str">
        <f>MID(Tabla1[[#This Row],[Aplicación]],14,2)</f>
        <v>61</v>
      </c>
      <c r="X3756" s="56" t="str">
        <f>MID(Tabla1[[#This Row],[Aplicación]],14,6)</f>
        <v>619</v>
      </c>
    </row>
    <row r="3757" spans="1:24" x14ac:dyDescent="0.25">
      <c r="A3757" s="63">
        <v>220230030678</v>
      </c>
      <c r="B3757" s="44" t="s">
        <v>507</v>
      </c>
      <c r="C3757" s="64">
        <v>45097</v>
      </c>
      <c r="D3757" s="62">
        <v>22023000306</v>
      </c>
      <c r="E3757" s="44" t="s">
        <v>1011</v>
      </c>
      <c r="F3757" s="65">
        <v>3146</v>
      </c>
      <c r="G3757" s="44" t="s">
        <v>3650</v>
      </c>
      <c r="H3757" s="44" t="s">
        <v>5497</v>
      </c>
      <c r="I3757" s="62" t="s">
        <v>511</v>
      </c>
      <c r="J3757" s="44" t="s">
        <v>519</v>
      </c>
      <c r="K3757" s="44" t="s">
        <v>519</v>
      </c>
      <c r="L3757" s="44" t="s">
        <v>520</v>
      </c>
      <c r="M3757" s="44" t="s">
        <v>514</v>
      </c>
      <c r="N3757" s="44" t="s">
        <v>515</v>
      </c>
      <c r="O3757" s="45" t="s">
        <v>371</v>
      </c>
      <c r="P3757" s="45" t="s">
        <v>3760</v>
      </c>
      <c r="Q3757" s="59" t="str">
        <f>MID(Tabla1[[#This Row],[Aplicación]],14,1)</f>
        <v>2</v>
      </c>
      <c r="R3757" s="35" t="s">
        <v>298</v>
      </c>
      <c r="S3757" s="59" t="str">
        <f>MID(Tabla1[[#This Row],[Aplicación]],6,2)</f>
        <v>09</v>
      </c>
      <c r="T3757" s="35" t="str">
        <f>VLOOKUP(Tabla1[[#This Row],[AREA]],Hoja1!A:B,2,FALSE)</f>
        <v>09. Cultura y turismo</v>
      </c>
      <c r="U3757" s="56" t="str">
        <f>MID(Tabla1[[#This Row],[Aplicación]],9,4)</f>
        <v>3341</v>
      </c>
      <c r="V3757" s="35" t="str">
        <f>VLOOKUP(Tabla1[[#This Row],[PROGRAMA]],Hoja1!A:B,2,FALSE)</f>
        <v>3341. Coordinación de políticas culturales</v>
      </c>
      <c r="W3757" s="56" t="str">
        <f>MID(Tabla1[[#This Row],[Aplicación]],14,2)</f>
        <v>22</v>
      </c>
      <c r="X3757" s="56" t="str">
        <f>MID(Tabla1[[#This Row],[Aplicación]],14,6)</f>
        <v>22609</v>
      </c>
    </row>
    <row r="3758" spans="1:24" x14ac:dyDescent="0.25">
      <c r="A3758" s="63">
        <v>220230031293</v>
      </c>
      <c r="B3758" s="44" t="s">
        <v>1337</v>
      </c>
      <c r="C3758" s="64">
        <v>45100</v>
      </c>
      <c r="D3758" s="62">
        <v>22023002096</v>
      </c>
      <c r="E3758" s="44" t="s">
        <v>1502</v>
      </c>
      <c r="F3758" s="65">
        <v>-0.06</v>
      </c>
      <c r="G3758" s="44" t="s">
        <v>78</v>
      </c>
      <c r="H3758" s="44" t="s">
        <v>4751</v>
      </c>
      <c r="I3758" s="62" t="s">
        <v>511</v>
      </c>
      <c r="J3758" s="44" t="s">
        <v>519</v>
      </c>
      <c r="K3758" s="44" t="s">
        <v>519</v>
      </c>
      <c r="L3758" s="44" t="s">
        <v>552</v>
      </c>
      <c r="M3758" s="44" t="s">
        <v>976</v>
      </c>
      <c r="N3758" s="44" t="s">
        <v>839</v>
      </c>
      <c r="O3758" s="45" t="s">
        <v>383</v>
      </c>
      <c r="P3758" s="45" t="s">
        <v>3760</v>
      </c>
      <c r="Q3758" s="59" t="str">
        <f>MID(Tabla1[[#This Row],[Aplicación]],14,1)</f>
        <v>2</v>
      </c>
      <c r="R3758" s="35" t="s">
        <v>298</v>
      </c>
      <c r="S3758" s="59" t="str">
        <f>MID(Tabla1[[#This Row],[Aplicación]],6,2)</f>
        <v>10</v>
      </c>
      <c r="T3758" s="35" t="str">
        <f>VLOOKUP(Tabla1[[#This Row],[AREA]],Hoja1!A:B,2,FALSE)</f>
        <v>10. Servicios sociales y mediación comunitaria</v>
      </c>
      <c r="U3758" s="56" t="str">
        <f>MID(Tabla1[[#This Row],[Aplicación]],9,4)</f>
        <v>2412</v>
      </c>
      <c r="V3758" s="35" t="str">
        <f>VLOOKUP(Tabla1[[#This Row],[PROGRAMA]],Hoja1!A:B,2,FALSE)</f>
        <v>2412. Formación para el empleo</v>
      </c>
      <c r="W3758" s="56" t="str">
        <f>MID(Tabla1[[#This Row],[Aplicación]],14,2)</f>
        <v>22</v>
      </c>
      <c r="X3758" s="56" t="str">
        <f>MID(Tabla1[[#This Row],[Aplicación]],14,6)</f>
        <v>22199</v>
      </c>
    </row>
    <row r="3759" spans="1:24" x14ac:dyDescent="0.25">
      <c r="A3759" s="63">
        <v>220230031293</v>
      </c>
      <c r="B3759" s="44" t="s">
        <v>1337</v>
      </c>
      <c r="C3759" s="64">
        <v>45100</v>
      </c>
      <c r="D3759" s="62">
        <v>22023002098</v>
      </c>
      <c r="E3759" s="44" t="s">
        <v>1502</v>
      </c>
      <c r="F3759" s="65">
        <v>-1.26</v>
      </c>
      <c r="G3759" s="44" t="s">
        <v>78</v>
      </c>
      <c r="H3759" s="44" t="s">
        <v>4751</v>
      </c>
      <c r="I3759" s="62" t="s">
        <v>511</v>
      </c>
      <c r="J3759" s="44" t="s">
        <v>519</v>
      </c>
      <c r="K3759" s="44" t="s">
        <v>519</v>
      </c>
      <c r="L3759" s="44" t="s">
        <v>552</v>
      </c>
      <c r="M3759" s="44" t="s">
        <v>976</v>
      </c>
      <c r="N3759" s="44" t="s">
        <v>839</v>
      </c>
      <c r="O3759" s="45" t="s">
        <v>383</v>
      </c>
      <c r="P3759" s="45" t="s">
        <v>3760</v>
      </c>
      <c r="Q3759" s="59" t="str">
        <f>MID(Tabla1[[#This Row],[Aplicación]],14,1)</f>
        <v>2</v>
      </c>
      <c r="R3759" s="35" t="s">
        <v>298</v>
      </c>
      <c r="S3759" s="59" t="str">
        <f>MID(Tabla1[[#This Row],[Aplicación]],6,2)</f>
        <v>10</v>
      </c>
      <c r="T3759" s="35" t="str">
        <f>VLOOKUP(Tabla1[[#This Row],[AREA]],Hoja1!A:B,2,FALSE)</f>
        <v>10. Servicios sociales y mediación comunitaria</v>
      </c>
      <c r="U3759" s="56" t="str">
        <f>MID(Tabla1[[#This Row],[Aplicación]],9,4)</f>
        <v>2412</v>
      </c>
      <c r="V3759" s="35" t="str">
        <f>VLOOKUP(Tabla1[[#This Row],[PROGRAMA]],Hoja1!A:B,2,FALSE)</f>
        <v>2412. Formación para el empleo</v>
      </c>
      <c r="W3759" s="56" t="str">
        <f>MID(Tabla1[[#This Row],[Aplicación]],14,2)</f>
        <v>22</v>
      </c>
      <c r="X3759" s="56" t="str">
        <f>MID(Tabla1[[#This Row],[Aplicación]],14,6)</f>
        <v>22199</v>
      </c>
    </row>
    <row r="3760" spans="1:24" x14ac:dyDescent="0.25">
      <c r="A3760" s="63">
        <v>220230031293</v>
      </c>
      <c r="B3760" s="44" t="s">
        <v>1337</v>
      </c>
      <c r="C3760" s="64">
        <v>45100</v>
      </c>
      <c r="D3760" s="62">
        <v>22023002095</v>
      </c>
      <c r="E3760" s="44" t="s">
        <v>1502</v>
      </c>
      <c r="F3760" s="65">
        <v>-57.63</v>
      </c>
      <c r="G3760" s="44" t="s">
        <v>78</v>
      </c>
      <c r="H3760" s="44" t="s">
        <v>4751</v>
      </c>
      <c r="I3760" s="62" t="s">
        <v>511</v>
      </c>
      <c r="J3760" s="44" t="s">
        <v>519</v>
      </c>
      <c r="K3760" s="44" t="s">
        <v>519</v>
      </c>
      <c r="L3760" s="44" t="s">
        <v>552</v>
      </c>
      <c r="M3760" s="44" t="s">
        <v>976</v>
      </c>
      <c r="N3760" s="44" t="s">
        <v>839</v>
      </c>
      <c r="O3760" s="45" t="s">
        <v>383</v>
      </c>
      <c r="P3760" s="45" t="s">
        <v>3760</v>
      </c>
      <c r="Q3760" s="59" t="str">
        <f>MID(Tabla1[[#This Row],[Aplicación]],14,1)</f>
        <v>2</v>
      </c>
      <c r="R3760" s="35" t="s">
        <v>298</v>
      </c>
      <c r="S3760" s="59" t="str">
        <f>MID(Tabla1[[#This Row],[Aplicación]],6,2)</f>
        <v>10</v>
      </c>
      <c r="T3760" s="35" t="str">
        <f>VLOOKUP(Tabla1[[#This Row],[AREA]],Hoja1!A:B,2,FALSE)</f>
        <v>10. Servicios sociales y mediación comunitaria</v>
      </c>
      <c r="U3760" s="56" t="str">
        <f>MID(Tabla1[[#This Row],[Aplicación]],9,4)</f>
        <v>2412</v>
      </c>
      <c r="V3760" s="35" t="str">
        <f>VLOOKUP(Tabla1[[#This Row],[PROGRAMA]],Hoja1!A:B,2,FALSE)</f>
        <v>2412. Formación para el empleo</v>
      </c>
      <c r="W3760" s="56" t="str">
        <f>MID(Tabla1[[#This Row],[Aplicación]],14,2)</f>
        <v>22</v>
      </c>
      <c r="X3760" s="56" t="str">
        <f>MID(Tabla1[[#This Row],[Aplicación]],14,6)</f>
        <v>22199</v>
      </c>
    </row>
    <row r="3761" spans="1:24" x14ac:dyDescent="0.25">
      <c r="A3761" s="63">
        <v>220230031293</v>
      </c>
      <c r="B3761" s="44" t="s">
        <v>1337</v>
      </c>
      <c r="C3761" s="64">
        <v>45100</v>
      </c>
      <c r="D3761" s="62">
        <v>22023002097</v>
      </c>
      <c r="E3761" s="44" t="s">
        <v>1502</v>
      </c>
      <c r="F3761" s="65">
        <v>-865.59</v>
      </c>
      <c r="G3761" s="44" t="s">
        <v>78</v>
      </c>
      <c r="H3761" s="44" t="s">
        <v>4751</v>
      </c>
      <c r="I3761" s="62" t="s">
        <v>511</v>
      </c>
      <c r="J3761" s="44" t="s">
        <v>519</v>
      </c>
      <c r="K3761" s="44" t="s">
        <v>519</v>
      </c>
      <c r="L3761" s="44" t="s">
        <v>552</v>
      </c>
      <c r="M3761" s="44" t="s">
        <v>976</v>
      </c>
      <c r="N3761" s="44" t="s">
        <v>839</v>
      </c>
      <c r="O3761" s="45" t="s">
        <v>383</v>
      </c>
      <c r="P3761" s="45" t="s">
        <v>3760</v>
      </c>
      <c r="Q3761" s="59" t="str">
        <f>MID(Tabla1[[#This Row],[Aplicación]],14,1)</f>
        <v>2</v>
      </c>
      <c r="R3761" s="35" t="s">
        <v>298</v>
      </c>
      <c r="S3761" s="59" t="str">
        <f>MID(Tabla1[[#This Row],[Aplicación]],6,2)</f>
        <v>10</v>
      </c>
      <c r="T3761" s="35" t="str">
        <f>VLOOKUP(Tabla1[[#This Row],[AREA]],Hoja1!A:B,2,FALSE)</f>
        <v>10. Servicios sociales y mediación comunitaria</v>
      </c>
      <c r="U3761" s="56" t="str">
        <f>MID(Tabla1[[#This Row],[Aplicación]],9,4)</f>
        <v>2412</v>
      </c>
      <c r="V3761" s="35" t="str">
        <f>VLOOKUP(Tabla1[[#This Row],[PROGRAMA]],Hoja1!A:B,2,FALSE)</f>
        <v>2412. Formación para el empleo</v>
      </c>
      <c r="W3761" s="56" t="str">
        <f>MID(Tabla1[[#This Row],[Aplicación]],14,2)</f>
        <v>22</v>
      </c>
      <c r="X3761" s="56" t="str">
        <f>MID(Tabla1[[#This Row],[Aplicación]],14,6)</f>
        <v>22199</v>
      </c>
    </row>
    <row r="3762" spans="1:24" x14ac:dyDescent="0.25">
      <c r="A3762" s="63">
        <v>220230032377</v>
      </c>
      <c r="B3762" s="44" t="s">
        <v>1514</v>
      </c>
      <c r="C3762" s="64">
        <v>45107</v>
      </c>
      <c r="D3762" s="62">
        <v>22023001469</v>
      </c>
      <c r="E3762" s="44" t="s">
        <v>1683</v>
      </c>
      <c r="F3762" s="65">
        <v>42.25</v>
      </c>
      <c r="G3762" s="44" t="s">
        <v>2707</v>
      </c>
      <c r="H3762" s="44" t="s">
        <v>5498</v>
      </c>
      <c r="I3762" s="62" t="s">
        <v>1517</v>
      </c>
      <c r="J3762" s="44" t="s">
        <v>988</v>
      </c>
      <c r="K3762" s="44" t="s">
        <v>519</v>
      </c>
      <c r="L3762" s="44" t="s">
        <v>520</v>
      </c>
      <c r="M3762" s="44" t="s">
        <v>514</v>
      </c>
      <c r="N3762" s="44" t="s">
        <v>515</v>
      </c>
      <c r="O3762" s="45" t="s">
        <v>382</v>
      </c>
      <c r="P3762" s="45" t="s">
        <v>3760</v>
      </c>
      <c r="Q3762" s="59" t="str">
        <f>MID(Tabla1[[#This Row],[Aplicación]],14,1)</f>
        <v>2</v>
      </c>
      <c r="R3762" s="35" t="s">
        <v>298</v>
      </c>
      <c r="S3762" s="59" t="str">
        <f>MID(Tabla1[[#This Row],[Aplicación]],6,2)</f>
        <v>11</v>
      </c>
      <c r="T3762" s="35" t="str">
        <f>VLOOKUP(Tabla1[[#This Row],[AREA]],Hoja1!A:B,2,FALSE)</f>
        <v>11. Salud pública y seguridad ciudadana</v>
      </c>
      <c r="U3762" s="56" t="str">
        <f>MID(Tabla1[[#This Row],[Aplicación]],9,4)</f>
        <v>1631</v>
      </c>
      <c r="V3762" s="35" t="str">
        <f>VLOOKUP(Tabla1[[#This Row],[PROGRAMA]],Hoja1!A:B,2,FALSE)</f>
        <v>1631. Limpieza viaria</v>
      </c>
      <c r="W3762" s="56" t="str">
        <f>MID(Tabla1[[#This Row],[Aplicación]],14,2)</f>
        <v>21</v>
      </c>
      <c r="X3762" s="56" t="str">
        <f>MID(Tabla1[[#This Row],[Aplicación]],14,6)</f>
        <v>214</v>
      </c>
    </row>
    <row r="3763" spans="1:24" x14ac:dyDescent="0.25">
      <c r="A3763" s="63">
        <v>220230031263</v>
      </c>
      <c r="B3763" s="44" t="s">
        <v>1514</v>
      </c>
      <c r="C3763" s="64">
        <v>45099</v>
      </c>
      <c r="D3763" s="62">
        <v>22023002625</v>
      </c>
      <c r="E3763" s="44" t="s">
        <v>3483</v>
      </c>
      <c r="F3763" s="65">
        <v>49274.22</v>
      </c>
      <c r="G3763" s="44" t="s">
        <v>5499</v>
      </c>
      <c r="H3763" s="44" t="s">
        <v>5500</v>
      </c>
      <c r="I3763" s="62" t="s">
        <v>1517</v>
      </c>
      <c r="J3763" s="44" t="s">
        <v>5501</v>
      </c>
      <c r="K3763" s="44" t="s">
        <v>858</v>
      </c>
      <c r="L3763" s="44" t="s">
        <v>520</v>
      </c>
      <c r="M3763" s="44" t="s">
        <v>514</v>
      </c>
      <c r="N3763" s="44" t="s">
        <v>515</v>
      </c>
      <c r="O3763" s="45" t="s">
        <v>371</v>
      </c>
      <c r="P3763" s="45" t="s">
        <v>3760</v>
      </c>
      <c r="Q3763" s="59" t="str">
        <f>MID(Tabla1[[#This Row],[Aplicación]],14,1)</f>
        <v>2</v>
      </c>
      <c r="R3763" s="35" t="s">
        <v>298</v>
      </c>
      <c r="S3763" s="59" t="str">
        <f>MID(Tabla1[[#This Row],[Aplicación]],6,2)</f>
        <v>11</v>
      </c>
      <c r="T3763" s="35" t="str">
        <f>VLOOKUP(Tabla1[[#This Row],[AREA]],Hoja1!A:B,2,FALSE)</f>
        <v>11. Salud pública y seguridad ciudadana</v>
      </c>
      <c r="U3763" s="56" t="str">
        <f>MID(Tabla1[[#This Row],[Aplicación]],9,4)</f>
        <v>1621</v>
      </c>
      <c r="V3763" s="35" t="str">
        <f>VLOOKUP(Tabla1[[#This Row],[PROGRAMA]],Hoja1!A:B,2,FALSE)</f>
        <v>1621. Servicio de limpieza</v>
      </c>
      <c r="W3763" s="56" t="str">
        <f>MID(Tabla1[[#This Row],[Aplicación]],14,2)</f>
        <v>20</v>
      </c>
      <c r="X3763" s="56" t="str">
        <f>MID(Tabla1[[#This Row],[Aplicación]],14,6)</f>
        <v>204</v>
      </c>
    </row>
    <row r="3764" spans="1:24" x14ac:dyDescent="0.25">
      <c r="A3764" s="63">
        <v>220230030687</v>
      </c>
      <c r="B3764" s="44" t="s">
        <v>1337</v>
      </c>
      <c r="C3764" s="64">
        <v>45097</v>
      </c>
      <c r="D3764" s="62">
        <v>22023004454</v>
      </c>
      <c r="E3764" s="44" t="s">
        <v>4324</v>
      </c>
      <c r="F3764" s="65">
        <v>-2141.8000000000002</v>
      </c>
      <c r="G3764" s="44" t="s">
        <v>4325</v>
      </c>
      <c r="H3764" s="44" t="s">
        <v>5502</v>
      </c>
      <c r="I3764" s="62" t="s">
        <v>511</v>
      </c>
      <c r="J3764" s="44" t="s">
        <v>519</v>
      </c>
      <c r="K3764" s="44" t="s">
        <v>519</v>
      </c>
      <c r="L3764" s="44" t="s">
        <v>552</v>
      </c>
      <c r="M3764" s="44" t="s">
        <v>976</v>
      </c>
      <c r="N3764" s="44" t="s">
        <v>839</v>
      </c>
      <c r="O3764" s="45" t="s">
        <v>383</v>
      </c>
      <c r="P3764" s="45" t="s">
        <v>3760</v>
      </c>
      <c r="Q3764" s="59" t="str">
        <f>MID(Tabla1[[#This Row],[Aplicación]],14,1)</f>
        <v>6</v>
      </c>
      <c r="R3764" s="35" t="s">
        <v>299</v>
      </c>
      <c r="S3764" s="59" t="str">
        <f>MID(Tabla1[[#This Row],[Aplicación]],6,2)</f>
        <v>11</v>
      </c>
      <c r="T3764" s="35" t="str">
        <f>VLOOKUP(Tabla1[[#This Row],[AREA]],Hoja1!A:B,2,FALSE)</f>
        <v>11. Salud pública y seguridad ciudadana</v>
      </c>
      <c r="U3764" s="56" t="str">
        <f>MID(Tabla1[[#This Row],[Aplicación]],9,4)</f>
        <v>1321</v>
      </c>
      <c r="V3764" s="35" t="str">
        <f>VLOOKUP(Tabla1[[#This Row],[PROGRAMA]],Hoja1!A:B,2,FALSE)</f>
        <v>1321. Policía municipal</v>
      </c>
      <c r="W3764" s="56" t="str">
        <f>MID(Tabla1[[#This Row],[Aplicación]],14,2)</f>
        <v>62</v>
      </c>
      <c r="X3764" s="56" t="str">
        <f>MID(Tabla1[[#This Row],[Aplicación]],14,6)</f>
        <v>626</v>
      </c>
    </row>
    <row r="3765" spans="1:24" x14ac:dyDescent="0.25">
      <c r="A3765" s="63">
        <v>220230030686</v>
      </c>
      <c r="B3765" s="44" t="s">
        <v>1337</v>
      </c>
      <c r="C3765" s="64">
        <v>45097</v>
      </c>
      <c r="D3765" s="62">
        <v>22023003385</v>
      </c>
      <c r="E3765" s="44" t="s">
        <v>1401</v>
      </c>
      <c r="F3765" s="65">
        <v>-4019.62</v>
      </c>
      <c r="G3765" s="44" t="s">
        <v>320</v>
      </c>
      <c r="H3765" s="44" t="s">
        <v>1402</v>
      </c>
      <c r="I3765" s="62" t="s">
        <v>511</v>
      </c>
      <c r="J3765" s="44" t="s">
        <v>519</v>
      </c>
      <c r="K3765" s="44" t="s">
        <v>519</v>
      </c>
      <c r="L3765" s="44" t="s">
        <v>520</v>
      </c>
      <c r="M3765" s="44" t="s">
        <v>976</v>
      </c>
      <c r="N3765" s="44" t="s">
        <v>839</v>
      </c>
      <c r="O3765" s="45" t="s">
        <v>383</v>
      </c>
      <c r="P3765" s="45" t="s">
        <v>3760</v>
      </c>
      <c r="Q3765" s="59" t="str">
        <f>MID(Tabla1[[#This Row],[Aplicación]],14,1)</f>
        <v>2</v>
      </c>
      <c r="R3765" s="35" t="s">
        <v>298</v>
      </c>
      <c r="S3765" s="59" t="str">
        <f>MID(Tabla1[[#This Row],[Aplicación]],6,2)</f>
        <v>11</v>
      </c>
      <c r="T3765" s="35" t="str">
        <f>VLOOKUP(Tabla1[[#This Row],[AREA]],Hoja1!A:B,2,FALSE)</f>
        <v>11. Salud pública y seguridad ciudadana</v>
      </c>
      <c r="U3765" s="56" t="str">
        <f>MID(Tabla1[[#This Row],[Aplicación]],9,4)</f>
        <v>1321</v>
      </c>
      <c r="V3765" s="35" t="str">
        <f>VLOOKUP(Tabla1[[#This Row],[PROGRAMA]],Hoja1!A:B,2,FALSE)</f>
        <v>1321. Policía municipal</v>
      </c>
      <c r="W3765" s="56" t="str">
        <f>MID(Tabla1[[#This Row],[Aplicación]],14,2)</f>
        <v>21</v>
      </c>
      <c r="X3765" s="56" t="str">
        <f>MID(Tabla1[[#This Row],[Aplicación]],14,6)</f>
        <v>212</v>
      </c>
    </row>
    <row r="3766" spans="1:24" x14ac:dyDescent="0.25">
      <c r="A3766" s="63">
        <v>220230028627</v>
      </c>
      <c r="B3766" s="44" t="s">
        <v>507</v>
      </c>
      <c r="C3766" s="64">
        <v>45085</v>
      </c>
      <c r="D3766" s="62">
        <v>22022005759</v>
      </c>
      <c r="E3766" s="44" t="s">
        <v>4791</v>
      </c>
      <c r="F3766" s="65">
        <v>330</v>
      </c>
      <c r="G3766" s="44" t="s">
        <v>5503</v>
      </c>
      <c r="H3766" s="44" t="s">
        <v>5504</v>
      </c>
      <c r="I3766" s="62" t="s">
        <v>2168</v>
      </c>
      <c r="J3766" s="44" t="s">
        <v>2299</v>
      </c>
      <c r="K3766" s="44" t="s">
        <v>519</v>
      </c>
      <c r="L3766" s="44" t="s">
        <v>527</v>
      </c>
      <c r="M3766" s="44" t="s">
        <v>976</v>
      </c>
      <c r="N3766" s="44" t="s">
        <v>839</v>
      </c>
      <c r="O3766" s="45" t="s">
        <v>383</v>
      </c>
      <c r="P3766" s="45" t="s">
        <v>3760</v>
      </c>
      <c r="Q3766" s="59" t="str">
        <f>MID(Tabla1[[#This Row],[Aplicación]],14,1)</f>
        <v>6</v>
      </c>
      <c r="R3766" s="35" t="s">
        <v>299</v>
      </c>
      <c r="S3766" s="59" t="str">
        <f>MID(Tabla1[[#This Row],[Aplicación]],6,2)</f>
        <v>11</v>
      </c>
      <c r="T3766" s="35" t="str">
        <f>VLOOKUP(Tabla1[[#This Row],[AREA]],Hoja1!A:B,2,FALSE)</f>
        <v>11. Salud pública y seguridad ciudadana</v>
      </c>
      <c r="U3766" s="56" t="str">
        <f>MID(Tabla1[[#This Row],[Aplicación]],9,4)</f>
        <v>1361</v>
      </c>
      <c r="V3766" s="35" t="str">
        <f>VLOOKUP(Tabla1[[#This Row],[PROGRAMA]],Hoja1!A:B,2,FALSE)</f>
        <v>1361. Prevención y extinción de incencios</v>
      </c>
      <c r="W3766" s="56" t="str">
        <f>MID(Tabla1[[#This Row],[Aplicación]],14,2)</f>
        <v>63</v>
      </c>
      <c r="X3766" s="56" t="str">
        <f>MID(Tabla1[[#This Row],[Aplicación]],14,6)</f>
        <v>632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6"/>
  <sheetViews>
    <sheetView tabSelected="1" view="pageLayout" zoomScaleNormal="100" workbookViewId="0">
      <selection activeCell="B38" sqref="B38"/>
    </sheetView>
  </sheetViews>
  <sheetFormatPr baseColWidth="10" defaultColWidth="27.140625" defaultRowHeight="11.25" x14ac:dyDescent="0.25"/>
  <cols>
    <col min="1" max="1" width="28.28515625" style="7" customWidth="1"/>
    <col min="2" max="2" width="10.85546875" style="7" customWidth="1"/>
    <col min="3" max="3" width="12" style="7" customWidth="1"/>
    <col min="4" max="4" width="11.140625" style="7" bestFit="1" customWidth="1"/>
    <col min="5" max="5" width="12" style="7" bestFit="1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308</v>
      </c>
      <c r="B1" s="7" t="s">
        <v>309</v>
      </c>
    </row>
    <row r="3" spans="1:13" ht="22.5" x14ac:dyDescent="0.25">
      <c r="A3" s="6" t="s">
        <v>313</v>
      </c>
      <c r="B3" s="6" t="s">
        <v>312</v>
      </c>
    </row>
    <row r="4" spans="1:13" ht="67.5" x14ac:dyDescent="0.25">
      <c r="A4" s="8" t="s">
        <v>310</v>
      </c>
      <c r="B4" s="9" t="s">
        <v>124</v>
      </c>
      <c r="C4" s="9" t="s">
        <v>375</v>
      </c>
      <c r="D4" s="9" t="s">
        <v>376</v>
      </c>
      <c r="E4" s="9" t="s">
        <v>377</v>
      </c>
      <c r="F4" s="9" t="s">
        <v>355</v>
      </c>
      <c r="G4" s="9" t="s">
        <v>378</v>
      </c>
      <c r="H4" s="9" t="s">
        <v>379</v>
      </c>
      <c r="I4" s="9" t="s">
        <v>380</v>
      </c>
      <c r="J4" s="9" t="s">
        <v>132</v>
      </c>
      <c r="K4" s="9" t="s">
        <v>381</v>
      </c>
      <c r="L4" s="9" t="s">
        <v>353</v>
      </c>
      <c r="M4" s="9" t="s">
        <v>311</v>
      </c>
    </row>
    <row r="5" spans="1:13" x14ac:dyDescent="0.25">
      <c r="A5" s="10" t="s">
        <v>382</v>
      </c>
      <c r="B5" s="11">
        <v>23131</v>
      </c>
      <c r="C5" s="11">
        <v>370367.79000000004</v>
      </c>
      <c r="D5" s="11">
        <v>61305.870000000024</v>
      </c>
      <c r="E5" s="11">
        <v>10960.36</v>
      </c>
      <c r="F5" s="11">
        <v>42432.340000000004</v>
      </c>
      <c r="G5" s="11">
        <v>52415.439999999995</v>
      </c>
      <c r="H5" s="11">
        <v>111653.33999999998</v>
      </c>
      <c r="I5" s="11">
        <v>232614.86</v>
      </c>
      <c r="J5" s="11">
        <v>10209.25</v>
      </c>
      <c r="K5" s="11">
        <v>7497.0600000000013</v>
      </c>
      <c r="L5" s="11">
        <v>1234074.2100000004</v>
      </c>
      <c r="M5" s="11">
        <v>2156661.5200000005</v>
      </c>
    </row>
    <row r="6" spans="1:13" x14ac:dyDescent="0.25">
      <c r="A6" s="10" t="s">
        <v>383</v>
      </c>
      <c r="B6" s="11">
        <v>181982.42</v>
      </c>
      <c r="C6" s="11">
        <v>212448.69000000003</v>
      </c>
      <c r="D6" s="11">
        <v>172261.27000000002</v>
      </c>
      <c r="E6" s="11">
        <v>105915.21999999999</v>
      </c>
      <c r="F6" s="11">
        <v>283885.53000000003</v>
      </c>
      <c r="G6" s="11">
        <v>325824.08000000013</v>
      </c>
      <c r="H6" s="11">
        <v>137723.80999999997</v>
      </c>
      <c r="I6" s="11">
        <v>100909.28</v>
      </c>
      <c r="J6" s="11">
        <v>72149.800000000017</v>
      </c>
      <c r="K6" s="11">
        <v>134920.81</v>
      </c>
      <c r="L6" s="11">
        <v>437783.12</v>
      </c>
      <c r="M6" s="11">
        <v>2165804.0300000003</v>
      </c>
    </row>
    <row r="7" spans="1:13" x14ac:dyDescent="0.25">
      <c r="A7" s="10" t="s">
        <v>371</v>
      </c>
      <c r="B7" s="11">
        <v>277307.99</v>
      </c>
      <c r="C7" s="11">
        <v>4730479.88</v>
      </c>
      <c r="D7" s="11">
        <v>2916227.3800000004</v>
      </c>
      <c r="E7" s="11">
        <v>7454174.6000000024</v>
      </c>
      <c r="F7" s="11">
        <v>1618561.5699999998</v>
      </c>
      <c r="G7" s="11">
        <v>8633216.8500000034</v>
      </c>
      <c r="H7" s="11">
        <v>6247569.4999999972</v>
      </c>
      <c r="I7" s="11">
        <v>21101397.5</v>
      </c>
      <c r="J7" s="11">
        <v>531890.33000000007</v>
      </c>
      <c r="K7" s="11">
        <v>12618055.090000002</v>
      </c>
      <c r="L7" s="11">
        <v>8050617.8099999977</v>
      </c>
      <c r="M7" s="11">
        <v>74179498.5</v>
      </c>
    </row>
    <row r="8" spans="1:13" x14ac:dyDescent="0.25">
      <c r="A8" s="10" t="s">
        <v>373</v>
      </c>
      <c r="B8" s="11"/>
      <c r="C8" s="11">
        <v>34752.340000000004</v>
      </c>
      <c r="D8" s="11">
        <v>128498.67</v>
      </c>
      <c r="E8" s="11">
        <v>161359.46999999997</v>
      </c>
      <c r="F8" s="11">
        <v>1020616.05</v>
      </c>
      <c r="G8" s="11"/>
      <c r="H8" s="11"/>
      <c r="I8" s="11"/>
      <c r="J8" s="11">
        <v>19765.740000000002</v>
      </c>
      <c r="K8" s="11"/>
      <c r="L8" s="11"/>
      <c r="M8" s="11">
        <v>1364992.27</v>
      </c>
    </row>
    <row r="9" spans="1:13" x14ac:dyDescent="0.25">
      <c r="A9" s="10" t="s">
        <v>311</v>
      </c>
      <c r="B9" s="11">
        <v>482421.41000000003</v>
      </c>
      <c r="C9" s="11">
        <v>5348048.7</v>
      </c>
      <c r="D9" s="11">
        <v>3278293.1900000004</v>
      </c>
      <c r="E9" s="11">
        <v>7732409.6500000022</v>
      </c>
      <c r="F9" s="11">
        <v>2965495.49</v>
      </c>
      <c r="G9" s="11">
        <v>9011456.3700000029</v>
      </c>
      <c r="H9" s="11">
        <v>6496946.6499999976</v>
      </c>
      <c r="I9" s="11">
        <v>21434921.640000001</v>
      </c>
      <c r="J9" s="11">
        <v>634015.12000000011</v>
      </c>
      <c r="K9" s="11">
        <v>12760472.960000001</v>
      </c>
      <c r="L9" s="11">
        <v>9722475.1399999987</v>
      </c>
      <c r="M9" s="11">
        <v>79866956.319999993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308</v>
      </c>
      <c r="B11" s="7" t="s">
        <v>3760</v>
      </c>
    </row>
    <row r="13" spans="1:13" ht="22.5" x14ac:dyDescent="0.25">
      <c r="A13" s="6" t="s">
        <v>313</v>
      </c>
      <c r="B13" s="6" t="s">
        <v>312</v>
      </c>
    </row>
    <row r="14" spans="1:13" ht="67.5" x14ac:dyDescent="0.25">
      <c r="A14" s="8" t="s">
        <v>310</v>
      </c>
      <c r="B14" s="9" t="s">
        <v>124</v>
      </c>
      <c r="C14" s="9" t="s">
        <v>375</v>
      </c>
      <c r="D14" s="9" t="s">
        <v>376</v>
      </c>
      <c r="E14" s="9" t="s">
        <v>377</v>
      </c>
      <c r="F14" s="9" t="s">
        <v>355</v>
      </c>
      <c r="G14" s="9" t="s">
        <v>378</v>
      </c>
      <c r="H14" s="9" t="s">
        <v>379</v>
      </c>
      <c r="I14" s="9" t="s">
        <v>380</v>
      </c>
      <c r="J14" s="9" t="s">
        <v>132</v>
      </c>
      <c r="K14" s="9" t="s">
        <v>381</v>
      </c>
      <c r="L14" s="9" t="s">
        <v>353</v>
      </c>
      <c r="M14" s="9" t="s">
        <v>311</v>
      </c>
    </row>
    <row r="15" spans="1:13" x14ac:dyDescent="0.25">
      <c r="A15" s="10" t="s">
        <v>382</v>
      </c>
      <c r="B15" s="11">
        <v>4963.3599999999997</v>
      </c>
      <c r="C15" s="11">
        <v>67450.250000000015</v>
      </c>
      <c r="D15" s="11">
        <v>12684.209999999997</v>
      </c>
      <c r="E15" s="11">
        <v>3355.5899999999997</v>
      </c>
      <c r="F15" s="11">
        <v>16483.13</v>
      </c>
      <c r="G15" s="11">
        <v>47608.499999999993</v>
      </c>
      <c r="H15" s="11">
        <v>122909.08999999997</v>
      </c>
      <c r="I15" s="11">
        <v>122620.06</v>
      </c>
      <c r="J15" s="11">
        <v>4092.27</v>
      </c>
      <c r="K15" s="11">
        <v>136168.93000000002</v>
      </c>
      <c r="L15" s="11">
        <v>265676.27</v>
      </c>
      <c r="M15" s="11">
        <v>804011.66</v>
      </c>
    </row>
    <row r="16" spans="1:13" x14ac:dyDescent="0.25">
      <c r="A16" s="10" t="s">
        <v>383</v>
      </c>
      <c r="B16" s="11">
        <v>34814.769999999997</v>
      </c>
      <c r="C16" s="11">
        <v>59756.75</v>
      </c>
      <c r="D16" s="11">
        <v>86325.13</v>
      </c>
      <c r="E16" s="11">
        <v>74433.450000000012</v>
      </c>
      <c r="F16" s="11">
        <v>200581.53999999998</v>
      </c>
      <c r="G16" s="11">
        <v>451377.85000000009</v>
      </c>
      <c r="H16" s="11">
        <v>91036.85</v>
      </c>
      <c r="I16" s="11">
        <v>92681.26</v>
      </c>
      <c r="J16" s="11">
        <v>89237.37</v>
      </c>
      <c r="K16" s="11">
        <v>172521.49</v>
      </c>
      <c r="L16" s="11">
        <v>343615.01999999984</v>
      </c>
      <c r="M16" s="11">
        <v>1696381.48</v>
      </c>
    </row>
    <row r="17" spans="1:13" x14ac:dyDescent="0.25">
      <c r="A17" s="10" t="s">
        <v>371</v>
      </c>
      <c r="B17" s="11">
        <v>40250</v>
      </c>
      <c r="C17" s="11">
        <v>976507.3</v>
      </c>
      <c r="D17" s="11">
        <v>233754.16999999998</v>
      </c>
      <c r="E17" s="11">
        <v>566546.25</v>
      </c>
      <c r="F17" s="11">
        <v>295894.75</v>
      </c>
      <c r="G17" s="11">
        <v>106783.85</v>
      </c>
      <c r="H17" s="11">
        <v>3346974.4099999992</v>
      </c>
      <c r="I17" s="11">
        <v>3256467.4000000004</v>
      </c>
      <c r="J17" s="11">
        <v>4681.72</v>
      </c>
      <c r="K17" s="11">
        <v>8380197.9399999995</v>
      </c>
      <c r="L17" s="11">
        <v>96417.53</v>
      </c>
      <c r="M17" s="11">
        <v>17304475.32</v>
      </c>
    </row>
    <row r="18" spans="1:13" x14ac:dyDescent="0.25">
      <c r="A18" s="10" t="s">
        <v>373</v>
      </c>
      <c r="B18" s="11"/>
      <c r="C18" s="11"/>
      <c r="D18" s="11"/>
      <c r="E18" s="11">
        <v>91099.97</v>
      </c>
      <c r="F18" s="11"/>
      <c r="G18" s="11"/>
      <c r="H18" s="11"/>
      <c r="I18" s="11"/>
      <c r="J18" s="11"/>
      <c r="K18" s="11"/>
      <c r="L18" s="11">
        <v>45333.59</v>
      </c>
      <c r="M18" s="11">
        <v>136433.56</v>
      </c>
    </row>
    <row r="19" spans="1:13" x14ac:dyDescent="0.25">
      <c r="A19" s="10" t="s">
        <v>311</v>
      </c>
      <c r="B19" s="11">
        <v>80028.13</v>
      </c>
      <c r="C19" s="11">
        <v>1103714.3</v>
      </c>
      <c r="D19" s="11">
        <v>332763.51</v>
      </c>
      <c r="E19" s="11">
        <v>735435.26</v>
      </c>
      <c r="F19" s="11">
        <v>512959.42</v>
      </c>
      <c r="G19" s="11">
        <v>605770.20000000007</v>
      </c>
      <c r="H19" s="11">
        <v>3560920.3499999992</v>
      </c>
      <c r="I19" s="11">
        <v>3471768.72</v>
      </c>
      <c r="J19" s="11">
        <v>98011.36</v>
      </c>
      <c r="K19" s="11">
        <v>8688888.3599999994</v>
      </c>
      <c r="L19" s="11">
        <v>751042.4099999998</v>
      </c>
      <c r="M19" s="11">
        <v>19941302.02</v>
      </c>
    </row>
    <row r="20" spans="1:13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ht="22.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5">
      <c r="A22" s="6" t="s">
        <v>308</v>
      </c>
      <c r="B22" s="7" t="s">
        <v>374</v>
      </c>
    </row>
    <row r="24" spans="1:13" ht="22.5" x14ac:dyDescent="0.25">
      <c r="A24" s="6" t="s">
        <v>313</v>
      </c>
      <c r="B24" s="6" t="s">
        <v>312</v>
      </c>
    </row>
    <row r="25" spans="1:13" ht="67.5" x14ac:dyDescent="0.25">
      <c r="A25" s="8" t="s">
        <v>310</v>
      </c>
      <c r="B25" s="9" t="s">
        <v>124</v>
      </c>
      <c r="C25" s="9" t="s">
        <v>375</v>
      </c>
      <c r="D25" s="9" t="s">
        <v>376</v>
      </c>
      <c r="E25" s="9" t="s">
        <v>377</v>
      </c>
      <c r="F25" s="9" t="s">
        <v>355</v>
      </c>
      <c r="G25" s="9" t="s">
        <v>378</v>
      </c>
      <c r="H25" s="9" t="s">
        <v>379</v>
      </c>
      <c r="I25" s="9" t="s">
        <v>380</v>
      </c>
      <c r="J25" s="9" t="s">
        <v>132</v>
      </c>
      <c r="K25" s="9" t="s">
        <v>381</v>
      </c>
      <c r="L25" s="9" t="s">
        <v>353</v>
      </c>
      <c r="M25" s="9" t="s">
        <v>311</v>
      </c>
    </row>
    <row r="26" spans="1:13" x14ac:dyDescent="0.25">
      <c r="A26" s="10" t="s">
        <v>382</v>
      </c>
      <c r="B26" s="11">
        <v>28094.359999999997</v>
      </c>
      <c r="C26" s="11">
        <v>437818.03999999975</v>
      </c>
      <c r="D26" s="11">
        <v>73990.080000000016</v>
      </c>
      <c r="E26" s="11">
        <v>14315.950000000003</v>
      </c>
      <c r="F26" s="11">
        <v>58915.470000000008</v>
      </c>
      <c r="G26" s="11">
        <v>100023.93999999999</v>
      </c>
      <c r="H26" s="11">
        <v>234562.43000000002</v>
      </c>
      <c r="I26" s="11">
        <v>355234.91999999987</v>
      </c>
      <c r="J26" s="11">
        <v>14301.52</v>
      </c>
      <c r="K26" s="11">
        <v>143665.99000000011</v>
      </c>
      <c r="L26" s="11">
        <v>1499750.4800000002</v>
      </c>
      <c r="M26" s="11">
        <v>2960673.1799999997</v>
      </c>
    </row>
    <row r="27" spans="1:13" x14ac:dyDescent="0.25">
      <c r="A27" s="10" t="s">
        <v>383</v>
      </c>
      <c r="B27" s="11">
        <v>216797.19000000003</v>
      </c>
      <c r="C27" s="11">
        <v>272205.43999999994</v>
      </c>
      <c r="D27" s="11">
        <v>258586.39999999997</v>
      </c>
      <c r="E27" s="11">
        <v>180348.66999999998</v>
      </c>
      <c r="F27" s="11">
        <v>484467.07000000012</v>
      </c>
      <c r="G27" s="11">
        <v>777201.92999999993</v>
      </c>
      <c r="H27" s="11">
        <v>228760.65999999997</v>
      </c>
      <c r="I27" s="11">
        <v>193590.53999999998</v>
      </c>
      <c r="J27" s="11">
        <v>161387.16999999995</v>
      </c>
      <c r="K27" s="11">
        <v>307442.3</v>
      </c>
      <c r="L27" s="11">
        <v>781398.14000000036</v>
      </c>
      <c r="M27" s="11">
        <v>3862185.5100000007</v>
      </c>
    </row>
    <row r="28" spans="1:13" x14ac:dyDescent="0.25">
      <c r="A28" s="10" t="s">
        <v>371</v>
      </c>
      <c r="B28" s="11">
        <v>317557.99</v>
      </c>
      <c r="C28" s="11">
        <v>5706987.1800000006</v>
      </c>
      <c r="D28" s="11">
        <v>3149981.5500000003</v>
      </c>
      <c r="E28" s="11">
        <v>8020720.8500000034</v>
      </c>
      <c r="F28" s="11">
        <v>1914456.3199999998</v>
      </c>
      <c r="G28" s="11">
        <v>8740000.700000003</v>
      </c>
      <c r="H28" s="11">
        <v>9594543.9099999983</v>
      </c>
      <c r="I28" s="11">
        <v>24357864.899999999</v>
      </c>
      <c r="J28" s="11">
        <v>536572.05000000005</v>
      </c>
      <c r="K28" s="11">
        <v>20998253.030000005</v>
      </c>
      <c r="L28" s="11">
        <v>8147035.339999998</v>
      </c>
      <c r="M28" s="11">
        <v>91483973.820000008</v>
      </c>
    </row>
    <row r="29" spans="1:13" x14ac:dyDescent="0.25">
      <c r="A29" s="10" t="s">
        <v>373</v>
      </c>
      <c r="B29" s="11"/>
      <c r="C29" s="11">
        <v>34752.340000000004</v>
      </c>
      <c r="D29" s="11">
        <v>128498.67</v>
      </c>
      <c r="E29" s="11">
        <v>252459.44</v>
      </c>
      <c r="F29" s="11">
        <v>1020616.05</v>
      </c>
      <c r="G29" s="11"/>
      <c r="H29" s="11"/>
      <c r="I29" s="11"/>
      <c r="J29" s="11">
        <v>19765.740000000002</v>
      </c>
      <c r="K29" s="11"/>
      <c r="L29" s="11">
        <v>45333.59</v>
      </c>
      <c r="M29" s="11">
        <v>1501425.83</v>
      </c>
    </row>
    <row r="30" spans="1:13" x14ac:dyDescent="0.25">
      <c r="A30" s="10" t="s">
        <v>311</v>
      </c>
      <c r="B30" s="11">
        <v>562449.54</v>
      </c>
      <c r="C30" s="11">
        <v>6451763</v>
      </c>
      <c r="D30" s="11">
        <v>3611056.7</v>
      </c>
      <c r="E30" s="11">
        <v>8467844.9100000039</v>
      </c>
      <c r="F30" s="11">
        <v>3478454.91</v>
      </c>
      <c r="G30" s="11">
        <v>9617226.5700000022</v>
      </c>
      <c r="H30" s="11">
        <v>10057866.999999998</v>
      </c>
      <c r="I30" s="11">
        <v>24906690.359999999</v>
      </c>
      <c r="J30" s="11">
        <v>732026.48</v>
      </c>
      <c r="K30" s="11">
        <v>21449361.320000004</v>
      </c>
      <c r="L30" s="11">
        <v>10473517.549999999</v>
      </c>
      <c r="M30" s="11">
        <v>99808258.340000004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x14ac:dyDescent="0.25">
      <c r="A34" s="6" t="s">
        <v>308</v>
      </c>
      <c r="B34" s="7" t="s">
        <v>374</v>
      </c>
    </row>
    <row r="36" spans="1:13" ht="22.5" x14ac:dyDescent="0.25">
      <c r="A36" s="8" t="s">
        <v>310</v>
      </c>
      <c r="B36" s="9" t="s">
        <v>313</v>
      </c>
      <c r="C36" s="26" t="s">
        <v>337</v>
      </c>
      <c r="D36"/>
      <c r="E36"/>
      <c r="F36"/>
      <c r="G36"/>
      <c r="H36"/>
      <c r="I36"/>
      <c r="J36"/>
      <c r="K36"/>
    </row>
    <row r="37" spans="1:13" ht="15" x14ac:dyDescent="0.25">
      <c r="A37" s="10" t="s">
        <v>382</v>
      </c>
      <c r="B37" s="11">
        <v>2960673.1800000058</v>
      </c>
      <c r="C37" s="48">
        <f>GETPIVOTDATA("Importe",$A$36,"PROCEDIMIENTO","Acuerdo marco")/GETPIVOTDATA("Importe",$A$36)</f>
        <v>2.9663609296881829E-2</v>
      </c>
      <c r="D37"/>
      <c r="E37"/>
      <c r="F37" s="12"/>
      <c r="G37"/>
      <c r="H37"/>
      <c r="I37"/>
      <c r="J37"/>
      <c r="K37"/>
    </row>
    <row r="38" spans="1:13" ht="15" x14ac:dyDescent="0.25">
      <c r="A38" s="10" t="s">
        <v>383</v>
      </c>
      <c r="B38" s="11">
        <v>3862185.5100000007</v>
      </c>
      <c r="C38" s="48">
        <f>GETPIVOTDATA("Importe",$A$36,"PROCEDIMIENTO","Contratación menor")/GETPIVOTDATA("Importe",$A$36)</f>
        <v>3.8696051551599518E-2</v>
      </c>
      <c r="D38"/>
      <c r="E38" s="50"/>
      <c r="F38" s="12"/>
      <c r="G38"/>
      <c r="H38"/>
      <c r="I38"/>
      <c r="J38"/>
      <c r="K38"/>
    </row>
    <row r="39" spans="1:13" ht="15" x14ac:dyDescent="0.25">
      <c r="A39" s="10" t="s">
        <v>371</v>
      </c>
      <c r="B39" s="11">
        <v>91483973.819999933</v>
      </c>
      <c r="C39" s="48">
        <f>GETPIVOTDATA("Importe",$A$36,"PROCEDIMIENTO","Procedimiento abierto")/GETPIVOTDATA("Importe",$A$36)</f>
        <v>0.9165972369576566</v>
      </c>
      <c r="D39"/>
      <c r="E39"/>
      <c r="F39" s="12"/>
      <c r="G39"/>
      <c r="H39"/>
      <c r="I39"/>
      <c r="J39"/>
      <c r="K39"/>
    </row>
    <row r="40" spans="1:13" ht="15" x14ac:dyDescent="0.25">
      <c r="A40" s="10" t="s">
        <v>373</v>
      </c>
      <c r="B40" s="11">
        <v>1501425.8300000003</v>
      </c>
      <c r="C40" s="48">
        <f>GETPIVOTDATA("Importe",$A$36,"PROCEDIMIENTO","Procedimiento negociado sin publicidad")/GETPIVOTDATA("Importe",$A$36)</f>
        <v>1.5043102193862019E-2</v>
      </c>
      <c r="D40"/>
      <c r="E40"/>
      <c r="F40" s="12"/>
      <c r="G40"/>
      <c r="H40"/>
      <c r="I40"/>
      <c r="J40"/>
      <c r="K40"/>
    </row>
    <row r="41" spans="1:13" ht="15" x14ac:dyDescent="0.25">
      <c r="A41" s="10" t="s">
        <v>311</v>
      </c>
      <c r="B41" s="11">
        <v>99808258.339999944</v>
      </c>
      <c r="C41"/>
      <c r="D41"/>
      <c r="E41"/>
      <c r="F41" s="12"/>
      <c r="G41"/>
      <c r="H41"/>
      <c r="I41"/>
      <c r="J41"/>
      <c r="K41"/>
    </row>
    <row r="42" spans="1:13" ht="15" x14ac:dyDescent="0.25">
      <c r="A42"/>
      <c r="B42"/>
      <c r="D42"/>
      <c r="E42"/>
      <c r="F42"/>
      <c r="G42"/>
      <c r="H42"/>
      <c r="I42"/>
      <c r="J42"/>
      <c r="K42"/>
    </row>
    <row r="43" spans="1:13" ht="15" x14ac:dyDescent="0.25">
      <c r="A43"/>
      <c r="B43"/>
      <c r="D43"/>
      <c r="E43"/>
      <c r="F43"/>
      <c r="G43"/>
      <c r="H43"/>
      <c r="I43"/>
      <c r="J43"/>
      <c r="K43"/>
    </row>
    <row r="44" spans="1:13" ht="15" x14ac:dyDescent="0.25">
      <c r="A44"/>
      <c r="B44"/>
    </row>
    <row r="45" spans="1:13" ht="15" x14ac:dyDescent="0.25">
      <c r="A45"/>
      <c r="B45"/>
    </row>
    <row r="46" spans="1:13" x14ac:dyDescent="0.25">
      <c r="E46" s="49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8" fitToHeight="0" orientation="landscape" r:id="rId5"/>
  <headerFooter>
    <oddHeader>&amp;C&amp;"Arial Narrow,Negrita"&amp;14&amp;UCONTRATACION AYUNTAMIENTO DE VALLADOLID -  PRIMER SEMESTRE 2023
&amp;"-,Normal"&amp;11&amp;U
&amp;G</oddHeader>
    <oddFooter>&amp;R&amp;P / &amp;N</oddFooter>
  </headerFooter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view="pageLayout" zoomScaleNormal="100" workbookViewId="0">
      <selection activeCell="B10" sqref="B10"/>
    </sheetView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308</v>
      </c>
      <c r="B1" s="14" t="s">
        <v>374</v>
      </c>
    </row>
    <row r="2" spans="1:13" x14ac:dyDescent="0.25">
      <c r="A2" s="13" t="s">
        <v>6</v>
      </c>
      <c r="B2" s="14" t="s">
        <v>374</v>
      </c>
      <c r="G2" s="43"/>
    </row>
    <row r="3" spans="1:13" ht="25.5" x14ac:dyDescent="0.25">
      <c r="A3" s="13" t="s">
        <v>85</v>
      </c>
      <c r="B3" s="14" t="s">
        <v>383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313</v>
      </c>
      <c r="B5" s="13" t="s">
        <v>312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310</v>
      </c>
      <c r="B6" s="18" t="s">
        <v>124</v>
      </c>
      <c r="C6" s="18" t="s">
        <v>375</v>
      </c>
      <c r="D6" s="18" t="s">
        <v>376</v>
      </c>
      <c r="E6" s="18" t="s">
        <v>377</v>
      </c>
      <c r="F6" s="18" t="s">
        <v>355</v>
      </c>
      <c r="G6" s="18" t="s">
        <v>378</v>
      </c>
      <c r="H6" s="18" t="s">
        <v>379</v>
      </c>
      <c r="I6" s="18" t="s">
        <v>380</v>
      </c>
      <c r="J6" s="18" t="s">
        <v>132</v>
      </c>
      <c r="K6" s="18" t="s">
        <v>381</v>
      </c>
      <c r="L6" s="18" t="s">
        <v>353</v>
      </c>
      <c r="M6" s="18" t="s">
        <v>311</v>
      </c>
    </row>
    <row r="7" spans="1:13" s="20" customFormat="1" x14ac:dyDescent="0.25">
      <c r="A7" s="21" t="s">
        <v>346</v>
      </c>
      <c r="B7" s="19"/>
      <c r="C7" s="19">
        <v>5025.55</v>
      </c>
      <c r="D7" s="19">
        <v>483.71</v>
      </c>
      <c r="E7" s="19"/>
      <c r="F7" s="19">
        <v>32.54</v>
      </c>
      <c r="G7" s="19">
        <v>809.63000000000011</v>
      </c>
      <c r="H7" s="19"/>
      <c r="I7" s="19"/>
      <c r="J7" s="19"/>
      <c r="K7" s="19"/>
      <c r="L7" s="19">
        <v>471.45000000000005</v>
      </c>
      <c r="M7" s="19">
        <v>6822.88</v>
      </c>
    </row>
    <row r="8" spans="1:13" s="20" customFormat="1" x14ac:dyDescent="0.25">
      <c r="A8" s="21" t="s">
        <v>2360</v>
      </c>
      <c r="B8" s="19"/>
      <c r="C8" s="19"/>
      <c r="D8" s="19">
        <v>200</v>
      </c>
      <c r="E8" s="19"/>
      <c r="F8" s="19"/>
      <c r="G8" s="19"/>
      <c r="H8" s="19"/>
      <c r="I8" s="19"/>
      <c r="J8" s="19"/>
      <c r="K8" s="19"/>
      <c r="L8" s="19"/>
      <c r="M8" s="19">
        <v>200</v>
      </c>
    </row>
    <row r="9" spans="1:13" s="20" customFormat="1" x14ac:dyDescent="0.25">
      <c r="A9" s="21" t="s">
        <v>1888</v>
      </c>
      <c r="B9" s="19"/>
      <c r="C9" s="19"/>
      <c r="D9" s="19">
        <v>750</v>
      </c>
      <c r="E9" s="19"/>
      <c r="F9" s="19"/>
      <c r="G9" s="19"/>
      <c r="H9" s="19"/>
      <c r="I9" s="19"/>
      <c r="J9" s="19"/>
      <c r="K9" s="19"/>
      <c r="L9" s="19"/>
      <c r="M9" s="19">
        <v>750</v>
      </c>
    </row>
    <row r="10" spans="1:13" s="20" customFormat="1" x14ac:dyDescent="0.25">
      <c r="A10" s="21" t="s">
        <v>103</v>
      </c>
      <c r="B10" s="19"/>
      <c r="C10" s="19"/>
      <c r="D10" s="19"/>
      <c r="E10" s="19">
        <v>653.4</v>
      </c>
      <c r="F10" s="19"/>
      <c r="G10" s="19"/>
      <c r="H10" s="19"/>
      <c r="I10" s="19"/>
      <c r="J10" s="19"/>
      <c r="K10" s="19"/>
      <c r="L10" s="19"/>
      <c r="M10" s="19">
        <v>653.4</v>
      </c>
    </row>
    <row r="11" spans="1:13" s="20" customFormat="1" x14ac:dyDescent="0.25">
      <c r="A11" s="21" t="s">
        <v>3791</v>
      </c>
      <c r="B11" s="19"/>
      <c r="C11" s="19"/>
      <c r="D11" s="19"/>
      <c r="E11" s="19"/>
      <c r="F11" s="19"/>
      <c r="G11" s="19"/>
      <c r="H11" s="19"/>
      <c r="I11" s="19"/>
      <c r="J11" s="19"/>
      <c r="K11" s="19">
        <v>1775</v>
      </c>
      <c r="L11" s="19"/>
      <c r="M11" s="19">
        <v>1775</v>
      </c>
    </row>
    <row r="12" spans="1:13" s="20" customFormat="1" x14ac:dyDescent="0.25">
      <c r="A12" s="21" t="s">
        <v>3795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423.52</v>
      </c>
      <c r="M12" s="19">
        <v>423.52</v>
      </c>
    </row>
    <row r="13" spans="1:13" s="20" customFormat="1" ht="25.5" x14ac:dyDescent="0.25">
      <c r="A13" s="21" t="s">
        <v>1658</v>
      </c>
      <c r="B13" s="19"/>
      <c r="C13" s="19"/>
      <c r="D13" s="19"/>
      <c r="E13" s="19"/>
      <c r="F13" s="19"/>
      <c r="G13" s="19">
        <v>3815</v>
      </c>
      <c r="H13" s="19"/>
      <c r="I13" s="19"/>
      <c r="J13" s="19"/>
      <c r="K13" s="19">
        <v>617.09999999999991</v>
      </c>
      <c r="L13" s="19"/>
      <c r="M13" s="19">
        <v>4432.1000000000004</v>
      </c>
    </row>
    <row r="14" spans="1:13" s="20" customFormat="1" x14ac:dyDescent="0.25">
      <c r="A14" s="21" t="s">
        <v>328</v>
      </c>
      <c r="B14" s="19"/>
      <c r="C14" s="19"/>
      <c r="D14" s="19"/>
      <c r="E14" s="19"/>
      <c r="F14" s="19"/>
      <c r="G14" s="19"/>
      <c r="H14" s="19"/>
      <c r="I14" s="19">
        <v>617.98</v>
      </c>
      <c r="J14" s="19"/>
      <c r="K14" s="19"/>
      <c r="L14" s="19">
        <v>845</v>
      </c>
      <c r="M14" s="19">
        <v>1462.98</v>
      </c>
    </row>
    <row r="15" spans="1:13" s="20" customFormat="1" x14ac:dyDescent="0.25">
      <c r="A15" s="21" t="s">
        <v>3120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2651.3</v>
      </c>
      <c r="M15" s="19">
        <v>2651.3</v>
      </c>
    </row>
    <row r="16" spans="1:13" s="20" customFormat="1" x14ac:dyDescent="0.25">
      <c r="A16" s="21" t="s">
        <v>1634</v>
      </c>
      <c r="B16" s="19"/>
      <c r="C16" s="19"/>
      <c r="D16" s="19">
        <v>7139</v>
      </c>
      <c r="E16" s="19"/>
      <c r="F16" s="19"/>
      <c r="G16" s="19"/>
      <c r="H16" s="19"/>
      <c r="I16" s="19"/>
      <c r="J16" s="19"/>
      <c r="K16" s="19"/>
      <c r="L16" s="19"/>
      <c r="M16" s="19">
        <v>7139</v>
      </c>
    </row>
    <row r="17" spans="1:13" s="20" customFormat="1" x14ac:dyDescent="0.25">
      <c r="A17" s="21" t="s">
        <v>28</v>
      </c>
      <c r="B17" s="19">
        <v>9922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9922</v>
      </c>
    </row>
    <row r="18" spans="1:13" s="20" customFormat="1" x14ac:dyDescent="0.25">
      <c r="A18" s="21" t="s">
        <v>27</v>
      </c>
      <c r="B18" s="19">
        <v>11750.25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>
        <v>11750.25</v>
      </c>
    </row>
    <row r="19" spans="1:13" s="20" customFormat="1" x14ac:dyDescent="0.25">
      <c r="A19" s="21" t="s">
        <v>4029</v>
      </c>
      <c r="B19" s="19"/>
      <c r="C19" s="19"/>
      <c r="D19" s="19"/>
      <c r="E19" s="19"/>
      <c r="F19" s="19">
        <v>10769</v>
      </c>
      <c r="G19" s="19"/>
      <c r="H19" s="19"/>
      <c r="I19" s="19"/>
      <c r="J19" s="19"/>
      <c r="K19" s="19"/>
      <c r="L19" s="19"/>
      <c r="M19" s="19">
        <v>10769</v>
      </c>
    </row>
    <row r="20" spans="1:13" s="20" customFormat="1" x14ac:dyDescent="0.25">
      <c r="A20" s="21" t="s">
        <v>3799</v>
      </c>
      <c r="B20" s="19"/>
      <c r="C20" s="19"/>
      <c r="D20" s="19"/>
      <c r="E20" s="19"/>
      <c r="F20" s="19"/>
      <c r="G20" s="19"/>
      <c r="H20" s="19">
        <v>11670.45</v>
      </c>
      <c r="I20" s="19"/>
      <c r="J20" s="19"/>
      <c r="K20" s="19"/>
      <c r="L20" s="19"/>
      <c r="M20" s="19">
        <v>11670.45</v>
      </c>
    </row>
    <row r="21" spans="1:13" s="20" customFormat="1" x14ac:dyDescent="0.25">
      <c r="A21" s="21" t="s">
        <v>384</v>
      </c>
      <c r="B21" s="19"/>
      <c r="C21" s="19"/>
      <c r="D21" s="19"/>
      <c r="E21" s="19"/>
      <c r="F21" s="19"/>
      <c r="G21" s="19"/>
      <c r="H21" s="19">
        <v>7260</v>
      </c>
      <c r="I21" s="19"/>
      <c r="J21" s="19"/>
      <c r="K21" s="19"/>
      <c r="L21" s="19"/>
      <c r="M21" s="19">
        <v>7260</v>
      </c>
    </row>
    <row r="22" spans="1:13" s="20" customFormat="1" x14ac:dyDescent="0.25">
      <c r="A22" s="21" t="s">
        <v>5091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3000</v>
      </c>
      <c r="M22" s="19">
        <v>3000</v>
      </c>
    </row>
    <row r="23" spans="1:13" s="20" customFormat="1" x14ac:dyDescent="0.25">
      <c r="A23" s="21" t="s">
        <v>51</v>
      </c>
      <c r="B23" s="19"/>
      <c r="C23" s="19"/>
      <c r="D23" s="19"/>
      <c r="E23" s="19"/>
      <c r="F23" s="19">
        <v>517.52</v>
      </c>
      <c r="G23" s="19"/>
      <c r="H23" s="19"/>
      <c r="I23" s="19"/>
      <c r="J23" s="19"/>
      <c r="K23" s="19"/>
      <c r="L23" s="19"/>
      <c r="M23" s="19">
        <v>517.52</v>
      </c>
    </row>
    <row r="24" spans="1:13" s="20" customFormat="1" x14ac:dyDescent="0.25">
      <c r="A24" s="21" t="s">
        <v>3801</v>
      </c>
      <c r="B24" s="19"/>
      <c r="C24" s="19"/>
      <c r="D24" s="19">
        <v>550</v>
      </c>
      <c r="E24" s="19"/>
      <c r="F24" s="19"/>
      <c r="G24" s="19"/>
      <c r="H24" s="19"/>
      <c r="I24" s="19"/>
      <c r="J24" s="19"/>
      <c r="K24" s="19"/>
      <c r="L24" s="19"/>
      <c r="M24" s="19">
        <v>550</v>
      </c>
    </row>
    <row r="25" spans="1:13" s="20" customFormat="1" x14ac:dyDescent="0.25">
      <c r="A25" s="21" t="s">
        <v>1044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8893.5</v>
      </c>
      <c r="L25" s="19"/>
      <c r="M25" s="19">
        <v>8893.5</v>
      </c>
    </row>
    <row r="26" spans="1:13" s="20" customFormat="1" x14ac:dyDescent="0.25">
      <c r="A26" s="21" t="s">
        <v>981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34094.26</v>
      </c>
      <c r="M26" s="19">
        <v>34094.26</v>
      </c>
    </row>
    <row r="27" spans="1:13" s="20" customFormat="1" x14ac:dyDescent="0.25">
      <c r="A27" s="21" t="s">
        <v>3803</v>
      </c>
      <c r="B27" s="19"/>
      <c r="C27" s="19"/>
      <c r="D27" s="19"/>
      <c r="E27" s="19"/>
      <c r="F27" s="19"/>
      <c r="G27" s="19"/>
      <c r="H27" s="19">
        <v>5445</v>
      </c>
      <c r="I27" s="19"/>
      <c r="J27" s="19"/>
      <c r="K27" s="19"/>
      <c r="L27" s="19"/>
      <c r="M27" s="19">
        <v>5445</v>
      </c>
    </row>
    <row r="28" spans="1:13" s="20" customFormat="1" x14ac:dyDescent="0.25">
      <c r="A28" s="21" t="s">
        <v>5362</v>
      </c>
      <c r="B28" s="19"/>
      <c r="C28" s="19">
        <v>300.41000000000003</v>
      </c>
      <c r="D28" s="19"/>
      <c r="E28" s="19"/>
      <c r="F28" s="19"/>
      <c r="G28" s="19"/>
      <c r="H28" s="19"/>
      <c r="I28" s="19"/>
      <c r="J28" s="19"/>
      <c r="K28" s="19"/>
      <c r="L28" s="19"/>
      <c r="M28" s="19">
        <v>300.41000000000003</v>
      </c>
    </row>
    <row r="29" spans="1:13" s="20" customFormat="1" ht="15" customHeight="1" x14ac:dyDescent="0.25">
      <c r="A29" s="21" t="s">
        <v>3487</v>
      </c>
      <c r="B29" s="19"/>
      <c r="C29" s="19"/>
      <c r="D29" s="19"/>
      <c r="E29" s="19"/>
      <c r="F29" s="19"/>
      <c r="G29" s="19">
        <v>320.64999999999998</v>
      </c>
      <c r="H29" s="19"/>
      <c r="I29" s="19"/>
      <c r="J29" s="19"/>
      <c r="K29" s="19"/>
      <c r="L29" s="19"/>
      <c r="M29" s="19">
        <v>320.64999999999998</v>
      </c>
    </row>
    <row r="30" spans="1:13" s="20" customFormat="1" x14ac:dyDescent="0.25">
      <c r="A30" s="21" t="s">
        <v>4284</v>
      </c>
      <c r="B30" s="19"/>
      <c r="C30" s="19"/>
      <c r="D30" s="19"/>
      <c r="E30" s="19"/>
      <c r="F30" s="19"/>
      <c r="G30" s="19"/>
      <c r="H30" s="19">
        <v>2500</v>
      </c>
      <c r="I30" s="19"/>
      <c r="J30" s="19"/>
      <c r="K30" s="19"/>
      <c r="L30" s="19"/>
      <c r="M30" s="19">
        <v>2500</v>
      </c>
    </row>
    <row r="31" spans="1:13" s="20" customFormat="1" x14ac:dyDescent="0.25">
      <c r="A31" s="21" t="s">
        <v>3805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>
        <v>3542.29</v>
      </c>
      <c r="M31" s="19">
        <v>3542.29</v>
      </c>
    </row>
    <row r="32" spans="1:13" s="20" customFormat="1" x14ac:dyDescent="0.25">
      <c r="A32" s="21" t="s">
        <v>467</v>
      </c>
      <c r="B32" s="19"/>
      <c r="C32" s="19"/>
      <c r="D32" s="19"/>
      <c r="E32" s="19"/>
      <c r="F32" s="19"/>
      <c r="G32" s="19">
        <v>181.5</v>
      </c>
      <c r="H32" s="19"/>
      <c r="I32" s="19"/>
      <c r="J32" s="19"/>
      <c r="K32" s="19"/>
      <c r="L32" s="19"/>
      <c r="M32" s="19">
        <v>181.5</v>
      </c>
    </row>
    <row r="33" spans="1:13" s="20" customFormat="1" x14ac:dyDescent="0.25">
      <c r="A33" s="21" t="s">
        <v>2210</v>
      </c>
      <c r="B33" s="19"/>
      <c r="C33" s="19"/>
      <c r="D33" s="19"/>
      <c r="E33" s="19"/>
      <c r="F33" s="19"/>
      <c r="G33" s="19"/>
      <c r="H33" s="19">
        <v>5000</v>
      </c>
      <c r="I33" s="19"/>
      <c r="J33" s="19"/>
      <c r="K33" s="19"/>
      <c r="L33" s="19"/>
      <c r="M33" s="19">
        <v>5000</v>
      </c>
    </row>
    <row r="34" spans="1:13" s="20" customFormat="1" x14ac:dyDescent="0.25">
      <c r="A34" s="21" t="s">
        <v>104</v>
      </c>
      <c r="B34" s="19"/>
      <c r="C34" s="19">
        <v>136.96</v>
      </c>
      <c r="D34" s="19"/>
      <c r="E34" s="19"/>
      <c r="F34" s="19"/>
      <c r="G34" s="19">
        <v>4630</v>
      </c>
      <c r="H34" s="19"/>
      <c r="I34" s="19"/>
      <c r="J34" s="19"/>
      <c r="K34" s="19">
        <v>518.13</v>
      </c>
      <c r="L34" s="19"/>
      <c r="M34" s="19">
        <v>5285.09</v>
      </c>
    </row>
    <row r="35" spans="1:13" s="20" customFormat="1" x14ac:dyDescent="0.25">
      <c r="A35" s="21" t="s">
        <v>1664</v>
      </c>
      <c r="B35" s="19">
        <v>762.3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>
        <v>762.3</v>
      </c>
    </row>
    <row r="36" spans="1:13" s="20" customFormat="1" x14ac:dyDescent="0.25">
      <c r="A36" s="21" t="s">
        <v>5273</v>
      </c>
      <c r="B36" s="19"/>
      <c r="C36" s="19"/>
      <c r="D36" s="19"/>
      <c r="E36" s="19"/>
      <c r="F36" s="19"/>
      <c r="G36" s="19">
        <v>900</v>
      </c>
      <c r="H36" s="19"/>
      <c r="I36" s="19"/>
      <c r="J36" s="19"/>
      <c r="K36" s="19"/>
      <c r="L36" s="19"/>
      <c r="M36" s="19">
        <v>900</v>
      </c>
    </row>
    <row r="37" spans="1:13" s="20" customFormat="1" x14ac:dyDescent="0.25">
      <c r="A37" s="21" t="s">
        <v>3812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5257.95</v>
      </c>
      <c r="L37" s="19"/>
      <c r="M37" s="19">
        <v>5257.95</v>
      </c>
    </row>
    <row r="38" spans="1:13" s="20" customFormat="1" x14ac:dyDescent="0.25">
      <c r="A38" s="21" t="s">
        <v>464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>
        <v>1311.15</v>
      </c>
      <c r="M38" s="19">
        <v>1311.15</v>
      </c>
    </row>
    <row r="39" spans="1:13" s="20" customFormat="1" x14ac:dyDescent="0.25">
      <c r="A39" s="21" t="s">
        <v>1966</v>
      </c>
      <c r="B39" s="19"/>
      <c r="C39" s="19">
        <v>2904</v>
      </c>
      <c r="D39" s="19"/>
      <c r="E39" s="19"/>
      <c r="F39" s="19"/>
      <c r="G39" s="19"/>
      <c r="H39" s="19"/>
      <c r="I39" s="19"/>
      <c r="J39" s="19"/>
      <c r="K39" s="19"/>
      <c r="L39" s="19"/>
      <c r="M39" s="19">
        <v>2904</v>
      </c>
    </row>
    <row r="40" spans="1:13" s="20" customFormat="1" x14ac:dyDescent="0.25">
      <c r="A40" s="21" t="s">
        <v>3493</v>
      </c>
      <c r="B40" s="19"/>
      <c r="C40" s="19"/>
      <c r="D40" s="19">
        <v>1045</v>
      </c>
      <c r="E40" s="19"/>
      <c r="F40" s="19"/>
      <c r="G40" s="19"/>
      <c r="H40" s="19"/>
      <c r="I40" s="19"/>
      <c r="J40" s="19"/>
      <c r="K40" s="19"/>
      <c r="L40" s="19"/>
      <c r="M40" s="19">
        <v>1045</v>
      </c>
    </row>
    <row r="41" spans="1:13" s="20" customFormat="1" x14ac:dyDescent="0.25">
      <c r="A41" s="21" t="s">
        <v>1675</v>
      </c>
      <c r="B41" s="19"/>
      <c r="C41" s="19"/>
      <c r="D41" s="19"/>
      <c r="E41" s="19"/>
      <c r="F41" s="19"/>
      <c r="G41" s="19"/>
      <c r="H41" s="19"/>
      <c r="I41" s="19"/>
      <c r="J41" s="19"/>
      <c r="K41" s="19">
        <v>3581.6</v>
      </c>
      <c r="L41" s="19"/>
      <c r="M41" s="19">
        <v>3581.6</v>
      </c>
    </row>
    <row r="42" spans="1:13" s="20" customFormat="1" x14ac:dyDescent="0.25">
      <c r="A42" s="21" t="s">
        <v>31</v>
      </c>
      <c r="B42" s="19"/>
      <c r="C42" s="19"/>
      <c r="D42" s="19">
        <v>605</v>
      </c>
      <c r="E42" s="19"/>
      <c r="F42" s="19"/>
      <c r="G42" s="19">
        <v>330</v>
      </c>
      <c r="H42" s="19"/>
      <c r="I42" s="19"/>
      <c r="J42" s="19"/>
      <c r="K42" s="19"/>
      <c r="L42" s="19"/>
      <c r="M42" s="19">
        <v>935</v>
      </c>
    </row>
    <row r="43" spans="1:13" s="20" customFormat="1" x14ac:dyDescent="0.25">
      <c r="A43" s="21" t="s">
        <v>486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2000</v>
      </c>
      <c r="M43" s="19">
        <v>2000</v>
      </c>
    </row>
    <row r="44" spans="1:13" s="20" customFormat="1" x14ac:dyDescent="0.25">
      <c r="A44" s="21" t="s">
        <v>2895</v>
      </c>
      <c r="B44" s="19"/>
      <c r="C44" s="19"/>
      <c r="D44" s="19"/>
      <c r="E44" s="19"/>
      <c r="F44" s="19"/>
      <c r="G44" s="19"/>
      <c r="H44" s="19">
        <v>1503.37</v>
      </c>
      <c r="I44" s="19"/>
      <c r="J44" s="19"/>
      <c r="K44" s="19"/>
      <c r="L44" s="19"/>
      <c r="M44" s="19">
        <v>1503.37</v>
      </c>
    </row>
    <row r="45" spans="1:13" s="20" customFormat="1" x14ac:dyDescent="0.25">
      <c r="A45" s="21" t="s">
        <v>456</v>
      </c>
      <c r="B45" s="19"/>
      <c r="C45" s="19">
        <v>1000</v>
      </c>
      <c r="D45" s="19"/>
      <c r="E45" s="19"/>
      <c r="F45" s="19"/>
      <c r="G45" s="19">
        <v>8722.69</v>
      </c>
      <c r="H45" s="19"/>
      <c r="I45" s="19"/>
      <c r="J45" s="19"/>
      <c r="K45" s="19"/>
      <c r="L45" s="19"/>
      <c r="M45" s="19">
        <v>9722.69</v>
      </c>
    </row>
    <row r="46" spans="1:13" s="20" customFormat="1" x14ac:dyDescent="0.25">
      <c r="A46" s="21" t="s">
        <v>116</v>
      </c>
      <c r="B46" s="19"/>
      <c r="C46" s="19"/>
      <c r="D46" s="19"/>
      <c r="E46" s="19"/>
      <c r="F46" s="19"/>
      <c r="G46" s="19"/>
      <c r="H46" s="19"/>
      <c r="I46" s="19">
        <v>1100</v>
      </c>
      <c r="J46" s="19"/>
      <c r="K46" s="19"/>
      <c r="L46" s="19"/>
      <c r="M46" s="19">
        <v>1100</v>
      </c>
    </row>
    <row r="47" spans="1:13" s="20" customFormat="1" x14ac:dyDescent="0.25">
      <c r="A47" s="21" t="s">
        <v>763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13207.56</v>
      </c>
      <c r="M47" s="19">
        <v>13207.56</v>
      </c>
    </row>
    <row r="48" spans="1:13" s="20" customFormat="1" x14ac:dyDescent="0.25">
      <c r="A48" s="21" t="s">
        <v>342</v>
      </c>
      <c r="B48" s="19"/>
      <c r="C48" s="19"/>
      <c r="D48" s="19"/>
      <c r="E48" s="19"/>
      <c r="F48" s="19"/>
      <c r="G48" s="19">
        <v>196</v>
      </c>
      <c r="H48" s="19"/>
      <c r="I48" s="19"/>
      <c r="J48" s="19"/>
      <c r="K48" s="19"/>
      <c r="L48" s="19"/>
      <c r="M48" s="19">
        <v>196</v>
      </c>
    </row>
    <row r="49" spans="1:13" s="20" customFormat="1" x14ac:dyDescent="0.25">
      <c r="A49" s="21" t="s">
        <v>44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7247.9</v>
      </c>
      <c r="M49" s="19">
        <v>7247.9</v>
      </c>
    </row>
    <row r="50" spans="1:13" s="20" customFormat="1" x14ac:dyDescent="0.25">
      <c r="A50" s="21" t="s">
        <v>3500</v>
      </c>
      <c r="B50" s="19"/>
      <c r="C50" s="19"/>
      <c r="D50" s="19"/>
      <c r="E50" s="19"/>
      <c r="F50" s="19"/>
      <c r="G50" s="19">
        <v>937.75</v>
      </c>
      <c r="H50" s="19"/>
      <c r="I50" s="19"/>
      <c r="J50" s="19"/>
      <c r="K50" s="19">
        <v>477.95</v>
      </c>
      <c r="L50" s="19"/>
      <c r="M50" s="19">
        <v>1415.7</v>
      </c>
    </row>
    <row r="51" spans="1:13" s="20" customFormat="1" x14ac:dyDescent="0.25">
      <c r="A51" s="21" t="s">
        <v>457</v>
      </c>
      <c r="B51" s="19"/>
      <c r="C51" s="19"/>
      <c r="D51" s="19">
        <v>665.5</v>
      </c>
      <c r="E51" s="19"/>
      <c r="F51" s="19"/>
      <c r="G51" s="19">
        <v>410</v>
      </c>
      <c r="H51" s="19"/>
      <c r="I51" s="19"/>
      <c r="J51" s="19"/>
      <c r="K51" s="19"/>
      <c r="L51" s="19"/>
      <c r="M51" s="19">
        <v>1075.5</v>
      </c>
    </row>
    <row r="52" spans="1:13" s="20" customFormat="1" x14ac:dyDescent="0.25">
      <c r="A52" s="21" t="s">
        <v>94</v>
      </c>
      <c r="B52" s="19"/>
      <c r="C52" s="19"/>
      <c r="D52" s="19"/>
      <c r="E52" s="19"/>
      <c r="F52" s="19"/>
      <c r="G52" s="19"/>
      <c r="H52" s="19"/>
      <c r="I52" s="19">
        <v>2420</v>
      </c>
      <c r="J52" s="19"/>
      <c r="K52" s="19"/>
      <c r="L52" s="19"/>
      <c r="M52" s="19">
        <v>2420</v>
      </c>
    </row>
    <row r="53" spans="1:13" s="20" customFormat="1" x14ac:dyDescent="0.25">
      <c r="A53" s="21" t="s">
        <v>5356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575</v>
      </c>
      <c r="L53" s="19"/>
      <c r="M53" s="19">
        <v>575</v>
      </c>
    </row>
    <row r="54" spans="1:13" s="20" customFormat="1" x14ac:dyDescent="0.25">
      <c r="A54" s="21" t="s">
        <v>3490</v>
      </c>
      <c r="B54" s="19"/>
      <c r="C54" s="19">
        <v>49733.91</v>
      </c>
      <c r="D54" s="19"/>
      <c r="E54" s="19"/>
      <c r="F54" s="19"/>
      <c r="G54" s="19"/>
      <c r="H54" s="19"/>
      <c r="I54" s="19"/>
      <c r="J54" s="19"/>
      <c r="K54" s="19"/>
      <c r="L54" s="19"/>
      <c r="M54" s="19">
        <v>49733.91</v>
      </c>
    </row>
    <row r="55" spans="1:13" s="20" customFormat="1" x14ac:dyDescent="0.25">
      <c r="A55" s="21" t="s">
        <v>2214</v>
      </c>
      <c r="B55" s="19"/>
      <c r="C55" s="19"/>
      <c r="D55" s="19"/>
      <c r="E55" s="19"/>
      <c r="F55" s="19">
        <v>6988.4000000000005</v>
      </c>
      <c r="G55" s="19">
        <v>907.5</v>
      </c>
      <c r="H55" s="19"/>
      <c r="I55" s="19"/>
      <c r="J55" s="19"/>
      <c r="K55" s="19"/>
      <c r="L55" s="19"/>
      <c r="M55" s="19">
        <v>7895.9000000000005</v>
      </c>
    </row>
    <row r="56" spans="1:13" s="20" customFormat="1" x14ac:dyDescent="0.25">
      <c r="A56" s="21" t="s">
        <v>5118</v>
      </c>
      <c r="B56" s="19"/>
      <c r="C56" s="19"/>
      <c r="D56" s="19"/>
      <c r="E56" s="19"/>
      <c r="F56" s="19"/>
      <c r="G56" s="19">
        <v>2500</v>
      </c>
      <c r="H56" s="19"/>
      <c r="I56" s="19"/>
      <c r="J56" s="19"/>
      <c r="K56" s="19"/>
      <c r="L56" s="19"/>
      <c r="M56" s="19">
        <v>2500</v>
      </c>
    </row>
    <row r="57" spans="1:13" s="20" customFormat="1" x14ac:dyDescent="0.25">
      <c r="A57" s="21" t="s">
        <v>1184</v>
      </c>
      <c r="B57" s="19"/>
      <c r="C57" s="19"/>
      <c r="D57" s="19"/>
      <c r="E57" s="19"/>
      <c r="F57" s="19"/>
      <c r="G57" s="19"/>
      <c r="H57" s="19"/>
      <c r="I57" s="19"/>
      <c r="J57" s="19">
        <v>4627.04</v>
      </c>
      <c r="K57" s="19"/>
      <c r="L57" s="19"/>
      <c r="M57" s="19">
        <v>4627.04</v>
      </c>
    </row>
    <row r="58" spans="1:13" s="20" customFormat="1" x14ac:dyDescent="0.25">
      <c r="A58" s="21" t="s">
        <v>487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1183.3800000000001</v>
      </c>
      <c r="L58" s="19"/>
      <c r="M58" s="19">
        <v>1183.3800000000001</v>
      </c>
    </row>
    <row r="59" spans="1:13" s="20" customFormat="1" x14ac:dyDescent="0.25">
      <c r="A59" s="21" t="s">
        <v>3827</v>
      </c>
      <c r="B59" s="19"/>
      <c r="C59" s="19"/>
      <c r="D59" s="19"/>
      <c r="E59" s="19"/>
      <c r="F59" s="19"/>
      <c r="G59" s="19">
        <v>2057</v>
      </c>
      <c r="H59" s="19"/>
      <c r="I59" s="19"/>
      <c r="J59" s="19"/>
      <c r="K59" s="19"/>
      <c r="L59" s="19"/>
      <c r="M59" s="19">
        <v>2057</v>
      </c>
    </row>
    <row r="60" spans="1:13" s="20" customFormat="1" x14ac:dyDescent="0.25">
      <c r="A60" s="21" t="s">
        <v>3830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100</v>
      </c>
      <c r="L60" s="19"/>
      <c r="M60" s="19">
        <v>100</v>
      </c>
    </row>
    <row r="61" spans="1:13" s="20" customFormat="1" x14ac:dyDescent="0.25">
      <c r="A61" s="21" t="s">
        <v>5487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48.4</v>
      </c>
      <c r="M61" s="19">
        <v>48.4</v>
      </c>
    </row>
    <row r="62" spans="1:13" s="20" customFormat="1" x14ac:dyDescent="0.25">
      <c r="A62" s="21" t="s">
        <v>32</v>
      </c>
      <c r="B62" s="19"/>
      <c r="C62" s="19"/>
      <c r="D62" s="19">
        <v>550</v>
      </c>
      <c r="E62" s="19"/>
      <c r="F62" s="19"/>
      <c r="G62" s="19"/>
      <c r="H62" s="19"/>
      <c r="I62" s="19"/>
      <c r="J62" s="19"/>
      <c r="K62" s="19"/>
      <c r="L62" s="19"/>
      <c r="M62" s="19">
        <v>550</v>
      </c>
    </row>
    <row r="63" spans="1:13" s="20" customFormat="1" x14ac:dyDescent="0.25">
      <c r="A63" s="21" t="s">
        <v>3832</v>
      </c>
      <c r="B63" s="19"/>
      <c r="C63" s="19"/>
      <c r="D63" s="19"/>
      <c r="E63" s="19"/>
      <c r="F63" s="19"/>
      <c r="G63" s="19">
        <v>4719</v>
      </c>
      <c r="H63" s="19"/>
      <c r="I63" s="19"/>
      <c r="J63" s="19"/>
      <c r="K63" s="19"/>
      <c r="L63" s="19"/>
      <c r="M63" s="19">
        <v>4719</v>
      </c>
    </row>
    <row r="64" spans="1:13" s="20" customFormat="1" x14ac:dyDescent="0.25">
      <c r="A64" s="21" t="s">
        <v>105</v>
      </c>
      <c r="B64" s="19">
        <v>7211.6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>
        <v>7211.6</v>
      </c>
    </row>
    <row r="65" spans="1:13" s="20" customFormat="1" x14ac:dyDescent="0.25">
      <c r="A65" s="21" t="s">
        <v>2042</v>
      </c>
      <c r="B65" s="19"/>
      <c r="C65" s="19"/>
      <c r="D65" s="19"/>
      <c r="E65" s="19"/>
      <c r="F65" s="19"/>
      <c r="G65" s="19">
        <v>7772.5</v>
      </c>
      <c r="H65" s="19"/>
      <c r="I65" s="19"/>
      <c r="J65" s="19"/>
      <c r="K65" s="19"/>
      <c r="L65" s="19"/>
      <c r="M65" s="19">
        <v>7772.5</v>
      </c>
    </row>
    <row r="66" spans="1:13" s="20" customFormat="1" x14ac:dyDescent="0.25">
      <c r="A66" s="21" t="s">
        <v>3835</v>
      </c>
      <c r="B66" s="19">
        <v>508.81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>
        <v>508.81</v>
      </c>
    </row>
    <row r="67" spans="1:13" s="20" customFormat="1" x14ac:dyDescent="0.25">
      <c r="A67" s="21" t="s">
        <v>3837</v>
      </c>
      <c r="B67" s="19"/>
      <c r="C67" s="19"/>
      <c r="D67" s="19"/>
      <c r="E67" s="19">
        <v>3972.43</v>
      </c>
      <c r="F67" s="19"/>
      <c r="G67" s="19"/>
      <c r="H67" s="19"/>
      <c r="I67" s="19"/>
      <c r="J67" s="19"/>
      <c r="K67" s="19"/>
      <c r="L67" s="19"/>
      <c r="M67" s="19">
        <v>3972.43</v>
      </c>
    </row>
    <row r="68" spans="1:13" s="20" customFormat="1" x14ac:dyDescent="0.25">
      <c r="A68" s="21" t="s">
        <v>1094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18150</v>
      </c>
      <c r="M68" s="19">
        <v>18150</v>
      </c>
    </row>
    <row r="69" spans="1:13" s="20" customFormat="1" x14ac:dyDescent="0.25">
      <c r="A69" s="21" t="s">
        <v>488</v>
      </c>
      <c r="B69" s="19"/>
      <c r="C69" s="19"/>
      <c r="D69" s="19">
        <v>919.6</v>
      </c>
      <c r="E69" s="19"/>
      <c r="F69" s="19"/>
      <c r="G69" s="19">
        <v>7260</v>
      </c>
      <c r="H69" s="19"/>
      <c r="I69" s="19"/>
      <c r="J69" s="19"/>
      <c r="K69" s="19"/>
      <c r="L69" s="19"/>
      <c r="M69" s="19">
        <v>8179.6</v>
      </c>
    </row>
    <row r="70" spans="1:13" s="20" customFormat="1" x14ac:dyDescent="0.25">
      <c r="A70" s="21" t="s">
        <v>3860</v>
      </c>
      <c r="B70" s="19"/>
      <c r="C70" s="19"/>
      <c r="D70" s="19"/>
      <c r="E70" s="19"/>
      <c r="F70" s="19"/>
      <c r="G70" s="19"/>
      <c r="H70" s="19">
        <v>16637.5</v>
      </c>
      <c r="I70" s="19"/>
      <c r="J70" s="19"/>
      <c r="K70" s="19"/>
      <c r="L70" s="19"/>
      <c r="M70" s="19">
        <v>16637.5</v>
      </c>
    </row>
    <row r="71" spans="1:13" s="20" customFormat="1" x14ac:dyDescent="0.25">
      <c r="A71" s="21" t="s">
        <v>3495</v>
      </c>
      <c r="B71" s="19"/>
      <c r="C71" s="19"/>
      <c r="D71" s="19">
        <v>461.17</v>
      </c>
      <c r="E71" s="19"/>
      <c r="F71" s="19"/>
      <c r="G71" s="19"/>
      <c r="H71" s="19"/>
      <c r="I71" s="19"/>
      <c r="J71" s="19"/>
      <c r="K71" s="19"/>
      <c r="L71" s="19"/>
      <c r="M71" s="19">
        <v>461.17</v>
      </c>
    </row>
    <row r="72" spans="1:13" s="20" customFormat="1" x14ac:dyDescent="0.25">
      <c r="A72" s="21" t="s">
        <v>2212</v>
      </c>
      <c r="B72" s="19"/>
      <c r="C72" s="19"/>
      <c r="D72" s="19"/>
      <c r="E72" s="19"/>
      <c r="F72" s="19"/>
      <c r="G72" s="19">
        <v>360</v>
      </c>
      <c r="H72" s="19"/>
      <c r="I72" s="19"/>
      <c r="J72" s="19"/>
      <c r="K72" s="19"/>
      <c r="L72" s="19"/>
      <c r="M72" s="19">
        <v>360</v>
      </c>
    </row>
    <row r="73" spans="1:13" s="20" customFormat="1" x14ac:dyDescent="0.25">
      <c r="A73" s="21" t="s">
        <v>39</v>
      </c>
      <c r="B73" s="19"/>
      <c r="C73" s="19"/>
      <c r="D73" s="19">
        <v>13376.410000000002</v>
      </c>
      <c r="E73" s="19"/>
      <c r="F73" s="19"/>
      <c r="G73" s="19">
        <v>3025</v>
      </c>
      <c r="H73" s="19">
        <v>2333.36</v>
      </c>
      <c r="I73" s="19"/>
      <c r="J73" s="19"/>
      <c r="K73" s="19"/>
      <c r="L73" s="19">
        <v>3518.64</v>
      </c>
      <c r="M73" s="19">
        <v>22253.410000000003</v>
      </c>
    </row>
    <row r="74" spans="1:13" s="20" customFormat="1" x14ac:dyDescent="0.25">
      <c r="A74" s="21" t="s">
        <v>15</v>
      </c>
      <c r="B74" s="19"/>
      <c r="C74" s="19"/>
      <c r="D74" s="19"/>
      <c r="E74" s="19"/>
      <c r="F74" s="19"/>
      <c r="G74" s="19"/>
      <c r="H74" s="19"/>
      <c r="I74" s="19"/>
      <c r="J74" s="19"/>
      <c r="K74" s="19">
        <v>10243.17</v>
      </c>
      <c r="L74" s="19"/>
      <c r="M74" s="19">
        <v>10243.17</v>
      </c>
    </row>
    <row r="75" spans="1:13" s="20" customFormat="1" x14ac:dyDescent="0.25">
      <c r="A75" s="21" t="s">
        <v>2560</v>
      </c>
      <c r="B75" s="19"/>
      <c r="C75" s="19"/>
      <c r="D75" s="19"/>
      <c r="E75" s="19"/>
      <c r="F75" s="19"/>
      <c r="G75" s="19">
        <v>300</v>
      </c>
      <c r="H75" s="19"/>
      <c r="I75" s="19"/>
      <c r="J75" s="19"/>
      <c r="K75" s="19"/>
      <c r="L75" s="19"/>
      <c r="M75" s="19">
        <v>300</v>
      </c>
    </row>
    <row r="76" spans="1:13" s="20" customFormat="1" x14ac:dyDescent="0.25">
      <c r="A76" s="21" t="s">
        <v>5349</v>
      </c>
      <c r="B76" s="19"/>
      <c r="C76" s="19"/>
      <c r="D76" s="19">
        <v>400</v>
      </c>
      <c r="E76" s="19"/>
      <c r="F76" s="19"/>
      <c r="G76" s="19"/>
      <c r="H76" s="19"/>
      <c r="I76" s="19"/>
      <c r="J76" s="19"/>
      <c r="K76" s="19"/>
      <c r="L76" s="19"/>
      <c r="M76" s="19">
        <v>400</v>
      </c>
    </row>
    <row r="77" spans="1:13" s="20" customFormat="1" x14ac:dyDescent="0.25">
      <c r="A77" s="21" t="s">
        <v>475</v>
      </c>
      <c r="B77" s="19"/>
      <c r="C77" s="19"/>
      <c r="D77" s="19">
        <v>900</v>
      </c>
      <c r="E77" s="19"/>
      <c r="F77" s="19"/>
      <c r="G77" s="19"/>
      <c r="H77" s="19"/>
      <c r="I77" s="19"/>
      <c r="J77" s="19"/>
      <c r="K77" s="19"/>
      <c r="L77" s="19"/>
      <c r="M77" s="19">
        <v>900</v>
      </c>
    </row>
    <row r="78" spans="1:13" s="20" customFormat="1" ht="25.5" x14ac:dyDescent="0.25">
      <c r="A78" s="21" t="s">
        <v>3509</v>
      </c>
      <c r="B78" s="19"/>
      <c r="C78" s="19"/>
      <c r="D78" s="19"/>
      <c r="E78" s="19"/>
      <c r="F78" s="19"/>
      <c r="G78" s="19">
        <v>500</v>
      </c>
      <c r="H78" s="19"/>
      <c r="I78" s="19"/>
      <c r="J78" s="19"/>
      <c r="K78" s="19"/>
      <c r="L78" s="19"/>
      <c r="M78" s="19">
        <v>500</v>
      </c>
    </row>
    <row r="79" spans="1:13" s="20" customFormat="1" x14ac:dyDescent="0.25">
      <c r="A79" s="21" t="s">
        <v>3043</v>
      </c>
      <c r="B79" s="19"/>
      <c r="C79" s="19"/>
      <c r="D79" s="19">
        <v>258</v>
      </c>
      <c r="E79" s="19"/>
      <c r="F79" s="19"/>
      <c r="G79" s="19"/>
      <c r="H79" s="19"/>
      <c r="I79" s="19"/>
      <c r="J79" s="19"/>
      <c r="K79" s="19"/>
      <c r="L79" s="19"/>
      <c r="M79" s="19">
        <v>258</v>
      </c>
    </row>
    <row r="80" spans="1:13" s="20" customFormat="1" x14ac:dyDescent="0.25">
      <c r="A80" s="21" t="s">
        <v>3873</v>
      </c>
      <c r="B80" s="19"/>
      <c r="C80" s="19"/>
      <c r="D80" s="19"/>
      <c r="E80" s="19"/>
      <c r="F80" s="19"/>
      <c r="G80" s="19"/>
      <c r="H80" s="19">
        <v>11979</v>
      </c>
      <c r="I80" s="19"/>
      <c r="J80" s="19"/>
      <c r="K80" s="19"/>
      <c r="L80" s="19"/>
      <c r="M80" s="19">
        <v>11979</v>
      </c>
    </row>
    <row r="81" spans="1:13" s="20" customFormat="1" x14ac:dyDescent="0.25">
      <c r="A81" s="21" t="s">
        <v>2362</v>
      </c>
      <c r="B81" s="19"/>
      <c r="C81" s="19"/>
      <c r="D81" s="19">
        <v>450</v>
      </c>
      <c r="E81" s="19"/>
      <c r="F81" s="19"/>
      <c r="G81" s="19"/>
      <c r="H81" s="19"/>
      <c r="I81" s="19"/>
      <c r="J81" s="19"/>
      <c r="K81" s="19"/>
      <c r="L81" s="19"/>
      <c r="M81" s="19">
        <v>450</v>
      </c>
    </row>
    <row r="82" spans="1:13" s="20" customFormat="1" x14ac:dyDescent="0.25">
      <c r="A82" s="21" t="s">
        <v>2564</v>
      </c>
      <c r="B82" s="19"/>
      <c r="C82" s="19"/>
      <c r="D82" s="19"/>
      <c r="E82" s="19"/>
      <c r="F82" s="19"/>
      <c r="G82" s="19">
        <v>1000</v>
      </c>
      <c r="H82" s="19"/>
      <c r="I82" s="19"/>
      <c r="J82" s="19"/>
      <c r="K82" s="19"/>
      <c r="L82" s="19"/>
      <c r="M82" s="19">
        <v>1000</v>
      </c>
    </row>
    <row r="83" spans="1:13" s="20" customFormat="1" x14ac:dyDescent="0.25">
      <c r="A83" s="21" t="s">
        <v>3875</v>
      </c>
      <c r="B83" s="19"/>
      <c r="C83" s="19"/>
      <c r="D83" s="19"/>
      <c r="E83" s="19"/>
      <c r="F83" s="19"/>
      <c r="G83" s="19"/>
      <c r="H83" s="19"/>
      <c r="I83" s="19"/>
      <c r="J83" s="19">
        <v>1500</v>
      </c>
      <c r="K83" s="19"/>
      <c r="L83" s="19"/>
      <c r="M83" s="19">
        <v>1500</v>
      </c>
    </row>
    <row r="84" spans="1:13" s="20" customFormat="1" x14ac:dyDescent="0.25">
      <c r="A84" s="21" t="s">
        <v>2220</v>
      </c>
      <c r="B84" s="19"/>
      <c r="C84" s="19"/>
      <c r="D84" s="19">
        <v>500</v>
      </c>
      <c r="E84" s="19"/>
      <c r="F84" s="19"/>
      <c r="G84" s="19"/>
      <c r="H84" s="19"/>
      <c r="I84" s="19"/>
      <c r="J84" s="19"/>
      <c r="K84" s="19"/>
      <c r="L84" s="19"/>
      <c r="M84" s="19">
        <v>500</v>
      </c>
    </row>
    <row r="85" spans="1:13" s="20" customFormat="1" x14ac:dyDescent="0.25">
      <c r="A85" s="21" t="s">
        <v>2222</v>
      </c>
      <c r="B85" s="19"/>
      <c r="C85" s="19"/>
      <c r="D85" s="19">
        <v>200</v>
      </c>
      <c r="E85" s="19"/>
      <c r="F85" s="19"/>
      <c r="G85" s="19"/>
      <c r="H85" s="19"/>
      <c r="I85" s="19"/>
      <c r="J85" s="19"/>
      <c r="K85" s="19"/>
      <c r="L85" s="19"/>
      <c r="M85" s="19">
        <v>200</v>
      </c>
    </row>
    <row r="86" spans="1:13" s="20" customFormat="1" x14ac:dyDescent="0.25">
      <c r="A86" s="21" t="s">
        <v>3045</v>
      </c>
      <c r="B86" s="19"/>
      <c r="C86" s="19"/>
      <c r="D86" s="19">
        <v>300</v>
      </c>
      <c r="E86" s="19"/>
      <c r="F86" s="19"/>
      <c r="G86" s="19"/>
      <c r="H86" s="19"/>
      <c r="I86" s="19"/>
      <c r="J86" s="19"/>
      <c r="K86" s="19"/>
      <c r="L86" s="19"/>
      <c r="M86" s="19">
        <v>300</v>
      </c>
    </row>
    <row r="87" spans="1:13" s="20" customFormat="1" x14ac:dyDescent="0.25">
      <c r="A87" s="21" t="s">
        <v>3878</v>
      </c>
      <c r="B87" s="19"/>
      <c r="C87" s="19"/>
      <c r="D87" s="19"/>
      <c r="E87" s="19"/>
      <c r="F87" s="19"/>
      <c r="G87" s="19"/>
      <c r="H87" s="19"/>
      <c r="I87" s="19"/>
      <c r="J87" s="19"/>
      <c r="K87" s="19">
        <v>1902.6</v>
      </c>
      <c r="L87" s="19"/>
      <c r="M87" s="19">
        <v>1902.6</v>
      </c>
    </row>
    <row r="88" spans="1:13" s="20" customFormat="1" x14ac:dyDescent="0.25">
      <c r="A88" s="21" t="s">
        <v>3880</v>
      </c>
      <c r="B88" s="19"/>
      <c r="C88" s="19"/>
      <c r="D88" s="19">
        <v>450</v>
      </c>
      <c r="E88" s="19"/>
      <c r="F88" s="19"/>
      <c r="G88" s="19"/>
      <c r="H88" s="19"/>
      <c r="I88" s="19"/>
      <c r="J88" s="19"/>
      <c r="K88" s="19"/>
      <c r="L88" s="19"/>
      <c r="M88" s="19">
        <v>450</v>
      </c>
    </row>
    <row r="89" spans="1:13" s="20" customFormat="1" x14ac:dyDescent="0.25">
      <c r="A89" s="21" t="s">
        <v>3136</v>
      </c>
      <c r="B89" s="19"/>
      <c r="C89" s="19"/>
      <c r="D89" s="19"/>
      <c r="E89" s="19"/>
      <c r="F89" s="19"/>
      <c r="G89" s="19">
        <v>400</v>
      </c>
      <c r="H89" s="19"/>
      <c r="I89" s="19"/>
      <c r="J89" s="19"/>
      <c r="K89" s="19"/>
      <c r="L89" s="19"/>
      <c r="M89" s="19">
        <v>400</v>
      </c>
    </row>
    <row r="90" spans="1:13" s="20" customFormat="1" x14ac:dyDescent="0.25">
      <c r="A90" s="21" t="s">
        <v>110</v>
      </c>
      <c r="B90" s="19"/>
      <c r="C90" s="19"/>
      <c r="D90" s="19"/>
      <c r="E90" s="19"/>
      <c r="F90" s="19"/>
      <c r="G90" s="19">
        <v>136</v>
      </c>
      <c r="H90" s="19"/>
      <c r="I90" s="19"/>
      <c r="J90" s="19"/>
      <c r="K90" s="19"/>
      <c r="L90" s="19"/>
      <c r="M90" s="19">
        <v>136</v>
      </c>
    </row>
    <row r="91" spans="1:13" s="20" customFormat="1" x14ac:dyDescent="0.25">
      <c r="A91" s="21" t="s">
        <v>2224</v>
      </c>
      <c r="B91" s="19"/>
      <c r="C91" s="19"/>
      <c r="D91" s="19">
        <v>1150</v>
      </c>
      <c r="E91" s="19"/>
      <c r="F91" s="19"/>
      <c r="G91" s="19"/>
      <c r="H91" s="19"/>
      <c r="I91" s="19"/>
      <c r="J91" s="19"/>
      <c r="K91" s="19"/>
      <c r="L91" s="19"/>
      <c r="M91" s="19">
        <v>1150</v>
      </c>
    </row>
    <row r="92" spans="1:13" s="20" customFormat="1" x14ac:dyDescent="0.25">
      <c r="A92" s="21" t="s">
        <v>3047</v>
      </c>
      <c r="B92" s="19"/>
      <c r="C92" s="19"/>
      <c r="D92" s="19"/>
      <c r="E92" s="19"/>
      <c r="F92" s="19"/>
      <c r="G92" s="19">
        <v>500</v>
      </c>
      <c r="H92" s="19"/>
      <c r="I92" s="19"/>
      <c r="J92" s="19"/>
      <c r="K92" s="19"/>
      <c r="L92" s="19"/>
      <c r="M92" s="19">
        <v>500</v>
      </c>
    </row>
    <row r="93" spans="1:13" s="20" customFormat="1" x14ac:dyDescent="0.25">
      <c r="A93" s="21" t="s">
        <v>1629</v>
      </c>
      <c r="B93" s="19"/>
      <c r="C93" s="19"/>
      <c r="D93" s="19">
        <v>1500</v>
      </c>
      <c r="E93" s="19"/>
      <c r="F93" s="19"/>
      <c r="G93" s="19"/>
      <c r="H93" s="19"/>
      <c r="I93" s="19"/>
      <c r="J93" s="19"/>
      <c r="K93" s="19"/>
      <c r="L93" s="19"/>
      <c r="M93" s="19">
        <v>1500</v>
      </c>
    </row>
    <row r="94" spans="1:13" s="20" customFormat="1" x14ac:dyDescent="0.25">
      <c r="A94" s="21" t="s">
        <v>3049</v>
      </c>
      <c r="B94" s="19"/>
      <c r="C94" s="19"/>
      <c r="D94" s="19"/>
      <c r="E94" s="19"/>
      <c r="F94" s="19"/>
      <c r="G94" s="19"/>
      <c r="H94" s="19"/>
      <c r="I94" s="19"/>
      <c r="J94" s="19"/>
      <c r="K94" s="19">
        <v>2036.5</v>
      </c>
      <c r="L94" s="19"/>
      <c r="M94" s="19">
        <v>2036.5</v>
      </c>
    </row>
    <row r="95" spans="1:13" s="20" customFormat="1" ht="25.5" x14ac:dyDescent="0.25">
      <c r="A95" s="21" t="s">
        <v>2948</v>
      </c>
      <c r="B95" s="19"/>
      <c r="C95" s="19"/>
      <c r="D95" s="19">
        <v>0</v>
      </c>
      <c r="E95" s="19"/>
      <c r="F95" s="19"/>
      <c r="G95" s="19"/>
      <c r="H95" s="19"/>
      <c r="I95" s="19"/>
      <c r="J95" s="19"/>
      <c r="K95" s="19"/>
      <c r="L95" s="19"/>
      <c r="M95" s="19">
        <v>0</v>
      </c>
    </row>
    <row r="96" spans="1:13" s="20" customFormat="1" ht="25.5" x14ac:dyDescent="0.25">
      <c r="A96" s="21" t="s">
        <v>3884</v>
      </c>
      <c r="B96" s="19"/>
      <c r="C96" s="19"/>
      <c r="D96" s="19"/>
      <c r="E96" s="19"/>
      <c r="F96" s="19"/>
      <c r="G96" s="19">
        <v>50</v>
      </c>
      <c r="H96" s="19"/>
      <c r="I96" s="19"/>
      <c r="J96" s="19"/>
      <c r="K96" s="19"/>
      <c r="L96" s="19"/>
      <c r="M96" s="19">
        <v>50</v>
      </c>
    </row>
    <row r="97" spans="1:13" s="20" customFormat="1" x14ac:dyDescent="0.25">
      <c r="A97" s="21" t="s">
        <v>3886</v>
      </c>
      <c r="B97" s="19"/>
      <c r="C97" s="19"/>
      <c r="D97" s="19">
        <v>1000</v>
      </c>
      <c r="E97" s="19"/>
      <c r="F97" s="19"/>
      <c r="G97" s="19"/>
      <c r="H97" s="19"/>
      <c r="I97" s="19"/>
      <c r="J97" s="19"/>
      <c r="K97" s="19"/>
      <c r="L97" s="19"/>
      <c r="M97" s="19">
        <v>1000</v>
      </c>
    </row>
    <row r="98" spans="1:13" s="20" customFormat="1" x14ac:dyDescent="0.25">
      <c r="A98" s="21" t="s">
        <v>3888</v>
      </c>
      <c r="B98" s="19"/>
      <c r="C98" s="19"/>
      <c r="D98" s="19"/>
      <c r="E98" s="19"/>
      <c r="F98" s="19"/>
      <c r="G98" s="19">
        <v>675</v>
      </c>
      <c r="H98" s="19"/>
      <c r="I98" s="19"/>
      <c r="J98" s="19"/>
      <c r="K98" s="19"/>
      <c r="L98" s="19"/>
      <c r="M98" s="19">
        <v>675</v>
      </c>
    </row>
    <row r="99" spans="1:13" s="20" customFormat="1" ht="25.5" x14ac:dyDescent="0.25">
      <c r="A99" s="21" t="s">
        <v>458</v>
      </c>
      <c r="B99" s="19"/>
      <c r="C99" s="19"/>
      <c r="D99" s="19">
        <v>726</v>
      </c>
      <c r="E99" s="19"/>
      <c r="F99" s="19"/>
      <c r="G99" s="19">
        <v>2900</v>
      </c>
      <c r="H99" s="19"/>
      <c r="I99" s="19"/>
      <c r="J99" s="19"/>
      <c r="K99" s="19"/>
      <c r="L99" s="19"/>
      <c r="M99" s="19">
        <v>3626</v>
      </c>
    </row>
    <row r="100" spans="1:13" s="20" customFormat="1" x14ac:dyDescent="0.25">
      <c r="A100" s="21" t="s">
        <v>3051</v>
      </c>
      <c r="B100" s="19"/>
      <c r="C100" s="19"/>
      <c r="D100" s="19">
        <v>550</v>
      </c>
      <c r="E100" s="19"/>
      <c r="F100" s="19"/>
      <c r="G100" s="19"/>
      <c r="H100" s="19"/>
      <c r="I100" s="19"/>
      <c r="J100" s="19"/>
      <c r="K100" s="19">
        <v>350</v>
      </c>
      <c r="L100" s="19"/>
      <c r="M100" s="19">
        <v>900</v>
      </c>
    </row>
    <row r="101" spans="1:13" s="20" customFormat="1" x14ac:dyDescent="0.25">
      <c r="A101" s="21" t="s">
        <v>3900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>
        <v>193.44</v>
      </c>
      <c r="M101" s="19">
        <v>193.44</v>
      </c>
    </row>
    <row r="102" spans="1:13" s="20" customFormat="1" x14ac:dyDescent="0.25">
      <c r="A102" s="21" t="s">
        <v>1940</v>
      </c>
      <c r="B102" s="19"/>
      <c r="C102" s="19"/>
      <c r="D102" s="19"/>
      <c r="E102" s="19"/>
      <c r="F102" s="19">
        <v>18149.990000000002</v>
      </c>
      <c r="G102" s="19"/>
      <c r="H102" s="19"/>
      <c r="I102" s="19"/>
      <c r="J102" s="19"/>
      <c r="K102" s="19"/>
      <c r="L102" s="19"/>
      <c r="M102" s="19">
        <v>18149.990000000002</v>
      </c>
    </row>
    <row r="103" spans="1:13" s="20" customFormat="1" x14ac:dyDescent="0.25">
      <c r="A103" s="21" t="s">
        <v>3904</v>
      </c>
      <c r="B103" s="19"/>
      <c r="C103" s="19"/>
      <c r="D103" s="19"/>
      <c r="E103" s="19"/>
      <c r="F103" s="19">
        <v>653.4</v>
      </c>
      <c r="G103" s="19"/>
      <c r="H103" s="19"/>
      <c r="I103" s="19"/>
      <c r="J103" s="19"/>
      <c r="K103" s="19"/>
      <c r="L103" s="19"/>
      <c r="M103" s="19">
        <v>653.4</v>
      </c>
    </row>
    <row r="104" spans="1:13" s="20" customFormat="1" x14ac:dyDescent="0.25">
      <c r="A104" s="21" t="s">
        <v>991</v>
      </c>
      <c r="B104" s="19"/>
      <c r="C104" s="19"/>
      <c r="D104" s="19">
        <v>7213.31</v>
      </c>
      <c r="E104" s="19"/>
      <c r="F104" s="19"/>
      <c r="G104" s="19">
        <v>377.52</v>
      </c>
      <c r="H104" s="19"/>
      <c r="I104" s="19"/>
      <c r="J104" s="19"/>
      <c r="K104" s="19"/>
      <c r="L104" s="19"/>
      <c r="M104" s="19">
        <v>7590.83</v>
      </c>
    </row>
    <row r="105" spans="1:13" s="20" customFormat="1" x14ac:dyDescent="0.25">
      <c r="A105" s="21" t="s">
        <v>386</v>
      </c>
      <c r="B105" s="19"/>
      <c r="C105" s="19"/>
      <c r="D105" s="19"/>
      <c r="E105" s="19"/>
      <c r="F105" s="19">
        <v>800.42</v>
      </c>
      <c r="G105" s="19">
        <v>1210</v>
      </c>
      <c r="H105" s="19"/>
      <c r="I105" s="19"/>
      <c r="J105" s="19"/>
      <c r="K105" s="19"/>
      <c r="L105" s="19">
        <v>5926.58</v>
      </c>
      <c r="M105" s="19">
        <v>7937</v>
      </c>
    </row>
    <row r="106" spans="1:13" s="20" customFormat="1" x14ac:dyDescent="0.25">
      <c r="A106" s="21" t="s">
        <v>2873</v>
      </c>
      <c r="B106" s="19"/>
      <c r="C106" s="19"/>
      <c r="D106" s="19"/>
      <c r="E106" s="19"/>
      <c r="F106" s="19"/>
      <c r="G106" s="19">
        <v>620</v>
      </c>
      <c r="H106" s="19"/>
      <c r="I106" s="19"/>
      <c r="J106" s="19"/>
      <c r="K106" s="19"/>
      <c r="L106" s="19"/>
      <c r="M106" s="19">
        <v>620</v>
      </c>
    </row>
    <row r="107" spans="1:13" s="20" customFormat="1" x14ac:dyDescent="0.25">
      <c r="A107" s="21" t="s">
        <v>3913</v>
      </c>
      <c r="B107" s="19"/>
      <c r="C107" s="19"/>
      <c r="D107" s="19"/>
      <c r="E107" s="19"/>
      <c r="F107" s="19"/>
      <c r="G107" s="19">
        <v>3652</v>
      </c>
      <c r="H107" s="19"/>
      <c r="I107" s="19"/>
      <c r="J107" s="19"/>
      <c r="K107" s="19">
        <v>1045</v>
      </c>
      <c r="L107" s="19"/>
      <c r="M107" s="19">
        <v>4697</v>
      </c>
    </row>
    <row r="108" spans="1:13" s="20" customFormat="1" x14ac:dyDescent="0.25">
      <c r="A108" s="21" t="s">
        <v>3923</v>
      </c>
      <c r="B108" s="19"/>
      <c r="C108" s="19"/>
      <c r="D108" s="19"/>
      <c r="E108" s="19"/>
      <c r="F108" s="19"/>
      <c r="G108" s="19"/>
      <c r="H108" s="19"/>
      <c r="I108" s="19">
        <v>1660.48</v>
      </c>
      <c r="J108" s="19"/>
      <c r="K108" s="19"/>
      <c r="L108" s="19"/>
      <c r="M108" s="19">
        <v>1660.48</v>
      </c>
    </row>
    <row r="109" spans="1:13" s="20" customFormat="1" x14ac:dyDescent="0.25">
      <c r="A109" s="21" t="s">
        <v>3038</v>
      </c>
      <c r="B109" s="19"/>
      <c r="C109" s="19"/>
      <c r="D109" s="19"/>
      <c r="E109" s="19"/>
      <c r="F109" s="19"/>
      <c r="G109" s="19">
        <v>214.17</v>
      </c>
      <c r="H109" s="19"/>
      <c r="I109" s="19"/>
      <c r="J109" s="19"/>
      <c r="K109" s="19"/>
      <c r="L109" s="19"/>
      <c r="M109" s="19">
        <v>214.17</v>
      </c>
    </row>
    <row r="110" spans="1:13" s="20" customFormat="1" x14ac:dyDescent="0.25">
      <c r="A110" s="21" t="s">
        <v>3925</v>
      </c>
      <c r="B110" s="19"/>
      <c r="C110" s="19"/>
      <c r="D110" s="19"/>
      <c r="E110" s="19">
        <v>561.59</v>
      </c>
      <c r="F110" s="19"/>
      <c r="G110" s="19"/>
      <c r="H110" s="19"/>
      <c r="I110" s="19"/>
      <c r="J110" s="19"/>
      <c r="K110" s="19"/>
      <c r="L110" s="19"/>
      <c r="M110" s="19">
        <v>561.59</v>
      </c>
    </row>
    <row r="111" spans="1:13" s="20" customFormat="1" x14ac:dyDescent="0.25">
      <c r="A111" s="21" t="s">
        <v>420</v>
      </c>
      <c r="B111" s="19"/>
      <c r="C111" s="19"/>
      <c r="D111" s="19"/>
      <c r="E111" s="19"/>
      <c r="F111" s="19"/>
      <c r="G111" s="19"/>
      <c r="H111" s="19"/>
      <c r="I111" s="19"/>
      <c r="J111" s="19">
        <v>2634.77</v>
      </c>
      <c r="K111" s="19"/>
      <c r="L111" s="19"/>
      <c r="M111" s="19">
        <v>2634.77</v>
      </c>
    </row>
    <row r="112" spans="1:13" s="20" customFormat="1" x14ac:dyDescent="0.25">
      <c r="A112" s="21" t="s">
        <v>119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4000</v>
      </c>
      <c r="M112" s="19">
        <v>4000</v>
      </c>
    </row>
    <row r="113" spans="1:13" s="20" customFormat="1" x14ac:dyDescent="0.25">
      <c r="A113" s="21" t="s">
        <v>1686</v>
      </c>
      <c r="B113" s="19"/>
      <c r="C113" s="19"/>
      <c r="D113" s="19"/>
      <c r="E113" s="19"/>
      <c r="F113" s="19"/>
      <c r="G113" s="19"/>
      <c r="H113" s="19"/>
      <c r="I113" s="19"/>
      <c r="J113" s="19">
        <v>1385.45</v>
      </c>
      <c r="K113" s="19"/>
      <c r="L113" s="19"/>
      <c r="M113" s="19">
        <v>1385.45</v>
      </c>
    </row>
    <row r="114" spans="1:13" s="20" customFormat="1" x14ac:dyDescent="0.25">
      <c r="A114" s="21" t="s">
        <v>468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>
        <v>8355.0499999999993</v>
      </c>
      <c r="M114" s="19">
        <v>8355.0499999999993</v>
      </c>
    </row>
    <row r="115" spans="1:13" s="20" customFormat="1" x14ac:dyDescent="0.25">
      <c r="A115" s="21" t="s">
        <v>460</v>
      </c>
      <c r="B115" s="19"/>
      <c r="C115" s="19"/>
      <c r="D115" s="19"/>
      <c r="E115" s="19"/>
      <c r="F115" s="19"/>
      <c r="G115" s="19">
        <v>401</v>
      </c>
      <c r="H115" s="19"/>
      <c r="I115" s="19"/>
      <c r="J115" s="19"/>
      <c r="K115" s="19"/>
      <c r="L115" s="19"/>
      <c r="M115" s="19">
        <v>401</v>
      </c>
    </row>
    <row r="116" spans="1:13" s="20" customFormat="1" x14ac:dyDescent="0.25">
      <c r="A116" s="21" t="s">
        <v>2216</v>
      </c>
      <c r="B116" s="19"/>
      <c r="C116" s="19"/>
      <c r="D116" s="19"/>
      <c r="E116" s="19">
        <v>4885.3599999999997</v>
      </c>
      <c r="F116" s="19"/>
      <c r="G116" s="19"/>
      <c r="H116" s="19"/>
      <c r="I116" s="19"/>
      <c r="J116" s="19">
        <v>575.08999999999992</v>
      </c>
      <c r="K116" s="19"/>
      <c r="L116" s="19"/>
      <c r="M116" s="19">
        <v>5460.45</v>
      </c>
    </row>
    <row r="117" spans="1:13" s="20" customFormat="1" x14ac:dyDescent="0.25">
      <c r="A117" s="21" t="s">
        <v>1019</v>
      </c>
      <c r="B117" s="19"/>
      <c r="C117" s="19"/>
      <c r="D117" s="19"/>
      <c r="E117" s="19">
        <v>7246.69</v>
      </c>
      <c r="F117" s="19"/>
      <c r="G117" s="19"/>
      <c r="H117" s="19"/>
      <c r="I117" s="19"/>
      <c r="J117" s="19"/>
      <c r="K117" s="19"/>
      <c r="L117" s="19"/>
      <c r="M117" s="19">
        <v>7246.69</v>
      </c>
    </row>
    <row r="118" spans="1:13" s="20" customFormat="1" x14ac:dyDescent="0.25">
      <c r="A118" s="21" t="s">
        <v>387</v>
      </c>
      <c r="B118" s="19"/>
      <c r="C118" s="19"/>
      <c r="D118" s="19"/>
      <c r="E118" s="19">
        <v>18000</v>
      </c>
      <c r="F118" s="19"/>
      <c r="G118" s="19"/>
      <c r="H118" s="19"/>
      <c r="I118" s="19"/>
      <c r="J118" s="19"/>
      <c r="K118" s="19"/>
      <c r="L118" s="19"/>
      <c r="M118" s="19">
        <v>18000</v>
      </c>
    </row>
    <row r="119" spans="1:13" s="20" customFormat="1" x14ac:dyDescent="0.25">
      <c r="A119" s="21" t="s">
        <v>3927</v>
      </c>
      <c r="B119" s="19"/>
      <c r="C119" s="19"/>
      <c r="D119" s="19"/>
      <c r="E119" s="19"/>
      <c r="F119" s="19"/>
      <c r="G119" s="19">
        <v>1888.21</v>
      </c>
      <c r="H119" s="19"/>
      <c r="I119" s="19"/>
      <c r="J119" s="19"/>
      <c r="K119" s="19"/>
      <c r="L119" s="19">
        <v>1393.92</v>
      </c>
      <c r="M119" s="19">
        <v>3282.13</v>
      </c>
    </row>
    <row r="120" spans="1:13" s="20" customFormat="1" x14ac:dyDescent="0.25">
      <c r="A120" s="21" t="s">
        <v>1189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>
        <v>9498.5</v>
      </c>
      <c r="L120" s="19"/>
      <c r="M120" s="19">
        <v>9498.5</v>
      </c>
    </row>
    <row r="121" spans="1:13" s="20" customFormat="1" x14ac:dyDescent="0.25">
      <c r="A121" s="21" t="s">
        <v>1638</v>
      </c>
      <c r="B121" s="19"/>
      <c r="C121" s="19"/>
      <c r="D121" s="19">
        <v>251.68</v>
      </c>
      <c r="E121" s="19"/>
      <c r="F121" s="19"/>
      <c r="G121" s="19"/>
      <c r="H121" s="19"/>
      <c r="I121" s="19"/>
      <c r="J121" s="19"/>
      <c r="K121" s="19"/>
      <c r="L121" s="19"/>
      <c r="M121" s="19">
        <v>251.68</v>
      </c>
    </row>
    <row r="122" spans="1:13" s="20" customFormat="1" x14ac:dyDescent="0.25">
      <c r="A122" s="21" t="s">
        <v>2266</v>
      </c>
      <c r="B122" s="19"/>
      <c r="C122" s="19"/>
      <c r="D122" s="19"/>
      <c r="E122" s="19"/>
      <c r="F122" s="19"/>
      <c r="G122" s="19">
        <v>4010.47</v>
      </c>
      <c r="H122" s="19"/>
      <c r="I122" s="19"/>
      <c r="J122" s="19"/>
      <c r="K122" s="19"/>
      <c r="L122" s="19"/>
      <c r="M122" s="19">
        <v>4010.47</v>
      </c>
    </row>
    <row r="123" spans="1:13" s="20" customFormat="1" x14ac:dyDescent="0.25">
      <c r="A123" s="21" t="s">
        <v>1689</v>
      </c>
      <c r="B123" s="19"/>
      <c r="C123" s="19"/>
      <c r="D123" s="19">
        <v>3300</v>
      </c>
      <c r="E123" s="19"/>
      <c r="F123" s="19"/>
      <c r="G123" s="19">
        <v>2925</v>
      </c>
      <c r="H123" s="19"/>
      <c r="I123" s="19"/>
      <c r="J123" s="19"/>
      <c r="K123" s="19"/>
      <c r="L123" s="19"/>
      <c r="M123" s="19">
        <v>6225</v>
      </c>
    </row>
    <row r="124" spans="1:13" s="20" customFormat="1" x14ac:dyDescent="0.25">
      <c r="A124" s="21" t="s">
        <v>489</v>
      </c>
      <c r="B124" s="19"/>
      <c r="C124" s="19"/>
      <c r="D124" s="19">
        <v>705.43</v>
      </c>
      <c r="E124" s="19"/>
      <c r="F124" s="19"/>
      <c r="G124" s="19"/>
      <c r="H124" s="19"/>
      <c r="I124" s="19"/>
      <c r="J124" s="19"/>
      <c r="K124" s="19"/>
      <c r="L124" s="19"/>
      <c r="M124" s="19">
        <v>705.43</v>
      </c>
    </row>
    <row r="125" spans="1:13" s="20" customFormat="1" x14ac:dyDescent="0.25">
      <c r="A125" s="21" t="s">
        <v>113</v>
      </c>
      <c r="B125" s="19"/>
      <c r="C125" s="19"/>
      <c r="D125" s="19">
        <v>746.66000000000008</v>
      </c>
      <c r="E125" s="19"/>
      <c r="F125" s="19"/>
      <c r="G125" s="19"/>
      <c r="H125" s="19"/>
      <c r="I125" s="19"/>
      <c r="J125" s="19"/>
      <c r="K125" s="19"/>
      <c r="L125" s="19"/>
      <c r="M125" s="19">
        <v>746.66000000000008</v>
      </c>
    </row>
    <row r="126" spans="1:13" s="20" customFormat="1" x14ac:dyDescent="0.25">
      <c r="A126" s="21" t="s">
        <v>2394</v>
      </c>
      <c r="B126" s="19"/>
      <c r="C126" s="19"/>
      <c r="D126" s="19"/>
      <c r="E126" s="19">
        <v>978.72</v>
      </c>
      <c r="F126" s="19"/>
      <c r="G126" s="19">
        <v>2461.14</v>
      </c>
      <c r="H126" s="19"/>
      <c r="I126" s="19"/>
      <c r="J126" s="19"/>
      <c r="K126" s="19"/>
      <c r="L126" s="19"/>
      <c r="M126" s="19">
        <v>3439.8599999999997</v>
      </c>
    </row>
    <row r="127" spans="1:13" s="20" customFormat="1" x14ac:dyDescent="0.25">
      <c r="A127" s="21" t="s">
        <v>120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>
        <v>2937.82</v>
      </c>
      <c r="L127" s="19">
        <v>6255.7</v>
      </c>
      <c r="M127" s="19">
        <v>9193.52</v>
      </c>
    </row>
    <row r="128" spans="1:13" s="20" customFormat="1" x14ac:dyDescent="0.25">
      <c r="A128" s="21" t="s">
        <v>1192</v>
      </c>
      <c r="B128" s="19"/>
      <c r="C128" s="19"/>
      <c r="D128" s="19"/>
      <c r="E128" s="19"/>
      <c r="F128" s="19"/>
      <c r="G128" s="19">
        <v>363</v>
      </c>
      <c r="H128" s="19"/>
      <c r="I128" s="19"/>
      <c r="J128" s="19"/>
      <c r="K128" s="19"/>
      <c r="L128" s="19"/>
      <c r="M128" s="19">
        <v>363</v>
      </c>
    </row>
    <row r="129" spans="1:13" s="20" customFormat="1" x14ac:dyDescent="0.25">
      <c r="A129" s="21" t="s">
        <v>388</v>
      </c>
      <c r="B129" s="19"/>
      <c r="C129" s="19"/>
      <c r="D129" s="19"/>
      <c r="E129" s="19"/>
      <c r="F129" s="19"/>
      <c r="G129" s="19"/>
      <c r="H129" s="19"/>
      <c r="I129" s="19">
        <v>7260</v>
      </c>
      <c r="J129" s="19"/>
      <c r="K129" s="19"/>
      <c r="L129" s="19"/>
      <c r="M129" s="19">
        <v>7260</v>
      </c>
    </row>
    <row r="130" spans="1:13" s="20" customFormat="1" x14ac:dyDescent="0.25">
      <c r="A130" s="21" t="s">
        <v>118</v>
      </c>
      <c r="B130" s="19"/>
      <c r="C130" s="19"/>
      <c r="D130" s="19">
        <v>423.5</v>
      </c>
      <c r="E130" s="19"/>
      <c r="F130" s="19"/>
      <c r="G130" s="19">
        <v>15068</v>
      </c>
      <c r="H130" s="19"/>
      <c r="I130" s="19"/>
      <c r="J130" s="19"/>
      <c r="K130" s="19">
        <v>5426.42</v>
      </c>
      <c r="L130" s="19"/>
      <c r="M130" s="19">
        <v>20917.919999999998</v>
      </c>
    </row>
    <row r="131" spans="1:13" s="20" customFormat="1" x14ac:dyDescent="0.25">
      <c r="A131" s="21" t="s">
        <v>1695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3120</v>
      </c>
      <c r="M131" s="19">
        <v>3120</v>
      </c>
    </row>
    <row r="132" spans="1:13" s="20" customFormat="1" x14ac:dyDescent="0.25">
      <c r="A132" s="21" t="s">
        <v>348</v>
      </c>
      <c r="B132" s="19"/>
      <c r="C132" s="19"/>
      <c r="D132" s="19"/>
      <c r="E132" s="19"/>
      <c r="F132" s="19"/>
      <c r="G132" s="19"/>
      <c r="H132" s="19">
        <v>1028.5</v>
      </c>
      <c r="I132" s="19"/>
      <c r="J132" s="19"/>
      <c r="K132" s="19"/>
      <c r="L132" s="19"/>
      <c r="M132" s="19">
        <v>1028.5</v>
      </c>
    </row>
    <row r="133" spans="1:13" s="20" customFormat="1" x14ac:dyDescent="0.25">
      <c r="A133" s="21" t="s">
        <v>389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5445</v>
      </c>
      <c r="L133" s="19"/>
      <c r="M133" s="19">
        <v>5445</v>
      </c>
    </row>
    <row r="134" spans="1:13" s="20" customFormat="1" x14ac:dyDescent="0.25">
      <c r="A134" s="21" t="s">
        <v>102</v>
      </c>
      <c r="B134" s="19"/>
      <c r="C134" s="19"/>
      <c r="D134" s="19"/>
      <c r="E134" s="19"/>
      <c r="F134" s="19"/>
      <c r="G134" s="19"/>
      <c r="H134" s="19">
        <v>1500</v>
      </c>
      <c r="I134" s="19">
        <v>5696.68</v>
      </c>
      <c r="J134" s="19"/>
      <c r="K134" s="19"/>
      <c r="L134" s="19"/>
      <c r="M134" s="19">
        <v>7196.68</v>
      </c>
    </row>
    <row r="135" spans="1:13" s="20" customFormat="1" x14ac:dyDescent="0.25">
      <c r="A135" s="21" t="s">
        <v>2443</v>
      </c>
      <c r="B135" s="19"/>
      <c r="C135" s="19">
        <v>1254.3400000000001</v>
      </c>
      <c r="D135" s="19"/>
      <c r="E135" s="19"/>
      <c r="F135" s="19"/>
      <c r="G135" s="19">
        <v>791.34</v>
      </c>
      <c r="H135" s="19"/>
      <c r="I135" s="19">
        <v>786.5</v>
      </c>
      <c r="J135" s="19"/>
      <c r="K135" s="19"/>
      <c r="L135" s="19"/>
      <c r="M135" s="19">
        <v>2832.1800000000003</v>
      </c>
    </row>
    <row r="136" spans="1:13" s="20" customFormat="1" x14ac:dyDescent="0.25">
      <c r="A136" s="21" t="s">
        <v>315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4235</v>
      </c>
      <c r="L136" s="19"/>
      <c r="M136" s="19">
        <v>4235</v>
      </c>
    </row>
    <row r="137" spans="1:13" s="20" customFormat="1" x14ac:dyDescent="0.25">
      <c r="A137" s="21" t="s">
        <v>419</v>
      </c>
      <c r="B137" s="19"/>
      <c r="C137" s="19"/>
      <c r="D137" s="19"/>
      <c r="E137" s="19"/>
      <c r="F137" s="19">
        <v>5906.95</v>
      </c>
      <c r="G137" s="19">
        <v>2645.42</v>
      </c>
      <c r="H137" s="19"/>
      <c r="I137" s="19"/>
      <c r="J137" s="19">
        <v>742.87</v>
      </c>
      <c r="K137" s="19"/>
      <c r="L137" s="19"/>
      <c r="M137" s="19">
        <v>9295.24</v>
      </c>
    </row>
    <row r="138" spans="1:13" s="20" customFormat="1" x14ac:dyDescent="0.25">
      <c r="A138" s="21" t="s">
        <v>4042</v>
      </c>
      <c r="B138" s="19"/>
      <c r="C138" s="19"/>
      <c r="D138" s="19"/>
      <c r="E138" s="19"/>
      <c r="F138" s="19"/>
      <c r="G138" s="19">
        <v>47161.27</v>
      </c>
      <c r="H138" s="19"/>
      <c r="I138" s="19"/>
      <c r="J138" s="19"/>
      <c r="K138" s="19"/>
      <c r="L138" s="19"/>
      <c r="M138" s="19">
        <v>47161.27</v>
      </c>
    </row>
    <row r="139" spans="1:13" s="20" customFormat="1" x14ac:dyDescent="0.25">
      <c r="A139" s="21" t="s">
        <v>5364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300</v>
      </c>
      <c r="M139" s="19">
        <v>300</v>
      </c>
    </row>
    <row r="140" spans="1:13" s="20" customFormat="1" x14ac:dyDescent="0.25">
      <c r="A140" s="21" t="s">
        <v>3977</v>
      </c>
      <c r="B140" s="19"/>
      <c r="C140" s="19"/>
      <c r="D140" s="19">
        <v>7018</v>
      </c>
      <c r="E140" s="19"/>
      <c r="F140" s="19"/>
      <c r="G140" s="19"/>
      <c r="H140" s="19"/>
      <c r="I140" s="19"/>
      <c r="J140" s="19"/>
      <c r="K140" s="19"/>
      <c r="L140" s="19"/>
      <c r="M140" s="19">
        <v>7018</v>
      </c>
    </row>
    <row r="141" spans="1:13" s="20" customFormat="1" ht="25.5" x14ac:dyDescent="0.25">
      <c r="A141" s="21" t="s">
        <v>1163</v>
      </c>
      <c r="B141" s="19"/>
      <c r="C141" s="19"/>
      <c r="D141" s="19"/>
      <c r="E141" s="19"/>
      <c r="F141" s="19"/>
      <c r="G141" s="19"/>
      <c r="H141" s="19">
        <v>1976.63</v>
      </c>
      <c r="I141" s="19"/>
      <c r="J141" s="19"/>
      <c r="K141" s="19"/>
      <c r="L141" s="19"/>
      <c r="M141" s="19">
        <v>1976.63</v>
      </c>
    </row>
    <row r="142" spans="1:13" s="20" customFormat="1" x14ac:dyDescent="0.25">
      <c r="A142" s="21" t="s">
        <v>416</v>
      </c>
      <c r="B142" s="19"/>
      <c r="C142" s="19"/>
      <c r="D142" s="19"/>
      <c r="E142" s="19">
        <v>3925</v>
      </c>
      <c r="F142" s="19"/>
      <c r="G142" s="19"/>
      <c r="H142" s="19"/>
      <c r="I142" s="19"/>
      <c r="J142" s="19"/>
      <c r="K142" s="19"/>
      <c r="L142" s="19"/>
      <c r="M142" s="19">
        <v>3925</v>
      </c>
    </row>
    <row r="143" spans="1:13" s="20" customFormat="1" x14ac:dyDescent="0.25">
      <c r="A143" s="21" t="s">
        <v>1701</v>
      </c>
      <c r="B143" s="19"/>
      <c r="C143" s="19"/>
      <c r="D143" s="19"/>
      <c r="E143" s="19"/>
      <c r="F143" s="19"/>
      <c r="G143" s="19">
        <v>3000</v>
      </c>
      <c r="H143" s="19"/>
      <c r="I143" s="19"/>
      <c r="J143" s="19"/>
      <c r="K143" s="19"/>
      <c r="L143" s="19"/>
      <c r="M143" s="19">
        <v>3000</v>
      </c>
    </row>
    <row r="144" spans="1:13" s="20" customFormat="1" x14ac:dyDescent="0.25">
      <c r="A144" s="21" t="s">
        <v>421</v>
      </c>
      <c r="B144" s="19"/>
      <c r="C144" s="19"/>
      <c r="D144" s="19"/>
      <c r="E144" s="19"/>
      <c r="F144" s="19"/>
      <c r="G144" s="19"/>
      <c r="H144" s="19"/>
      <c r="I144" s="19">
        <v>16359.2</v>
      </c>
      <c r="J144" s="19"/>
      <c r="K144" s="19"/>
      <c r="L144" s="19"/>
      <c r="M144" s="19">
        <v>16359.2</v>
      </c>
    </row>
    <row r="145" spans="1:13" s="20" customFormat="1" x14ac:dyDescent="0.25">
      <c r="A145" s="21" t="s">
        <v>45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1500</v>
      </c>
      <c r="L145" s="19"/>
      <c r="M145" s="19">
        <v>1500</v>
      </c>
    </row>
    <row r="146" spans="1:13" s="20" customFormat="1" x14ac:dyDescent="0.25">
      <c r="A146" s="21" t="s">
        <v>3514</v>
      </c>
      <c r="B146" s="19"/>
      <c r="C146" s="19"/>
      <c r="D146" s="19"/>
      <c r="E146" s="19"/>
      <c r="F146" s="19">
        <v>17545</v>
      </c>
      <c r="G146" s="19"/>
      <c r="H146" s="19"/>
      <c r="I146" s="19"/>
      <c r="J146" s="19"/>
      <c r="K146" s="19"/>
      <c r="L146" s="19"/>
      <c r="M146" s="19">
        <v>17545</v>
      </c>
    </row>
    <row r="147" spans="1:13" s="20" customFormat="1" x14ac:dyDescent="0.25">
      <c r="A147" s="21" t="s">
        <v>1200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3932.55</v>
      </c>
      <c r="M147" s="19">
        <v>3932.55</v>
      </c>
    </row>
    <row r="148" spans="1:13" s="20" customFormat="1" ht="25.5" x14ac:dyDescent="0.25">
      <c r="A148" s="21" t="s">
        <v>3981</v>
      </c>
      <c r="B148" s="19"/>
      <c r="C148" s="19"/>
      <c r="D148" s="19"/>
      <c r="E148" s="19"/>
      <c r="F148" s="19">
        <v>6755.16</v>
      </c>
      <c r="G148" s="19"/>
      <c r="H148" s="19"/>
      <c r="I148" s="19"/>
      <c r="J148" s="19"/>
      <c r="K148" s="19"/>
      <c r="L148" s="19"/>
      <c r="M148" s="19">
        <v>6755.16</v>
      </c>
    </row>
    <row r="149" spans="1:13" s="20" customFormat="1" x14ac:dyDescent="0.25">
      <c r="A149" s="21" t="s">
        <v>1210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17879.560000000001</v>
      </c>
      <c r="M149" s="19">
        <v>17879.560000000001</v>
      </c>
    </row>
    <row r="150" spans="1:13" s="20" customFormat="1" x14ac:dyDescent="0.25">
      <c r="A150" s="21" t="s">
        <v>390</v>
      </c>
      <c r="B150" s="19"/>
      <c r="C150" s="19"/>
      <c r="D150" s="19"/>
      <c r="E150" s="19"/>
      <c r="F150" s="19"/>
      <c r="G150" s="19">
        <v>33</v>
      </c>
      <c r="H150" s="19"/>
      <c r="I150" s="19"/>
      <c r="J150" s="19"/>
      <c r="K150" s="19"/>
      <c r="L150" s="19">
        <v>640.09</v>
      </c>
      <c r="M150" s="19">
        <v>673.09</v>
      </c>
    </row>
    <row r="151" spans="1:13" s="20" customFormat="1" x14ac:dyDescent="0.25">
      <c r="A151" s="21" t="s">
        <v>1706</v>
      </c>
      <c r="B151" s="19"/>
      <c r="C151" s="19"/>
      <c r="D151" s="19"/>
      <c r="E151" s="19"/>
      <c r="F151" s="19"/>
      <c r="G151" s="19"/>
      <c r="H151" s="19"/>
      <c r="I151" s="19"/>
      <c r="J151" s="19">
        <v>8958.68</v>
      </c>
      <c r="K151" s="19"/>
      <c r="L151" s="19"/>
      <c r="M151" s="19">
        <v>8958.68</v>
      </c>
    </row>
    <row r="152" spans="1:13" s="20" customFormat="1" x14ac:dyDescent="0.25">
      <c r="A152" s="21" t="s">
        <v>3729</v>
      </c>
      <c r="B152" s="19"/>
      <c r="C152" s="19"/>
      <c r="D152" s="19"/>
      <c r="E152" s="19"/>
      <c r="F152" s="19"/>
      <c r="G152" s="19">
        <v>205.7</v>
      </c>
      <c r="H152" s="19"/>
      <c r="I152" s="19"/>
      <c r="J152" s="19"/>
      <c r="K152" s="19"/>
      <c r="L152" s="19"/>
      <c r="M152" s="19">
        <v>205.7</v>
      </c>
    </row>
    <row r="153" spans="1:13" s="20" customFormat="1" x14ac:dyDescent="0.25">
      <c r="A153" s="21" t="s">
        <v>17</v>
      </c>
      <c r="B153" s="19">
        <v>1065.77</v>
      </c>
      <c r="C153" s="19"/>
      <c r="D153" s="19"/>
      <c r="E153" s="19"/>
      <c r="F153" s="19">
        <v>1024.7</v>
      </c>
      <c r="G153" s="19"/>
      <c r="H153" s="19"/>
      <c r="I153" s="19">
        <v>18637.949999999997</v>
      </c>
      <c r="J153" s="19"/>
      <c r="K153" s="19"/>
      <c r="L153" s="19"/>
      <c r="M153" s="19">
        <v>20728.419999999998</v>
      </c>
    </row>
    <row r="154" spans="1:13" s="20" customFormat="1" x14ac:dyDescent="0.25">
      <c r="A154" s="21" t="s">
        <v>1223</v>
      </c>
      <c r="B154" s="19"/>
      <c r="C154" s="19"/>
      <c r="D154" s="19"/>
      <c r="E154" s="19"/>
      <c r="F154" s="19"/>
      <c r="G154" s="19">
        <v>1306.8</v>
      </c>
      <c r="H154" s="19"/>
      <c r="I154" s="19"/>
      <c r="J154" s="19"/>
      <c r="K154" s="19"/>
      <c r="L154" s="19"/>
      <c r="M154" s="19">
        <v>1306.8</v>
      </c>
    </row>
    <row r="155" spans="1:13" s="20" customFormat="1" x14ac:dyDescent="0.25">
      <c r="A155" s="21" t="s">
        <v>99</v>
      </c>
      <c r="B155" s="19"/>
      <c r="C155" s="19"/>
      <c r="D155" s="19">
        <v>317.88</v>
      </c>
      <c r="E155" s="19"/>
      <c r="F155" s="19"/>
      <c r="G155" s="19">
        <v>3630</v>
      </c>
      <c r="H155" s="19">
        <v>4000</v>
      </c>
      <c r="I155" s="19">
        <v>375</v>
      </c>
      <c r="J155" s="19"/>
      <c r="K155" s="19"/>
      <c r="L155" s="19"/>
      <c r="M155" s="19">
        <v>8322.880000000001</v>
      </c>
    </row>
    <row r="156" spans="1:13" s="20" customFormat="1" x14ac:dyDescent="0.25">
      <c r="A156" s="21" t="s">
        <v>78</v>
      </c>
      <c r="B156" s="19">
        <v>3146</v>
      </c>
      <c r="C156" s="19"/>
      <c r="D156" s="19"/>
      <c r="E156" s="19"/>
      <c r="F156" s="19"/>
      <c r="G156" s="19">
        <v>482.79</v>
      </c>
      <c r="H156" s="19"/>
      <c r="I156" s="19"/>
      <c r="J156" s="19"/>
      <c r="K156" s="19">
        <v>6000</v>
      </c>
      <c r="L156" s="19"/>
      <c r="M156" s="19">
        <v>9628.7900000000009</v>
      </c>
    </row>
    <row r="157" spans="1:13" s="20" customFormat="1" x14ac:dyDescent="0.25">
      <c r="A157" s="21" t="s">
        <v>3995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363</v>
      </c>
      <c r="L157" s="19"/>
      <c r="M157" s="19">
        <v>363</v>
      </c>
    </row>
    <row r="158" spans="1:13" s="20" customFormat="1" x14ac:dyDescent="0.25">
      <c r="A158" s="21" t="s">
        <v>3055</v>
      </c>
      <c r="B158" s="19"/>
      <c r="C158" s="19">
        <v>500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>
        <v>500</v>
      </c>
    </row>
    <row r="159" spans="1:13" s="20" customFormat="1" x14ac:dyDescent="0.25">
      <c r="A159" s="21" t="s">
        <v>37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14335.3</v>
      </c>
      <c r="M159" s="19">
        <v>14335.3</v>
      </c>
    </row>
    <row r="160" spans="1:13" s="20" customFormat="1" x14ac:dyDescent="0.25">
      <c r="A160" s="21" t="s">
        <v>1227</v>
      </c>
      <c r="B160" s="19"/>
      <c r="C160" s="19"/>
      <c r="D160" s="19"/>
      <c r="E160" s="19"/>
      <c r="F160" s="19"/>
      <c r="G160" s="19">
        <v>5384.5</v>
      </c>
      <c r="H160" s="19"/>
      <c r="I160" s="19"/>
      <c r="J160" s="19"/>
      <c r="K160" s="19"/>
      <c r="L160" s="19"/>
      <c r="M160" s="19">
        <v>5384.5</v>
      </c>
    </row>
    <row r="161" spans="1:13" s="20" customFormat="1" x14ac:dyDescent="0.25">
      <c r="A161" s="21" t="s">
        <v>1712</v>
      </c>
      <c r="B161" s="19"/>
      <c r="C161" s="19"/>
      <c r="D161" s="19"/>
      <c r="E161" s="19"/>
      <c r="F161" s="19"/>
      <c r="G161" s="19"/>
      <c r="H161" s="19"/>
      <c r="I161" s="19"/>
      <c r="J161" s="19">
        <v>3291.2</v>
      </c>
      <c r="K161" s="19"/>
      <c r="L161" s="19"/>
      <c r="M161" s="19">
        <v>3291.2</v>
      </c>
    </row>
    <row r="162" spans="1:13" s="20" customFormat="1" x14ac:dyDescent="0.25">
      <c r="A162" s="21" t="s">
        <v>4002</v>
      </c>
      <c r="B162" s="19"/>
      <c r="C162" s="19"/>
      <c r="D162" s="19"/>
      <c r="E162" s="19"/>
      <c r="F162" s="19"/>
      <c r="G162" s="19">
        <v>50.63</v>
      </c>
      <c r="H162" s="19"/>
      <c r="I162" s="19"/>
      <c r="J162" s="19"/>
      <c r="K162" s="19"/>
      <c r="L162" s="19"/>
      <c r="M162" s="19">
        <v>50.63</v>
      </c>
    </row>
    <row r="163" spans="1:13" s="20" customFormat="1" x14ac:dyDescent="0.25">
      <c r="A163" s="21" t="s">
        <v>1715</v>
      </c>
      <c r="B163" s="19"/>
      <c r="C163" s="19">
        <v>7952</v>
      </c>
      <c r="D163" s="19"/>
      <c r="E163" s="19"/>
      <c r="F163" s="19"/>
      <c r="G163" s="19"/>
      <c r="H163" s="19"/>
      <c r="I163" s="19"/>
      <c r="J163" s="19"/>
      <c r="K163" s="19"/>
      <c r="L163" s="19"/>
      <c r="M163" s="19">
        <v>7952</v>
      </c>
    </row>
    <row r="164" spans="1:13" s="20" customFormat="1" x14ac:dyDescent="0.25">
      <c r="A164" s="21" t="s">
        <v>5056</v>
      </c>
      <c r="B164" s="19">
        <v>5324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5324</v>
      </c>
    </row>
    <row r="165" spans="1:13" s="20" customFormat="1" x14ac:dyDescent="0.25">
      <c r="A165" s="21" t="s">
        <v>321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529.53</v>
      </c>
      <c r="M165" s="19">
        <v>529.53</v>
      </c>
    </row>
    <row r="166" spans="1:13" s="20" customFormat="1" x14ac:dyDescent="0.25">
      <c r="A166" s="21" t="s">
        <v>423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18</v>
      </c>
      <c r="M166" s="19">
        <v>18</v>
      </c>
    </row>
    <row r="167" spans="1:13" s="20" customFormat="1" x14ac:dyDescent="0.25">
      <c r="A167" s="21" t="s">
        <v>2477</v>
      </c>
      <c r="B167" s="19"/>
      <c r="C167" s="19"/>
      <c r="D167" s="19">
        <v>208.25</v>
      </c>
      <c r="E167" s="19"/>
      <c r="F167" s="19">
        <v>372.28</v>
      </c>
      <c r="G167" s="19">
        <v>7260</v>
      </c>
      <c r="H167" s="19">
        <v>230.57999999999998</v>
      </c>
      <c r="I167" s="19"/>
      <c r="J167" s="19"/>
      <c r="K167" s="19">
        <v>241.98999999999998</v>
      </c>
      <c r="L167" s="19"/>
      <c r="M167" s="19">
        <v>8313.1</v>
      </c>
    </row>
    <row r="168" spans="1:13" s="20" customFormat="1" x14ac:dyDescent="0.25">
      <c r="A168" s="21" t="s">
        <v>2227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9075</v>
      </c>
      <c r="M168" s="19">
        <v>9075</v>
      </c>
    </row>
    <row r="169" spans="1:13" s="20" customFormat="1" x14ac:dyDescent="0.25">
      <c r="A169" s="21" t="s">
        <v>117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6425.12</v>
      </c>
      <c r="M169" s="19">
        <v>6425.12</v>
      </c>
    </row>
    <row r="170" spans="1:13" s="20" customFormat="1" x14ac:dyDescent="0.25">
      <c r="A170" s="21" t="s">
        <v>4004</v>
      </c>
      <c r="B170" s="19"/>
      <c r="C170" s="19"/>
      <c r="D170" s="19"/>
      <c r="E170" s="19"/>
      <c r="F170" s="19"/>
      <c r="G170" s="19">
        <v>6171</v>
      </c>
      <c r="H170" s="19"/>
      <c r="I170" s="19"/>
      <c r="J170" s="19"/>
      <c r="K170" s="19"/>
      <c r="L170" s="19"/>
      <c r="M170" s="19">
        <v>6171</v>
      </c>
    </row>
    <row r="171" spans="1:13" s="20" customFormat="1" x14ac:dyDescent="0.25">
      <c r="A171" s="21" t="s">
        <v>3057</v>
      </c>
      <c r="B171" s="19"/>
      <c r="C171" s="19"/>
      <c r="D171" s="19">
        <v>211.75</v>
      </c>
      <c r="E171" s="19"/>
      <c r="F171" s="19"/>
      <c r="G171" s="19"/>
      <c r="H171" s="19"/>
      <c r="I171" s="19"/>
      <c r="J171" s="19"/>
      <c r="K171" s="19"/>
      <c r="L171" s="19"/>
      <c r="M171" s="19">
        <v>211.75</v>
      </c>
    </row>
    <row r="172" spans="1:13" s="20" customFormat="1" x14ac:dyDescent="0.25">
      <c r="A172" s="21" t="s">
        <v>5163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1700</v>
      </c>
      <c r="M172" s="19">
        <v>1700</v>
      </c>
    </row>
    <row r="173" spans="1:13" s="20" customFormat="1" x14ac:dyDescent="0.25">
      <c r="A173" s="21" t="s">
        <v>3958</v>
      </c>
      <c r="B173" s="19"/>
      <c r="C173" s="19"/>
      <c r="D173" s="19">
        <v>3630</v>
      </c>
      <c r="E173" s="19"/>
      <c r="F173" s="19"/>
      <c r="G173" s="19"/>
      <c r="H173" s="19"/>
      <c r="I173" s="19"/>
      <c r="J173" s="19"/>
      <c r="K173" s="19"/>
      <c r="L173" s="19"/>
      <c r="M173" s="19">
        <v>3630</v>
      </c>
    </row>
    <row r="174" spans="1:13" s="20" customFormat="1" x14ac:dyDescent="0.25">
      <c r="A174" s="21" t="s">
        <v>4006</v>
      </c>
      <c r="B174" s="19"/>
      <c r="C174" s="19"/>
      <c r="D174" s="19"/>
      <c r="E174" s="19"/>
      <c r="F174" s="19"/>
      <c r="G174" s="19">
        <v>170</v>
      </c>
      <c r="H174" s="19"/>
      <c r="I174" s="19"/>
      <c r="J174" s="19"/>
      <c r="K174" s="19"/>
      <c r="L174" s="19"/>
      <c r="M174" s="19">
        <v>170</v>
      </c>
    </row>
    <row r="175" spans="1:13" s="20" customFormat="1" x14ac:dyDescent="0.25">
      <c r="A175" s="21" t="s">
        <v>1900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>
        <v>4840</v>
      </c>
      <c r="M175" s="19">
        <v>4840</v>
      </c>
    </row>
    <row r="176" spans="1:13" s="20" customFormat="1" x14ac:dyDescent="0.25">
      <c r="A176" s="21" t="s">
        <v>3320</v>
      </c>
      <c r="B176" s="19"/>
      <c r="C176" s="19"/>
      <c r="D176" s="19"/>
      <c r="E176" s="19"/>
      <c r="F176" s="19">
        <v>605</v>
      </c>
      <c r="G176" s="19"/>
      <c r="H176" s="19"/>
      <c r="I176" s="19"/>
      <c r="J176" s="19"/>
      <c r="K176" s="19"/>
      <c r="L176" s="19"/>
      <c r="M176" s="19">
        <v>605</v>
      </c>
    </row>
    <row r="177" spans="1:13" s="20" customFormat="1" ht="25.5" x14ac:dyDescent="0.25">
      <c r="A177" s="21" t="s">
        <v>391</v>
      </c>
      <c r="B177" s="19">
        <v>752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>
        <v>752</v>
      </c>
    </row>
    <row r="178" spans="1:13" s="20" customFormat="1" x14ac:dyDescent="0.25">
      <c r="A178" s="21" t="s">
        <v>43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3000</v>
      </c>
      <c r="M178" s="19">
        <v>3000</v>
      </c>
    </row>
    <row r="179" spans="1:13" s="20" customFormat="1" ht="25.5" x14ac:dyDescent="0.25">
      <c r="A179" s="21" t="s">
        <v>4008</v>
      </c>
      <c r="B179" s="19"/>
      <c r="C179" s="19"/>
      <c r="D179" s="19"/>
      <c r="E179" s="19"/>
      <c r="F179" s="19">
        <v>18150</v>
      </c>
      <c r="G179" s="19"/>
      <c r="H179" s="19"/>
      <c r="I179" s="19"/>
      <c r="J179" s="19"/>
      <c r="K179" s="19"/>
      <c r="L179" s="19"/>
      <c r="M179" s="19">
        <v>18150</v>
      </c>
    </row>
    <row r="180" spans="1:13" s="20" customFormat="1" x14ac:dyDescent="0.25">
      <c r="A180" s="21" t="s">
        <v>70</v>
      </c>
      <c r="B180" s="19"/>
      <c r="C180" s="19"/>
      <c r="D180" s="19"/>
      <c r="E180" s="19">
        <v>1829.52</v>
      </c>
      <c r="F180" s="19"/>
      <c r="G180" s="19"/>
      <c r="H180" s="19"/>
      <c r="I180" s="19"/>
      <c r="J180" s="19"/>
      <c r="K180" s="19">
        <v>8726.52</v>
      </c>
      <c r="L180" s="19">
        <v>3412.25</v>
      </c>
      <c r="M180" s="19">
        <v>13968.29</v>
      </c>
    </row>
    <row r="181" spans="1:13" s="20" customFormat="1" x14ac:dyDescent="0.25">
      <c r="A181" s="21" t="s">
        <v>413</v>
      </c>
      <c r="B181" s="19">
        <v>533.61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>
        <v>533.61</v>
      </c>
    </row>
    <row r="182" spans="1:13" s="20" customFormat="1" ht="25.5" x14ac:dyDescent="0.25">
      <c r="A182" s="21" t="s">
        <v>21</v>
      </c>
      <c r="B182" s="19">
        <v>4853.76</v>
      </c>
      <c r="C182" s="19">
        <v>218.58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19">
        <v>5072.34</v>
      </c>
    </row>
    <row r="183" spans="1:13" s="20" customFormat="1" x14ac:dyDescent="0.25">
      <c r="A183" s="21" t="s">
        <v>911</v>
      </c>
      <c r="B183" s="19"/>
      <c r="C183" s="19"/>
      <c r="D183" s="19">
        <v>1604.05</v>
      </c>
      <c r="E183" s="19"/>
      <c r="F183" s="19"/>
      <c r="G183" s="19"/>
      <c r="H183" s="19"/>
      <c r="I183" s="19"/>
      <c r="J183" s="19"/>
      <c r="K183" s="19"/>
      <c r="L183" s="19"/>
      <c r="M183" s="19">
        <v>1604.05</v>
      </c>
    </row>
    <row r="184" spans="1:13" s="20" customFormat="1" x14ac:dyDescent="0.25">
      <c r="A184" s="21" t="s">
        <v>392</v>
      </c>
      <c r="B184" s="19"/>
      <c r="C184" s="19">
        <v>2770.9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>
        <v>2770.9</v>
      </c>
    </row>
    <row r="185" spans="1:13" s="20" customFormat="1" x14ac:dyDescent="0.25">
      <c r="A185" s="21" t="s">
        <v>329</v>
      </c>
      <c r="B185" s="19"/>
      <c r="C185" s="19"/>
      <c r="D185" s="19">
        <v>26186.11</v>
      </c>
      <c r="E185" s="19"/>
      <c r="F185" s="19"/>
      <c r="G185" s="19">
        <v>38205.79</v>
      </c>
      <c r="H185" s="19"/>
      <c r="I185" s="19"/>
      <c r="J185" s="19"/>
      <c r="K185" s="19">
        <v>38583.39</v>
      </c>
      <c r="L185" s="19"/>
      <c r="M185" s="19">
        <v>102975.29000000001</v>
      </c>
    </row>
    <row r="186" spans="1:13" s="20" customFormat="1" x14ac:dyDescent="0.25">
      <c r="A186" s="21" t="s">
        <v>115</v>
      </c>
      <c r="B186" s="19"/>
      <c r="C186" s="19">
        <v>2090</v>
      </c>
      <c r="D186" s="19">
        <v>702.9</v>
      </c>
      <c r="E186" s="19"/>
      <c r="F186" s="19"/>
      <c r="G186" s="19">
        <v>7260</v>
      </c>
      <c r="H186" s="19"/>
      <c r="I186" s="19">
        <v>2420</v>
      </c>
      <c r="J186" s="19"/>
      <c r="K186" s="19">
        <v>121</v>
      </c>
      <c r="L186" s="19"/>
      <c r="M186" s="19">
        <v>12593.9</v>
      </c>
    </row>
    <row r="187" spans="1:13" s="20" customFormat="1" x14ac:dyDescent="0.25">
      <c r="A187" s="21" t="s">
        <v>58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1542.6399999999999</v>
      </c>
      <c r="M187" s="19">
        <v>1542.6399999999999</v>
      </c>
    </row>
    <row r="188" spans="1:13" s="20" customFormat="1" x14ac:dyDescent="0.25">
      <c r="A188" s="21" t="s">
        <v>4012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1540</v>
      </c>
      <c r="L188" s="19"/>
      <c r="M188" s="19">
        <v>1540</v>
      </c>
    </row>
    <row r="189" spans="1:13" s="20" customFormat="1" x14ac:dyDescent="0.25">
      <c r="A189" s="21" t="s">
        <v>4014</v>
      </c>
      <c r="B189" s="19"/>
      <c r="C189" s="19"/>
      <c r="D189" s="19"/>
      <c r="E189" s="19"/>
      <c r="F189" s="19"/>
      <c r="G189" s="19"/>
      <c r="H189" s="19"/>
      <c r="I189" s="19"/>
      <c r="J189" s="19">
        <v>4836.53</v>
      </c>
      <c r="K189" s="19"/>
      <c r="L189" s="19"/>
      <c r="M189" s="19">
        <v>4836.53</v>
      </c>
    </row>
    <row r="190" spans="1:13" s="20" customFormat="1" x14ac:dyDescent="0.25">
      <c r="A190" s="21" t="s">
        <v>18</v>
      </c>
      <c r="B190" s="19"/>
      <c r="C190" s="19">
        <v>4914.38</v>
      </c>
      <c r="D190" s="19"/>
      <c r="E190" s="19">
        <v>701.8</v>
      </c>
      <c r="F190" s="19"/>
      <c r="G190" s="19">
        <v>8760</v>
      </c>
      <c r="H190" s="19"/>
      <c r="I190" s="19">
        <v>560.96</v>
      </c>
      <c r="J190" s="19">
        <v>96.8</v>
      </c>
      <c r="K190" s="19"/>
      <c r="L190" s="19">
        <v>7771.23</v>
      </c>
      <c r="M190" s="19">
        <v>22805.17</v>
      </c>
    </row>
    <row r="191" spans="1:13" s="20" customFormat="1" x14ac:dyDescent="0.25">
      <c r="A191" s="21" t="s">
        <v>1915</v>
      </c>
      <c r="B191" s="19"/>
      <c r="C191" s="19">
        <v>1500</v>
      </c>
      <c r="D191" s="19">
        <v>2467.92</v>
      </c>
      <c r="E191" s="19"/>
      <c r="F191" s="19"/>
      <c r="G191" s="19">
        <v>1500</v>
      </c>
      <c r="H191" s="19"/>
      <c r="I191" s="19"/>
      <c r="J191" s="19"/>
      <c r="K191" s="19">
        <v>565.72</v>
      </c>
      <c r="L191" s="19"/>
      <c r="M191" s="19">
        <v>6033.64</v>
      </c>
    </row>
    <row r="192" spans="1:13" s="20" customFormat="1" x14ac:dyDescent="0.25">
      <c r="A192" s="21" t="s">
        <v>2568</v>
      </c>
      <c r="B192" s="19"/>
      <c r="C192" s="19"/>
      <c r="D192" s="19"/>
      <c r="E192" s="19"/>
      <c r="F192" s="19"/>
      <c r="G192" s="19">
        <v>1000</v>
      </c>
      <c r="H192" s="19"/>
      <c r="I192" s="19"/>
      <c r="J192" s="19"/>
      <c r="K192" s="19"/>
      <c r="L192" s="19"/>
      <c r="M192" s="19">
        <v>1000</v>
      </c>
    </row>
    <row r="193" spans="1:13" s="20" customFormat="1" ht="25.5" x14ac:dyDescent="0.25">
      <c r="A193" s="21" t="s">
        <v>2103</v>
      </c>
      <c r="B193" s="19"/>
      <c r="C193" s="19"/>
      <c r="D193" s="19"/>
      <c r="E193" s="19"/>
      <c r="F193" s="19"/>
      <c r="G193" s="19"/>
      <c r="H193" s="19">
        <v>150.81</v>
      </c>
      <c r="I193" s="19"/>
      <c r="J193" s="19"/>
      <c r="K193" s="19"/>
      <c r="L193" s="19"/>
      <c r="M193" s="19">
        <v>150.81</v>
      </c>
    </row>
    <row r="194" spans="1:13" s="20" customFormat="1" x14ac:dyDescent="0.25">
      <c r="A194" s="21" t="s">
        <v>435</v>
      </c>
      <c r="B194" s="19"/>
      <c r="C194" s="19">
        <v>94.48</v>
      </c>
      <c r="D194" s="19"/>
      <c r="E194" s="19"/>
      <c r="F194" s="19"/>
      <c r="G194" s="19"/>
      <c r="H194" s="19">
        <v>5545.36</v>
      </c>
      <c r="I194" s="19">
        <v>2476.96</v>
      </c>
      <c r="J194" s="19"/>
      <c r="K194" s="19"/>
      <c r="L194" s="19"/>
      <c r="M194" s="19">
        <v>8116.7999999999993</v>
      </c>
    </row>
    <row r="195" spans="1:13" s="20" customFormat="1" x14ac:dyDescent="0.25">
      <c r="A195" s="21" t="s">
        <v>3543</v>
      </c>
      <c r="B195" s="19"/>
      <c r="C195" s="19"/>
      <c r="D195" s="19"/>
      <c r="E195" s="19"/>
      <c r="F195" s="19"/>
      <c r="G195" s="19">
        <v>2288.7800000000002</v>
      </c>
      <c r="H195" s="19"/>
      <c r="I195" s="19"/>
      <c r="J195" s="19"/>
      <c r="K195" s="19"/>
      <c r="L195" s="19"/>
      <c r="M195" s="19">
        <v>2288.7800000000002</v>
      </c>
    </row>
    <row r="196" spans="1:13" s="20" customFormat="1" x14ac:dyDescent="0.25">
      <c r="A196" s="21" t="s">
        <v>477</v>
      </c>
      <c r="B196" s="19"/>
      <c r="C196" s="19"/>
      <c r="D196" s="19">
        <v>440</v>
      </c>
      <c r="E196" s="19"/>
      <c r="F196" s="19"/>
      <c r="G196" s="19"/>
      <c r="H196" s="19"/>
      <c r="I196" s="19"/>
      <c r="J196" s="19"/>
      <c r="K196" s="19"/>
      <c r="L196" s="19"/>
      <c r="M196" s="19">
        <v>440</v>
      </c>
    </row>
    <row r="197" spans="1:13" s="20" customFormat="1" x14ac:dyDescent="0.25">
      <c r="A197" s="21" t="s">
        <v>1730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1391.5</v>
      </c>
      <c r="L197" s="19"/>
      <c r="M197" s="19">
        <v>1391.5</v>
      </c>
    </row>
    <row r="198" spans="1:13" s="20" customFormat="1" x14ac:dyDescent="0.25">
      <c r="A198" s="21" t="s">
        <v>3148</v>
      </c>
      <c r="B198" s="19"/>
      <c r="C198" s="19"/>
      <c r="D198" s="19"/>
      <c r="E198" s="19"/>
      <c r="F198" s="19">
        <v>2904</v>
      </c>
      <c r="G198" s="19"/>
      <c r="H198" s="19"/>
      <c r="I198" s="19"/>
      <c r="J198" s="19"/>
      <c r="K198" s="19"/>
      <c r="L198" s="19"/>
      <c r="M198" s="19">
        <v>2904</v>
      </c>
    </row>
    <row r="199" spans="1:13" s="20" customFormat="1" x14ac:dyDescent="0.25">
      <c r="A199" s="21" t="s">
        <v>1255</v>
      </c>
      <c r="B199" s="19"/>
      <c r="C199" s="19"/>
      <c r="D199" s="19"/>
      <c r="E199" s="19"/>
      <c r="F199" s="19"/>
      <c r="G199" s="19">
        <v>9616.17</v>
      </c>
      <c r="H199" s="19"/>
      <c r="I199" s="19"/>
      <c r="J199" s="19"/>
      <c r="K199" s="19"/>
      <c r="L199" s="19"/>
      <c r="M199" s="19">
        <v>9616.17</v>
      </c>
    </row>
    <row r="200" spans="1:13" s="20" customFormat="1" x14ac:dyDescent="0.25">
      <c r="A200" s="21" t="s">
        <v>1972</v>
      </c>
      <c r="B200" s="19"/>
      <c r="C200" s="19"/>
      <c r="D200" s="19"/>
      <c r="E200" s="19">
        <v>10333.4</v>
      </c>
      <c r="F200" s="19"/>
      <c r="G200" s="19"/>
      <c r="H200" s="19"/>
      <c r="I200" s="19"/>
      <c r="J200" s="19"/>
      <c r="K200" s="19"/>
      <c r="L200" s="19"/>
      <c r="M200" s="19">
        <v>10333.4</v>
      </c>
    </row>
    <row r="201" spans="1:13" s="20" customFormat="1" x14ac:dyDescent="0.25">
      <c r="A201" s="21" t="s">
        <v>436</v>
      </c>
      <c r="B201" s="19">
        <v>98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1400</v>
      </c>
      <c r="M201" s="19">
        <v>1498</v>
      </c>
    </row>
    <row r="202" spans="1:13" s="20" customFormat="1" x14ac:dyDescent="0.25">
      <c r="A202" s="21" t="s">
        <v>48</v>
      </c>
      <c r="B202" s="19"/>
      <c r="C202" s="19"/>
      <c r="D202" s="19"/>
      <c r="E202" s="19"/>
      <c r="F202" s="19"/>
      <c r="G202" s="19"/>
      <c r="H202" s="19"/>
      <c r="I202" s="19">
        <v>7260</v>
      </c>
      <c r="J202" s="19"/>
      <c r="K202" s="19"/>
      <c r="L202" s="19"/>
      <c r="M202" s="19">
        <v>7260</v>
      </c>
    </row>
    <row r="203" spans="1:13" s="20" customFormat="1" x14ac:dyDescent="0.25">
      <c r="A203" s="21" t="s">
        <v>19</v>
      </c>
      <c r="B203" s="19"/>
      <c r="C203" s="19"/>
      <c r="D203" s="19"/>
      <c r="E203" s="19"/>
      <c r="F203" s="19">
        <v>17666</v>
      </c>
      <c r="G203" s="19"/>
      <c r="H203" s="19"/>
      <c r="I203" s="19"/>
      <c r="J203" s="19"/>
      <c r="K203" s="19"/>
      <c r="L203" s="19"/>
      <c r="M203" s="19">
        <v>17666</v>
      </c>
    </row>
    <row r="204" spans="1:13" s="20" customFormat="1" x14ac:dyDescent="0.25">
      <c r="A204" s="21" t="s">
        <v>5110</v>
      </c>
      <c r="B204" s="19"/>
      <c r="C204" s="19">
        <v>2511.12</v>
      </c>
      <c r="D204" s="19"/>
      <c r="E204" s="19"/>
      <c r="F204" s="19"/>
      <c r="G204" s="19"/>
      <c r="H204" s="19"/>
      <c r="I204" s="19"/>
      <c r="J204" s="19">
        <v>415.59</v>
      </c>
      <c r="K204" s="19"/>
      <c r="L204" s="19"/>
      <c r="M204" s="19">
        <v>2926.71</v>
      </c>
    </row>
    <row r="205" spans="1:13" s="20" customFormat="1" x14ac:dyDescent="0.25">
      <c r="A205" s="21" t="s">
        <v>490</v>
      </c>
      <c r="B205" s="19"/>
      <c r="C205" s="19"/>
      <c r="D205" s="19">
        <v>550</v>
      </c>
      <c r="E205" s="19"/>
      <c r="F205" s="19"/>
      <c r="G205" s="19"/>
      <c r="H205" s="19"/>
      <c r="I205" s="19"/>
      <c r="J205" s="19"/>
      <c r="K205" s="19"/>
      <c r="L205" s="19"/>
      <c r="M205" s="19">
        <v>550</v>
      </c>
    </row>
    <row r="206" spans="1:13" s="20" customFormat="1" x14ac:dyDescent="0.25">
      <c r="A206" s="21" t="s">
        <v>393</v>
      </c>
      <c r="B206" s="19"/>
      <c r="C206" s="19"/>
      <c r="D206" s="19"/>
      <c r="E206" s="19"/>
      <c r="F206" s="19"/>
      <c r="G206" s="19">
        <v>14750</v>
      </c>
      <c r="H206" s="19"/>
      <c r="I206" s="19"/>
      <c r="J206" s="19"/>
      <c r="K206" s="19"/>
      <c r="L206" s="19"/>
      <c r="M206" s="19">
        <v>14750</v>
      </c>
    </row>
    <row r="207" spans="1:13" s="20" customFormat="1" x14ac:dyDescent="0.25">
      <c r="A207" s="21" t="s">
        <v>2366</v>
      </c>
      <c r="B207" s="19"/>
      <c r="C207" s="19"/>
      <c r="D207" s="19"/>
      <c r="E207" s="19"/>
      <c r="F207" s="19"/>
      <c r="G207" s="19">
        <v>2612.5</v>
      </c>
      <c r="H207" s="19"/>
      <c r="I207" s="19"/>
      <c r="J207" s="19"/>
      <c r="K207" s="19"/>
      <c r="L207" s="19"/>
      <c r="M207" s="19">
        <v>2612.5</v>
      </c>
    </row>
    <row r="208" spans="1:13" s="20" customFormat="1" x14ac:dyDescent="0.25">
      <c r="A208" s="21" t="s">
        <v>2056</v>
      </c>
      <c r="B208" s="19">
        <v>699.95</v>
      </c>
      <c r="C208" s="19"/>
      <c r="D208" s="19"/>
      <c r="E208" s="19"/>
      <c r="F208" s="19"/>
      <c r="G208" s="19">
        <v>4005</v>
      </c>
      <c r="H208" s="19"/>
      <c r="I208" s="19"/>
      <c r="J208" s="19"/>
      <c r="K208" s="19"/>
      <c r="L208" s="19"/>
      <c r="M208" s="19">
        <v>4704.95</v>
      </c>
    </row>
    <row r="209" spans="1:13" s="20" customFormat="1" x14ac:dyDescent="0.25">
      <c r="A209" s="21" t="s">
        <v>470</v>
      </c>
      <c r="B209" s="19"/>
      <c r="C209" s="19"/>
      <c r="D209" s="19"/>
      <c r="E209" s="19"/>
      <c r="F209" s="19">
        <v>9680</v>
      </c>
      <c r="G209" s="19"/>
      <c r="H209" s="19"/>
      <c r="I209" s="19"/>
      <c r="J209" s="19"/>
      <c r="K209" s="19"/>
      <c r="L209" s="19"/>
      <c r="M209" s="19">
        <v>9680</v>
      </c>
    </row>
    <row r="210" spans="1:13" s="20" customFormat="1" x14ac:dyDescent="0.25">
      <c r="A210" s="21" t="s">
        <v>24</v>
      </c>
      <c r="B210" s="19"/>
      <c r="C210" s="19"/>
      <c r="D210" s="19">
        <v>4582.07</v>
      </c>
      <c r="E210" s="19"/>
      <c r="F210" s="19"/>
      <c r="G210" s="19"/>
      <c r="H210" s="19"/>
      <c r="I210" s="19"/>
      <c r="J210" s="19"/>
      <c r="K210" s="19"/>
      <c r="L210" s="19"/>
      <c r="M210" s="19">
        <v>4582.07</v>
      </c>
    </row>
    <row r="211" spans="1:13" s="20" customFormat="1" x14ac:dyDescent="0.25">
      <c r="A211" s="21" t="s">
        <v>90</v>
      </c>
      <c r="B211" s="19"/>
      <c r="C211" s="19"/>
      <c r="D211" s="19">
        <v>18.149999999999999</v>
      </c>
      <c r="E211" s="19"/>
      <c r="F211" s="19">
        <v>2473.0700000000002</v>
      </c>
      <c r="G211" s="19">
        <v>170</v>
      </c>
      <c r="H211" s="19"/>
      <c r="I211" s="19"/>
      <c r="J211" s="19"/>
      <c r="K211" s="19"/>
      <c r="L211" s="19"/>
      <c r="M211" s="19">
        <v>2661.2200000000003</v>
      </c>
    </row>
    <row r="212" spans="1:13" s="20" customFormat="1" x14ac:dyDescent="0.25">
      <c r="A212" s="21" t="s">
        <v>3394</v>
      </c>
      <c r="B212" s="19"/>
      <c r="C212" s="19"/>
      <c r="D212" s="19"/>
      <c r="E212" s="19"/>
      <c r="F212" s="19"/>
      <c r="G212" s="19"/>
      <c r="H212" s="19"/>
      <c r="I212" s="19">
        <v>2005.5</v>
      </c>
      <c r="J212" s="19"/>
      <c r="K212" s="19"/>
      <c r="L212" s="19"/>
      <c r="M212" s="19">
        <v>2005.5</v>
      </c>
    </row>
    <row r="213" spans="1:13" s="20" customFormat="1" x14ac:dyDescent="0.25">
      <c r="A213" s="21" t="s">
        <v>35</v>
      </c>
      <c r="B213" s="19"/>
      <c r="C213" s="19"/>
      <c r="D213" s="19">
        <v>644.69000000000005</v>
      </c>
      <c r="E213" s="19"/>
      <c r="F213" s="19"/>
      <c r="G213" s="19">
        <v>3150</v>
      </c>
      <c r="H213" s="19"/>
      <c r="I213" s="19">
        <v>5249.7099999999991</v>
      </c>
      <c r="J213" s="19"/>
      <c r="K213" s="19"/>
      <c r="L213" s="19">
        <v>1900</v>
      </c>
      <c r="M213" s="19">
        <v>10944.4</v>
      </c>
    </row>
    <row r="214" spans="1:13" s="20" customFormat="1" x14ac:dyDescent="0.25">
      <c r="A214" s="21" t="s">
        <v>394</v>
      </c>
      <c r="B214" s="19">
        <v>7120.85</v>
      </c>
      <c r="C214" s="19">
        <v>1473.63</v>
      </c>
      <c r="D214" s="19">
        <v>2553.15</v>
      </c>
      <c r="E214" s="19"/>
      <c r="F214" s="19">
        <v>37.15</v>
      </c>
      <c r="G214" s="19">
        <v>1700</v>
      </c>
      <c r="H214" s="19">
        <v>74.290000000000006</v>
      </c>
      <c r="I214" s="19"/>
      <c r="J214" s="19">
        <v>715.55</v>
      </c>
      <c r="K214" s="19">
        <v>3712.87</v>
      </c>
      <c r="L214" s="19">
        <v>2711.99</v>
      </c>
      <c r="M214" s="19">
        <v>20099.479999999996</v>
      </c>
    </row>
    <row r="215" spans="1:13" s="20" customFormat="1" x14ac:dyDescent="0.25">
      <c r="A215" s="21" t="s">
        <v>4055</v>
      </c>
      <c r="B215" s="19"/>
      <c r="C215" s="19"/>
      <c r="D215" s="19"/>
      <c r="E215" s="19"/>
      <c r="F215" s="19"/>
      <c r="G215" s="19">
        <v>258.08999999999997</v>
      </c>
      <c r="H215" s="19"/>
      <c r="I215" s="19"/>
      <c r="J215" s="19"/>
      <c r="K215" s="19"/>
      <c r="L215" s="19"/>
      <c r="M215" s="19">
        <v>258.08999999999997</v>
      </c>
    </row>
    <row r="216" spans="1:13" s="20" customFormat="1" x14ac:dyDescent="0.25">
      <c r="A216" s="21" t="s">
        <v>1286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>
        <v>102.82</v>
      </c>
      <c r="M216" s="19">
        <v>102.82</v>
      </c>
    </row>
    <row r="217" spans="1:13" s="20" customFormat="1" x14ac:dyDescent="0.25">
      <c r="A217" s="21" t="s">
        <v>478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>
        <v>1106.19</v>
      </c>
      <c r="M217" s="19">
        <v>1106.19</v>
      </c>
    </row>
    <row r="218" spans="1:13" s="20" customFormat="1" x14ac:dyDescent="0.25">
      <c r="A218" s="21" t="s">
        <v>4058</v>
      </c>
      <c r="B218" s="19"/>
      <c r="C218" s="19"/>
      <c r="D218" s="19"/>
      <c r="E218" s="19"/>
      <c r="F218" s="19">
        <v>3485.01</v>
      </c>
      <c r="G218" s="19"/>
      <c r="H218" s="19"/>
      <c r="I218" s="19"/>
      <c r="J218" s="19"/>
      <c r="K218" s="19"/>
      <c r="L218" s="19"/>
      <c r="M218" s="19">
        <v>3485.01</v>
      </c>
    </row>
    <row r="219" spans="1:13" s="20" customFormat="1" x14ac:dyDescent="0.25">
      <c r="A219" s="21" t="s">
        <v>4060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338.16</v>
      </c>
      <c r="M219" s="19">
        <v>338.16</v>
      </c>
    </row>
    <row r="220" spans="1:13" s="20" customFormat="1" x14ac:dyDescent="0.25">
      <c r="A220" s="21" t="s">
        <v>2868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16761.75</v>
      </c>
      <c r="M220" s="19">
        <v>16761.75</v>
      </c>
    </row>
    <row r="221" spans="1:13" s="20" customFormat="1" x14ac:dyDescent="0.25">
      <c r="A221" s="21" t="s">
        <v>1300</v>
      </c>
      <c r="B221" s="19"/>
      <c r="C221" s="19"/>
      <c r="D221" s="19"/>
      <c r="E221" s="19"/>
      <c r="F221" s="19"/>
      <c r="G221" s="19">
        <v>16</v>
      </c>
      <c r="H221" s="19"/>
      <c r="I221" s="19"/>
      <c r="J221" s="19"/>
      <c r="K221" s="19"/>
      <c r="L221" s="19"/>
      <c r="M221" s="19">
        <v>16</v>
      </c>
    </row>
    <row r="222" spans="1:13" s="20" customFormat="1" x14ac:dyDescent="0.25">
      <c r="A222" s="21" t="s">
        <v>395</v>
      </c>
      <c r="B222" s="19"/>
      <c r="C222" s="19"/>
      <c r="D222" s="19"/>
      <c r="E222" s="19"/>
      <c r="F222" s="19"/>
      <c r="G222" s="19">
        <v>2795.06</v>
      </c>
      <c r="H222" s="19"/>
      <c r="I222" s="19"/>
      <c r="J222" s="19"/>
      <c r="K222" s="19">
        <v>1500</v>
      </c>
      <c r="L222" s="19">
        <v>2200</v>
      </c>
      <c r="M222" s="19">
        <v>6495.0599999999995</v>
      </c>
    </row>
    <row r="223" spans="1:13" s="20" customFormat="1" x14ac:dyDescent="0.25">
      <c r="A223" s="21" t="s">
        <v>1310</v>
      </c>
      <c r="B223" s="19"/>
      <c r="C223" s="19"/>
      <c r="D223" s="19"/>
      <c r="E223" s="19"/>
      <c r="F223" s="19"/>
      <c r="G223" s="19"/>
      <c r="H223" s="19"/>
      <c r="I223" s="19">
        <v>212.36</v>
      </c>
      <c r="J223" s="19"/>
      <c r="K223" s="19"/>
      <c r="L223" s="19">
        <v>7260</v>
      </c>
      <c r="M223" s="19">
        <v>7472.36</v>
      </c>
    </row>
    <row r="224" spans="1:13" s="20" customFormat="1" x14ac:dyDescent="0.25">
      <c r="A224" s="21" t="s">
        <v>1316</v>
      </c>
      <c r="B224" s="19">
        <v>726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>
        <v>726</v>
      </c>
    </row>
    <row r="225" spans="1:13" s="20" customFormat="1" x14ac:dyDescent="0.25">
      <c r="A225" s="21" t="s">
        <v>4948</v>
      </c>
      <c r="B225" s="19"/>
      <c r="C225" s="19"/>
      <c r="D225" s="19"/>
      <c r="E225" s="19"/>
      <c r="F225" s="19"/>
      <c r="G225" s="19">
        <v>45939.28</v>
      </c>
      <c r="H225" s="19"/>
      <c r="I225" s="19"/>
      <c r="J225" s="19"/>
      <c r="K225" s="19"/>
      <c r="L225" s="19"/>
      <c r="M225" s="19">
        <v>45939.28</v>
      </c>
    </row>
    <row r="226" spans="1:13" s="20" customFormat="1" x14ac:dyDescent="0.25">
      <c r="A226" s="21" t="s">
        <v>1319</v>
      </c>
      <c r="B226" s="19"/>
      <c r="C226" s="19"/>
      <c r="D226" s="19"/>
      <c r="E226" s="19"/>
      <c r="F226" s="19">
        <v>3751</v>
      </c>
      <c r="G226" s="19"/>
      <c r="H226" s="19"/>
      <c r="I226" s="19"/>
      <c r="J226" s="19"/>
      <c r="K226" s="19"/>
      <c r="L226" s="19"/>
      <c r="M226" s="19">
        <v>3751</v>
      </c>
    </row>
    <row r="227" spans="1:13" s="20" customFormat="1" ht="25.5" x14ac:dyDescent="0.25">
      <c r="A227" s="21" t="s">
        <v>1331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976.1</v>
      </c>
      <c r="M227" s="19">
        <v>976.1</v>
      </c>
    </row>
    <row r="228" spans="1:13" s="20" customFormat="1" x14ac:dyDescent="0.25">
      <c r="A228" s="21" t="s">
        <v>108</v>
      </c>
      <c r="B228" s="19"/>
      <c r="C228" s="19"/>
      <c r="D228" s="19"/>
      <c r="E228" s="19"/>
      <c r="F228" s="19"/>
      <c r="G228" s="19">
        <v>84.01</v>
      </c>
      <c r="H228" s="19"/>
      <c r="I228" s="19"/>
      <c r="J228" s="19"/>
      <c r="K228" s="19"/>
      <c r="L228" s="19"/>
      <c r="M228" s="19">
        <v>84.01</v>
      </c>
    </row>
    <row r="229" spans="1:13" s="20" customFormat="1" x14ac:dyDescent="0.25">
      <c r="A229" s="21" t="s">
        <v>1339</v>
      </c>
      <c r="B229" s="19"/>
      <c r="C229" s="19"/>
      <c r="D229" s="19"/>
      <c r="E229" s="19"/>
      <c r="F229" s="19"/>
      <c r="G229" s="19">
        <v>42</v>
      </c>
      <c r="H229" s="19"/>
      <c r="I229" s="19"/>
      <c r="J229" s="19"/>
      <c r="K229" s="19"/>
      <c r="L229" s="19"/>
      <c r="M229" s="19">
        <v>42</v>
      </c>
    </row>
    <row r="230" spans="1:13" s="20" customFormat="1" x14ac:dyDescent="0.25">
      <c r="A230" s="21" t="s">
        <v>4063</v>
      </c>
      <c r="B230" s="19">
        <v>1166</v>
      </c>
      <c r="C230" s="19"/>
      <c r="D230" s="19"/>
      <c r="E230" s="19"/>
      <c r="F230" s="19"/>
      <c r="G230" s="19">
        <v>6311</v>
      </c>
      <c r="H230" s="19"/>
      <c r="I230" s="19"/>
      <c r="J230" s="19"/>
      <c r="K230" s="19"/>
      <c r="L230" s="19"/>
      <c r="M230" s="19">
        <v>7477</v>
      </c>
    </row>
    <row r="231" spans="1:13" s="20" customFormat="1" x14ac:dyDescent="0.25">
      <c r="A231" s="21" t="s">
        <v>1342</v>
      </c>
      <c r="B231" s="19"/>
      <c r="C231" s="19"/>
      <c r="D231" s="19"/>
      <c r="E231" s="19"/>
      <c r="F231" s="19">
        <v>3763.1</v>
      </c>
      <c r="G231" s="19"/>
      <c r="H231" s="19"/>
      <c r="I231" s="19"/>
      <c r="J231" s="19"/>
      <c r="K231" s="19"/>
      <c r="L231" s="19"/>
      <c r="M231" s="19">
        <v>3763.1</v>
      </c>
    </row>
    <row r="232" spans="1:13" s="20" customFormat="1" x14ac:dyDescent="0.25">
      <c r="A232" s="21" t="s">
        <v>1345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>
        <v>397.96</v>
      </c>
      <c r="L232" s="19"/>
      <c r="M232" s="19">
        <v>397.96</v>
      </c>
    </row>
    <row r="233" spans="1:13" s="20" customFormat="1" x14ac:dyDescent="0.25">
      <c r="A233" s="21" t="s">
        <v>1764</v>
      </c>
      <c r="B233" s="19"/>
      <c r="C233" s="19"/>
      <c r="D233" s="19"/>
      <c r="E233" s="19">
        <v>605</v>
      </c>
      <c r="F233" s="19"/>
      <c r="G233" s="19"/>
      <c r="H233" s="19"/>
      <c r="I233" s="19"/>
      <c r="J233" s="19"/>
      <c r="K233" s="19"/>
      <c r="L233" s="19"/>
      <c r="M233" s="19">
        <v>605</v>
      </c>
    </row>
    <row r="234" spans="1:13" s="20" customFormat="1" x14ac:dyDescent="0.25">
      <c r="A234" s="21" t="s">
        <v>465</v>
      </c>
      <c r="B234" s="19"/>
      <c r="C234" s="19"/>
      <c r="D234" s="19"/>
      <c r="E234" s="19"/>
      <c r="F234" s="19"/>
      <c r="G234" s="19">
        <v>501.9</v>
      </c>
      <c r="H234" s="19"/>
      <c r="I234" s="19"/>
      <c r="J234" s="19"/>
      <c r="K234" s="19"/>
      <c r="L234" s="19"/>
      <c r="M234" s="19">
        <v>501.9</v>
      </c>
    </row>
    <row r="235" spans="1:13" s="20" customFormat="1" x14ac:dyDescent="0.25">
      <c r="A235" s="21" t="s">
        <v>87</v>
      </c>
      <c r="B235" s="19"/>
      <c r="C235" s="19"/>
      <c r="D235" s="19"/>
      <c r="E235" s="19"/>
      <c r="F235" s="19"/>
      <c r="G235" s="19">
        <v>300.02</v>
      </c>
      <c r="H235" s="19"/>
      <c r="I235" s="19"/>
      <c r="J235" s="19"/>
      <c r="K235" s="19"/>
      <c r="L235" s="19"/>
      <c r="M235" s="19">
        <v>300.02</v>
      </c>
    </row>
    <row r="236" spans="1:13" s="20" customFormat="1" x14ac:dyDescent="0.25">
      <c r="A236" s="21" t="s">
        <v>1353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1452</v>
      </c>
      <c r="M236" s="19">
        <v>1452</v>
      </c>
    </row>
    <row r="237" spans="1:13" s="20" customFormat="1" x14ac:dyDescent="0.25">
      <c r="A237" s="21" t="s">
        <v>1357</v>
      </c>
      <c r="B237" s="19"/>
      <c r="C237" s="19"/>
      <c r="D237" s="19"/>
      <c r="E237" s="19"/>
      <c r="F237" s="19"/>
      <c r="G237" s="19"/>
      <c r="H237" s="19">
        <v>14520</v>
      </c>
      <c r="I237" s="19"/>
      <c r="J237" s="19"/>
      <c r="K237" s="19"/>
      <c r="L237" s="19"/>
      <c r="M237" s="19">
        <v>14520</v>
      </c>
    </row>
    <row r="238" spans="1:13" s="20" customFormat="1" x14ac:dyDescent="0.25">
      <c r="A238" s="21" t="s">
        <v>75</v>
      </c>
      <c r="B238" s="19"/>
      <c r="C238" s="19"/>
      <c r="D238" s="19"/>
      <c r="E238" s="19"/>
      <c r="F238" s="19"/>
      <c r="G238" s="19"/>
      <c r="H238" s="19"/>
      <c r="I238" s="19"/>
      <c r="J238" s="19">
        <v>5613.9800000000005</v>
      </c>
      <c r="K238" s="19"/>
      <c r="L238" s="19"/>
      <c r="M238" s="19">
        <v>5613.9800000000005</v>
      </c>
    </row>
    <row r="239" spans="1:13" s="20" customFormat="1" x14ac:dyDescent="0.25">
      <c r="A239" s="21" t="s">
        <v>1372</v>
      </c>
      <c r="B239" s="19"/>
      <c r="C239" s="19"/>
      <c r="D239" s="19"/>
      <c r="E239" s="19"/>
      <c r="F239" s="19"/>
      <c r="G239" s="19"/>
      <c r="H239" s="19"/>
      <c r="I239" s="19">
        <v>6953.45</v>
      </c>
      <c r="J239" s="19"/>
      <c r="K239" s="19">
        <v>1718.3400000000001</v>
      </c>
      <c r="L239" s="19"/>
      <c r="M239" s="19">
        <v>8671.7900000000009</v>
      </c>
    </row>
    <row r="240" spans="1:13" s="20" customFormat="1" x14ac:dyDescent="0.25">
      <c r="A240" s="21" t="s">
        <v>68</v>
      </c>
      <c r="B240" s="19"/>
      <c r="C240" s="19">
        <v>403.99</v>
      </c>
      <c r="D240" s="19">
        <v>889.94</v>
      </c>
      <c r="E240" s="19"/>
      <c r="F240" s="19"/>
      <c r="G240" s="19"/>
      <c r="H240" s="19"/>
      <c r="I240" s="19"/>
      <c r="J240" s="19"/>
      <c r="K240" s="19"/>
      <c r="L240" s="19">
        <v>17182</v>
      </c>
      <c r="M240" s="19">
        <v>18475.93</v>
      </c>
    </row>
    <row r="241" spans="1:13" s="20" customFormat="1" x14ac:dyDescent="0.25">
      <c r="A241" s="21" t="s">
        <v>5460</v>
      </c>
      <c r="B241" s="19">
        <v>69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>
        <v>69</v>
      </c>
    </row>
    <row r="242" spans="1:13" s="20" customFormat="1" x14ac:dyDescent="0.25">
      <c r="A242" s="21" t="s">
        <v>95</v>
      </c>
      <c r="B242" s="19">
        <v>1838.79</v>
      </c>
      <c r="C242" s="19"/>
      <c r="D242" s="19"/>
      <c r="E242" s="19"/>
      <c r="F242" s="19">
        <v>628.16</v>
      </c>
      <c r="G242" s="19">
        <v>13893.74</v>
      </c>
      <c r="H242" s="19"/>
      <c r="I242" s="19"/>
      <c r="J242" s="19"/>
      <c r="K242" s="19"/>
      <c r="L242" s="19"/>
      <c r="M242" s="19">
        <v>16360.689999999999</v>
      </c>
    </row>
    <row r="243" spans="1:13" s="20" customFormat="1" x14ac:dyDescent="0.25">
      <c r="A243" s="21" t="s">
        <v>29</v>
      </c>
      <c r="B243" s="19">
        <v>12982</v>
      </c>
      <c r="C243" s="19">
        <v>7260</v>
      </c>
      <c r="D243" s="19"/>
      <c r="E243" s="19">
        <v>605</v>
      </c>
      <c r="F243" s="19">
        <v>1320</v>
      </c>
      <c r="G243" s="19">
        <v>16080.54</v>
      </c>
      <c r="H243" s="19"/>
      <c r="I243" s="19">
        <v>7139</v>
      </c>
      <c r="J243" s="19"/>
      <c r="K243" s="19">
        <v>3974.7</v>
      </c>
      <c r="L243" s="19"/>
      <c r="M243" s="19">
        <v>49361.24</v>
      </c>
    </row>
    <row r="244" spans="1:13" s="20" customFormat="1" x14ac:dyDescent="0.25">
      <c r="A244" s="21" t="s">
        <v>4067</v>
      </c>
      <c r="B244" s="19"/>
      <c r="C244" s="19"/>
      <c r="D244" s="19">
        <v>4598</v>
      </c>
      <c r="E244" s="19"/>
      <c r="F244" s="19"/>
      <c r="G244" s="19"/>
      <c r="H244" s="19"/>
      <c r="I244" s="19"/>
      <c r="J244" s="19"/>
      <c r="K244" s="19"/>
      <c r="L244" s="19"/>
      <c r="M244" s="19">
        <v>4598</v>
      </c>
    </row>
    <row r="245" spans="1:13" s="20" customFormat="1" x14ac:dyDescent="0.25">
      <c r="A245" s="21" t="s">
        <v>469</v>
      </c>
      <c r="B245" s="19"/>
      <c r="C245" s="19"/>
      <c r="D245" s="19">
        <v>1078.1099999999999</v>
      </c>
      <c r="E245" s="19"/>
      <c r="F245" s="19"/>
      <c r="G245" s="19"/>
      <c r="H245" s="19">
        <v>4631.8</v>
      </c>
      <c r="I245" s="19"/>
      <c r="J245" s="19"/>
      <c r="K245" s="19"/>
      <c r="L245" s="19"/>
      <c r="M245" s="19">
        <v>5709.91</v>
      </c>
    </row>
    <row r="246" spans="1:13" s="20" customFormat="1" x14ac:dyDescent="0.25">
      <c r="A246" s="21" t="s">
        <v>84</v>
      </c>
      <c r="B246" s="19"/>
      <c r="C246" s="19"/>
      <c r="D246" s="19"/>
      <c r="E246" s="19"/>
      <c r="F246" s="19"/>
      <c r="G246" s="19"/>
      <c r="H246" s="19">
        <v>522.95000000000005</v>
      </c>
      <c r="I246" s="19"/>
      <c r="J246" s="19"/>
      <c r="K246" s="19"/>
      <c r="L246" s="19"/>
      <c r="M246" s="19">
        <v>522.95000000000005</v>
      </c>
    </row>
    <row r="247" spans="1:13" s="20" customFormat="1" x14ac:dyDescent="0.25">
      <c r="A247" s="21" t="s">
        <v>424</v>
      </c>
      <c r="B247" s="19"/>
      <c r="C247" s="19">
        <v>1016.41</v>
      </c>
      <c r="D247" s="19"/>
      <c r="E247" s="19"/>
      <c r="F247" s="19"/>
      <c r="G247" s="19"/>
      <c r="H247" s="19"/>
      <c r="I247" s="19"/>
      <c r="J247" s="19"/>
      <c r="K247" s="19"/>
      <c r="L247" s="19"/>
      <c r="M247" s="19">
        <v>1016.41</v>
      </c>
    </row>
    <row r="248" spans="1:13" s="20" customFormat="1" x14ac:dyDescent="0.25">
      <c r="A248" s="21" t="s">
        <v>320</v>
      </c>
      <c r="B248" s="19"/>
      <c r="C248" s="19"/>
      <c r="D248" s="19">
        <v>1730</v>
      </c>
      <c r="E248" s="19"/>
      <c r="F248" s="19">
        <v>7029.62</v>
      </c>
      <c r="G248" s="19">
        <v>3000</v>
      </c>
      <c r="H248" s="19"/>
      <c r="I248" s="19">
        <v>3424.3</v>
      </c>
      <c r="J248" s="19"/>
      <c r="K248" s="19"/>
      <c r="L248" s="19">
        <v>0</v>
      </c>
      <c r="M248" s="19">
        <v>15183.919999999998</v>
      </c>
    </row>
    <row r="249" spans="1:13" s="20" customFormat="1" x14ac:dyDescent="0.25">
      <c r="A249" s="21" t="s">
        <v>4073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>
        <v>17914.8</v>
      </c>
      <c r="M249" s="19">
        <v>17914.8</v>
      </c>
    </row>
    <row r="250" spans="1:13" s="20" customFormat="1" x14ac:dyDescent="0.25">
      <c r="A250" s="21" t="s">
        <v>347</v>
      </c>
      <c r="B250" s="19"/>
      <c r="C250" s="19"/>
      <c r="D250" s="19"/>
      <c r="E250" s="19"/>
      <c r="F250" s="19"/>
      <c r="G250" s="19"/>
      <c r="H250" s="19">
        <v>4890.57</v>
      </c>
      <c r="I250" s="19"/>
      <c r="J250" s="19"/>
      <c r="K250" s="19"/>
      <c r="L250" s="19"/>
      <c r="M250" s="19">
        <v>4890.57</v>
      </c>
    </row>
    <row r="251" spans="1:13" s="20" customFormat="1" x14ac:dyDescent="0.25">
      <c r="A251" s="21" t="s">
        <v>4075</v>
      </c>
      <c r="B251" s="19">
        <v>941.11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>
        <v>941.11</v>
      </c>
    </row>
    <row r="252" spans="1:13" s="20" customFormat="1" x14ac:dyDescent="0.25">
      <c r="A252" s="21" t="s">
        <v>1407</v>
      </c>
      <c r="B252" s="19"/>
      <c r="C252" s="19"/>
      <c r="D252" s="19"/>
      <c r="E252" s="19"/>
      <c r="F252" s="19"/>
      <c r="G252" s="19">
        <v>2880</v>
      </c>
      <c r="H252" s="19"/>
      <c r="I252" s="19"/>
      <c r="J252" s="19"/>
      <c r="K252" s="19"/>
      <c r="L252" s="19"/>
      <c r="M252" s="19">
        <v>2880</v>
      </c>
    </row>
    <row r="253" spans="1:13" s="20" customFormat="1" x14ac:dyDescent="0.25">
      <c r="A253" s="21" t="s">
        <v>4081</v>
      </c>
      <c r="B253" s="19"/>
      <c r="C253" s="19"/>
      <c r="D253" s="19"/>
      <c r="E253" s="19"/>
      <c r="F253" s="19"/>
      <c r="G253" s="19">
        <v>800.94</v>
      </c>
      <c r="H253" s="19"/>
      <c r="I253" s="19"/>
      <c r="J253" s="19"/>
      <c r="K253" s="19"/>
      <c r="L253" s="19"/>
      <c r="M253" s="19">
        <v>800.94</v>
      </c>
    </row>
    <row r="254" spans="1:13" s="20" customFormat="1" x14ac:dyDescent="0.25">
      <c r="A254" s="21" t="s">
        <v>4083</v>
      </c>
      <c r="B254" s="19"/>
      <c r="C254" s="19"/>
      <c r="D254" s="19"/>
      <c r="E254" s="19"/>
      <c r="F254" s="19"/>
      <c r="G254" s="19"/>
      <c r="H254" s="19">
        <v>2500</v>
      </c>
      <c r="I254" s="19"/>
      <c r="J254" s="19"/>
      <c r="K254" s="19"/>
      <c r="L254" s="19"/>
      <c r="M254" s="19">
        <v>2500</v>
      </c>
    </row>
    <row r="255" spans="1:13" s="20" customFormat="1" x14ac:dyDescent="0.25">
      <c r="A255" s="21" t="s">
        <v>1409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546.85</v>
      </c>
      <c r="M255" s="19">
        <v>546.85</v>
      </c>
    </row>
    <row r="256" spans="1:13" s="20" customFormat="1" x14ac:dyDescent="0.25">
      <c r="A256" s="21" t="s">
        <v>440</v>
      </c>
      <c r="B256" s="19"/>
      <c r="C256" s="19"/>
      <c r="D256" s="19"/>
      <c r="E256" s="19"/>
      <c r="F256" s="19"/>
      <c r="G256" s="19">
        <v>660</v>
      </c>
      <c r="H256" s="19"/>
      <c r="I256" s="19"/>
      <c r="J256" s="19"/>
      <c r="K256" s="19"/>
      <c r="L256" s="19"/>
      <c r="M256" s="19">
        <v>660</v>
      </c>
    </row>
    <row r="257" spans="1:13" s="20" customFormat="1" x14ac:dyDescent="0.25">
      <c r="A257" s="21" t="s">
        <v>4085</v>
      </c>
      <c r="B257" s="19"/>
      <c r="C257" s="19"/>
      <c r="D257" s="19"/>
      <c r="E257" s="19"/>
      <c r="F257" s="19"/>
      <c r="G257" s="19">
        <v>240</v>
      </c>
      <c r="H257" s="19"/>
      <c r="I257" s="19"/>
      <c r="J257" s="19"/>
      <c r="K257" s="19">
        <v>2862</v>
      </c>
      <c r="L257" s="19"/>
      <c r="M257" s="19">
        <v>3102</v>
      </c>
    </row>
    <row r="258" spans="1:13" s="20" customFormat="1" x14ac:dyDescent="0.25">
      <c r="A258" s="21" t="s">
        <v>1351</v>
      </c>
      <c r="B258" s="19"/>
      <c r="C258" s="19"/>
      <c r="D258" s="19"/>
      <c r="E258" s="19">
        <v>4210.8</v>
      </c>
      <c r="F258" s="19"/>
      <c r="G258" s="19"/>
      <c r="H258" s="19"/>
      <c r="I258" s="19"/>
      <c r="J258" s="19"/>
      <c r="K258" s="19"/>
      <c r="L258" s="19"/>
      <c r="M258" s="19">
        <v>4210.8</v>
      </c>
    </row>
    <row r="259" spans="1:13" s="20" customFormat="1" x14ac:dyDescent="0.25">
      <c r="A259" s="21" t="s">
        <v>5169</v>
      </c>
      <c r="B259" s="19"/>
      <c r="C259" s="19"/>
      <c r="D259" s="19"/>
      <c r="E259" s="19"/>
      <c r="F259" s="19"/>
      <c r="G259" s="19">
        <v>1500</v>
      </c>
      <c r="H259" s="19"/>
      <c r="I259" s="19"/>
      <c r="J259" s="19"/>
      <c r="K259" s="19"/>
      <c r="L259" s="19"/>
      <c r="M259" s="19">
        <v>1500</v>
      </c>
    </row>
    <row r="260" spans="1:13" s="20" customFormat="1" x14ac:dyDescent="0.25">
      <c r="A260" s="21" t="s">
        <v>1420</v>
      </c>
      <c r="B260" s="19"/>
      <c r="C260" s="19"/>
      <c r="D260" s="19"/>
      <c r="E260" s="19"/>
      <c r="F260" s="19">
        <v>574.20000000000005</v>
      </c>
      <c r="G260" s="19"/>
      <c r="H260" s="19"/>
      <c r="I260" s="19"/>
      <c r="J260" s="19">
        <v>125.84</v>
      </c>
      <c r="K260" s="19">
        <v>1683</v>
      </c>
      <c r="L260" s="19"/>
      <c r="M260" s="19">
        <v>2383.04</v>
      </c>
    </row>
    <row r="261" spans="1:13" s="20" customFormat="1" x14ac:dyDescent="0.25">
      <c r="A261" s="21" t="s">
        <v>1424</v>
      </c>
      <c r="B261" s="19"/>
      <c r="C261" s="19"/>
      <c r="D261" s="19"/>
      <c r="E261" s="19"/>
      <c r="F261" s="19"/>
      <c r="G261" s="19">
        <v>3600</v>
      </c>
      <c r="H261" s="19"/>
      <c r="I261" s="19"/>
      <c r="J261" s="19"/>
      <c r="K261" s="19"/>
      <c r="L261" s="19"/>
      <c r="M261" s="19">
        <v>3600</v>
      </c>
    </row>
    <row r="262" spans="1:13" s="20" customFormat="1" x14ac:dyDescent="0.25">
      <c r="A262" s="21" t="s">
        <v>334</v>
      </c>
      <c r="B262" s="19"/>
      <c r="C262" s="19"/>
      <c r="D262" s="19"/>
      <c r="E262" s="19"/>
      <c r="F262" s="19"/>
      <c r="G262" s="19">
        <v>220</v>
      </c>
      <c r="H262" s="19"/>
      <c r="I262" s="19"/>
      <c r="J262" s="19"/>
      <c r="K262" s="19"/>
      <c r="L262" s="19"/>
      <c r="M262" s="19">
        <v>220</v>
      </c>
    </row>
    <row r="263" spans="1:13" s="20" customFormat="1" x14ac:dyDescent="0.25">
      <c r="A263" s="21" t="s">
        <v>1434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70.75</v>
      </c>
      <c r="M263" s="19">
        <v>70.75</v>
      </c>
    </row>
    <row r="264" spans="1:13" s="20" customFormat="1" x14ac:dyDescent="0.25">
      <c r="A264" s="21" t="s">
        <v>1437</v>
      </c>
      <c r="B264" s="19"/>
      <c r="C264" s="19"/>
      <c r="D264" s="19"/>
      <c r="E264" s="19">
        <v>1548.8</v>
      </c>
      <c r="F264" s="19"/>
      <c r="G264" s="19"/>
      <c r="H264" s="19"/>
      <c r="I264" s="19"/>
      <c r="J264" s="19"/>
      <c r="K264" s="19"/>
      <c r="L264" s="19"/>
      <c r="M264" s="19">
        <v>1548.8</v>
      </c>
    </row>
    <row r="265" spans="1:13" s="20" customFormat="1" x14ac:dyDescent="0.25">
      <c r="A265" s="21" t="s">
        <v>1440</v>
      </c>
      <c r="B265" s="19"/>
      <c r="C265" s="19"/>
      <c r="D265" s="19"/>
      <c r="E265" s="19"/>
      <c r="F265" s="19"/>
      <c r="G265" s="19"/>
      <c r="H265" s="19"/>
      <c r="I265" s="19">
        <v>7061.56</v>
      </c>
      <c r="J265" s="19"/>
      <c r="K265" s="19"/>
      <c r="L265" s="19"/>
      <c r="M265" s="19">
        <v>7061.56</v>
      </c>
    </row>
    <row r="266" spans="1:13" s="20" customFormat="1" x14ac:dyDescent="0.25">
      <c r="A266" s="21" t="s">
        <v>1444</v>
      </c>
      <c r="B266" s="19"/>
      <c r="C266" s="19"/>
      <c r="D266" s="19"/>
      <c r="E266" s="19"/>
      <c r="F266" s="19">
        <v>6550</v>
      </c>
      <c r="G266" s="19"/>
      <c r="H266" s="19"/>
      <c r="I266" s="19"/>
      <c r="J266" s="19"/>
      <c r="K266" s="19"/>
      <c r="L266" s="19"/>
      <c r="M266" s="19">
        <v>6550</v>
      </c>
    </row>
    <row r="267" spans="1:13" s="20" customFormat="1" x14ac:dyDescent="0.25">
      <c r="A267" s="21" t="s">
        <v>442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1436.02</v>
      </c>
      <c r="L267" s="19"/>
      <c r="M267" s="19">
        <v>1436.02</v>
      </c>
    </row>
    <row r="268" spans="1:13" s="20" customFormat="1" ht="25.5" x14ac:dyDescent="0.25">
      <c r="A268" s="21" t="s">
        <v>340</v>
      </c>
      <c r="B268" s="19"/>
      <c r="C268" s="19"/>
      <c r="D268" s="19"/>
      <c r="E268" s="19"/>
      <c r="F268" s="19"/>
      <c r="G268" s="19"/>
      <c r="H268" s="19"/>
      <c r="I268" s="19">
        <v>5420.8</v>
      </c>
      <c r="J268" s="19"/>
      <c r="K268" s="19"/>
      <c r="L268" s="19"/>
      <c r="M268" s="19">
        <v>5420.8</v>
      </c>
    </row>
    <row r="269" spans="1:13" s="20" customFormat="1" x14ac:dyDescent="0.25">
      <c r="A269" s="21" t="s">
        <v>451</v>
      </c>
      <c r="B269" s="19">
        <v>1688.24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>
        <v>1688.24</v>
      </c>
    </row>
    <row r="270" spans="1:13" s="20" customFormat="1" x14ac:dyDescent="0.25">
      <c r="A270" s="21" t="s">
        <v>1458</v>
      </c>
      <c r="B270" s="19"/>
      <c r="C270" s="19"/>
      <c r="D270" s="19">
        <v>9388.24</v>
      </c>
      <c r="E270" s="19"/>
      <c r="F270" s="19"/>
      <c r="G270" s="19"/>
      <c r="H270" s="19"/>
      <c r="I270" s="19"/>
      <c r="J270" s="19"/>
      <c r="K270" s="19"/>
      <c r="L270" s="19"/>
      <c r="M270" s="19">
        <v>9388.24</v>
      </c>
    </row>
    <row r="271" spans="1:13" s="20" customFormat="1" x14ac:dyDescent="0.25">
      <c r="A271" s="21" t="s">
        <v>4089</v>
      </c>
      <c r="B271" s="19"/>
      <c r="C271" s="19"/>
      <c r="D271" s="19"/>
      <c r="E271" s="19"/>
      <c r="F271" s="19"/>
      <c r="G271" s="19">
        <v>692.12</v>
      </c>
      <c r="H271" s="19"/>
      <c r="I271" s="19"/>
      <c r="J271" s="19"/>
      <c r="K271" s="19"/>
      <c r="L271" s="19"/>
      <c r="M271" s="19">
        <v>692.12</v>
      </c>
    </row>
    <row r="272" spans="1:13" s="20" customFormat="1" x14ac:dyDescent="0.25">
      <c r="A272" s="21" t="s">
        <v>65</v>
      </c>
      <c r="B272" s="19"/>
      <c r="C272" s="19"/>
      <c r="D272" s="19">
        <v>60.38</v>
      </c>
      <c r="E272" s="19"/>
      <c r="F272" s="19">
        <v>8938.8799999999992</v>
      </c>
      <c r="G272" s="19">
        <v>1123.8499999999999</v>
      </c>
      <c r="H272" s="19"/>
      <c r="I272" s="19"/>
      <c r="J272" s="19"/>
      <c r="K272" s="19">
        <v>3148.01</v>
      </c>
      <c r="L272" s="19"/>
      <c r="M272" s="19">
        <v>13271.119999999999</v>
      </c>
    </row>
    <row r="273" spans="1:13" s="20" customFormat="1" x14ac:dyDescent="0.25">
      <c r="A273" s="21" t="s">
        <v>26</v>
      </c>
      <c r="B273" s="19">
        <v>18897.12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>
        <v>18897.12</v>
      </c>
    </row>
    <row r="274" spans="1:13" s="20" customFormat="1" x14ac:dyDescent="0.25">
      <c r="A274" s="21" t="s">
        <v>1475</v>
      </c>
      <c r="B274" s="19"/>
      <c r="C274" s="19"/>
      <c r="D274" s="19"/>
      <c r="E274" s="19"/>
      <c r="F274" s="19"/>
      <c r="G274" s="19"/>
      <c r="H274" s="19">
        <v>2171.9499999999998</v>
      </c>
      <c r="I274" s="19"/>
      <c r="J274" s="19"/>
      <c r="K274" s="19"/>
      <c r="L274" s="19"/>
      <c r="M274" s="19">
        <v>2171.9499999999998</v>
      </c>
    </row>
    <row r="275" spans="1:13" s="20" customFormat="1" x14ac:dyDescent="0.25">
      <c r="A275" s="21" t="s">
        <v>4478</v>
      </c>
      <c r="B275" s="19"/>
      <c r="C275" s="19"/>
      <c r="D275" s="19"/>
      <c r="E275" s="19"/>
      <c r="F275" s="19"/>
      <c r="G275" s="19"/>
      <c r="H275" s="19">
        <v>1573</v>
      </c>
      <c r="I275" s="19"/>
      <c r="J275" s="19"/>
      <c r="K275" s="19"/>
      <c r="L275" s="19"/>
      <c r="M275" s="19">
        <v>1573</v>
      </c>
    </row>
    <row r="276" spans="1:13" s="20" customFormat="1" x14ac:dyDescent="0.25">
      <c r="A276" s="21" t="s">
        <v>5380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>
        <v>264.05</v>
      </c>
      <c r="M276" s="19">
        <v>264.05</v>
      </c>
    </row>
    <row r="277" spans="1:13" s="20" customFormat="1" x14ac:dyDescent="0.25">
      <c r="A277" s="21" t="s">
        <v>42</v>
      </c>
      <c r="B277" s="19"/>
      <c r="C277" s="19"/>
      <c r="D277" s="19">
        <v>2530</v>
      </c>
      <c r="E277" s="19"/>
      <c r="F277" s="19"/>
      <c r="G277" s="19">
        <v>2673</v>
      </c>
      <c r="H277" s="19"/>
      <c r="I277" s="19"/>
      <c r="J277" s="19"/>
      <c r="K277" s="19"/>
      <c r="L277" s="19"/>
      <c r="M277" s="19">
        <v>5203</v>
      </c>
    </row>
    <row r="278" spans="1:13" s="20" customFormat="1" x14ac:dyDescent="0.25">
      <c r="A278" s="21" t="s">
        <v>1485</v>
      </c>
      <c r="B278" s="19"/>
      <c r="C278" s="19"/>
      <c r="D278" s="19"/>
      <c r="E278" s="19"/>
      <c r="F278" s="19"/>
      <c r="G278" s="19">
        <v>3795.63</v>
      </c>
      <c r="H278" s="19"/>
      <c r="I278" s="19"/>
      <c r="J278" s="19">
        <v>4065.7200000000003</v>
      </c>
      <c r="K278" s="19"/>
      <c r="L278" s="19"/>
      <c r="M278" s="19">
        <v>7861.35</v>
      </c>
    </row>
    <row r="279" spans="1:13" s="20" customFormat="1" x14ac:dyDescent="0.25">
      <c r="A279" s="21" t="s">
        <v>2115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>
        <v>752.64</v>
      </c>
      <c r="L279" s="19"/>
      <c r="M279" s="19">
        <v>752.64</v>
      </c>
    </row>
    <row r="280" spans="1:13" s="20" customFormat="1" x14ac:dyDescent="0.25">
      <c r="A280" s="21" t="s">
        <v>5161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1795.13</v>
      </c>
      <c r="M280" s="19">
        <v>1795.13</v>
      </c>
    </row>
    <row r="281" spans="1:13" s="20" customFormat="1" x14ac:dyDescent="0.25">
      <c r="A281" s="21" t="s">
        <v>4098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1731.54</v>
      </c>
      <c r="M281" s="19">
        <v>1731.54</v>
      </c>
    </row>
    <row r="282" spans="1:13" s="20" customFormat="1" x14ac:dyDescent="0.25">
      <c r="A282" s="21" t="s">
        <v>773</v>
      </c>
      <c r="B282" s="19"/>
      <c r="C282" s="19"/>
      <c r="D282" s="19"/>
      <c r="E282" s="19"/>
      <c r="F282" s="19"/>
      <c r="G282" s="19">
        <v>4277.3500000000004</v>
      </c>
      <c r="H282" s="19"/>
      <c r="I282" s="19"/>
      <c r="J282" s="19"/>
      <c r="K282" s="19"/>
      <c r="L282" s="19"/>
      <c r="M282" s="19">
        <v>4277.3500000000004</v>
      </c>
    </row>
    <row r="283" spans="1:13" s="20" customFormat="1" x14ac:dyDescent="0.25">
      <c r="A283" s="21" t="s">
        <v>4101</v>
      </c>
      <c r="B283" s="19"/>
      <c r="C283" s="19"/>
      <c r="D283" s="19">
        <v>242</v>
      </c>
      <c r="E283" s="19"/>
      <c r="F283" s="19"/>
      <c r="G283" s="19">
        <v>280</v>
      </c>
      <c r="H283" s="19"/>
      <c r="I283" s="19"/>
      <c r="J283" s="19"/>
      <c r="K283" s="19"/>
      <c r="L283" s="19"/>
      <c r="M283" s="19">
        <v>522</v>
      </c>
    </row>
    <row r="284" spans="1:13" s="20" customFormat="1" x14ac:dyDescent="0.25">
      <c r="A284" s="21" t="s">
        <v>459</v>
      </c>
      <c r="B284" s="19"/>
      <c r="C284" s="19"/>
      <c r="D284" s="19"/>
      <c r="E284" s="19"/>
      <c r="F284" s="19"/>
      <c r="G284" s="19">
        <v>7018</v>
      </c>
      <c r="H284" s="19"/>
      <c r="I284" s="19"/>
      <c r="J284" s="19"/>
      <c r="K284" s="19"/>
      <c r="L284" s="19"/>
      <c r="M284" s="19">
        <v>7018</v>
      </c>
    </row>
    <row r="285" spans="1:13" s="20" customFormat="1" x14ac:dyDescent="0.25">
      <c r="A285" s="21" t="s">
        <v>422</v>
      </c>
      <c r="B285" s="19"/>
      <c r="C285" s="19">
        <v>656.72</v>
      </c>
      <c r="D285" s="19"/>
      <c r="E285" s="19"/>
      <c r="F285" s="19"/>
      <c r="G285" s="19"/>
      <c r="H285" s="19"/>
      <c r="I285" s="19"/>
      <c r="J285" s="19"/>
      <c r="K285" s="19"/>
      <c r="L285" s="19">
        <v>14029.4</v>
      </c>
      <c r="M285" s="19">
        <v>14686.119999999999</v>
      </c>
    </row>
    <row r="286" spans="1:13" s="20" customFormat="1" x14ac:dyDescent="0.25">
      <c r="A286" s="21" t="s">
        <v>491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>
        <v>796.95</v>
      </c>
      <c r="L286" s="19"/>
      <c r="M286" s="19">
        <v>796.95</v>
      </c>
    </row>
    <row r="287" spans="1:13" s="20" customFormat="1" x14ac:dyDescent="0.25">
      <c r="A287" s="21" t="s">
        <v>737</v>
      </c>
      <c r="B287" s="19"/>
      <c r="C287" s="19"/>
      <c r="D287" s="19"/>
      <c r="E287" s="19"/>
      <c r="F287" s="19"/>
      <c r="G287" s="19">
        <v>5994</v>
      </c>
      <c r="H287" s="19"/>
      <c r="I287" s="19"/>
      <c r="J287" s="19"/>
      <c r="K287" s="19"/>
      <c r="L287" s="19"/>
      <c r="M287" s="19">
        <v>5994</v>
      </c>
    </row>
    <row r="288" spans="1:13" s="20" customFormat="1" x14ac:dyDescent="0.25">
      <c r="A288" s="21" t="s">
        <v>4105</v>
      </c>
      <c r="B288" s="19">
        <v>1754.5</v>
      </c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>
        <v>1754.5</v>
      </c>
    </row>
    <row r="289" spans="1:13" s="20" customFormat="1" x14ac:dyDescent="0.25">
      <c r="A289" s="21" t="s">
        <v>1498</v>
      </c>
      <c r="B289" s="19"/>
      <c r="C289" s="19"/>
      <c r="D289" s="19"/>
      <c r="E289" s="19"/>
      <c r="F289" s="19"/>
      <c r="G289" s="19">
        <v>1452</v>
      </c>
      <c r="H289" s="19"/>
      <c r="I289" s="19"/>
      <c r="J289" s="19"/>
      <c r="K289" s="19"/>
      <c r="L289" s="19"/>
      <c r="M289" s="19">
        <v>1452</v>
      </c>
    </row>
    <row r="290" spans="1:13" s="20" customFormat="1" x14ac:dyDescent="0.25">
      <c r="A290" s="21" t="s">
        <v>497</v>
      </c>
      <c r="B290" s="19"/>
      <c r="C290" s="19">
        <v>5207.6000000000004</v>
      </c>
      <c r="D290" s="19"/>
      <c r="E290" s="19"/>
      <c r="F290" s="19"/>
      <c r="G290" s="19"/>
      <c r="H290" s="19"/>
      <c r="I290" s="19"/>
      <c r="J290" s="19"/>
      <c r="K290" s="19"/>
      <c r="L290" s="19"/>
      <c r="M290" s="19">
        <v>5207.6000000000004</v>
      </c>
    </row>
    <row r="291" spans="1:13" s="20" customFormat="1" x14ac:dyDescent="0.25">
      <c r="A291" s="21" t="s">
        <v>4108</v>
      </c>
      <c r="B291" s="19"/>
      <c r="C291" s="19">
        <v>3025</v>
      </c>
      <c r="D291" s="19"/>
      <c r="E291" s="19"/>
      <c r="F291" s="19"/>
      <c r="G291" s="19"/>
      <c r="H291" s="19"/>
      <c r="I291" s="19"/>
      <c r="J291" s="19"/>
      <c r="K291" s="19"/>
      <c r="L291" s="19"/>
      <c r="M291" s="19">
        <v>3025</v>
      </c>
    </row>
    <row r="292" spans="1:13" s="20" customFormat="1" x14ac:dyDescent="0.25">
      <c r="A292" s="21" t="s">
        <v>4111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500</v>
      </c>
      <c r="M292" s="19">
        <v>500</v>
      </c>
    </row>
    <row r="293" spans="1:13" s="20" customFormat="1" x14ac:dyDescent="0.25">
      <c r="A293" s="21" t="s">
        <v>499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3119.44</v>
      </c>
      <c r="L293" s="19"/>
      <c r="M293" s="19">
        <v>3119.44</v>
      </c>
    </row>
    <row r="294" spans="1:13" s="20" customFormat="1" x14ac:dyDescent="0.25">
      <c r="A294" s="21" t="s">
        <v>1507</v>
      </c>
      <c r="B294" s="19"/>
      <c r="C294" s="19"/>
      <c r="D294" s="19">
        <v>112.7</v>
      </c>
      <c r="E294" s="19"/>
      <c r="F294" s="19">
        <v>22.65</v>
      </c>
      <c r="G294" s="19"/>
      <c r="H294" s="19">
        <v>229.56</v>
      </c>
      <c r="I294" s="19"/>
      <c r="J294" s="19"/>
      <c r="K294" s="19">
        <v>48.660000000000004</v>
      </c>
      <c r="L294" s="19"/>
      <c r="M294" s="19">
        <v>413.57</v>
      </c>
    </row>
    <row r="295" spans="1:13" s="20" customFormat="1" x14ac:dyDescent="0.25">
      <c r="A295" s="21" t="s">
        <v>5084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>
        <v>3630</v>
      </c>
      <c r="M295" s="19">
        <v>3630</v>
      </c>
    </row>
    <row r="296" spans="1:13" s="20" customFormat="1" x14ac:dyDescent="0.25">
      <c r="A296" s="21" t="s">
        <v>92</v>
      </c>
      <c r="B296" s="19">
        <v>473.2</v>
      </c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>
        <v>473.2</v>
      </c>
    </row>
    <row r="297" spans="1:13" s="20" customFormat="1" x14ac:dyDescent="0.25">
      <c r="A297" s="21" t="s">
        <v>1527</v>
      </c>
      <c r="B297" s="19"/>
      <c r="C297" s="19"/>
      <c r="D297" s="19"/>
      <c r="E297" s="19"/>
      <c r="F297" s="19">
        <v>1633.5</v>
      </c>
      <c r="G297" s="19"/>
      <c r="H297" s="19"/>
      <c r="I297" s="19"/>
      <c r="J297" s="19"/>
      <c r="K297" s="19"/>
      <c r="L297" s="19"/>
      <c r="M297" s="19">
        <v>1633.5</v>
      </c>
    </row>
    <row r="298" spans="1:13" s="20" customFormat="1" x14ac:dyDescent="0.25">
      <c r="A298" s="21" t="s">
        <v>1521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108.4</v>
      </c>
      <c r="M298" s="19">
        <v>108.4</v>
      </c>
    </row>
    <row r="299" spans="1:13" s="20" customFormat="1" x14ac:dyDescent="0.25">
      <c r="A299" s="21" t="s">
        <v>1523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1105.76</v>
      </c>
      <c r="M299" s="19">
        <v>1105.76</v>
      </c>
    </row>
    <row r="300" spans="1:13" s="20" customFormat="1" x14ac:dyDescent="0.25">
      <c r="A300" s="21" t="s">
        <v>396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160</v>
      </c>
      <c r="M300" s="19">
        <v>160</v>
      </c>
    </row>
    <row r="301" spans="1:13" s="20" customFormat="1" x14ac:dyDescent="0.25">
      <c r="A301" s="21" t="s">
        <v>4118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2874.72</v>
      </c>
      <c r="M301" s="19">
        <v>2874.72</v>
      </c>
    </row>
    <row r="302" spans="1:13" s="20" customFormat="1" x14ac:dyDescent="0.25">
      <c r="A302" s="21" t="s">
        <v>4121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1161.5999999999999</v>
      </c>
      <c r="M302" s="19">
        <v>1161.5999999999999</v>
      </c>
    </row>
    <row r="303" spans="1:13" s="20" customFormat="1" x14ac:dyDescent="0.25">
      <c r="A303" s="21" t="s">
        <v>3457</v>
      </c>
      <c r="B303" s="19"/>
      <c r="C303" s="19">
        <v>48237.86</v>
      </c>
      <c r="D303" s="19"/>
      <c r="E303" s="19"/>
      <c r="F303" s="19"/>
      <c r="G303" s="19"/>
      <c r="H303" s="19"/>
      <c r="I303" s="19"/>
      <c r="J303" s="19"/>
      <c r="K303" s="19"/>
      <c r="L303" s="19"/>
      <c r="M303" s="19">
        <v>48237.86</v>
      </c>
    </row>
    <row r="304" spans="1:13" s="20" customFormat="1" x14ac:dyDescent="0.25">
      <c r="A304" s="21" t="s">
        <v>1539</v>
      </c>
      <c r="B304" s="19"/>
      <c r="C304" s="19">
        <v>7151.1</v>
      </c>
      <c r="D304" s="19"/>
      <c r="E304" s="19"/>
      <c r="F304" s="19"/>
      <c r="G304" s="19"/>
      <c r="H304" s="19"/>
      <c r="I304" s="19"/>
      <c r="J304" s="19"/>
      <c r="K304" s="19"/>
      <c r="L304" s="19"/>
      <c r="M304" s="19">
        <v>7151.1</v>
      </c>
    </row>
    <row r="305" spans="1:13" s="20" customFormat="1" x14ac:dyDescent="0.25">
      <c r="A305" s="21" t="s">
        <v>804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>
        <v>11192.5</v>
      </c>
      <c r="L305" s="19"/>
      <c r="M305" s="19">
        <v>11192.5</v>
      </c>
    </row>
    <row r="306" spans="1:13" s="20" customFormat="1" x14ac:dyDescent="0.25">
      <c r="A306" s="21" t="s">
        <v>479</v>
      </c>
      <c r="B306" s="19"/>
      <c r="C306" s="19"/>
      <c r="D306" s="19">
        <v>605</v>
      </c>
      <c r="E306" s="19"/>
      <c r="F306" s="19"/>
      <c r="G306" s="19"/>
      <c r="H306" s="19"/>
      <c r="I306" s="19"/>
      <c r="J306" s="19"/>
      <c r="K306" s="19"/>
      <c r="L306" s="19"/>
      <c r="M306" s="19">
        <v>605</v>
      </c>
    </row>
    <row r="307" spans="1:13" s="20" customFormat="1" x14ac:dyDescent="0.25">
      <c r="A307" s="21" t="s">
        <v>4123</v>
      </c>
      <c r="B307" s="19"/>
      <c r="C307" s="19"/>
      <c r="D307" s="19"/>
      <c r="E307" s="19"/>
      <c r="F307" s="19"/>
      <c r="G307" s="19">
        <v>6655</v>
      </c>
      <c r="H307" s="19"/>
      <c r="I307" s="19"/>
      <c r="J307" s="19"/>
      <c r="K307" s="19"/>
      <c r="L307" s="19"/>
      <c r="M307" s="19">
        <v>6655</v>
      </c>
    </row>
    <row r="308" spans="1:13" s="20" customFormat="1" x14ac:dyDescent="0.25">
      <c r="A308" s="21" t="s">
        <v>1549</v>
      </c>
      <c r="B308" s="19"/>
      <c r="C308" s="19"/>
      <c r="D308" s="19"/>
      <c r="E308" s="19"/>
      <c r="F308" s="19"/>
      <c r="G308" s="19"/>
      <c r="H308" s="19">
        <v>1331</v>
      </c>
      <c r="I308" s="19"/>
      <c r="J308" s="19"/>
      <c r="K308" s="19"/>
      <c r="L308" s="19"/>
      <c r="M308" s="19">
        <v>1331</v>
      </c>
    </row>
    <row r="309" spans="1:13" s="20" customFormat="1" x14ac:dyDescent="0.25">
      <c r="A309" s="21" t="s">
        <v>111</v>
      </c>
      <c r="B309" s="19"/>
      <c r="C309" s="19">
        <v>728.63</v>
      </c>
      <c r="D309" s="19"/>
      <c r="E309" s="19"/>
      <c r="F309" s="19"/>
      <c r="G309" s="19"/>
      <c r="H309" s="19"/>
      <c r="I309" s="19"/>
      <c r="J309" s="19"/>
      <c r="K309" s="19"/>
      <c r="L309" s="19"/>
      <c r="M309" s="19">
        <v>728.63</v>
      </c>
    </row>
    <row r="310" spans="1:13" s="20" customFormat="1" x14ac:dyDescent="0.25">
      <c r="A310" s="21" t="s">
        <v>1533</v>
      </c>
      <c r="B310" s="19"/>
      <c r="C310" s="19"/>
      <c r="D310" s="19"/>
      <c r="E310" s="19"/>
      <c r="F310" s="19"/>
      <c r="G310" s="19"/>
      <c r="H310" s="19"/>
      <c r="I310" s="19"/>
      <c r="J310" s="19">
        <v>556.6</v>
      </c>
      <c r="K310" s="19"/>
      <c r="L310" s="19"/>
      <c r="M310" s="19">
        <v>556.6</v>
      </c>
    </row>
    <row r="311" spans="1:13" s="20" customFormat="1" x14ac:dyDescent="0.25">
      <c r="A311" s="21" t="s">
        <v>1555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>
        <v>10883.95</v>
      </c>
      <c r="M311" s="19">
        <v>10883.95</v>
      </c>
    </row>
    <row r="312" spans="1:13" s="20" customFormat="1" x14ac:dyDescent="0.25">
      <c r="A312" s="21" t="s">
        <v>4474</v>
      </c>
      <c r="B312" s="19"/>
      <c r="C312" s="19"/>
      <c r="D312" s="19"/>
      <c r="E312" s="19"/>
      <c r="F312" s="19">
        <v>14613.5</v>
      </c>
      <c r="G312" s="19"/>
      <c r="H312" s="19"/>
      <c r="I312" s="19"/>
      <c r="J312" s="19"/>
      <c r="K312" s="19"/>
      <c r="L312" s="19"/>
      <c r="M312" s="19">
        <v>14613.5</v>
      </c>
    </row>
    <row r="313" spans="1:13" s="20" customFormat="1" x14ac:dyDescent="0.25">
      <c r="A313" s="21" t="s">
        <v>1559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178.86</v>
      </c>
      <c r="M313" s="19">
        <v>178.86</v>
      </c>
    </row>
    <row r="314" spans="1:13" s="20" customFormat="1" x14ac:dyDescent="0.25">
      <c r="A314" s="21" t="s">
        <v>1562</v>
      </c>
      <c r="B314" s="19"/>
      <c r="C314" s="19"/>
      <c r="D314" s="19">
        <v>358.28</v>
      </c>
      <c r="E314" s="19"/>
      <c r="F314" s="19"/>
      <c r="G314" s="19"/>
      <c r="H314" s="19">
        <v>3275.17</v>
      </c>
      <c r="I314" s="19"/>
      <c r="J314" s="19"/>
      <c r="K314" s="19"/>
      <c r="L314" s="19">
        <v>2300</v>
      </c>
      <c r="M314" s="19">
        <v>5933.45</v>
      </c>
    </row>
    <row r="315" spans="1:13" s="20" customFormat="1" x14ac:dyDescent="0.25">
      <c r="A315" s="21" t="s">
        <v>1567</v>
      </c>
      <c r="B315" s="19"/>
      <c r="C315" s="19"/>
      <c r="D315" s="19"/>
      <c r="E315" s="19"/>
      <c r="F315" s="19"/>
      <c r="G315" s="19">
        <v>7260</v>
      </c>
      <c r="H315" s="19"/>
      <c r="I315" s="19"/>
      <c r="J315" s="19"/>
      <c r="K315" s="19"/>
      <c r="L315" s="19"/>
      <c r="M315" s="19">
        <v>7260</v>
      </c>
    </row>
    <row r="316" spans="1:13" s="20" customFormat="1" x14ac:dyDescent="0.25">
      <c r="A316" s="21" t="s">
        <v>4125</v>
      </c>
      <c r="B316" s="19"/>
      <c r="C316" s="19"/>
      <c r="D316" s="19"/>
      <c r="E316" s="19"/>
      <c r="F316" s="19">
        <v>10127.700000000001</v>
      </c>
      <c r="G316" s="19"/>
      <c r="H316" s="19"/>
      <c r="I316" s="19"/>
      <c r="J316" s="19"/>
      <c r="K316" s="19"/>
      <c r="L316" s="19"/>
      <c r="M316" s="19">
        <v>10127.700000000001</v>
      </c>
    </row>
    <row r="317" spans="1:13" s="20" customFormat="1" x14ac:dyDescent="0.25">
      <c r="A317" s="21" t="s">
        <v>1570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1500</v>
      </c>
      <c r="L317" s="19"/>
      <c r="M317" s="19">
        <v>1500</v>
      </c>
    </row>
    <row r="318" spans="1:13" s="20" customFormat="1" x14ac:dyDescent="0.25">
      <c r="A318" s="21" t="s">
        <v>1573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556.6</v>
      </c>
      <c r="L318" s="19"/>
      <c r="M318" s="19">
        <v>556.6</v>
      </c>
    </row>
    <row r="319" spans="1:13" s="20" customFormat="1" x14ac:dyDescent="0.25">
      <c r="A319" s="21" t="s">
        <v>4128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>
        <v>14175</v>
      </c>
      <c r="L319" s="19"/>
      <c r="M319" s="19">
        <v>14175</v>
      </c>
    </row>
    <row r="320" spans="1:13" s="20" customFormat="1" x14ac:dyDescent="0.25">
      <c r="A320" s="21" t="s">
        <v>426</v>
      </c>
      <c r="B320" s="19"/>
      <c r="C320" s="19"/>
      <c r="D320" s="19"/>
      <c r="E320" s="19"/>
      <c r="F320" s="19">
        <v>34963.279999999999</v>
      </c>
      <c r="G320" s="19"/>
      <c r="H320" s="19"/>
      <c r="I320" s="19"/>
      <c r="J320" s="19"/>
      <c r="K320" s="19"/>
      <c r="L320" s="19"/>
      <c r="M320" s="19">
        <v>34963.279999999999</v>
      </c>
    </row>
    <row r="321" spans="1:13" s="20" customFormat="1" x14ac:dyDescent="0.25">
      <c r="A321" s="21" t="s">
        <v>1579</v>
      </c>
      <c r="B321" s="19"/>
      <c r="C321" s="19"/>
      <c r="D321" s="19"/>
      <c r="E321" s="19"/>
      <c r="F321" s="19"/>
      <c r="G321" s="19">
        <v>1100</v>
      </c>
      <c r="H321" s="19"/>
      <c r="I321" s="19"/>
      <c r="J321" s="19"/>
      <c r="K321" s="19">
        <v>173.25</v>
      </c>
      <c r="L321" s="19"/>
      <c r="M321" s="19">
        <v>1273.25</v>
      </c>
    </row>
    <row r="322" spans="1:13" s="20" customFormat="1" x14ac:dyDescent="0.25">
      <c r="A322" s="21" t="s">
        <v>1581</v>
      </c>
      <c r="B322" s="19"/>
      <c r="C322" s="19"/>
      <c r="D322" s="19"/>
      <c r="E322" s="19"/>
      <c r="F322" s="19">
        <v>3475.12</v>
      </c>
      <c r="G322" s="19">
        <v>290.39999999999998</v>
      </c>
      <c r="H322" s="19"/>
      <c r="I322" s="19"/>
      <c r="J322" s="19"/>
      <c r="K322" s="19"/>
      <c r="L322" s="19"/>
      <c r="M322" s="19">
        <v>3765.52</v>
      </c>
    </row>
    <row r="323" spans="1:13" s="20" customFormat="1" x14ac:dyDescent="0.25">
      <c r="A323" s="21" t="s">
        <v>121</v>
      </c>
      <c r="B323" s="19"/>
      <c r="C323" s="19"/>
      <c r="D323" s="19"/>
      <c r="E323" s="19">
        <v>744</v>
      </c>
      <c r="F323" s="19"/>
      <c r="G323" s="19"/>
      <c r="H323" s="19"/>
      <c r="I323" s="19"/>
      <c r="J323" s="19"/>
      <c r="K323" s="19">
        <v>214.5</v>
      </c>
      <c r="L323" s="19"/>
      <c r="M323" s="19">
        <v>958.5</v>
      </c>
    </row>
    <row r="324" spans="1:13" s="20" customFormat="1" ht="25.5" x14ac:dyDescent="0.25">
      <c r="A324" s="21" t="s">
        <v>1587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4509.12</v>
      </c>
      <c r="L324" s="19"/>
      <c r="M324" s="19">
        <v>4509.12</v>
      </c>
    </row>
    <row r="325" spans="1:13" s="20" customFormat="1" x14ac:dyDescent="0.25">
      <c r="A325" s="21" t="s">
        <v>1590</v>
      </c>
      <c r="B325" s="19"/>
      <c r="C325" s="19"/>
      <c r="D325" s="19"/>
      <c r="E325" s="19"/>
      <c r="F325" s="19">
        <v>5945.38</v>
      </c>
      <c r="G325" s="19">
        <v>1093.3699999999999</v>
      </c>
      <c r="H325" s="19"/>
      <c r="I325" s="19"/>
      <c r="J325" s="19"/>
      <c r="K325" s="19"/>
      <c r="L325" s="19"/>
      <c r="M325" s="19">
        <v>7038.75</v>
      </c>
    </row>
    <row r="326" spans="1:13" s="20" customFormat="1" x14ac:dyDescent="0.25">
      <c r="A326" s="21" t="s">
        <v>403</v>
      </c>
      <c r="B326" s="19"/>
      <c r="C326" s="19"/>
      <c r="D326" s="19">
        <v>665.5</v>
      </c>
      <c r="E326" s="19"/>
      <c r="F326" s="19"/>
      <c r="G326" s="19"/>
      <c r="H326" s="19"/>
      <c r="I326" s="19"/>
      <c r="J326" s="19"/>
      <c r="K326" s="19"/>
      <c r="L326" s="19"/>
      <c r="M326" s="19">
        <v>665.5</v>
      </c>
    </row>
    <row r="327" spans="1:13" s="20" customFormat="1" x14ac:dyDescent="0.25">
      <c r="A327" s="21" t="s">
        <v>1593</v>
      </c>
      <c r="B327" s="19"/>
      <c r="C327" s="19"/>
      <c r="D327" s="19">
        <v>460.78</v>
      </c>
      <c r="E327" s="19"/>
      <c r="F327" s="19"/>
      <c r="G327" s="19"/>
      <c r="H327" s="19"/>
      <c r="I327" s="19"/>
      <c r="J327" s="19"/>
      <c r="K327" s="19"/>
      <c r="L327" s="19"/>
      <c r="M327" s="19">
        <v>460.78</v>
      </c>
    </row>
    <row r="328" spans="1:13" s="20" customFormat="1" x14ac:dyDescent="0.25">
      <c r="A328" s="21" t="s">
        <v>16</v>
      </c>
      <c r="B328" s="19"/>
      <c r="C328" s="19"/>
      <c r="D328" s="19"/>
      <c r="E328" s="19"/>
      <c r="F328" s="19"/>
      <c r="G328" s="19">
        <v>1050</v>
      </c>
      <c r="H328" s="19"/>
      <c r="I328" s="19"/>
      <c r="J328" s="19"/>
      <c r="K328" s="19"/>
      <c r="L328" s="19"/>
      <c r="M328" s="19">
        <v>1050</v>
      </c>
    </row>
    <row r="329" spans="1:13" s="20" customFormat="1" x14ac:dyDescent="0.25">
      <c r="A329" s="21" t="s">
        <v>1599</v>
      </c>
      <c r="B329" s="19"/>
      <c r="C329" s="19">
        <v>1000</v>
      </c>
      <c r="D329" s="19">
        <v>246.38</v>
      </c>
      <c r="E329" s="19"/>
      <c r="F329" s="19"/>
      <c r="G329" s="19">
        <v>3000</v>
      </c>
      <c r="H329" s="19"/>
      <c r="I329" s="19">
        <v>253.68</v>
      </c>
      <c r="J329" s="19"/>
      <c r="K329" s="19"/>
      <c r="L329" s="19">
        <v>815.75999999999988</v>
      </c>
      <c r="M329" s="19">
        <v>5315.8200000000006</v>
      </c>
    </row>
    <row r="330" spans="1:13" s="20" customFormat="1" x14ac:dyDescent="0.25">
      <c r="A330" s="21" t="s">
        <v>60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>
        <v>4000</v>
      </c>
      <c r="M330" s="19">
        <v>4000</v>
      </c>
    </row>
    <row r="331" spans="1:13" s="20" customFormat="1" x14ac:dyDescent="0.25">
      <c r="A331" s="21" t="s">
        <v>1614</v>
      </c>
      <c r="B331" s="19"/>
      <c r="C331" s="19"/>
      <c r="D331" s="19"/>
      <c r="E331" s="19"/>
      <c r="F331" s="19"/>
      <c r="G331" s="19">
        <v>400</v>
      </c>
      <c r="H331" s="19"/>
      <c r="I331" s="19"/>
      <c r="J331" s="19"/>
      <c r="K331" s="19"/>
      <c r="L331" s="19"/>
      <c r="M331" s="19">
        <v>400</v>
      </c>
    </row>
    <row r="332" spans="1:13" s="20" customFormat="1" x14ac:dyDescent="0.25">
      <c r="A332" s="21" t="s">
        <v>439</v>
      </c>
      <c r="B332" s="19"/>
      <c r="C332" s="19"/>
      <c r="D332" s="19"/>
      <c r="E332" s="19"/>
      <c r="F332" s="19"/>
      <c r="G332" s="19"/>
      <c r="H332" s="19"/>
      <c r="I332" s="19"/>
      <c r="J332" s="19">
        <v>1075.6199999999999</v>
      </c>
      <c r="K332" s="19"/>
      <c r="L332" s="19"/>
      <c r="M332" s="19">
        <v>1075.6199999999999</v>
      </c>
    </row>
    <row r="333" spans="1:13" s="20" customFormat="1" x14ac:dyDescent="0.25">
      <c r="A333" s="21" t="s">
        <v>14</v>
      </c>
      <c r="B333" s="19"/>
      <c r="C333" s="19"/>
      <c r="D333" s="19">
        <v>9366.3700000000008</v>
      </c>
      <c r="E333" s="19"/>
      <c r="F333" s="19"/>
      <c r="G333" s="19"/>
      <c r="H333" s="19">
        <v>4119.2</v>
      </c>
      <c r="I333" s="19"/>
      <c r="J333" s="19"/>
      <c r="K333" s="19"/>
      <c r="L333" s="19"/>
      <c r="M333" s="19">
        <v>13485.57</v>
      </c>
    </row>
    <row r="334" spans="1:13" s="20" customFormat="1" x14ac:dyDescent="0.25">
      <c r="A334" s="21" t="s">
        <v>343</v>
      </c>
      <c r="B334" s="19"/>
      <c r="C334" s="19"/>
      <c r="D334" s="19"/>
      <c r="E334" s="19"/>
      <c r="F334" s="19"/>
      <c r="G334" s="19"/>
      <c r="H334" s="19">
        <v>7260</v>
      </c>
      <c r="I334" s="19"/>
      <c r="J334" s="19"/>
      <c r="K334" s="19"/>
      <c r="L334" s="19"/>
      <c r="M334" s="19">
        <v>7260</v>
      </c>
    </row>
    <row r="335" spans="1:13" s="20" customFormat="1" x14ac:dyDescent="0.25">
      <c r="A335" s="21" t="s">
        <v>319</v>
      </c>
      <c r="B335" s="19"/>
      <c r="C335" s="19"/>
      <c r="D335" s="19"/>
      <c r="E335" s="19">
        <v>4500</v>
      </c>
      <c r="F335" s="19"/>
      <c r="G335" s="19"/>
      <c r="H335" s="19"/>
      <c r="I335" s="19"/>
      <c r="J335" s="19"/>
      <c r="K335" s="19"/>
      <c r="L335" s="19"/>
      <c r="M335" s="19">
        <v>4500</v>
      </c>
    </row>
    <row r="336" spans="1:13" s="20" customFormat="1" x14ac:dyDescent="0.25">
      <c r="A336" s="21" t="s">
        <v>106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1020.03</v>
      </c>
      <c r="M336" s="19">
        <v>1020.03</v>
      </c>
    </row>
    <row r="337" spans="1:13" s="20" customFormat="1" x14ac:dyDescent="0.25">
      <c r="A337" s="21" t="s">
        <v>4140</v>
      </c>
      <c r="B337" s="19"/>
      <c r="C337" s="19"/>
      <c r="D337" s="19"/>
      <c r="E337" s="19"/>
      <c r="F337" s="19"/>
      <c r="G337" s="19">
        <v>4089.8</v>
      </c>
      <c r="H337" s="19"/>
      <c r="I337" s="19"/>
      <c r="J337" s="19"/>
      <c r="K337" s="19"/>
      <c r="L337" s="19"/>
      <c r="M337" s="19">
        <v>4089.8</v>
      </c>
    </row>
    <row r="338" spans="1:13" s="20" customFormat="1" x14ac:dyDescent="0.25">
      <c r="A338" s="21" t="s">
        <v>446</v>
      </c>
      <c r="B338" s="19"/>
      <c r="C338" s="19"/>
      <c r="D338" s="19"/>
      <c r="E338" s="19"/>
      <c r="F338" s="19"/>
      <c r="G338" s="19">
        <v>270.39999999999998</v>
      </c>
      <c r="H338" s="19"/>
      <c r="I338" s="19"/>
      <c r="J338" s="19"/>
      <c r="K338" s="19">
        <v>696.23</v>
      </c>
      <c r="L338" s="19"/>
      <c r="M338" s="19">
        <v>966.63</v>
      </c>
    </row>
    <row r="339" spans="1:13" s="20" customFormat="1" x14ac:dyDescent="0.25">
      <c r="A339" s="21" t="s">
        <v>1743</v>
      </c>
      <c r="B339" s="19"/>
      <c r="C339" s="19"/>
      <c r="D339" s="19"/>
      <c r="E339" s="19"/>
      <c r="F339" s="19"/>
      <c r="G339" s="19">
        <v>847</v>
      </c>
      <c r="H339" s="19"/>
      <c r="I339" s="19"/>
      <c r="J339" s="19"/>
      <c r="K339" s="19"/>
      <c r="L339" s="19"/>
      <c r="M339" s="19">
        <v>847</v>
      </c>
    </row>
    <row r="340" spans="1:13" s="20" customFormat="1" x14ac:dyDescent="0.25">
      <c r="A340" s="21" t="s">
        <v>480</v>
      </c>
      <c r="B340" s="19"/>
      <c r="C340" s="19"/>
      <c r="D340" s="19">
        <v>136.47</v>
      </c>
      <c r="E340" s="19"/>
      <c r="F340" s="19"/>
      <c r="G340" s="19"/>
      <c r="H340" s="19"/>
      <c r="I340" s="19"/>
      <c r="J340" s="19"/>
      <c r="K340" s="19"/>
      <c r="L340" s="19"/>
      <c r="M340" s="19">
        <v>136.47</v>
      </c>
    </row>
    <row r="341" spans="1:13" s="20" customFormat="1" x14ac:dyDescent="0.25">
      <c r="A341" s="21" t="s">
        <v>1747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1350</v>
      </c>
      <c r="L341" s="19"/>
      <c r="M341" s="19">
        <v>1350</v>
      </c>
    </row>
    <row r="342" spans="1:13" s="20" customFormat="1" x14ac:dyDescent="0.25">
      <c r="A342" s="21" t="s">
        <v>1750</v>
      </c>
      <c r="B342" s="19">
        <v>364.6</v>
      </c>
      <c r="C342" s="19"/>
      <c r="D342" s="19">
        <v>114.95</v>
      </c>
      <c r="E342" s="19"/>
      <c r="F342" s="19"/>
      <c r="G342" s="19">
        <v>7253.95</v>
      </c>
      <c r="H342" s="19"/>
      <c r="I342" s="19"/>
      <c r="J342" s="19"/>
      <c r="K342" s="19">
        <v>427.25</v>
      </c>
      <c r="L342" s="19"/>
      <c r="M342" s="19">
        <v>8160.75</v>
      </c>
    </row>
    <row r="343" spans="1:13" s="20" customFormat="1" x14ac:dyDescent="0.25">
      <c r="A343" s="21" t="s">
        <v>1757</v>
      </c>
      <c r="B343" s="19"/>
      <c r="C343" s="19"/>
      <c r="D343" s="19"/>
      <c r="E343" s="19"/>
      <c r="F343" s="19"/>
      <c r="G343" s="19"/>
      <c r="H343" s="19"/>
      <c r="I343" s="19">
        <v>300.08</v>
      </c>
      <c r="J343" s="19"/>
      <c r="K343" s="19"/>
      <c r="L343" s="19"/>
      <c r="M343" s="19">
        <v>300.08</v>
      </c>
    </row>
    <row r="344" spans="1:13" s="20" customFormat="1" x14ac:dyDescent="0.25">
      <c r="A344" s="21" t="s">
        <v>4151</v>
      </c>
      <c r="B344" s="19"/>
      <c r="C344" s="19"/>
      <c r="D344" s="19"/>
      <c r="E344" s="19"/>
      <c r="F344" s="19"/>
      <c r="G344" s="19">
        <v>145.19999999999999</v>
      </c>
      <c r="H344" s="19"/>
      <c r="I344" s="19"/>
      <c r="J344" s="19"/>
      <c r="K344" s="19"/>
      <c r="L344" s="19"/>
      <c r="M344" s="19">
        <v>145.19999999999999</v>
      </c>
    </row>
    <row r="345" spans="1:13" s="20" customFormat="1" x14ac:dyDescent="0.25">
      <c r="A345" s="21" t="s">
        <v>450</v>
      </c>
      <c r="B345" s="19"/>
      <c r="C345" s="19"/>
      <c r="D345" s="19">
        <v>1150</v>
      </c>
      <c r="E345" s="19"/>
      <c r="F345" s="19"/>
      <c r="G345" s="19"/>
      <c r="H345" s="19"/>
      <c r="I345" s="19"/>
      <c r="J345" s="19"/>
      <c r="K345" s="19"/>
      <c r="L345" s="19"/>
      <c r="M345" s="19">
        <v>1150</v>
      </c>
    </row>
    <row r="346" spans="1:13" s="20" customFormat="1" x14ac:dyDescent="0.25">
      <c r="A346" s="21" t="s">
        <v>1769</v>
      </c>
      <c r="B346" s="19"/>
      <c r="C346" s="19"/>
      <c r="D346" s="19"/>
      <c r="E346" s="19">
        <v>3500</v>
      </c>
      <c r="F346" s="19"/>
      <c r="G346" s="19"/>
      <c r="H346" s="19"/>
      <c r="I346" s="19"/>
      <c r="J346" s="19"/>
      <c r="K346" s="19"/>
      <c r="L346" s="19"/>
      <c r="M346" s="19">
        <v>3500</v>
      </c>
    </row>
    <row r="347" spans="1:13" s="20" customFormat="1" x14ac:dyDescent="0.25">
      <c r="A347" s="21" t="s">
        <v>53</v>
      </c>
      <c r="B347" s="19">
        <v>1584</v>
      </c>
      <c r="C347" s="19"/>
      <c r="D347" s="19">
        <v>2664.25</v>
      </c>
      <c r="E347" s="19">
        <v>600</v>
      </c>
      <c r="F347" s="19"/>
      <c r="G347" s="19">
        <v>8349</v>
      </c>
      <c r="H347" s="19">
        <v>536.79999999999995</v>
      </c>
      <c r="I347" s="19"/>
      <c r="J347" s="19">
        <v>6926.92</v>
      </c>
      <c r="K347" s="19">
        <v>199.78</v>
      </c>
      <c r="L347" s="19"/>
      <c r="M347" s="19">
        <v>20860.75</v>
      </c>
    </row>
    <row r="348" spans="1:13" s="20" customFormat="1" x14ac:dyDescent="0.25">
      <c r="A348" s="21" t="s">
        <v>1794</v>
      </c>
      <c r="B348" s="19"/>
      <c r="C348" s="19"/>
      <c r="D348" s="19">
        <v>400</v>
      </c>
      <c r="E348" s="19"/>
      <c r="F348" s="19"/>
      <c r="G348" s="19"/>
      <c r="H348" s="19"/>
      <c r="I348" s="19"/>
      <c r="J348" s="19"/>
      <c r="K348" s="19"/>
      <c r="L348" s="19"/>
      <c r="M348" s="19">
        <v>400</v>
      </c>
    </row>
    <row r="349" spans="1:13" s="20" customFormat="1" x14ac:dyDescent="0.25">
      <c r="A349" s="21" t="s">
        <v>471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1539.12</v>
      </c>
      <c r="M349" s="19">
        <v>1539.12</v>
      </c>
    </row>
    <row r="350" spans="1:13" s="20" customFormat="1" x14ac:dyDescent="0.25">
      <c r="A350" s="21" t="s">
        <v>4271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4931.68</v>
      </c>
      <c r="M350" s="19">
        <v>4931.68</v>
      </c>
    </row>
    <row r="351" spans="1:13" s="20" customFormat="1" x14ac:dyDescent="0.25">
      <c r="A351" s="21" t="s">
        <v>1800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>
        <v>6380.04</v>
      </c>
      <c r="L351" s="19"/>
      <c r="M351" s="19">
        <v>6380.04</v>
      </c>
    </row>
    <row r="352" spans="1:13" s="20" customFormat="1" x14ac:dyDescent="0.25">
      <c r="A352" s="21" t="s">
        <v>1807</v>
      </c>
      <c r="B352" s="19"/>
      <c r="C352" s="19"/>
      <c r="D352" s="19"/>
      <c r="E352" s="19"/>
      <c r="F352" s="19"/>
      <c r="G352" s="19">
        <v>114.66</v>
      </c>
      <c r="H352" s="19"/>
      <c r="I352" s="19"/>
      <c r="J352" s="19"/>
      <c r="K352" s="19"/>
      <c r="L352" s="19"/>
      <c r="M352" s="19">
        <v>114.66</v>
      </c>
    </row>
    <row r="353" spans="1:13" s="20" customFormat="1" x14ac:dyDescent="0.25">
      <c r="A353" s="21" t="s">
        <v>25</v>
      </c>
      <c r="B353" s="19"/>
      <c r="C353" s="19"/>
      <c r="D353" s="19"/>
      <c r="E353" s="19"/>
      <c r="F353" s="19"/>
      <c r="G353" s="19"/>
      <c r="H353" s="19"/>
      <c r="I353" s="19"/>
      <c r="J353" s="19">
        <v>1089</v>
      </c>
      <c r="K353" s="19"/>
      <c r="L353" s="19"/>
      <c r="M353" s="19">
        <v>1089</v>
      </c>
    </row>
    <row r="354" spans="1:13" s="20" customFormat="1" x14ac:dyDescent="0.25">
      <c r="A354" s="21" t="s">
        <v>1810</v>
      </c>
      <c r="B354" s="19"/>
      <c r="C354" s="19">
        <v>18148.73</v>
      </c>
      <c r="D354" s="19"/>
      <c r="E354" s="19"/>
      <c r="F354" s="19"/>
      <c r="G354" s="19"/>
      <c r="H354" s="19"/>
      <c r="I354" s="19"/>
      <c r="J354" s="19"/>
      <c r="K354" s="19"/>
      <c r="L354" s="19"/>
      <c r="M354" s="19">
        <v>18148.73</v>
      </c>
    </row>
    <row r="355" spans="1:13" s="20" customFormat="1" x14ac:dyDescent="0.25">
      <c r="A355" s="21" t="s">
        <v>4292</v>
      </c>
      <c r="B355" s="19"/>
      <c r="C355" s="19"/>
      <c r="D355" s="19"/>
      <c r="E355" s="19">
        <v>2669.14</v>
      </c>
      <c r="F355" s="19"/>
      <c r="G355" s="19"/>
      <c r="H355" s="19"/>
      <c r="I355" s="19"/>
      <c r="J355" s="19"/>
      <c r="K355" s="19"/>
      <c r="L355" s="19"/>
      <c r="M355" s="19">
        <v>2669.14</v>
      </c>
    </row>
    <row r="356" spans="1:13" s="20" customFormat="1" x14ac:dyDescent="0.25">
      <c r="A356" s="21" t="s">
        <v>4294</v>
      </c>
      <c r="B356" s="19"/>
      <c r="C356" s="19"/>
      <c r="D356" s="19"/>
      <c r="E356" s="19"/>
      <c r="F356" s="19"/>
      <c r="G356" s="19">
        <v>450.01</v>
      </c>
      <c r="H356" s="19"/>
      <c r="I356" s="19"/>
      <c r="J356" s="19"/>
      <c r="K356" s="19"/>
      <c r="L356" s="19"/>
      <c r="M356" s="19">
        <v>450.01</v>
      </c>
    </row>
    <row r="357" spans="1:13" s="20" customFormat="1" x14ac:dyDescent="0.25">
      <c r="A357" s="21" t="s">
        <v>1813</v>
      </c>
      <c r="B357" s="19"/>
      <c r="C357" s="19"/>
      <c r="D357" s="19">
        <v>1762.06</v>
      </c>
      <c r="E357" s="19"/>
      <c r="F357" s="19"/>
      <c r="G357" s="19"/>
      <c r="H357" s="19"/>
      <c r="I357" s="19"/>
      <c r="J357" s="19"/>
      <c r="K357" s="19"/>
      <c r="L357" s="19"/>
      <c r="M357" s="19">
        <v>1762.06</v>
      </c>
    </row>
    <row r="358" spans="1:13" s="20" customFormat="1" x14ac:dyDescent="0.25">
      <c r="A358" s="21" t="s">
        <v>1816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>
        <v>8394.3799999999992</v>
      </c>
      <c r="M358" s="19">
        <v>8394.3799999999992</v>
      </c>
    </row>
    <row r="359" spans="1:13" s="20" customFormat="1" x14ac:dyDescent="0.25">
      <c r="A359" s="21" t="s">
        <v>5120</v>
      </c>
      <c r="B359" s="19"/>
      <c r="C359" s="19"/>
      <c r="D359" s="19"/>
      <c r="E359" s="19"/>
      <c r="F359" s="19"/>
      <c r="G359" s="19">
        <v>2500</v>
      </c>
      <c r="H359" s="19"/>
      <c r="I359" s="19"/>
      <c r="J359" s="19"/>
      <c r="K359" s="19"/>
      <c r="L359" s="19"/>
      <c r="M359" s="19">
        <v>2500</v>
      </c>
    </row>
    <row r="360" spans="1:13" s="20" customFormat="1" ht="25.5" x14ac:dyDescent="0.25">
      <c r="A360" s="21" t="s">
        <v>1819</v>
      </c>
      <c r="B360" s="19">
        <v>605</v>
      </c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>
        <v>605</v>
      </c>
    </row>
    <row r="361" spans="1:13" s="20" customFormat="1" x14ac:dyDescent="0.25">
      <c r="A361" s="21" t="s">
        <v>432</v>
      </c>
      <c r="B361" s="19"/>
      <c r="C361" s="19"/>
      <c r="D361" s="19">
        <v>528.77</v>
      </c>
      <c r="E361" s="19"/>
      <c r="F361" s="19"/>
      <c r="G361" s="19"/>
      <c r="H361" s="19"/>
      <c r="I361" s="19"/>
      <c r="J361" s="19"/>
      <c r="K361" s="19"/>
      <c r="L361" s="19"/>
      <c r="M361" s="19">
        <v>528.77</v>
      </c>
    </row>
    <row r="362" spans="1:13" s="20" customFormat="1" x14ac:dyDescent="0.25">
      <c r="A362" s="21" t="s">
        <v>5053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>
        <v>5711.2</v>
      </c>
      <c r="M362" s="19">
        <v>5711.2</v>
      </c>
    </row>
    <row r="363" spans="1:13" s="20" customFormat="1" x14ac:dyDescent="0.25">
      <c r="A363" s="21" t="s">
        <v>5400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>
        <v>190.78</v>
      </c>
      <c r="L363" s="19"/>
      <c r="M363" s="19">
        <v>190.78</v>
      </c>
    </row>
    <row r="364" spans="1:13" s="20" customFormat="1" x14ac:dyDescent="0.25">
      <c r="A364" s="21" t="s">
        <v>1825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>
        <v>12939.6</v>
      </c>
      <c r="M364" s="19">
        <v>12939.6</v>
      </c>
    </row>
    <row r="365" spans="1:13" s="20" customFormat="1" x14ac:dyDescent="0.25">
      <c r="A365" s="21" t="s">
        <v>444</v>
      </c>
      <c r="B365" s="19"/>
      <c r="C365" s="19">
        <v>1564.05</v>
      </c>
      <c r="D365" s="19"/>
      <c r="E365" s="19"/>
      <c r="F365" s="19"/>
      <c r="G365" s="19"/>
      <c r="H365" s="19"/>
      <c r="I365" s="19"/>
      <c r="J365" s="19"/>
      <c r="K365" s="19"/>
      <c r="L365" s="19"/>
      <c r="M365" s="19">
        <v>1564.05</v>
      </c>
    </row>
    <row r="366" spans="1:13" s="20" customFormat="1" x14ac:dyDescent="0.25">
      <c r="A366" s="21" t="s">
        <v>1833</v>
      </c>
      <c r="B366" s="19"/>
      <c r="C366" s="19"/>
      <c r="D366" s="19"/>
      <c r="E366" s="19"/>
      <c r="F366" s="19"/>
      <c r="G366" s="19"/>
      <c r="H366" s="19"/>
      <c r="I366" s="19"/>
      <c r="J366" s="19">
        <v>610.67999999999995</v>
      </c>
      <c r="K366" s="19"/>
      <c r="L366" s="19"/>
      <c r="M366" s="19">
        <v>610.67999999999995</v>
      </c>
    </row>
    <row r="367" spans="1:13" s="20" customFormat="1" x14ac:dyDescent="0.25">
      <c r="A367" s="21" t="s">
        <v>4297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>
        <v>1007.93</v>
      </c>
      <c r="L367" s="19"/>
      <c r="M367" s="19">
        <v>1007.93</v>
      </c>
    </row>
    <row r="368" spans="1:13" s="20" customFormat="1" x14ac:dyDescent="0.25">
      <c r="A368" s="21" t="s">
        <v>1842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13722.5</v>
      </c>
      <c r="M368" s="19">
        <v>13722.5</v>
      </c>
    </row>
    <row r="369" spans="1:13" s="20" customFormat="1" x14ac:dyDescent="0.25">
      <c r="A369" s="21" t="s">
        <v>397</v>
      </c>
      <c r="B369" s="19"/>
      <c r="C369" s="19"/>
      <c r="D369" s="19"/>
      <c r="E369" s="19"/>
      <c r="F369" s="19"/>
      <c r="G369" s="19"/>
      <c r="H369" s="19">
        <v>222.42</v>
      </c>
      <c r="I369" s="19"/>
      <c r="J369" s="19"/>
      <c r="K369" s="19"/>
      <c r="L369" s="19">
        <v>1891.43</v>
      </c>
      <c r="M369" s="19">
        <v>2113.85</v>
      </c>
    </row>
    <row r="370" spans="1:13" s="20" customFormat="1" x14ac:dyDescent="0.25">
      <c r="A370" s="21" t="s">
        <v>4300</v>
      </c>
      <c r="B370" s="19"/>
      <c r="C370" s="19"/>
      <c r="D370" s="19"/>
      <c r="E370" s="19"/>
      <c r="F370" s="19"/>
      <c r="G370" s="19"/>
      <c r="H370" s="19">
        <v>871.2</v>
      </c>
      <c r="I370" s="19"/>
      <c r="J370" s="19"/>
      <c r="K370" s="19"/>
      <c r="L370" s="19"/>
      <c r="M370" s="19">
        <v>871.2</v>
      </c>
    </row>
    <row r="371" spans="1:13" s="20" customFormat="1" x14ac:dyDescent="0.25">
      <c r="A371" s="21" t="s">
        <v>4304</v>
      </c>
      <c r="B371" s="19"/>
      <c r="C371" s="19"/>
      <c r="D371" s="19"/>
      <c r="E371" s="19">
        <v>2153.8000000000002</v>
      </c>
      <c r="F371" s="19"/>
      <c r="G371" s="19"/>
      <c r="H371" s="19"/>
      <c r="I371" s="19"/>
      <c r="J371" s="19"/>
      <c r="K371" s="19"/>
      <c r="L371" s="19"/>
      <c r="M371" s="19">
        <v>2153.8000000000002</v>
      </c>
    </row>
    <row r="372" spans="1:13" s="20" customFormat="1" x14ac:dyDescent="0.25">
      <c r="A372" s="21" t="s">
        <v>1854</v>
      </c>
      <c r="B372" s="19"/>
      <c r="C372" s="19"/>
      <c r="D372" s="19"/>
      <c r="E372" s="19"/>
      <c r="F372" s="19">
        <v>7260</v>
      </c>
      <c r="G372" s="19"/>
      <c r="H372" s="19"/>
      <c r="I372" s="19"/>
      <c r="J372" s="19"/>
      <c r="K372" s="19"/>
      <c r="L372" s="19"/>
      <c r="M372" s="19">
        <v>7260</v>
      </c>
    </row>
    <row r="373" spans="1:13" s="20" customFormat="1" x14ac:dyDescent="0.25">
      <c r="A373" s="21" t="s">
        <v>4306</v>
      </c>
      <c r="B373" s="19"/>
      <c r="C373" s="19"/>
      <c r="D373" s="19"/>
      <c r="E373" s="19"/>
      <c r="F373" s="19"/>
      <c r="G373" s="19"/>
      <c r="H373" s="19"/>
      <c r="I373" s="19">
        <v>386.21</v>
      </c>
      <c r="J373" s="19"/>
      <c r="K373" s="19"/>
      <c r="L373" s="19">
        <v>145.65</v>
      </c>
      <c r="M373" s="19">
        <v>531.86</v>
      </c>
    </row>
    <row r="374" spans="1:13" s="20" customFormat="1" ht="25.5" x14ac:dyDescent="0.25">
      <c r="A374" s="21" t="s">
        <v>4308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>
        <v>1090</v>
      </c>
      <c r="L374" s="19"/>
      <c r="M374" s="19">
        <v>1090</v>
      </c>
    </row>
    <row r="375" spans="1:13" s="20" customFormat="1" x14ac:dyDescent="0.25">
      <c r="A375" s="21" t="s">
        <v>2082</v>
      </c>
      <c r="B375" s="19"/>
      <c r="C375" s="19"/>
      <c r="D375" s="19"/>
      <c r="E375" s="19"/>
      <c r="F375" s="19"/>
      <c r="G375" s="19">
        <v>2117.5</v>
      </c>
      <c r="H375" s="19"/>
      <c r="I375" s="19"/>
      <c r="J375" s="19"/>
      <c r="K375" s="19"/>
      <c r="L375" s="19"/>
      <c r="M375" s="19">
        <v>2117.5</v>
      </c>
    </row>
    <row r="376" spans="1:13" s="20" customFormat="1" x14ac:dyDescent="0.25">
      <c r="A376" s="21" t="s">
        <v>1861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3331.52</v>
      </c>
      <c r="M376" s="19">
        <v>3331.52</v>
      </c>
    </row>
    <row r="377" spans="1:13" s="20" customFormat="1" x14ac:dyDescent="0.25">
      <c r="A377" s="21" t="s">
        <v>428</v>
      </c>
      <c r="B377" s="19">
        <v>1179.75</v>
      </c>
      <c r="C377" s="19"/>
      <c r="D377" s="19"/>
      <c r="E377" s="19"/>
      <c r="F377" s="19"/>
      <c r="G377" s="19"/>
      <c r="H377" s="19"/>
      <c r="I377" s="19"/>
      <c r="J377" s="19">
        <v>9468.25</v>
      </c>
      <c r="K377" s="19"/>
      <c r="L377" s="19"/>
      <c r="M377" s="19">
        <v>10648</v>
      </c>
    </row>
    <row r="378" spans="1:13" s="20" customFormat="1" x14ac:dyDescent="0.25">
      <c r="A378" s="21" t="s">
        <v>1866</v>
      </c>
      <c r="B378" s="19"/>
      <c r="C378" s="19">
        <v>15702.78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19">
        <v>15702.78</v>
      </c>
    </row>
    <row r="379" spans="1:13" s="20" customFormat="1" x14ac:dyDescent="0.25">
      <c r="A379" s="21" t="s">
        <v>1869</v>
      </c>
      <c r="B379" s="19"/>
      <c r="C379" s="19"/>
      <c r="D379" s="19"/>
      <c r="E379" s="19"/>
      <c r="F379" s="19"/>
      <c r="G379" s="19">
        <v>363</v>
      </c>
      <c r="H379" s="19"/>
      <c r="I379" s="19"/>
      <c r="J379" s="19"/>
      <c r="K379" s="19"/>
      <c r="L379" s="19"/>
      <c r="M379" s="19">
        <v>363</v>
      </c>
    </row>
    <row r="380" spans="1:13" s="20" customFormat="1" x14ac:dyDescent="0.25">
      <c r="A380" s="21" t="s">
        <v>1871</v>
      </c>
      <c r="B380" s="19"/>
      <c r="C380" s="19"/>
      <c r="D380" s="19">
        <v>1136.26</v>
      </c>
      <c r="E380" s="19"/>
      <c r="F380" s="19"/>
      <c r="G380" s="19"/>
      <c r="H380" s="19"/>
      <c r="I380" s="19"/>
      <c r="J380" s="19"/>
      <c r="K380" s="19"/>
      <c r="L380" s="19"/>
      <c r="M380" s="19">
        <v>1136.26</v>
      </c>
    </row>
    <row r="381" spans="1:13" s="20" customFormat="1" x14ac:dyDescent="0.25">
      <c r="A381" s="21" t="s">
        <v>522</v>
      </c>
      <c r="B381" s="19"/>
      <c r="C381" s="19"/>
      <c r="D381" s="19"/>
      <c r="E381" s="19"/>
      <c r="F381" s="19"/>
      <c r="G381" s="19">
        <v>2148.96</v>
      </c>
      <c r="H381" s="19"/>
      <c r="I381" s="19"/>
      <c r="J381" s="19"/>
      <c r="K381" s="19">
        <v>1873.08</v>
      </c>
      <c r="L381" s="19"/>
      <c r="M381" s="19">
        <v>4022.04</v>
      </c>
    </row>
    <row r="382" spans="1:13" s="20" customFormat="1" x14ac:dyDescent="0.25">
      <c r="A382" s="21" t="s">
        <v>1881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>
        <v>498</v>
      </c>
      <c r="L382" s="19"/>
      <c r="M382" s="19">
        <v>498</v>
      </c>
    </row>
    <row r="383" spans="1:13" s="20" customFormat="1" x14ac:dyDescent="0.25">
      <c r="A383" s="21" t="s">
        <v>3152</v>
      </c>
      <c r="B383" s="19"/>
      <c r="C383" s="19"/>
      <c r="D383" s="19">
        <v>4487.6000000000004</v>
      </c>
      <c r="E383" s="19"/>
      <c r="F383" s="19"/>
      <c r="G383" s="19"/>
      <c r="H383" s="19"/>
      <c r="I383" s="19"/>
      <c r="J383" s="19"/>
      <c r="K383" s="19">
        <v>1802.9</v>
      </c>
      <c r="L383" s="19"/>
      <c r="M383" s="19">
        <v>6290.5</v>
      </c>
    </row>
    <row r="384" spans="1:13" s="20" customFormat="1" x14ac:dyDescent="0.25">
      <c r="A384" s="21" t="s">
        <v>1885</v>
      </c>
      <c r="B384" s="19"/>
      <c r="C384" s="19"/>
      <c r="D384" s="19"/>
      <c r="E384" s="19"/>
      <c r="F384" s="19"/>
      <c r="G384" s="19"/>
      <c r="H384" s="19">
        <v>1512.5</v>
      </c>
      <c r="I384" s="19"/>
      <c r="J384" s="19"/>
      <c r="K384" s="19"/>
      <c r="L384" s="19"/>
      <c r="M384" s="19">
        <v>1512.5</v>
      </c>
    </row>
    <row r="385" spans="1:13" s="20" customFormat="1" x14ac:dyDescent="0.25">
      <c r="A385" s="21" t="s">
        <v>1050</v>
      </c>
      <c r="B385" s="19"/>
      <c r="C385" s="19"/>
      <c r="D385" s="19"/>
      <c r="E385" s="19"/>
      <c r="F385" s="19"/>
      <c r="G385" s="19">
        <v>7199.5</v>
      </c>
      <c r="H385" s="19"/>
      <c r="I385" s="19"/>
      <c r="J385" s="19"/>
      <c r="K385" s="19">
        <v>532.4</v>
      </c>
      <c r="L385" s="19"/>
      <c r="M385" s="19">
        <v>7731.9</v>
      </c>
    </row>
    <row r="386" spans="1:13" s="20" customFormat="1" x14ac:dyDescent="0.25">
      <c r="A386" s="21" t="s">
        <v>67</v>
      </c>
      <c r="B386" s="19"/>
      <c r="C386" s="19">
        <v>1857.35</v>
      </c>
      <c r="D386" s="19"/>
      <c r="E386" s="19"/>
      <c r="F386" s="19">
        <v>2311.1</v>
      </c>
      <c r="G386" s="19">
        <v>2214.3000000000002</v>
      </c>
      <c r="H386" s="19"/>
      <c r="I386" s="19"/>
      <c r="J386" s="19"/>
      <c r="K386" s="19"/>
      <c r="L386" s="19">
        <v>4700.87</v>
      </c>
      <c r="M386" s="19">
        <v>11083.619999999999</v>
      </c>
    </row>
    <row r="387" spans="1:13" s="20" customFormat="1" x14ac:dyDescent="0.25">
      <c r="A387" s="21" t="s">
        <v>417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7676.24</v>
      </c>
      <c r="M387" s="19">
        <v>7676.24</v>
      </c>
    </row>
    <row r="388" spans="1:13" s="20" customFormat="1" x14ac:dyDescent="0.25">
      <c r="A388" s="21" t="s">
        <v>107</v>
      </c>
      <c r="B388" s="19"/>
      <c r="C388" s="19"/>
      <c r="D388" s="19"/>
      <c r="E388" s="19"/>
      <c r="F388" s="19"/>
      <c r="G388" s="19">
        <v>807.07</v>
      </c>
      <c r="H388" s="19"/>
      <c r="I388" s="19"/>
      <c r="J388" s="19"/>
      <c r="K388" s="19">
        <v>242</v>
      </c>
      <c r="L388" s="19"/>
      <c r="M388" s="19">
        <v>1049.0700000000002</v>
      </c>
    </row>
    <row r="389" spans="1:13" s="20" customFormat="1" x14ac:dyDescent="0.25">
      <c r="A389" s="21" t="s">
        <v>786</v>
      </c>
      <c r="B389" s="19"/>
      <c r="C389" s="19"/>
      <c r="D389" s="19"/>
      <c r="E389" s="19"/>
      <c r="F389" s="19"/>
      <c r="G389" s="19"/>
      <c r="H389" s="19"/>
      <c r="I389" s="19">
        <v>48311.67</v>
      </c>
      <c r="J389" s="19"/>
      <c r="K389" s="19"/>
      <c r="L389" s="19"/>
      <c r="M389" s="19">
        <v>48311.67</v>
      </c>
    </row>
    <row r="390" spans="1:13" s="20" customFormat="1" x14ac:dyDescent="0.25">
      <c r="A390" s="21" t="s">
        <v>1928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1512.52</v>
      </c>
      <c r="M390" s="19">
        <v>1512.52</v>
      </c>
    </row>
    <row r="391" spans="1:13" s="20" customFormat="1" x14ac:dyDescent="0.25">
      <c r="A391" s="21" t="s">
        <v>1930</v>
      </c>
      <c r="B391" s="19"/>
      <c r="C391" s="19"/>
      <c r="D391" s="19"/>
      <c r="E391" s="19"/>
      <c r="F391" s="19"/>
      <c r="G391" s="19">
        <v>2000</v>
      </c>
      <c r="H391" s="19"/>
      <c r="I391" s="19"/>
      <c r="J391" s="19"/>
      <c r="K391" s="19"/>
      <c r="L391" s="19"/>
      <c r="M391" s="19">
        <v>2000</v>
      </c>
    </row>
    <row r="392" spans="1:13" s="20" customFormat="1" x14ac:dyDescent="0.25">
      <c r="A392" s="21" t="s">
        <v>1932</v>
      </c>
      <c r="B392" s="19"/>
      <c r="C392" s="19"/>
      <c r="D392" s="19">
        <v>544.5</v>
      </c>
      <c r="E392" s="19"/>
      <c r="F392" s="19"/>
      <c r="G392" s="19"/>
      <c r="H392" s="19"/>
      <c r="I392" s="19"/>
      <c r="J392" s="19"/>
      <c r="K392" s="19"/>
      <c r="L392" s="19"/>
      <c r="M392" s="19">
        <v>544.5</v>
      </c>
    </row>
    <row r="393" spans="1:13" s="20" customFormat="1" x14ac:dyDescent="0.25">
      <c r="A393" s="21" t="s">
        <v>4325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>
        <v>0</v>
      </c>
      <c r="M393" s="19">
        <v>0</v>
      </c>
    </row>
    <row r="394" spans="1:13" s="20" customFormat="1" x14ac:dyDescent="0.25">
      <c r="A394" s="21" t="s">
        <v>1934</v>
      </c>
      <c r="B394" s="19"/>
      <c r="C394" s="19"/>
      <c r="D394" s="19"/>
      <c r="E394" s="19"/>
      <c r="F394" s="19"/>
      <c r="G394" s="19">
        <v>822.87</v>
      </c>
      <c r="H394" s="19"/>
      <c r="I394" s="19"/>
      <c r="J394" s="19"/>
      <c r="K394" s="19"/>
      <c r="L394" s="19"/>
      <c r="M394" s="19">
        <v>822.87</v>
      </c>
    </row>
    <row r="395" spans="1:13" s="20" customFormat="1" x14ac:dyDescent="0.25">
      <c r="A395" s="21" t="s">
        <v>327</v>
      </c>
      <c r="B395" s="19"/>
      <c r="C395" s="19"/>
      <c r="D395" s="19"/>
      <c r="E395" s="19"/>
      <c r="F395" s="19"/>
      <c r="G395" s="19"/>
      <c r="H395" s="19">
        <v>1633.5</v>
      </c>
      <c r="I395" s="19"/>
      <c r="J395" s="19"/>
      <c r="K395" s="19"/>
      <c r="L395" s="19"/>
      <c r="M395" s="19">
        <v>1633.5</v>
      </c>
    </row>
    <row r="396" spans="1:13" s="20" customFormat="1" x14ac:dyDescent="0.25">
      <c r="A396" s="21" t="s">
        <v>30</v>
      </c>
      <c r="B396" s="19">
        <v>544.5</v>
      </c>
      <c r="C396" s="19"/>
      <c r="D396" s="19">
        <v>574.75</v>
      </c>
      <c r="E396" s="19"/>
      <c r="F396" s="19"/>
      <c r="G396" s="19">
        <v>6573</v>
      </c>
      <c r="H396" s="19">
        <v>3436.4</v>
      </c>
      <c r="I396" s="19"/>
      <c r="J396" s="19"/>
      <c r="K396" s="19">
        <v>393.25</v>
      </c>
      <c r="L396" s="19">
        <v>2516.8200000000002</v>
      </c>
      <c r="M396" s="19">
        <v>14038.72</v>
      </c>
    </row>
    <row r="397" spans="1:13" s="20" customFormat="1" x14ac:dyDescent="0.25">
      <c r="A397" s="21" t="s">
        <v>4333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>
        <v>186.91</v>
      </c>
      <c r="L397" s="19"/>
      <c r="M397" s="19">
        <v>186.91</v>
      </c>
    </row>
    <row r="398" spans="1:13" s="20" customFormat="1" x14ac:dyDescent="0.25">
      <c r="A398" s="21" t="s">
        <v>2013</v>
      </c>
      <c r="B398" s="19"/>
      <c r="C398" s="19"/>
      <c r="D398" s="19"/>
      <c r="E398" s="19"/>
      <c r="F398" s="19"/>
      <c r="G398" s="19"/>
      <c r="H398" s="19">
        <v>5614.4</v>
      </c>
      <c r="I398" s="19"/>
      <c r="J398" s="19"/>
      <c r="K398" s="19"/>
      <c r="L398" s="19"/>
      <c r="M398" s="19">
        <v>5614.4</v>
      </c>
    </row>
    <row r="399" spans="1:13" s="20" customFormat="1" x14ac:dyDescent="0.25">
      <c r="A399" s="21" t="s">
        <v>4337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>
        <v>7260</v>
      </c>
      <c r="L399" s="19"/>
      <c r="M399" s="19">
        <v>7260</v>
      </c>
    </row>
    <row r="400" spans="1:13" s="20" customFormat="1" x14ac:dyDescent="0.25">
      <c r="A400" s="21" t="s">
        <v>438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>
        <v>2149.46</v>
      </c>
      <c r="M400" s="19">
        <v>2149.46</v>
      </c>
    </row>
    <row r="401" spans="1:13" s="20" customFormat="1" x14ac:dyDescent="0.25">
      <c r="A401" s="21" t="s">
        <v>20</v>
      </c>
      <c r="B401" s="19"/>
      <c r="C401" s="19">
        <v>9471.5499999999993</v>
      </c>
      <c r="D401" s="19">
        <v>7117.69</v>
      </c>
      <c r="E401" s="19"/>
      <c r="F401" s="19">
        <v>121</v>
      </c>
      <c r="G401" s="19">
        <v>6371.7699999999986</v>
      </c>
      <c r="H401" s="19">
        <v>5110.05</v>
      </c>
      <c r="I401" s="19">
        <v>405.31</v>
      </c>
      <c r="J401" s="19">
        <v>1786.8600000000001</v>
      </c>
      <c r="K401" s="19">
        <v>8402.74</v>
      </c>
      <c r="L401" s="19">
        <v>8779.41</v>
      </c>
      <c r="M401" s="19">
        <v>47566.37999999999</v>
      </c>
    </row>
    <row r="402" spans="1:13" s="20" customFormat="1" x14ac:dyDescent="0.25">
      <c r="A402" s="21" t="s">
        <v>400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69.25</v>
      </c>
      <c r="M402" s="19">
        <v>69.25</v>
      </c>
    </row>
    <row r="403" spans="1:13" s="20" customFormat="1" x14ac:dyDescent="0.25">
      <c r="A403" s="21" t="s">
        <v>5337</v>
      </c>
      <c r="B403" s="19"/>
      <c r="C403" s="19"/>
      <c r="D403" s="19"/>
      <c r="E403" s="19"/>
      <c r="F403" s="19"/>
      <c r="G403" s="19">
        <v>435.6</v>
      </c>
      <c r="H403" s="19"/>
      <c r="I403" s="19"/>
      <c r="J403" s="19"/>
      <c r="K403" s="19"/>
      <c r="L403" s="19"/>
      <c r="M403" s="19">
        <v>435.6</v>
      </c>
    </row>
    <row r="404" spans="1:13" s="20" customFormat="1" x14ac:dyDescent="0.25">
      <c r="A404" s="21" t="s">
        <v>55</v>
      </c>
      <c r="B404" s="19"/>
      <c r="C404" s="19"/>
      <c r="D404" s="19"/>
      <c r="E404" s="19"/>
      <c r="F404" s="19"/>
      <c r="G404" s="19">
        <v>4809.2</v>
      </c>
      <c r="H404" s="19"/>
      <c r="I404" s="19"/>
      <c r="J404" s="19"/>
      <c r="K404" s="19"/>
      <c r="L404" s="19"/>
      <c r="M404" s="19">
        <v>4809.2</v>
      </c>
    </row>
    <row r="405" spans="1:13" s="20" customFormat="1" x14ac:dyDescent="0.25">
      <c r="A405" s="21" t="s">
        <v>2022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471.9</v>
      </c>
      <c r="L405" s="19"/>
      <c r="M405" s="19">
        <v>471.9</v>
      </c>
    </row>
    <row r="406" spans="1:13" s="20" customFormat="1" x14ac:dyDescent="0.25">
      <c r="A406" s="21" t="s">
        <v>427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6259.14</v>
      </c>
      <c r="M406" s="19">
        <v>6259.14</v>
      </c>
    </row>
    <row r="407" spans="1:13" s="20" customFormat="1" x14ac:dyDescent="0.25">
      <c r="A407" s="21" t="s">
        <v>4345</v>
      </c>
      <c r="B407" s="19"/>
      <c r="C407" s="19"/>
      <c r="D407" s="19"/>
      <c r="E407" s="19"/>
      <c r="F407" s="19"/>
      <c r="G407" s="19"/>
      <c r="H407" s="19"/>
      <c r="I407" s="19"/>
      <c r="J407" s="19">
        <v>1318.9</v>
      </c>
      <c r="K407" s="19"/>
      <c r="L407" s="19"/>
      <c r="M407" s="19">
        <v>1318.9</v>
      </c>
    </row>
    <row r="408" spans="1:13" s="20" customFormat="1" x14ac:dyDescent="0.25">
      <c r="A408" s="21" t="s">
        <v>5026</v>
      </c>
      <c r="B408" s="19">
        <v>13455.2</v>
      </c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>
        <v>13455.2</v>
      </c>
    </row>
    <row r="409" spans="1:13" s="20" customFormat="1" x14ac:dyDescent="0.25">
      <c r="A409" s="21" t="s">
        <v>2161</v>
      </c>
      <c r="B409" s="19"/>
      <c r="C409" s="19"/>
      <c r="D409" s="19">
        <v>1887.1200000000001</v>
      </c>
      <c r="E409" s="19"/>
      <c r="F409" s="19"/>
      <c r="G409" s="19"/>
      <c r="H409" s="19"/>
      <c r="I409" s="19"/>
      <c r="J409" s="19"/>
      <c r="K409" s="19"/>
      <c r="L409" s="19"/>
      <c r="M409" s="19">
        <v>1887.1200000000001</v>
      </c>
    </row>
    <row r="410" spans="1:13" s="20" customFormat="1" x14ac:dyDescent="0.25">
      <c r="A410" s="21" t="s">
        <v>2166</v>
      </c>
      <c r="B410" s="19"/>
      <c r="C410" s="19"/>
      <c r="D410" s="19"/>
      <c r="E410" s="19"/>
      <c r="F410" s="19">
        <v>21961.5</v>
      </c>
      <c r="G410" s="19"/>
      <c r="H410" s="19"/>
      <c r="I410" s="19"/>
      <c r="J410" s="19">
        <v>6050</v>
      </c>
      <c r="K410" s="19">
        <v>3630</v>
      </c>
      <c r="L410" s="19"/>
      <c r="M410" s="19">
        <v>31641.5</v>
      </c>
    </row>
    <row r="411" spans="1:13" s="20" customFormat="1" x14ac:dyDescent="0.25">
      <c r="A411" s="21" t="s">
        <v>5326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975.62</v>
      </c>
      <c r="L411" s="19"/>
      <c r="M411" s="19">
        <v>975.62</v>
      </c>
    </row>
    <row r="412" spans="1:13" s="20" customFormat="1" x14ac:dyDescent="0.25">
      <c r="A412" s="21" t="s">
        <v>2169</v>
      </c>
      <c r="B412" s="19"/>
      <c r="C412" s="19"/>
      <c r="D412" s="19"/>
      <c r="E412" s="19"/>
      <c r="F412" s="19">
        <v>7159.57</v>
      </c>
      <c r="G412" s="19"/>
      <c r="H412" s="19"/>
      <c r="I412" s="19"/>
      <c r="J412" s="19"/>
      <c r="K412" s="19"/>
      <c r="L412" s="19"/>
      <c r="M412" s="19">
        <v>7159.57</v>
      </c>
    </row>
    <row r="413" spans="1:13" s="20" customFormat="1" x14ac:dyDescent="0.25">
      <c r="A413" s="21" t="s">
        <v>2174</v>
      </c>
      <c r="B413" s="19"/>
      <c r="C413" s="19"/>
      <c r="D413" s="19"/>
      <c r="E413" s="19"/>
      <c r="F413" s="19"/>
      <c r="G413" s="19">
        <v>20</v>
      </c>
      <c r="H413" s="19"/>
      <c r="I413" s="19"/>
      <c r="J413" s="19"/>
      <c r="K413" s="19"/>
      <c r="L413" s="19"/>
      <c r="M413" s="19">
        <v>20</v>
      </c>
    </row>
    <row r="414" spans="1:13" s="20" customFormat="1" x14ac:dyDescent="0.25">
      <c r="A414" s="21" t="s">
        <v>4353</v>
      </c>
      <c r="B414" s="19"/>
      <c r="C414" s="19"/>
      <c r="D414" s="19"/>
      <c r="E414" s="19"/>
      <c r="F414" s="19"/>
      <c r="G414" s="19">
        <v>38</v>
      </c>
      <c r="H414" s="19"/>
      <c r="I414" s="19"/>
      <c r="J414" s="19"/>
      <c r="K414" s="19"/>
      <c r="L414" s="19"/>
      <c r="M414" s="19">
        <v>38</v>
      </c>
    </row>
    <row r="415" spans="1:13" s="20" customFormat="1" x14ac:dyDescent="0.25">
      <c r="A415" s="21" t="s">
        <v>447</v>
      </c>
      <c r="B415" s="19"/>
      <c r="C415" s="19"/>
      <c r="D415" s="19">
        <v>605</v>
      </c>
      <c r="E415" s="19"/>
      <c r="F415" s="19"/>
      <c r="G415" s="19">
        <v>550</v>
      </c>
      <c r="H415" s="19"/>
      <c r="I415" s="19"/>
      <c r="J415" s="19"/>
      <c r="K415" s="19"/>
      <c r="L415" s="19"/>
      <c r="M415" s="19">
        <v>1155</v>
      </c>
    </row>
    <row r="416" spans="1:13" s="20" customFormat="1" x14ac:dyDescent="0.25">
      <c r="A416" s="21" t="s">
        <v>503</v>
      </c>
      <c r="B416" s="19"/>
      <c r="C416" s="19"/>
      <c r="D416" s="19">
        <v>665.5</v>
      </c>
      <c r="E416" s="19"/>
      <c r="F416" s="19"/>
      <c r="G416" s="19"/>
      <c r="H416" s="19"/>
      <c r="I416" s="19"/>
      <c r="J416" s="19"/>
      <c r="K416" s="19"/>
      <c r="L416" s="19"/>
      <c r="M416" s="19">
        <v>665.5</v>
      </c>
    </row>
    <row r="417" spans="1:13" s="20" customFormat="1" x14ac:dyDescent="0.25">
      <c r="A417" s="21" t="s">
        <v>1621</v>
      </c>
      <c r="B417" s="19"/>
      <c r="C417" s="19"/>
      <c r="D417" s="19">
        <v>3680.09</v>
      </c>
      <c r="E417" s="19"/>
      <c r="F417" s="19"/>
      <c r="G417" s="19">
        <v>8474.44</v>
      </c>
      <c r="H417" s="19">
        <v>745</v>
      </c>
      <c r="I417" s="19"/>
      <c r="J417" s="19"/>
      <c r="K417" s="19">
        <v>8383.619999999999</v>
      </c>
      <c r="L417" s="19"/>
      <c r="M417" s="19">
        <v>21283.15</v>
      </c>
    </row>
    <row r="418" spans="1:13" s="20" customFormat="1" x14ac:dyDescent="0.25">
      <c r="A418" s="21" t="s">
        <v>2234</v>
      </c>
      <c r="B418" s="19"/>
      <c r="C418" s="19"/>
      <c r="D418" s="19"/>
      <c r="E418" s="19"/>
      <c r="F418" s="19">
        <v>15669.5</v>
      </c>
      <c r="G418" s="19"/>
      <c r="H418" s="19"/>
      <c r="I418" s="19"/>
      <c r="J418" s="19"/>
      <c r="K418" s="19"/>
      <c r="L418" s="19"/>
      <c r="M418" s="19">
        <v>15669.5</v>
      </c>
    </row>
    <row r="419" spans="1:13" s="20" customFormat="1" x14ac:dyDescent="0.25">
      <c r="A419" s="21" t="s">
        <v>4373</v>
      </c>
      <c r="B419" s="19"/>
      <c r="C419" s="19"/>
      <c r="D419" s="19"/>
      <c r="E419" s="19"/>
      <c r="F419" s="19">
        <v>3176.25</v>
      </c>
      <c r="G419" s="19"/>
      <c r="H419" s="19"/>
      <c r="I419" s="19"/>
      <c r="J419" s="19"/>
      <c r="K419" s="19"/>
      <c r="L419" s="19"/>
      <c r="M419" s="19">
        <v>3176.25</v>
      </c>
    </row>
    <row r="420" spans="1:13" s="20" customFormat="1" x14ac:dyDescent="0.25">
      <c r="A420" s="21" t="s">
        <v>407</v>
      </c>
      <c r="B420" s="19"/>
      <c r="C420" s="19"/>
      <c r="D420" s="19">
        <v>1996.5</v>
      </c>
      <c r="E420" s="19"/>
      <c r="F420" s="19"/>
      <c r="G420" s="19"/>
      <c r="H420" s="19"/>
      <c r="I420" s="19"/>
      <c r="J420" s="19"/>
      <c r="K420" s="19"/>
      <c r="L420" s="19"/>
      <c r="M420" s="19">
        <v>1996.5</v>
      </c>
    </row>
    <row r="421" spans="1:13" s="20" customFormat="1" x14ac:dyDescent="0.25">
      <c r="A421" s="21" t="s">
        <v>2424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>
        <v>8772.5</v>
      </c>
      <c r="M421" s="19">
        <v>8772.5</v>
      </c>
    </row>
    <row r="422" spans="1:13" s="20" customFormat="1" x14ac:dyDescent="0.25">
      <c r="A422" s="21" t="s">
        <v>50</v>
      </c>
      <c r="B422" s="19">
        <v>3960</v>
      </c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>
        <v>3960</v>
      </c>
    </row>
    <row r="423" spans="1:13" s="20" customFormat="1" x14ac:dyDescent="0.25">
      <c r="A423" s="21" t="s">
        <v>54</v>
      </c>
      <c r="B423" s="19"/>
      <c r="C423" s="19">
        <v>6644.59</v>
      </c>
      <c r="D423" s="19"/>
      <c r="E423" s="19"/>
      <c r="F423" s="19"/>
      <c r="G423" s="19"/>
      <c r="H423" s="19"/>
      <c r="I423" s="19"/>
      <c r="J423" s="19"/>
      <c r="K423" s="19"/>
      <c r="L423" s="19">
        <v>889.35</v>
      </c>
      <c r="M423" s="19">
        <v>7533.9400000000005</v>
      </c>
    </row>
    <row r="424" spans="1:13" s="20" customFormat="1" x14ac:dyDescent="0.25">
      <c r="A424" s="21" t="s">
        <v>4375</v>
      </c>
      <c r="B424" s="19"/>
      <c r="C424" s="19"/>
      <c r="D424" s="19"/>
      <c r="E424" s="19"/>
      <c r="F424" s="19"/>
      <c r="G424" s="19">
        <v>1986.34</v>
      </c>
      <c r="H424" s="19"/>
      <c r="I424" s="19"/>
      <c r="J424" s="19"/>
      <c r="K424" s="19"/>
      <c r="L424" s="19"/>
      <c r="M424" s="19">
        <v>1986.34</v>
      </c>
    </row>
    <row r="425" spans="1:13" s="20" customFormat="1" x14ac:dyDescent="0.25">
      <c r="A425" s="21" t="s">
        <v>332</v>
      </c>
      <c r="B425" s="19"/>
      <c r="C425" s="19"/>
      <c r="D425" s="19">
        <v>491.64</v>
      </c>
      <c r="E425" s="19"/>
      <c r="F425" s="19"/>
      <c r="G425" s="19"/>
      <c r="H425" s="19"/>
      <c r="I425" s="19"/>
      <c r="J425" s="19"/>
      <c r="K425" s="19"/>
      <c r="L425" s="19"/>
      <c r="M425" s="19">
        <v>491.64</v>
      </c>
    </row>
    <row r="426" spans="1:13" s="20" customFormat="1" x14ac:dyDescent="0.25">
      <c r="A426" s="21" t="s">
        <v>4785</v>
      </c>
      <c r="B426" s="19"/>
      <c r="C426" s="19"/>
      <c r="D426" s="19"/>
      <c r="E426" s="19">
        <v>6190.0300000000007</v>
      </c>
      <c r="F426" s="19"/>
      <c r="G426" s="19"/>
      <c r="H426" s="19"/>
      <c r="I426" s="19"/>
      <c r="J426" s="19"/>
      <c r="K426" s="19"/>
      <c r="L426" s="19"/>
      <c r="M426" s="19">
        <v>6190.0300000000007</v>
      </c>
    </row>
    <row r="427" spans="1:13" s="20" customFormat="1" x14ac:dyDescent="0.25">
      <c r="A427" s="21" t="s">
        <v>4377</v>
      </c>
      <c r="B427" s="19"/>
      <c r="C427" s="19"/>
      <c r="D427" s="19"/>
      <c r="E427" s="19"/>
      <c r="F427" s="19"/>
      <c r="G427" s="19"/>
      <c r="H427" s="19"/>
      <c r="I427" s="19">
        <v>1437.01</v>
      </c>
      <c r="J427" s="19"/>
      <c r="K427" s="19"/>
      <c r="L427" s="19"/>
      <c r="M427" s="19">
        <v>1437.01</v>
      </c>
    </row>
    <row r="428" spans="1:13" s="20" customFormat="1" x14ac:dyDescent="0.25">
      <c r="A428" s="21" t="s">
        <v>4379</v>
      </c>
      <c r="B428" s="19"/>
      <c r="C428" s="19"/>
      <c r="D428" s="19">
        <v>956.47</v>
      </c>
      <c r="E428" s="19"/>
      <c r="F428" s="19"/>
      <c r="G428" s="19"/>
      <c r="H428" s="19"/>
      <c r="I428" s="19"/>
      <c r="J428" s="19"/>
      <c r="K428" s="19"/>
      <c r="L428" s="19"/>
      <c r="M428" s="19">
        <v>956.47</v>
      </c>
    </row>
    <row r="429" spans="1:13" s="20" customFormat="1" x14ac:dyDescent="0.25">
      <c r="A429" s="21" t="s">
        <v>2280</v>
      </c>
      <c r="B429" s="19"/>
      <c r="C429" s="19"/>
      <c r="D429" s="19"/>
      <c r="E429" s="19"/>
      <c r="F429" s="19"/>
      <c r="G429" s="19">
        <v>720</v>
      </c>
      <c r="H429" s="19"/>
      <c r="I429" s="19"/>
      <c r="J429" s="19"/>
      <c r="K429" s="19"/>
      <c r="L429" s="19"/>
      <c r="M429" s="19">
        <v>720</v>
      </c>
    </row>
    <row r="430" spans="1:13" s="20" customFormat="1" x14ac:dyDescent="0.25">
      <c r="A430" s="21" t="s">
        <v>2282</v>
      </c>
      <c r="B430" s="19"/>
      <c r="C430" s="19"/>
      <c r="D430" s="19"/>
      <c r="E430" s="19"/>
      <c r="F430" s="19"/>
      <c r="G430" s="19"/>
      <c r="H430" s="19">
        <v>300</v>
      </c>
      <c r="I430" s="19"/>
      <c r="J430" s="19"/>
      <c r="K430" s="19"/>
      <c r="L430" s="19"/>
      <c r="M430" s="19">
        <v>300</v>
      </c>
    </row>
    <row r="431" spans="1:13" s="20" customFormat="1" x14ac:dyDescent="0.25">
      <c r="A431" s="21" t="s">
        <v>5269</v>
      </c>
      <c r="B431" s="19"/>
      <c r="C431" s="19"/>
      <c r="D431" s="19"/>
      <c r="E431" s="19"/>
      <c r="F431" s="19"/>
      <c r="G431" s="19">
        <v>968</v>
      </c>
      <c r="H431" s="19"/>
      <c r="I431" s="19"/>
      <c r="J431" s="19"/>
      <c r="K431" s="19"/>
      <c r="L431" s="19"/>
      <c r="M431" s="19">
        <v>968</v>
      </c>
    </row>
    <row r="432" spans="1:13" s="20" customFormat="1" x14ac:dyDescent="0.25">
      <c r="A432" s="21" t="s">
        <v>2284</v>
      </c>
      <c r="B432" s="19"/>
      <c r="C432" s="19"/>
      <c r="D432" s="19"/>
      <c r="E432" s="19"/>
      <c r="F432" s="19"/>
      <c r="G432" s="19">
        <v>110</v>
      </c>
      <c r="H432" s="19"/>
      <c r="I432" s="19"/>
      <c r="J432" s="19"/>
      <c r="K432" s="19"/>
      <c r="L432" s="19"/>
      <c r="M432" s="19">
        <v>110</v>
      </c>
    </row>
    <row r="433" spans="1:13" s="20" customFormat="1" x14ac:dyDescent="0.25">
      <c r="A433" s="21" t="s">
        <v>2286</v>
      </c>
      <c r="B433" s="19"/>
      <c r="C433" s="19"/>
      <c r="D433" s="19"/>
      <c r="E433" s="19"/>
      <c r="F433" s="19"/>
      <c r="G433" s="19">
        <v>435.6</v>
      </c>
      <c r="H433" s="19"/>
      <c r="I433" s="19"/>
      <c r="J433" s="19"/>
      <c r="K433" s="19"/>
      <c r="L433" s="19"/>
      <c r="M433" s="19">
        <v>435.6</v>
      </c>
    </row>
    <row r="434" spans="1:13" s="20" customFormat="1" x14ac:dyDescent="0.25">
      <c r="A434" s="21" t="s">
        <v>4381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>
        <v>946.26</v>
      </c>
      <c r="M434" s="19">
        <v>946.26</v>
      </c>
    </row>
    <row r="435" spans="1:13" s="20" customFormat="1" x14ac:dyDescent="0.25">
      <c r="A435" s="21" t="s">
        <v>466</v>
      </c>
      <c r="B435" s="19"/>
      <c r="C435" s="19"/>
      <c r="D435" s="19">
        <v>14000</v>
      </c>
      <c r="E435" s="19"/>
      <c r="F435" s="19"/>
      <c r="G435" s="19"/>
      <c r="H435" s="19"/>
      <c r="I435" s="19"/>
      <c r="J435" s="19"/>
      <c r="K435" s="19"/>
      <c r="L435" s="19"/>
      <c r="M435" s="19">
        <v>14000</v>
      </c>
    </row>
    <row r="436" spans="1:13" s="20" customFormat="1" x14ac:dyDescent="0.25">
      <c r="A436" s="21" t="s">
        <v>4956</v>
      </c>
      <c r="B436" s="19"/>
      <c r="C436" s="19"/>
      <c r="D436" s="19"/>
      <c r="E436" s="19"/>
      <c r="F436" s="19"/>
      <c r="G436" s="19">
        <v>45361.31</v>
      </c>
      <c r="H436" s="19"/>
      <c r="I436" s="19"/>
      <c r="J436" s="19"/>
      <c r="K436" s="19"/>
      <c r="L436" s="19"/>
      <c r="M436" s="19">
        <v>45361.31</v>
      </c>
    </row>
    <row r="437" spans="1:13" s="20" customFormat="1" x14ac:dyDescent="0.25">
      <c r="A437" s="21" t="s">
        <v>506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38</v>
      </c>
      <c r="M437" s="19">
        <v>38</v>
      </c>
    </row>
    <row r="438" spans="1:13" s="20" customFormat="1" x14ac:dyDescent="0.25">
      <c r="A438" s="21" t="s">
        <v>5367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6500</v>
      </c>
      <c r="M438" s="19">
        <v>6500</v>
      </c>
    </row>
    <row r="439" spans="1:13" s="20" customFormat="1" x14ac:dyDescent="0.25">
      <c r="A439" s="21" t="s">
        <v>4383</v>
      </c>
      <c r="B439" s="19"/>
      <c r="C439" s="19"/>
      <c r="D439" s="19"/>
      <c r="E439" s="19"/>
      <c r="F439" s="19"/>
      <c r="G439" s="19">
        <v>605</v>
      </c>
      <c r="H439" s="19"/>
      <c r="I439" s="19"/>
      <c r="J439" s="19"/>
      <c r="K439" s="19"/>
      <c r="L439" s="19"/>
      <c r="M439" s="19">
        <v>605</v>
      </c>
    </row>
    <row r="440" spans="1:13" s="20" customFormat="1" x14ac:dyDescent="0.25">
      <c r="A440" s="21" t="s">
        <v>4389</v>
      </c>
      <c r="B440" s="19"/>
      <c r="C440" s="19"/>
      <c r="D440" s="19"/>
      <c r="E440" s="19"/>
      <c r="F440" s="19"/>
      <c r="G440" s="19"/>
      <c r="H440" s="19"/>
      <c r="I440" s="19"/>
      <c r="J440" s="19">
        <v>432.63</v>
      </c>
      <c r="K440" s="19"/>
      <c r="L440" s="19"/>
      <c r="M440" s="19">
        <v>432.63</v>
      </c>
    </row>
    <row r="441" spans="1:13" s="20" customFormat="1" x14ac:dyDescent="0.25">
      <c r="A441" s="21" t="s">
        <v>504</v>
      </c>
      <c r="B441" s="19"/>
      <c r="C441" s="19"/>
      <c r="D441" s="19"/>
      <c r="E441" s="19"/>
      <c r="F441" s="19"/>
      <c r="G441" s="19">
        <v>333.98</v>
      </c>
      <c r="H441" s="19"/>
      <c r="I441" s="19"/>
      <c r="J441" s="19"/>
      <c r="K441" s="19"/>
      <c r="L441" s="19"/>
      <c r="M441" s="19">
        <v>333.98</v>
      </c>
    </row>
    <row r="442" spans="1:13" s="20" customFormat="1" x14ac:dyDescent="0.25">
      <c r="A442" s="21" t="s">
        <v>2316</v>
      </c>
      <c r="B442" s="19"/>
      <c r="C442" s="19"/>
      <c r="D442" s="19">
        <v>500</v>
      </c>
      <c r="E442" s="19"/>
      <c r="F442" s="19"/>
      <c r="G442" s="19"/>
      <c r="H442" s="19"/>
      <c r="I442" s="19"/>
      <c r="J442" s="19"/>
      <c r="K442" s="19"/>
      <c r="L442" s="19"/>
      <c r="M442" s="19">
        <v>500</v>
      </c>
    </row>
    <row r="443" spans="1:13" s="20" customFormat="1" x14ac:dyDescent="0.25">
      <c r="A443" s="21" t="s">
        <v>2318</v>
      </c>
      <c r="B443" s="19"/>
      <c r="C443" s="19"/>
      <c r="D443" s="19">
        <v>412.5</v>
      </c>
      <c r="E443" s="19"/>
      <c r="F443" s="19"/>
      <c r="G443" s="19"/>
      <c r="H443" s="19"/>
      <c r="I443" s="19"/>
      <c r="J443" s="19"/>
      <c r="K443" s="19"/>
      <c r="L443" s="19"/>
      <c r="M443" s="19">
        <v>412.5</v>
      </c>
    </row>
    <row r="444" spans="1:13" s="20" customFormat="1" x14ac:dyDescent="0.25">
      <c r="A444" s="21" t="s">
        <v>2320</v>
      </c>
      <c r="B444" s="19"/>
      <c r="C444" s="19"/>
      <c r="D444" s="19"/>
      <c r="E444" s="19"/>
      <c r="F444" s="19"/>
      <c r="G444" s="19">
        <v>870</v>
      </c>
      <c r="H444" s="19"/>
      <c r="I444" s="19"/>
      <c r="J444" s="19"/>
      <c r="K444" s="19"/>
      <c r="L444" s="19"/>
      <c r="M444" s="19">
        <v>870</v>
      </c>
    </row>
    <row r="445" spans="1:13" s="20" customFormat="1" x14ac:dyDescent="0.25">
      <c r="A445" s="21" t="s">
        <v>1835</v>
      </c>
      <c r="B445" s="19"/>
      <c r="C445" s="19"/>
      <c r="D445" s="19"/>
      <c r="E445" s="19">
        <v>726</v>
      </c>
      <c r="F445" s="19"/>
      <c r="G445" s="19"/>
      <c r="H445" s="19"/>
      <c r="I445" s="19"/>
      <c r="J445" s="19"/>
      <c r="K445" s="19"/>
      <c r="L445" s="19"/>
      <c r="M445" s="19">
        <v>726</v>
      </c>
    </row>
    <row r="446" spans="1:13" s="20" customFormat="1" x14ac:dyDescent="0.25">
      <c r="A446" s="21" t="s">
        <v>2324</v>
      </c>
      <c r="B446" s="19"/>
      <c r="C446" s="19"/>
      <c r="D446" s="19">
        <v>834.9</v>
      </c>
      <c r="E446" s="19"/>
      <c r="F446" s="19"/>
      <c r="G446" s="19"/>
      <c r="H446" s="19"/>
      <c r="I446" s="19"/>
      <c r="J446" s="19"/>
      <c r="K446" s="19"/>
      <c r="L446" s="19"/>
      <c r="M446" s="19">
        <v>834.9</v>
      </c>
    </row>
    <row r="447" spans="1:13" s="20" customFormat="1" x14ac:dyDescent="0.25">
      <c r="A447" s="21" t="s">
        <v>4392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2268.7800000000002</v>
      </c>
      <c r="M447" s="19">
        <v>2268.7800000000002</v>
      </c>
    </row>
    <row r="448" spans="1:13" s="20" customFormat="1" x14ac:dyDescent="0.25">
      <c r="A448" s="21" t="s">
        <v>2199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>
        <v>665.5</v>
      </c>
      <c r="L448" s="19"/>
      <c r="M448" s="19">
        <v>665.5</v>
      </c>
    </row>
    <row r="449" spans="1:13" s="20" customFormat="1" x14ac:dyDescent="0.25">
      <c r="A449" s="21" t="s">
        <v>4394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>
        <v>3102</v>
      </c>
      <c r="L449" s="19"/>
      <c r="M449" s="19">
        <v>3102</v>
      </c>
    </row>
    <row r="450" spans="1:13" s="20" customFormat="1" x14ac:dyDescent="0.25">
      <c r="A450" s="21" t="s">
        <v>2328</v>
      </c>
      <c r="B450" s="19"/>
      <c r="C450" s="19"/>
      <c r="D450" s="19"/>
      <c r="E450" s="19"/>
      <c r="F450" s="19"/>
      <c r="G450" s="19"/>
      <c r="H450" s="19">
        <v>2009.04</v>
      </c>
      <c r="I450" s="19"/>
      <c r="J450" s="19"/>
      <c r="K450" s="19"/>
      <c r="L450" s="19"/>
      <c r="M450" s="19">
        <v>2009.04</v>
      </c>
    </row>
    <row r="451" spans="1:13" s="20" customFormat="1" x14ac:dyDescent="0.25">
      <c r="A451" s="21" t="s">
        <v>2330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>
        <v>12947</v>
      </c>
      <c r="M451" s="19">
        <v>12947</v>
      </c>
    </row>
    <row r="452" spans="1:13" s="20" customFormat="1" x14ac:dyDescent="0.25">
      <c r="A452" s="21" t="s">
        <v>77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8605.06</v>
      </c>
      <c r="M452" s="19">
        <v>8605.06</v>
      </c>
    </row>
    <row r="453" spans="1:13" s="20" customFormat="1" x14ac:dyDescent="0.25">
      <c r="A453" s="21" t="s">
        <v>2340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411.4</v>
      </c>
      <c r="M453" s="19">
        <v>411.4</v>
      </c>
    </row>
    <row r="454" spans="1:13" s="20" customFormat="1" x14ac:dyDescent="0.25">
      <c r="A454" s="21" t="s">
        <v>114</v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>
        <v>600</v>
      </c>
      <c r="M454" s="19">
        <v>600</v>
      </c>
    </row>
    <row r="455" spans="1:13" s="20" customFormat="1" x14ac:dyDescent="0.25">
      <c r="A455" s="21" t="s">
        <v>2347</v>
      </c>
      <c r="B455" s="19"/>
      <c r="C455" s="19"/>
      <c r="D455" s="19">
        <v>605</v>
      </c>
      <c r="E455" s="19"/>
      <c r="F455" s="19"/>
      <c r="G455" s="19"/>
      <c r="H455" s="19"/>
      <c r="I455" s="19"/>
      <c r="J455" s="19"/>
      <c r="K455" s="19"/>
      <c r="L455" s="19"/>
      <c r="M455" s="19">
        <v>605</v>
      </c>
    </row>
    <row r="456" spans="1:13" s="20" customFormat="1" x14ac:dyDescent="0.25">
      <c r="A456" s="21" t="s">
        <v>4396</v>
      </c>
      <c r="B456" s="19"/>
      <c r="C456" s="19"/>
      <c r="D456" s="19"/>
      <c r="E456" s="19"/>
      <c r="F456" s="19"/>
      <c r="G456" s="19"/>
      <c r="H456" s="19"/>
      <c r="I456" s="19">
        <v>2028</v>
      </c>
      <c r="J456" s="19"/>
      <c r="K456" s="19"/>
      <c r="L456" s="19"/>
      <c r="M456" s="19">
        <v>2028</v>
      </c>
    </row>
    <row r="457" spans="1:13" s="20" customFormat="1" x14ac:dyDescent="0.25">
      <c r="A457" s="21" t="s">
        <v>2349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9075</v>
      </c>
      <c r="M457" s="19">
        <v>9075</v>
      </c>
    </row>
    <row r="458" spans="1:13" s="20" customFormat="1" x14ac:dyDescent="0.25">
      <c r="A458" s="21" t="s">
        <v>2353</v>
      </c>
      <c r="B458" s="19"/>
      <c r="C458" s="19"/>
      <c r="D458" s="19"/>
      <c r="E458" s="19"/>
      <c r="F458" s="19"/>
      <c r="G458" s="19">
        <v>2000</v>
      </c>
      <c r="H458" s="19"/>
      <c r="I458" s="19"/>
      <c r="J458" s="19"/>
      <c r="K458" s="19"/>
      <c r="L458" s="19"/>
      <c r="M458" s="19">
        <v>2000</v>
      </c>
    </row>
    <row r="459" spans="1:13" s="20" customFormat="1" x14ac:dyDescent="0.25">
      <c r="A459" s="21" t="s">
        <v>502</v>
      </c>
      <c r="B459" s="19"/>
      <c r="C459" s="19"/>
      <c r="D459" s="19"/>
      <c r="E459" s="19"/>
      <c r="F459" s="19"/>
      <c r="G459" s="19"/>
      <c r="H459" s="19">
        <v>10950.5</v>
      </c>
      <c r="I459" s="19"/>
      <c r="J459" s="19"/>
      <c r="K459" s="19"/>
      <c r="L459" s="19"/>
      <c r="M459" s="19">
        <v>10950.5</v>
      </c>
    </row>
    <row r="460" spans="1:13" s="20" customFormat="1" x14ac:dyDescent="0.25">
      <c r="A460" s="21" t="s">
        <v>93</v>
      </c>
      <c r="B460" s="19"/>
      <c r="C460" s="19"/>
      <c r="D460" s="19">
        <v>564.53</v>
      </c>
      <c r="E460" s="19"/>
      <c r="F460" s="19"/>
      <c r="G460" s="19"/>
      <c r="H460" s="19">
        <v>1500</v>
      </c>
      <c r="I460" s="19"/>
      <c r="J460" s="19"/>
      <c r="K460" s="19"/>
      <c r="L460" s="19"/>
      <c r="M460" s="19">
        <v>2064.5299999999997</v>
      </c>
    </row>
    <row r="461" spans="1:13" s="20" customFormat="1" x14ac:dyDescent="0.25">
      <c r="A461" s="21" t="s">
        <v>4402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>
        <v>16225</v>
      </c>
      <c r="M461" s="19">
        <v>16225</v>
      </c>
    </row>
    <row r="462" spans="1:13" s="20" customFormat="1" x14ac:dyDescent="0.25">
      <c r="A462" s="21" t="s">
        <v>2370</v>
      </c>
      <c r="B462" s="19"/>
      <c r="C462" s="19"/>
      <c r="D462" s="19">
        <v>1452</v>
      </c>
      <c r="E462" s="19"/>
      <c r="F462" s="19"/>
      <c r="G462" s="19"/>
      <c r="H462" s="19"/>
      <c r="I462" s="19"/>
      <c r="J462" s="19"/>
      <c r="K462" s="19"/>
      <c r="L462" s="19"/>
      <c r="M462" s="19">
        <v>1452</v>
      </c>
    </row>
    <row r="463" spans="1:13" s="20" customFormat="1" x14ac:dyDescent="0.25">
      <c r="A463" s="21" t="s">
        <v>2372</v>
      </c>
      <c r="B463" s="19"/>
      <c r="C463" s="19"/>
      <c r="D463" s="19"/>
      <c r="E463" s="19"/>
      <c r="F463" s="19"/>
      <c r="G463" s="19">
        <v>2847</v>
      </c>
      <c r="H463" s="19"/>
      <c r="I463" s="19"/>
      <c r="J463" s="19"/>
      <c r="K463" s="19"/>
      <c r="L463" s="19"/>
      <c r="M463" s="19">
        <v>2847</v>
      </c>
    </row>
    <row r="464" spans="1:13" s="20" customFormat="1" x14ac:dyDescent="0.25">
      <c r="A464" s="21" t="s">
        <v>2375</v>
      </c>
      <c r="B464" s="19"/>
      <c r="C464" s="19"/>
      <c r="D464" s="19"/>
      <c r="E464" s="19"/>
      <c r="F464" s="19"/>
      <c r="G464" s="19">
        <v>396.8</v>
      </c>
      <c r="H464" s="19"/>
      <c r="I464" s="19"/>
      <c r="J464" s="19"/>
      <c r="K464" s="19"/>
      <c r="L464" s="19"/>
      <c r="M464" s="19">
        <v>396.8</v>
      </c>
    </row>
    <row r="465" spans="1:13" s="20" customFormat="1" x14ac:dyDescent="0.25">
      <c r="A465" s="21" t="s">
        <v>5037</v>
      </c>
      <c r="B465" s="19"/>
      <c r="C465" s="19"/>
      <c r="D465" s="19"/>
      <c r="E465" s="19"/>
      <c r="F465" s="19"/>
      <c r="G465" s="19">
        <v>7260</v>
      </c>
      <c r="H465" s="19"/>
      <c r="I465" s="19"/>
      <c r="J465" s="19"/>
      <c r="K465" s="19"/>
      <c r="L465" s="19"/>
      <c r="M465" s="19">
        <v>7260</v>
      </c>
    </row>
    <row r="466" spans="1:13" s="20" customFormat="1" x14ac:dyDescent="0.25">
      <c r="A466" s="21" t="s">
        <v>4405</v>
      </c>
      <c r="B466" s="19"/>
      <c r="C466" s="19"/>
      <c r="D466" s="19"/>
      <c r="E466" s="19"/>
      <c r="F466" s="19"/>
      <c r="G466" s="19"/>
      <c r="H466" s="19">
        <v>332.97</v>
      </c>
      <c r="I466" s="19"/>
      <c r="J466" s="19"/>
      <c r="K466" s="19"/>
      <c r="L466" s="19"/>
      <c r="M466" s="19">
        <v>332.97</v>
      </c>
    </row>
    <row r="467" spans="1:13" s="20" customFormat="1" x14ac:dyDescent="0.25">
      <c r="A467" s="21" t="s">
        <v>63</v>
      </c>
      <c r="B467" s="19"/>
      <c r="C467" s="19"/>
      <c r="D467" s="19"/>
      <c r="E467" s="19"/>
      <c r="F467" s="19"/>
      <c r="G467" s="19"/>
      <c r="H467" s="19">
        <v>4911</v>
      </c>
      <c r="I467" s="19"/>
      <c r="J467" s="19"/>
      <c r="K467" s="19"/>
      <c r="L467" s="19"/>
      <c r="M467" s="19">
        <v>4911</v>
      </c>
    </row>
    <row r="468" spans="1:13" s="20" customFormat="1" x14ac:dyDescent="0.25">
      <c r="A468" s="21" t="s">
        <v>501</v>
      </c>
      <c r="B468" s="19"/>
      <c r="C468" s="19"/>
      <c r="D468" s="19"/>
      <c r="E468" s="19"/>
      <c r="F468" s="19"/>
      <c r="G468" s="19"/>
      <c r="H468" s="19">
        <v>363</v>
      </c>
      <c r="I468" s="19"/>
      <c r="J468" s="19"/>
      <c r="K468" s="19"/>
      <c r="L468" s="19">
        <v>4000</v>
      </c>
      <c r="M468" s="19">
        <v>4363</v>
      </c>
    </row>
    <row r="469" spans="1:13" s="20" customFormat="1" x14ac:dyDescent="0.25">
      <c r="A469" s="21" t="s">
        <v>2385</v>
      </c>
      <c r="B469" s="19"/>
      <c r="C469" s="19"/>
      <c r="D469" s="19"/>
      <c r="E469" s="19">
        <v>5916.9</v>
      </c>
      <c r="F469" s="19"/>
      <c r="G469" s="19"/>
      <c r="H469" s="19"/>
      <c r="I469" s="19"/>
      <c r="J469" s="19"/>
      <c r="K469" s="19"/>
      <c r="L469" s="19"/>
      <c r="M469" s="19">
        <v>5916.9</v>
      </c>
    </row>
    <row r="470" spans="1:13" s="20" customFormat="1" x14ac:dyDescent="0.25">
      <c r="A470" s="21" t="s">
        <v>2464</v>
      </c>
      <c r="B470" s="19"/>
      <c r="C470" s="19"/>
      <c r="D470" s="19"/>
      <c r="E470" s="19"/>
      <c r="F470" s="19"/>
      <c r="G470" s="19"/>
      <c r="H470" s="19"/>
      <c r="I470" s="19"/>
      <c r="J470" s="19">
        <v>9493.66</v>
      </c>
      <c r="K470" s="19"/>
      <c r="L470" s="19"/>
      <c r="M470" s="19">
        <v>9493.66</v>
      </c>
    </row>
    <row r="471" spans="1:13" s="20" customFormat="1" ht="25.5" x14ac:dyDescent="0.25">
      <c r="A471" s="21" t="s">
        <v>2467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302.88</v>
      </c>
      <c r="M471" s="19">
        <v>302.88</v>
      </c>
    </row>
    <row r="472" spans="1:13" s="20" customFormat="1" ht="25.5" x14ac:dyDescent="0.25">
      <c r="A472" s="21" t="s">
        <v>2473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>
        <v>270.70999999999998</v>
      </c>
      <c r="M472" s="19">
        <v>270.70999999999998</v>
      </c>
    </row>
    <row r="473" spans="1:13" s="20" customFormat="1" x14ac:dyDescent="0.25">
      <c r="A473" s="21" t="s">
        <v>4408</v>
      </c>
      <c r="B473" s="19"/>
      <c r="C473" s="19"/>
      <c r="D473" s="19"/>
      <c r="E473" s="19"/>
      <c r="F473" s="19"/>
      <c r="G473" s="19">
        <v>7260</v>
      </c>
      <c r="H473" s="19"/>
      <c r="I473" s="19"/>
      <c r="J473" s="19"/>
      <c r="K473" s="19"/>
      <c r="L473" s="19"/>
      <c r="M473" s="19">
        <v>7260</v>
      </c>
    </row>
    <row r="474" spans="1:13" s="20" customFormat="1" x14ac:dyDescent="0.25">
      <c r="A474" s="21" t="s">
        <v>2475</v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>
        <v>175.45</v>
      </c>
      <c r="L474" s="19"/>
      <c r="M474" s="19">
        <v>175.45</v>
      </c>
    </row>
    <row r="475" spans="1:13" s="20" customFormat="1" x14ac:dyDescent="0.25">
      <c r="A475" s="21" t="s">
        <v>2480</v>
      </c>
      <c r="B475" s="19"/>
      <c r="C475" s="19"/>
      <c r="D475" s="19"/>
      <c r="E475" s="19">
        <v>338.79999999999995</v>
      </c>
      <c r="F475" s="19"/>
      <c r="G475" s="19"/>
      <c r="H475" s="19"/>
      <c r="I475" s="19"/>
      <c r="J475" s="19"/>
      <c r="K475" s="19"/>
      <c r="L475" s="19"/>
      <c r="M475" s="19">
        <v>338.79999999999995</v>
      </c>
    </row>
    <row r="476" spans="1:13" s="20" customFormat="1" x14ac:dyDescent="0.25">
      <c r="A476" s="21" t="s">
        <v>2500</v>
      </c>
      <c r="B476" s="19"/>
      <c r="C476" s="19"/>
      <c r="D476" s="19"/>
      <c r="E476" s="19"/>
      <c r="F476" s="19"/>
      <c r="G476" s="19">
        <v>968</v>
      </c>
      <c r="H476" s="19"/>
      <c r="I476" s="19"/>
      <c r="J476" s="19"/>
      <c r="K476" s="19"/>
      <c r="L476" s="19"/>
      <c r="M476" s="19">
        <v>968</v>
      </c>
    </row>
    <row r="477" spans="1:13" s="20" customFormat="1" x14ac:dyDescent="0.25">
      <c r="A477" s="21" t="s">
        <v>2502</v>
      </c>
      <c r="B477" s="19"/>
      <c r="C477" s="19"/>
      <c r="D477" s="19"/>
      <c r="E477" s="19"/>
      <c r="F477" s="19"/>
      <c r="G477" s="19">
        <v>3850</v>
      </c>
      <c r="H477" s="19"/>
      <c r="I477" s="19"/>
      <c r="J477" s="19"/>
      <c r="K477" s="19"/>
      <c r="L477" s="19"/>
      <c r="M477" s="19">
        <v>3850</v>
      </c>
    </row>
    <row r="478" spans="1:13" s="20" customFormat="1" x14ac:dyDescent="0.25">
      <c r="A478" s="21" t="s">
        <v>2505</v>
      </c>
      <c r="B478" s="19"/>
      <c r="C478" s="19"/>
      <c r="D478" s="19"/>
      <c r="E478" s="19"/>
      <c r="F478" s="19"/>
      <c r="G478" s="19">
        <v>2541</v>
      </c>
      <c r="H478" s="19"/>
      <c r="I478" s="19"/>
      <c r="J478" s="19"/>
      <c r="K478" s="19"/>
      <c r="L478" s="19"/>
      <c r="M478" s="19">
        <v>2541</v>
      </c>
    </row>
    <row r="479" spans="1:13" s="20" customFormat="1" x14ac:dyDescent="0.25">
      <c r="A479" s="21" t="s">
        <v>1648</v>
      </c>
      <c r="B479" s="19"/>
      <c r="C479" s="19"/>
      <c r="D479" s="19">
        <v>1650</v>
      </c>
      <c r="E479" s="19"/>
      <c r="F479" s="19"/>
      <c r="G479" s="19"/>
      <c r="H479" s="19"/>
      <c r="I479" s="19"/>
      <c r="J479" s="19"/>
      <c r="K479" s="19"/>
      <c r="L479" s="19"/>
      <c r="M479" s="19">
        <v>1650</v>
      </c>
    </row>
    <row r="480" spans="1:13" s="20" customFormat="1" x14ac:dyDescent="0.25">
      <c r="A480" s="21" t="s">
        <v>443</v>
      </c>
      <c r="B480" s="19"/>
      <c r="C480" s="19"/>
      <c r="D480" s="19"/>
      <c r="E480" s="19"/>
      <c r="F480" s="19"/>
      <c r="G480" s="19">
        <v>1300</v>
      </c>
      <c r="H480" s="19"/>
      <c r="I480" s="19"/>
      <c r="J480" s="19"/>
      <c r="K480" s="19"/>
      <c r="L480" s="19"/>
      <c r="M480" s="19">
        <v>1300</v>
      </c>
    </row>
    <row r="481" spans="1:13" s="20" customFormat="1" x14ac:dyDescent="0.25">
      <c r="A481" s="21" t="s">
        <v>2524</v>
      </c>
      <c r="B481" s="19"/>
      <c r="C481" s="19"/>
      <c r="D481" s="19"/>
      <c r="E481" s="19"/>
      <c r="F481" s="19"/>
      <c r="G481" s="19">
        <v>2200</v>
      </c>
      <c r="H481" s="19"/>
      <c r="I481" s="19"/>
      <c r="J481" s="19"/>
      <c r="K481" s="19"/>
      <c r="L481" s="19"/>
      <c r="M481" s="19">
        <v>2200</v>
      </c>
    </row>
    <row r="482" spans="1:13" s="20" customFormat="1" x14ac:dyDescent="0.25">
      <c r="A482" s="21" t="s">
        <v>2526</v>
      </c>
      <c r="B482" s="19"/>
      <c r="C482" s="19"/>
      <c r="D482" s="19"/>
      <c r="E482" s="19"/>
      <c r="F482" s="19"/>
      <c r="G482" s="19">
        <v>726</v>
      </c>
      <c r="H482" s="19"/>
      <c r="I482" s="19"/>
      <c r="J482" s="19"/>
      <c r="K482" s="19"/>
      <c r="L482" s="19"/>
      <c r="M482" s="19">
        <v>726</v>
      </c>
    </row>
    <row r="483" spans="1:13" s="20" customFormat="1" x14ac:dyDescent="0.25">
      <c r="A483" s="21" t="s">
        <v>4410</v>
      </c>
      <c r="B483" s="19"/>
      <c r="C483" s="19"/>
      <c r="D483" s="19">
        <v>228.3</v>
      </c>
      <c r="E483" s="19"/>
      <c r="F483" s="19"/>
      <c r="G483" s="19"/>
      <c r="H483" s="19"/>
      <c r="I483" s="19"/>
      <c r="J483" s="19"/>
      <c r="K483" s="19"/>
      <c r="L483" s="19"/>
      <c r="M483" s="19">
        <v>228.3</v>
      </c>
    </row>
    <row r="484" spans="1:13" s="20" customFormat="1" x14ac:dyDescent="0.25">
      <c r="A484" s="21" t="s">
        <v>483</v>
      </c>
      <c r="B484" s="19"/>
      <c r="C484" s="19"/>
      <c r="D484" s="19"/>
      <c r="E484" s="19"/>
      <c r="F484" s="19"/>
      <c r="G484" s="19">
        <v>2917.63</v>
      </c>
      <c r="H484" s="19"/>
      <c r="I484" s="19"/>
      <c r="J484" s="19"/>
      <c r="K484" s="19"/>
      <c r="L484" s="19"/>
      <c r="M484" s="19">
        <v>2917.63</v>
      </c>
    </row>
    <row r="485" spans="1:13" s="20" customFormat="1" x14ac:dyDescent="0.25">
      <c r="A485" s="21" t="s">
        <v>40</v>
      </c>
      <c r="B485" s="19"/>
      <c r="C485" s="19"/>
      <c r="D485" s="19"/>
      <c r="E485" s="19"/>
      <c r="F485" s="19"/>
      <c r="G485" s="19">
        <v>9150.0199999999986</v>
      </c>
      <c r="H485" s="19"/>
      <c r="I485" s="19"/>
      <c r="J485" s="19"/>
      <c r="K485" s="19"/>
      <c r="L485" s="19"/>
      <c r="M485" s="19">
        <v>9150.0199999999986</v>
      </c>
    </row>
    <row r="486" spans="1:13" s="20" customFormat="1" x14ac:dyDescent="0.25">
      <c r="A486" s="21" t="s">
        <v>406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>
        <v>246.97000000000003</v>
      </c>
      <c r="M486" s="19">
        <v>246.97000000000003</v>
      </c>
    </row>
    <row r="487" spans="1:13" s="20" customFormat="1" x14ac:dyDescent="0.25">
      <c r="A487" s="21" t="s">
        <v>2551</v>
      </c>
      <c r="B487" s="19"/>
      <c r="C487" s="19"/>
      <c r="D487" s="19"/>
      <c r="E487" s="19"/>
      <c r="F487" s="19"/>
      <c r="G487" s="19">
        <v>1800</v>
      </c>
      <c r="H487" s="19"/>
      <c r="I487" s="19"/>
      <c r="J487" s="19"/>
      <c r="K487" s="19"/>
      <c r="L487" s="19"/>
      <c r="M487" s="19">
        <v>1800</v>
      </c>
    </row>
    <row r="488" spans="1:13" s="20" customFormat="1" x14ac:dyDescent="0.25">
      <c r="A488" s="21" t="s">
        <v>4495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3155.4399999999996</v>
      </c>
      <c r="M488" s="19">
        <v>3155.4399999999996</v>
      </c>
    </row>
    <row r="489" spans="1:13" s="20" customFormat="1" x14ac:dyDescent="0.25">
      <c r="A489" s="21" t="s">
        <v>418</v>
      </c>
      <c r="B489" s="19"/>
      <c r="C489" s="19"/>
      <c r="D489" s="19">
        <v>300</v>
      </c>
      <c r="E489" s="19"/>
      <c r="F489" s="19"/>
      <c r="G489" s="19">
        <v>3063</v>
      </c>
      <c r="H489" s="19"/>
      <c r="I489" s="19"/>
      <c r="J489" s="19"/>
      <c r="K489" s="19"/>
      <c r="L489" s="19"/>
      <c r="M489" s="19">
        <v>3363</v>
      </c>
    </row>
    <row r="490" spans="1:13" s="20" customFormat="1" x14ac:dyDescent="0.25">
      <c r="A490" s="21" t="s">
        <v>5322</v>
      </c>
      <c r="B490" s="19"/>
      <c r="C490" s="19"/>
      <c r="D490" s="19"/>
      <c r="E490" s="19"/>
      <c r="F490" s="19">
        <v>6534</v>
      </c>
      <c r="G490" s="19"/>
      <c r="H490" s="19"/>
      <c r="I490" s="19"/>
      <c r="J490" s="19"/>
      <c r="K490" s="19"/>
      <c r="L490" s="19"/>
      <c r="M490" s="19">
        <v>6534</v>
      </c>
    </row>
    <row r="491" spans="1:13" s="20" customFormat="1" x14ac:dyDescent="0.25">
      <c r="A491" s="21" t="s">
        <v>5094</v>
      </c>
      <c r="B491" s="19"/>
      <c r="C491" s="19"/>
      <c r="D491" s="19"/>
      <c r="E491" s="19"/>
      <c r="F491" s="19"/>
      <c r="G491" s="19">
        <v>3000</v>
      </c>
      <c r="H491" s="19"/>
      <c r="I491" s="19"/>
      <c r="J491" s="19"/>
      <c r="K491" s="19"/>
      <c r="L491" s="19"/>
      <c r="M491" s="19">
        <v>3000</v>
      </c>
    </row>
    <row r="492" spans="1:13" s="20" customFormat="1" x14ac:dyDescent="0.25">
      <c r="A492" s="21" t="s">
        <v>2576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>
        <v>200</v>
      </c>
      <c r="L492" s="19"/>
      <c r="M492" s="19">
        <v>200</v>
      </c>
    </row>
    <row r="493" spans="1:13" s="20" customFormat="1" x14ac:dyDescent="0.25">
      <c r="A493" s="21" t="s">
        <v>500</v>
      </c>
      <c r="B493" s="19"/>
      <c r="C493" s="19"/>
      <c r="D493" s="19">
        <v>605</v>
      </c>
      <c r="E493" s="19"/>
      <c r="F493" s="19"/>
      <c r="G493" s="19">
        <v>6800</v>
      </c>
      <c r="H493" s="19"/>
      <c r="I493" s="19"/>
      <c r="J493" s="19"/>
      <c r="K493" s="19">
        <v>1500</v>
      </c>
      <c r="L493" s="19"/>
      <c r="M493" s="19">
        <v>8905</v>
      </c>
    </row>
    <row r="494" spans="1:13" s="20" customFormat="1" x14ac:dyDescent="0.25">
      <c r="A494" s="21" t="s">
        <v>2579</v>
      </c>
      <c r="B494" s="19"/>
      <c r="C494" s="19"/>
      <c r="D494" s="19"/>
      <c r="E494" s="19"/>
      <c r="F494" s="19"/>
      <c r="G494" s="19">
        <v>500</v>
      </c>
      <c r="H494" s="19"/>
      <c r="I494" s="19"/>
      <c r="J494" s="19"/>
      <c r="K494" s="19"/>
      <c r="L494" s="19"/>
      <c r="M494" s="19">
        <v>500</v>
      </c>
    </row>
    <row r="495" spans="1:13" s="20" customFormat="1" x14ac:dyDescent="0.25">
      <c r="A495" s="21" t="s">
        <v>2583</v>
      </c>
      <c r="B495" s="19"/>
      <c r="C495" s="19"/>
      <c r="D495" s="19"/>
      <c r="E495" s="19"/>
      <c r="F495" s="19"/>
      <c r="G495" s="19">
        <v>609.48</v>
      </c>
      <c r="H495" s="19"/>
      <c r="I495" s="19"/>
      <c r="J495" s="19"/>
      <c r="K495" s="19"/>
      <c r="L495" s="19"/>
      <c r="M495" s="19">
        <v>609.48</v>
      </c>
    </row>
    <row r="496" spans="1:13" s="20" customFormat="1" x14ac:dyDescent="0.25">
      <c r="A496" s="21" t="s">
        <v>4534</v>
      </c>
      <c r="B496" s="19"/>
      <c r="C496" s="19"/>
      <c r="D496" s="19"/>
      <c r="E496" s="19"/>
      <c r="F496" s="19"/>
      <c r="G496" s="19"/>
      <c r="H496" s="19">
        <v>324.16000000000003</v>
      </c>
      <c r="I496" s="19"/>
      <c r="J496" s="19"/>
      <c r="K496" s="19"/>
      <c r="L496" s="19"/>
      <c r="M496" s="19">
        <v>324.16000000000003</v>
      </c>
    </row>
    <row r="497" spans="1:13" s="20" customFormat="1" x14ac:dyDescent="0.25">
      <c r="A497" s="21" t="s">
        <v>5035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>
        <v>8345.9</v>
      </c>
      <c r="M497" s="19">
        <v>8345.9</v>
      </c>
    </row>
    <row r="498" spans="1:13" s="20" customFormat="1" x14ac:dyDescent="0.25">
      <c r="A498" s="21" t="s">
        <v>112</v>
      </c>
      <c r="B498" s="19"/>
      <c r="C498" s="19"/>
      <c r="D498" s="19">
        <v>2119.7400000000002</v>
      </c>
      <c r="E498" s="19"/>
      <c r="F498" s="19">
        <v>290.39999999999998</v>
      </c>
      <c r="G498" s="19">
        <v>7157.87</v>
      </c>
      <c r="H498" s="19"/>
      <c r="I498" s="19">
        <v>259.18</v>
      </c>
      <c r="J498" s="19">
        <v>180</v>
      </c>
      <c r="K498" s="19">
        <v>538.15</v>
      </c>
      <c r="L498" s="19">
        <v>1754.99</v>
      </c>
      <c r="M498" s="19">
        <v>12300.33</v>
      </c>
    </row>
    <row r="499" spans="1:13" s="20" customFormat="1" x14ac:dyDescent="0.25">
      <c r="A499" s="21" t="s">
        <v>5329</v>
      </c>
      <c r="B499" s="19"/>
      <c r="C499" s="19">
        <v>1246.3</v>
      </c>
      <c r="D499" s="19"/>
      <c r="E499" s="19"/>
      <c r="F499" s="19"/>
      <c r="G499" s="19"/>
      <c r="H499" s="19"/>
      <c r="I499" s="19"/>
      <c r="J499" s="19"/>
      <c r="K499" s="19"/>
      <c r="L499" s="19"/>
      <c r="M499" s="19">
        <v>1246.3</v>
      </c>
    </row>
    <row r="500" spans="1:13" s="20" customFormat="1" x14ac:dyDescent="0.25">
      <c r="A500" s="21" t="s">
        <v>4547</v>
      </c>
      <c r="B500" s="19"/>
      <c r="C500" s="19"/>
      <c r="D500" s="19"/>
      <c r="E500" s="19"/>
      <c r="F500" s="19"/>
      <c r="G500" s="19"/>
      <c r="H500" s="19"/>
      <c r="I500" s="19"/>
      <c r="J500" s="19">
        <v>5560</v>
      </c>
      <c r="K500" s="19"/>
      <c r="L500" s="19"/>
      <c r="M500" s="19">
        <v>5560</v>
      </c>
    </row>
    <row r="501" spans="1:13" s="20" customFormat="1" x14ac:dyDescent="0.25">
      <c r="A501" s="21" t="s">
        <v>485</v>
      </c>
      <c r="B501" s="19"/>
      <c r="C501" s="19"/>
      <c r="D501" s="19"/>
      <c r="E501" s="19"/>
      <c r="F501" s="19"/>
      <c r="G501" s="19"/>
      <c r="H501" s="19">
        <v>6292</v>
      </c>
      <c r="I501" s="19"/>
      <c r="J501" s="19"/>
      <c r="K501" s="19"/>
      <c r="L501" s="19"/>
      <c r="M501" s="19">
        <v>6292</v>
      </c>
    </row>
    <row r="502" spans="1:13" s="20" customFormat="1" x14ac:dyDescent="0.25">
      <c r="A502" s="21" t="s">
        <v>4550</v>
      </c>
      <c r="B502" s="19"/>
      <c r="C502" s="19"/>
      <c r="D502" s="19"/>
      <c r="E502" s="19"/>
      <c r="F502" s="19"/>
      <c r="G502" s="19"/>
      <c r="H502" s="19">
        <v>2308.6799999999998</v>
      </c>
      <c r="I502" s="19"/>
      <c r="J502" s="19"/>
      <c r="K502" s="19"/>
      <c r="L502" s="19"/>
      <c r="M502" s="19">
        <v>2308.6799999999998</v>
      </c>
    </row>
    <row r="503" spans="1:13" s="20" customFormat="1" x14ac:dyDescent="0.25">
      <c r="A503" s="21" t="s">
        <v>79</v>
      </c>
      <c r="B503" s="19"/>
      <c r="C503" s="19"/>
      <c r="D503" s="19"/>
      <c r="E503" s="19">
        <v>16000</v>
      </c>
      <c r="F503" s="19"/>
      <c r="G503" s="19"/>
      <c r="H503" s="19">
        <v>600</v>
      </c>
      <c r="I503" s="19"/>
      <c r="J503" s="19"/>
      <c r="K503" s="19"/>
      <c r="L503" s="19">
        <v>5978</v>
      </c>
      <c r="M503" s="19">
        <v>22578</v>
      </c>
    </row>
    <row r="504" spans="1:13" s="20" customFormat="1" x14ac:dyDescent="0.25">
      <c r="A504" s="21" t="s">
        <v>91</v>
      </c>
      <c r="B504" s="19">
        <v>7253.95</v>
      </c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>
        <v>7253.95</v>
      </c>
    </row>
    <row r="505" spans="1:13" s="20" customFormat="1" x14ac:dyDescent="0.25">
      <c r="A505" s="21" t="s">
        <v>4555</v>
      </c>
      <c r="B505" s="19"/>
      <c r="C505" s="19"/>
      <c r="D505" s="19"/>
      <c r="E505" s="19"/>
      <c r="F505" s="19">
        <v>514.25</v>
      </c>
      <c r="G505" s="19"/>
      <c r="H505" s="19"/>
      <c r="I505" s="19"/>
      <c r="J505" s="19"/>
      <c r="K505" s="19"/>
      <c r="L505" s="19"/>
      <c r="M505" s="19">
        <v>514.25</v>
      </c>
    </row>
    <row r="506" spans="1:13" s="20" customFormat="1" x14ac:dyDescent="0.25">
      <c r="A506" s="21" t="s">
        <v>2605</v>
      </c>
      <c r="B506" s="19"/>
      <c r="C506" s="19"/>
      <c r="D506" s="19"/>
      <c r="E506" s="19"/>
      <c r="F506" s="19">
        <v>6534</v>
      </c>
      <c r="G506" s="19"/>
      <c r="H506" s="19"/>
      <c r="I506" s="19"/>
      <c r="J506" s="19"/>
      <c r="K506" s="19"/>
      <c r="L506" s="19"/>
      <c r="M506" s="19">
        <v>6534</v>
      </c>
    </row>
    <row r="507" spans="1:13" s="20" customFormat="1" x14ac:dyDescent="0.25">
      <c r="A507" s="21" t="s">
        <v>4558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>
        <v>2178</v>
      </c>
      <c r="M507" s="19">
        <v>2178</v>
      </c>
    </row>
    <row r="508" spans="1:13" s="20" customFormat="1" x14ac:dyDescent="0.25">
      <c r="A508" s="21" t="s">
        <v>73</v>
      </c>
      <c r="B508" s="19"/>
      <c r="C508" s="19"/>
      <c r="D508" s="19">
        <v>17478.71</v>
      </c>
      <c r="E508" s="19"/>
      <c r="F508" s="19"/>
      <c r="G508" s="19"/>
      <c r="H508" s="19"/>
      <c r="I508" s="19"/>
      <c r="J508" s="19"/>
      <c r="K508" s="19"/>
      <c r="L508" s="19"/>
      <c r="M508" s="19">
        <v>17478.71</v>
      </c>
    </row>
    <row r="509" spans="1:13" s="20" customFormat="1" x14ac:dyDescent="0.25">
      <c r="A509" s="21" t="s">
        <v>2965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>
        <v>691.76</v>
      </c>
      <c r="L509" s="19"/>
      <c r="M509" s="19">
        <v>691.76</v>
      </c>
    </row>
    <row r="510" spans="1:13" s="20" customFormat="1" x14ac:dyDescent="0.25">
      <c r="A510" s="21" t="s">
        <v>505</v>
      </c>
      <c r="B510" s="19"/>
      <c r="C510" s="19"/>
      <c r="D510" s="19">
        <v>37.82</v>
      </c>
      <c r="E510" s="19"/>
      <c r="F510" s="19"/>
      <c r="G510" s="19"/>
      <c r="H510" s="19"/>
      <c r="I510" s="19"/>
      <c r="J510" s="19"/>
      <c r="K510" s="19"/>
      <c r="L510" s="19">
        <v>275</v>
      </c>
      <c r="M510" s="19">
        <v>312.82</v>
      </c>
    </row>
    <row r="511" spans="1:13" s="20" customFormat="1" x14ac:dyDescent="0.25">
      <c r="A511" s="21" t="s">
        <v>472</v>
      </c>
      <c r="B511" s="19"/>
      <c r="C511" s="19"/>
      <c r="D511" s="19"/>
      <c r="E511" s="19"/>
      <c r="F511" s="19"/>
      <c r="G511" s="19">
        <v>40.5</v>
      </c>
      <c r="H511" s="19"/>
      <c r="I511" s="19"/>
      <c r="J511" s="19"/>
      <c r="K511" s="19"/>
      <c r="L511" s="19"/>
      <c r="M511" s="19">
        <v>40.5</v>
      </c>
    </row>
    <row r="512" spans="1:13" s="20" customFormat="1" x14ac:dyDescent="0.25">
      <c r="A512" s="21" t="s">
        <v>13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>
        <v>4860</v>
      </c>
      <c r="L512" s="19"/>
      <c r="M512" s="19">
        <v>4860</v>
      </c>
    </row>
    <row r="513" spans="1:13" s="20" customFormat="1" ht="25.5" x14ac:dyDescent="0.25">
      <c r="A513" s="21" t="s">
        <v>2719</v>
      </c>
      <c r="B513" s="19"/>
      <c r="C513" s="19">
        <v>7909.38</v>
      </c>
      <c r="D513" s="19"/>
      <c r="E513" s="19"/>
      <c r="F513" s="19"/>
      <c r="G513" s="19"/>
      <c r="H513" s="19"/>
      <c r="I513" s="19"/>
      <c r="J513" s="19"/>
      <c r="K513" s="19"/>
      <c r="L513" s="19"/>
      <c r="M513" s="19">
        <v>7909.38</v>
      </c>
    </row>
    <row r="514" spans="1:13" s="20" customFormat="1" x14ac:dyDescent="0.25">
      <c r="A514" s="21" t="s">
        <v>2723</v>
      </c>
      <c r="B514" s="19"/>
      <c r="C514" s="19"/>
      <c r="D514" s="19"/>
      <c r="E514" s="19">
        <v>31762.5</v>
      </c>
      <c r="F514" s="19"/>
      <c r="G514" s="19">
        <v>726</v>
      </c>
      <c r="H514" s="19"/>
      <c r="I514" s="19"/>
      <c r="J514" s="19"/>
      <c r="K514" s="19">
        <v>1149.5</v>
      </c>
      <c r="L514" s="19"/>
      <c r="M514" s="19">
        <v>33638</v>
      </c>
    </row>
    <row r="515" spans="1:13" s="20" customFormat="1" x14ac:dyDescent="0.25">
      <c r="A515" s="21" t="s">
        <v>412</v>
      </c>
      <c r="B515" s="19"/>
      <c r="C515" s="19"/>
      <c r="D515" s="19"/>
      <c r="E515" s="19"/>
      <c r="F515" s="19"/>
      <c r="G515" s="19">
        <v>3746.16</v>
      </c>
      <c r="H515" s="19"/>
      <c r="I515" s="19"/>
      <c r="J515" s="19"/>
      <c r="K515" s="19"/>
      <c r="L515" s="19"/>
      <c r="M515" s="19">
        <v>3746.16</v>
      </c>
    </row>
    <row r="516" spans="1:13" s="20" customFormat="1" x14ac:dyDescent="0.25">
      <c r="A516" s="21" t="s">
        <v>2743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>
        <v>33.6</v>
      </c>
      <c r="M516" s="19">
        <v>33.6</v>
      </c>
    </row>
    <row r="517" spans="1:13" s="20" customFormat="1" x14ac:dyDescent="0.25">
      <c r="A517" s="21" t="s">
        <v>2746</v>
      </c>
      <c r="B517" s="19"/>
      <c r="C517" s="19"/>
      <c r="D517" s="19"/>
      <c r="E517" s="19">
        <v>22.91</v>
      </c>
      <c r="F517" s="19"/>
      <c r="G517" s="19">
        <v>27.55</v>
      </c>
      <c r="H517" s="19"/>
      <c r="I517" s="19"/>
      <c r="J517" s="19"/>
      <c r="K517" s="19"/>
      <c r="L517" s="19">
        <v>2497.4</v>
      </c>
      <c r="M517" s="19">
        <v>2547.86</v>
      </c>
    </row>
    <row r="518" spans="1:13" s="20" customFormat="1" x14ac:dyDescent="0.25">
      <c r="A518" s="21" t="s">
        <v>4567</v>
      </c>
      <c r="B518" s="19"/>
      <c r="C518" s="19"/>
      <c r="D518" s="19"/>
      <c r="E518" s="19"/>
      <c r="F518" s="19">
        <v>18137.900000000001</v>
      </c>
      <c r="G518" s="19"/>
      <c r="H518" s="19"/>
      <c r="I518" s="19"/>
      <c r="J518" s="19"/>
      <c r="K518" s="19"/>
      <c r="L518" s="19"/>
      <c r="M518" s="19">
        <v>18137.900000000001</v>
      </c>
    </row>
    <row r="519" spans="1:13" s="20" customFormat="1" x14ac:dyDescent="0.25">
      <c r="A519" s="21" t="s">
        <v>2748</v>
      </c>
      <c r="B519" s="19"/>
      <c r="C519" s="19">
        <v>439.23</v>
      </c>
      <c r="D519" s="19"/>
      <c r="E519" s="19"/>
      <c r="F519" s="19"/>
      <c r="G519" s="19">
        <v>14.17</v>
      </c>
      <c r="H519" s="19"/>
      <c r="I519" s="19"/>
      <c r="J519" s="19"/>
      <c r="K519" s="19"/>
      <c r="L519" s="19"/>
      <c r="M519" s="19">
        <v>453.40000000000003</v>
      </c>
    </row>
    <row r="520" spans="1:13" s="20" customFormat="1" x14ac:dyDescent="0.25">
      <c r="A520" s="21" t="s">
        <v>64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>
        <v>1500</v>
      </c>
      <c r="M520" s="19">
        <v>1500</v>
      </c>
    </row>
    <row r="521" spans="1:13" s="20" customFormat="1" x14ac:dyDescent="0.25">
      <c r="A521" s="21" t="s">
        <v>2752</v>
      </c>
      <c r="B521" s="19"/>
      <c r="C521" s="19"/>
      <c r="D521" s="19">
        <v>5148.55</v>
      </c>
      <c r="E521" s="19"/>
      <c r="F521" s="19"/>
      <c r="G521" s="19"/>
      <c r="H521" s="19"/>
      <c r="I521" s="19"/>
      <c r="J521" s="19"/>
      <c r="K521" s="19"/>
      <c r="L521" s="19"/>
      <c r="M521" s="19">
        <v>5148.55</v>
      </c>
    </row>
    <row r="522" spans="1:13" s="20" customFormat="1" x14ac:dyDescent="0.25">
      <c r="A522" s="21" t="s">
        <v>2754</v>
      </c>
      <c r="B522" s="19"/>
      <c r="C522" s="19"/>
      <c r="D522" s="19"/>
      <c r="E522" s="19"/>
      <c r="F522" s="19"/>
      <c r="G522" s="19">
        <v>370.01</v>
      </c>
      <c r="H522" s="19"/>
      <c r="I522" s="19"/>
      <c r="J522" s="19"/>
      <c r="K522" s="19"/>
      <c r="L522" s="19"/>
      <c r="M522" s="19">
        <v>370.01</v>
      </c>
    </row>
    <row r="523" spans="1:13" s="20" customFormat="1" x14ac:dyDescent="0.25">
      <c r="A523" s="21" t="s">
        <v>5346</v>
      </c>
      <c r="B523" s="19"/>
      <c r="C523" s="19"/>
      <c r="D523" s="19"/>
      <c r="E523" s="19"/>
      <c r="F523" s="19"/>
      <c r="G523" s="19"/>
      <c r="H523" s="19">
        <v>12100</v>
      </c>
      <c r="I523" s="19"/>
      <c r="J523" s="19"/>
      <c r="K523" s="19"/>
      <c r="L523" s="19"/>
      <c r="M523" s="19">
        <v>12100</v>
      </c>
    </row>
    <row r="524" spans="1:13" s="20" customFormat="1" x14ac:dyDescent="0.25">
      <c r="A524" s="21" t="s">
        <v>2758</v>
      </c>
      <c r="B524" s="19"/>
      <c r="C524" s="19"/>
      <c r="D524" s="19"/>
      <c r="E524" s="19"/>
      <c r="F524" s="19">
        <v>14520</v>
      </c>
      <c r="G524" s="19"/>
      <c r="H524" s="19"/>
      <c r="I524" s="19"/>
      <c r="J524" s="19"/>
      <c r="K524" s="19"/>
      <c r="L524" s="19"/>
      <c r="M524" s="19">
        <v>14520</v>
      </c>
    </row>
    <row r="525" spans="1:13" s="20" customFormat="1" x14ac:dyDescent="0.25">
      <c r="A525" s="21" t="s">
        <v>986</v>
      </c>
      <c r="B525" s="19"/>
      <c r="C525" s="19"/>
      <c r="D525" s="19"/>
      <c r="E525" s="19"/>
      <c r="F525" s="19"/>
      <c r="G525" s="19">
        <v>6639.05</v>
      </c>
      <c r="H525" s="19"/>
      <c r="I525" s="19"/>
      <c r="J525" s="19"/>
      <c r="K525" s="19"/>
      <c r="L525" s="19">
        <v>1183.3800000000001</v>
      </c>
      <c r="M525" s="19">
        <v>7822.43</v>
      </c>
    </row>
    <row r="526" spans="1:13" s="20" customFormat="1" x14ac:dyDescent="0.25">
      <c r="A526" s="21" t="s">
        <v>448</v>
      </c>
      <c r="B526" s="19"/>
      <c r="C526" s="19"/>
      <c r="D526" s="19">
        <v>605</v>
      </c>
      <c r="E526" s="19"/>
      <c r="F526" s="19"/>
      <c r="G526" s="19"/>
      <c r="H526" s="19"/>
      <c r="I526" s="19"/>
      <c r="J526" s="19"/>
      <c r="K526" s="19"/>
      <c r="L526" s="19"/>
      <c r="M526" s="19">
        <v>605</v>
      </c>
    </row>
    <row r="527" spans="1:13" s="20" customFormat="1" x14ac:dyDescent="0.25">
      <c r="A527" s="21" t="s">
        <v>453</v>
      </c>
      <c r="B527" s="19"/>
      <c r="C527" s="19"/>
      <c r="D527" s="19"/>
      <c r="E527" s="19"/>
      <c r="F527" s="19"/>
      <c r="G527" s="19">
        <v>6969.6</v>
      </c>
      <c r="H527" s="19"/>
      <c r="I527" s="19"/>
      <c r="J527" s="19"/>
      <c r="K527" s="19"/>
      <c r="L527" s="19"/>
      <c r="M527" s="19">
        <v>6969.6</v>
      </c>
    </row>
    <row r="528" spans="1:13" s="20" customFormat="1" x14ac:dyDescent="0.25">
      <c r="A528" s="21" t="s">
        <v>473</v>
      </c>
      <c r="B528" s="19"/>
      <c r="C528" s="19"/>
      <c r="D528" s="19"/>
      <c r="E528" s="19"/>
      <c r="F528" s="19"/>
      <c r="G528" s="19"/>
      <c r="H528" s="19"/>
      <c r="I528" s="19">
        <v>5445</v>
      </c>
      <c r="J528" s="19"/>
      <c r="K528" s="19"/>
      <c r="L528" s="19"/>
      <c r="M528" s="19">
        <v>5445</v>
      </c>
    </row>
    <row r="529" spans="1:13" s="20" customFormat="1" x14ac:dyDescent="0.25">
      <c r="A529" s="21" t="s">
        <v>2769</v>
      </c>
      <c r="B529" s="19"/>
      <c r="C529" s="19">
        <v>203.66</v>
      </c>
      <c r="D529" s="19">
        <v>2057</v>
      </c>
      <c r="E529" s="19"/>
      <c r="F529" s="19"/>
      <c r="G529" s="19"/>
      <c r="H529" s="19"/>
      <c r="I529" s="19"/>
      <c r="J529" s="19"/>
      <c r="K529" s="19">
        <v>114.93</v>
      </c>
      <c r="L529" s="19"/>
      <c r="M529" s="19">
        <v>2375.5899999999997</v>
      </c>
    </row>
    <row r="530" spans="1:13" s="20" customFormat="1" x14ac:dyDescent="0.25">
      <c r="A530" s="21" t="s">
        <v>4576</v>
      </c>
      <c r="B530" s="19"/>
      <c r="C530" s="19"/>
      <c r="D530" s="19"/>
      <c r="E530" s="19"/>
      <c r="F530" s="19"/>
      <c r="G530" s="19">
        <v>2750</v>
      </c>
      <c r="H530" s="19"/>
      <c r="I530" s="19"/>
      <c r="J530" s="19"/>
      <c r="K530" s="19"/>
      <c r="L530" s="19"/>
      <c r="M530" s="19">
        <v>2750</v>
      </c>
    </row>
    <row r="531" spans="1:13" s="20" customFormat="1" x14ac:dyDescent="0.25">
      <c r="A531" s="21" t="s">
        <v>351</v>
      </c>
      <c r="B531" s="19"/>
      <c r="C531" s="19"/>
      <c r="D531" s="19"/>
      <c r="E531" s="19"/>
      <c r="F531" s="19"/>
      <c r="G531" s="19">
        <v>1658.68</v>
      </c>
      <c r="H531" s="19"/>
      <c r="I531" s="19"/>
      <c r="J531" s="19"/>
      <c r="K531" s="19"/>
      <c r="L531" s="19"/>
      <c r="M531" s="19">
        <v>1658.68</v>
      </c>
    </row>
    <row r="532" spans="1:13" s="20" customFormat="1" x14ac:dyDescent="0.25">
      <c r="A532" s="21" t="s">
        <v>567</v>
      </c>
      <c r="B532" s="19"/>
      <c r="C532" s="19"/>
      <c r="D532" s="19"/>
      <c r="E532" s="19">
        <v>2316.3000000000002</v>
      </c>
      <c r="F532" s="19"/>
      <c r="G532" s="19"/>
      <c r="H532" s="19"/>
      <c r="I532" s="19"/>
      <c r="J532" s="19"/>
      <c r="K532" s="19"/>
      <c r="L532" s="19"/>
      <c r="M532" s="19">
        <v>2316.3000000000002</v>
      </c>
    </row>
    <row r="533" spans="1:13" s="20" customFormat="1" x14ac:dyDescent="0.25">
      <c r="A533" s="21" t="s">
        <v>2776</v>
      </c>
      <c r="B533" s="19"/>
      <c r="C533" s="19"/>
      <c r="D533" s="19"/>
      <c r="E533" s="19"/>
      <c r="F533" s="19"/>
      <c r="G533" s="19">
        <v>120</v>
      </c>
      <c r="H533" s="19"/>
      <c r="I533" s="19"/>
      <c r="J533" s="19"/>
      <c r="K533" s="19"/>
      <c r="L533" s="19"/>
      <c r="M533" s="19">
        <v>120</v>
      </c>
    </row>
    <row r="534" spans="1:13" s="20" customFormat="1" x14ac:dyDescent="0.25">
      <c r="A534" s="21" t="s">
        <v>33</v>
      </c>
      <c r="B534" s="19"/>
      <c r="C534" s="19"/>
      <c r="D534" s="19"/>
      <c r="E534" s="19"/>
      <c r="F534" s="19"/>
      <c r="G534" s="19">
        <v>1210</v>
      </c>
      <c r="H534" s="19"/>
      <c r="I534" s="19"/>
      <c r="J534" s="19"/>
      <c r="K534" s="19">
        <v>1694</v>
      </c>
      <c r="L534" s="19">
        <v>4515.12</v>
      </c>
      <c r="M534" s="19">
        <v>7419.12</v>
      </c>
    </row>
    <row r="535" spans="1:13" s="20" customFormat="1" x14ac:dyDescent="0.25">
      <c r="A535" s="21" t="s">
        <v>2819</v>
      </c>
      <c r="B535" s="19"/>
      <c r="C535" s="19"/>
      <c r="D535" s="19">
        <v>605</v>
      </c>
      <c r="E535" s="19"/>
      <c r="F535" s="19"/>
      <c r="G535" s="19"/>
      <c r="H535" s="19"/>
      <c r="I535" s="19"/>
      <c r="J535" s="19"/>
      <c r="K535" s="19"/>
      <c r="L535" s="19"/>
      <c r="M535" s="19">
        <v>605</v>
      </c>
    </row>
    <row r="536" spans="1:13" s="20" customFormat="1" x14ac:dyDescent="0.25">
      <c r="A536" s="21" t="s">
        <v>336</v>
      </c>
      <c r="B536" s="19"/>
      <c r="C536" s="19"/>
      <c r="D536" s="19"/>
      <c r="E536" s="19"/>
      <c r="F536" s="19"/>
      <c r="G536" s="19">
        <v>2698.3</v>
      </c>
      <c r="H536" s="19"/>
      <c r="I536" s="19"/>
      <c r="J536" s="19"/>
      <c r="K536" s="19"/>
      <c r="L536" s="19"/>
      <c r="M536" s="19">
        <v>2698.3</v>
      </c>
    </row>
    <row r="537" spans="1:13" s="20" customFormat="1" x14ac:dyDescent="0.25">
      <c r="A537" s="21" t="s">
        <v>474</v>
      </c>
      <c r="B537" s="19"/>
      <c r="C537" s="19"/>
      <c r="D537" s="19">
        <v>665.5</v>
      </c>
      <c r="E537" s="19"/>
      <c r="F537" s="19"/>
      <c r="G537" s="19"/>
      <c r="H537" s="19"/>
      <c r="I537" s="19"/>
      <c r="J537" s="19"/>
      <c r="K537" s="19"/>
      <c r="L537" s="19"/>
      <c r="M537" s="19">
        <v>665.5</v>
      </c>
    </row>
    <row r="538" spans="1:13" s="20" customFormat="1" x14ac:dyDescent="0.25">
      <c r="A538" s="21" t="s">
        <v>4579</v>
      </c>
      <c r="B538" s="19"/>
      <c r="C538" s="19">
        <v>1635.92</v>
      </c>
      <c r="D538" s="19"/>
      <c r="E538" s="19"/>
      <c r="F538" s="19"/>
      <c r="G538" s="19"/>
      <c r="H538" s="19"/>
      <c r="I538" s="19"/>
      <c r="J538" s="19"/>
      <c r="K538" s="19"/>
      <c r="L538" s="19"/>
      <c r="M538" s="19">
        <v>1635.92</v>
      </c>
    </row>
    <row r="539" spans="1:13" s="20" customFormat="1" x14ac:dyDescent="0.25">
      <c r="A539" s="21" t="s">
        <v>2828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7.56</v>
      </c>
      <c r="M539" s="19">
        <v>7.56</v>
      </c>
    </row>
    <row r="540" spans="1:13" s="20" customFormat="1" x14ac:dyDescent="0.25">
      <c r="A540" s="21" t="s">
        <v>56</v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>
        <v>5000</v>
      </c>
      <c r="M540" s="19">
        <v>5000</v>
      </c>
    </row>
    <row r="541" spans="1:13" s="20" customFormat="1" x14ac:dyDescent="0.25">
      <c r="A541" s="21" t="s">
        <v>2831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>
        <v>500</v>
      </c>
      <c r="M541" s="19">
        <v>500</v>
      </c>
    </row>
    <row r="542" spans="1:13" s="20" customFormat="1" x14ac:dyDescent="0.25">
      <c r="A542" s="21" t="s">
        <v>2836</v>
      </c>
      <c r="B542" s="19">
        <v>1185.8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>
        <v>1185.8</v>
      </c>
    </row>
    <row r="543" spans="1:13" s="20" customFormat="1" x14ac:dyDescent="0.25">
      <c r="A543" s="21" t="s">
        <v>49</v>
      </c>
      <c r="B543" s="19"/>
      <c r="C543" s="19"/>
      <c r="D543" s="19"/>
      <c r="E543" s="19"/>
      <c r="F543" s="19">
        <v>1512.5</v>
      </c>
      <c r="G543" s="19"/>
      <c r="H543" s="19"/>
      <c r="I543" s="19"/>
      <c r="J543" s="19"/>
      <c r="K543" s="19"/>
      <c r="L543" s="19"/>
      <c r="M543" s="19">
        <v>1512.5</v>
      </c>
    </row>
    <row r="544" spans="1:13" s="20" customFormat="1" x14ac:dyDescent="0.25">
      <c r="A544" s="21" t="s">
        <v>5228</v>
      </c>
      <c r="B544" s="19"/>
      <c r="C544" s="19"/>
      <c r="D544" s="19"/>
      <c r="E544" s="19"/>
      <c r="F544" s="19"/>
      <c r="G544" s="19">
        <v>1122</v>
      </c>
      <c r="H544" s="19"/>
      <c r="I544" s="19"/>
      <c r="J544" s="19"/>
      <c r="K544" s="19"/>
      <c r="L544" s="19"/>
      <c r="M544" s="19">
        <v>1122</v>
      </c>
    </row>
    <row r="545" spans="1:13" s="20" customFormat="1" x14ac:dyDescent="0.25">
      <c r="A545" s="21" t="s">
        <v>3683</v>
      </c>
      <c r="B545" s="19"/>
      <c r="C545" s="19"/>
      <c r="D545" s="19"/>
      <c r="E545" s="19"/>
      <c r="F545" s="19">
        <v>15700</v>
      </c>
      <c r="G545" s="19"/>
      <c r="H545" s="19"/>
      <c r="I545" s="19"/>
      <c r="J545" s="19"/>
      <c r="K545" s="19"/>
      <c r="L545" s="19"/>
      <c r="M545" s="19">
        <v>15700</v>
      </c>
    </row>
    <row r="546" spans="1:13" s="20" customFormat="1" x14ac:dyDescent="0.25">
      <c r="A546" s="21" t="s">
        <v>5463</v>
      </c>
      <c r="B546" s="19">
        <v>64.13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>
        <v>64.13</v>
      </c>
    </row>
    <row r="547" spans="1:13" s="20" customFormat="1" x14ac:dyDescent="0.25">
      <c r="A547" s="21" t="s">
        <v>4583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>
        <v>1080</v>
      </c>
      <c r="L547" s="19"/>
      <c r="M547" s="19">
        <v>1080</v>
      </c>
    </row>
    <row r="548" spans="1:13" s="20" customFormat="1" x14ac:dyDescent="0.25">
      <c r="A548" s="21" t="s">
        <v>3774</v>
      </c>
      <c r="B548" s="19"/>
      <c r="C548" s="19"/>
      <c r="D548" s="19"/>
      <c r="E548" s="19"/>
      <c r="F548" s="19"/>
      <c r="G548" s="19">
        <v>47872.44</v>
      </c>
      <c r="H548" s="19"/>
      <c r="I548" s="19"/>
      <c r="J548" s="19"/>
      <c r="K548" s="19"/>
      <c r="L548" s="19"/>
      <c r="M548" s="19">
        <v>47872.44</v>
      </c>
    </row>
    <row r="549" spans="1:13" s="20" customFormat="1" x14ac:dyDescent="0.25">
      <c r="A549" s="21" t="s">
        <v>5138</v>
      </c>
      <c r="B549" s="19"/>
      <c r="C549" s="19">
        <v>2480.5</v>
      </c>
      <c r="D549" s="19"/>
      <c r="E549" s="19"/>
      <c r="F549" s="19"/>
      <c r="G549" s="19"/>
      <c r="H549" s="19"/>
      <c r="I549" s="19"/>
      <c r="J549" s="19"/>
      <c r="K549" s="19"/>
      <c r="L549" s="19"/>
      <c r="M549" s="19">
        <v>2480.5</v>
      </c>
    </row>
    <row r="550" spans="1:13" s="20" customFormat="1" x14ac:dyDescent="0.25">
      <c r="A550" s="21" t="s">
        <v>5383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>
        <v>1149.5</v>
      </c>
      <c r="L550" s="19"/>
      <c r="M550" s="19">
        <v>1149.5</v>
      </c>
    </row>
    <row r="551" spans="1:13" s="20" customFormat="1" x14ac:dyDescent="0.25">
      <c r="A551" s="21" t="s">
        <v>2844</v>
      </c>
      <c r="B551" s="19"/>
      <c r="C551" s="19"/>
      <c r="D551" s="19"/>
      <c r="E551" s="19"/>
      <c r="F551" s="19">
        <v>6759.42</v>
      </c>
      <c r="G551" s="19"/>
      <c r="H551" s="19"/>
      <c r="I551" s="19"/>
      <c r="J551" s="19"/>
      <c r="K551" s="19"/>
      <c r="L551" s="19"/>
      <c r="M551" s="19">
        <v>6759.42</v>
      </c>
    </row>
    <row r="552" spans="1:13" s="20" customFormat="1" x14ac:dyDescent="0.25">
      <c r="A552" s="21" t="s">
        <v>1650</v>
      </c>
      <c r="B552" s="19"/>
      <c r="C552" s="19"/>
      <c r="D552" s="19">
        <v>1265</v>
      </c>
      <c r="E552" s="19"/>
      <c r="F552" s="19"/>
      <c r="G552" s="19"/>
      <c r="H552" s="19"/>
      <c r="I552" s="19"/>
      <c r="J552" s="19"/>
      <c r="K552" s="19"/>
      <c r="L552" s="19"/>
      <c r="M552" s="19">
        <v>1265</v>
      </c>
    </row>
    <row r="553" spans="1:13" s="20" customFormat="1" x14ac:dyDescent="0.25">
      <c r="A553" s="21" t="s">
        <v>425</v>
      </c>
      <c r="B553" s="19"/>
      <c r="C553" s="19"/>
      <c r="D553" s="19"/>
      <c r="E553" s="19"/>
      <c r="F553" s="19"/>
      <c r="G553" s="19">
        <v>462.71</v>
      </c>
      <c r="H553" s="19"/>
      <c r="I553" s="19"/>
      <c r="J553" s="19"/>
      <c r="K553" s="19"/>
      <c r="L553" s="19"/>
      <c r="M553" s="19">
        <v>462.71</v>
      </c>
    </row>
    <row r="554" spans="1:13" s="20" customFormat="1" x14ac:dyDescent="0.25">
      <c r="A554" s="21" t="s">
        <v>2848</v>
      </c>
      <c r="B554" s="19"/>
      <c r="C554" s="19"/>
      <c r="D554" s="19"/>
      <c r="E554" s="19"/>
      <c r="F554" s="19"/>
      <c r="G554" s="19">
        <v>1497.13</v>
      </c>
      <c r="H554" s="19"/>
      <c r="I554" s="19"/>
      <c r="J554" s="19"/>
      <c r="K554" s="19"/>
      <c r="L554" s="19"/>
      <c r="M554" s="19">
        <v>1497.13</v>
      </c>
    </row>
    <row r="555" spans="1:13" s="20" customFormat="1" x14ac:dyDescent="0.25">
      <c r="A555" s="21" t="s">
        <v>437</v>
      </c>
      <c r="B555" s="19">
        <v>2773.32</v>
      </c>
      <c r="C555" s="19"/>
      <c r="D555" s="19">
        <v>399.91</v>
      </c>
      <c r="E555" s="19">
        <v>2500</v>
      </c>
      <c r="F555" s="19"/>
      <c r="G555" s="19">
        <v>798</v>
      </c>
      <c r="H555" s="19"/>
      <c r="I555" s="19"/>
      <c r="J555" s="19"/>
      <c r="K555" s="19">
        <v>102.85</v>
      </c>
      <c r="L555" s="19"/>
      <c r="M555" s="19">
        <v>6574.08</v>
      </c>
    </row>
    <row r="556" spans="1:13" s="20" customFormat="1" x14ac:dyDescent="0.25">
      <c r="A556" s="21" t="s">
        <v>4595</v>
      </c>
      <c r="B556" s="19">
        <v>1247.5</v>
      </c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>
        <v>1247.5</v>
      </c>
    </row>
    <row r="557" spans="1:13" s="20" customFormat="1" x14ac:dyDescent="0.25">
      <c r="A557" s="21" t="s">
        <v>5391</v>
      </c>
      <c r="B557" s="19"/>
      <c r="C557" s="19"/>
      <c r="D557" s="19"/>
      <c r="E557" s="19"/>
      <c r="F557" s="19"/>
      <c r="G557" s="19"/>
      <c r="H557" s="19">
        <v>11434.5</v>
      </c>
      <c r="I557" s="19"/>
      <c r="J557" s="19"/>
      <c r="K557" s="19"/>
      <c r="L557" s="19"/>
      <c r="M557" s="19">
        <v>11434.5</v>
      </c>
    </row>
    <row r="558" spans="1:13" s="20" customFormat="1" x14ac:dyDescent="0.25">
      <c r="A558" s="21" t="s">
        <v>4597</v>
      </c>
      <c r="B558" s="19"/>
      <c r="C558" s="19">
        <v>6050</v>
      </c>
      <c r="D558" s="19"/>
      <c r="E558" s="19"/>
      <c r="F558" s="19"/>
      <c r="G558" s="19"/>
      <c r="H558" s="19"/>
      <c r="I558" s="19"/>
      <c r="J558" s="19"/>
      <c r="K558" s="19"/>
      <c r="L558" s="19"/>
      <c r="M558" s="19">
        <v>6050</v>
      </c>
    </row>
    <row r="559" spans="1:13" s="20" customFormat="1" x14ac:dyDescent="0.25">
      <c r="A559" s="21" t="s">
        <v>2141</v>
      </c>
      <c r="B559" s="19"/>
      <c r="C559" s="19"/>
      <c r="D559" s="19"/>
      <c r="E559" s="19"/>
      <c r="F559" s="19">
        <v>12408.55</v>
      </c>
      <c r="G559" s="19"/>
      <c r="H559" s="19"/>
      <c r="I559" s="19"/>
      <c r="J559" s="19"/>
      <c r="K559" s="19"/>
      <c r="L559" s="19"/>
      <c r="M559" s="19">
        <v>12408.55</v>
      </c>
    </row>
    <row r="560" spans="1:13" s="20" customFormat="1" x14ac:dyDescent="0.25">
      <c r="A560" s="21" t="s">
        <v>5306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>
        <v>758.7</v>
      </c>
      <c r="L560" s="19"/>
      <c r="M560" s="19">
        <v>758.7</v>
      </c>
    </row>
    <row r="561" spans="1:13" s="20" customFormat="1" x14ac:dyDescent="0.25">
      <c r="A561" s="21" t="s">
        <v>4600</v>
      </c>
      <c r="B561" s="19"/>
      <c r="C561" s="19"/>
      <c r="D561" s="19"/>
      <c r="E561" s="19"/>
      <c r="F561" s="19"/>
      <c r="G561" s="19"/>
      <c r="H561" s="19"/>
      <c r="I561" s="19"/>
      <c r="J561" s="19">
        <v>4235</v>
      </c>
      <c r="K561" s="19"/>
      <c r="L561" s="19"/>
      <c r="M561" s="19">
        <v>4235</v>
      </c>
    </row>
    <row r="562" spans="1:13" s="20" customFormat="1" x14ac:dyDescent="0.25">
      <c r="A562" s="21" t="s">
        <v>100</v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>
        <v>1860</v>
      </c>
      <c r="L562" s="19"/>
      <c r="M562" s="19">
        <v>1860</v>
      </c>
    </row>
    <row r="563" spans="1:13" s="20" customFormat="1" x14ac:dyDescent="0.25">
      <c r="A563" s="21" t="s">
        <v>2900</v>
      </c>
      <c r="B563" s="19"/>
      <c r="C563" s="19"/>
      <c r="D563" s="19"/>
      <c r="E563" s="19"/>
      <c r="F563" s="19"/>
      <c r="G563" s="19"/>
      <c r="H563" s="19"/>
      <c r="I563" s="19"/>
      <c r="J563" s="19">
        <v>968.06</v>
      </c>
      <c r="K563" s="19"/>
      <c r="L563" s="19"/>
      <c r="M563" s="19">
        <v>968.06</v>
      </c>
    </row>
    <row r="564" spans="1:13" s="20" customFormat="1" x14ac:dyDescent="0.25">
      <c r="A564" s="21" t="s">
        <v>2904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>
        <v>3668.12</v>
      </c>
      <c r="M564" s="19">
        <v>3668.12</v>
      </c>
    </row>
    <row r="565" spans="1:13" s="20" customFormat="1" x14ac:dyDescent="0.25">
      <c r="A565" s="21" t="s">
        <v>4602</v>
      </c>
      <c r="B565" s="19"/>
      <c r="C565" s="19"/>
      <c r="D565" s="19"/>
      <c r="E565" s="19"/>
      <c r="F565" s="19"/>
      <c r="G565" s="19"/>
      <c r="H565" s="19">
        <v>1207.3399999999999</v>
      </c>
      <c r="I565" s="19"/>
      <c r="J565" s="19"/>
      <c r="K565" s="19"/>
      <c r="L565" s="19"/>
      <c r="M565" s="19">
        <v>1207.3399999999999</v>
      </c>
    </row>
    <row r="566" spans="1:13" s="20" customFormat="1" x14ac:dyDescent="0.25">
      <c r="A566" s="21" t="s">
        <v>4023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>
        <v>11396</v>
      </c>
      <c r="L566" s="19"/>
      <c r="M566" s="19">
        <v>11396</v>
      </c>
    </row>
    <row r="567" spans="1:13" s="20" customFormat="1" x14ac:dyDescent="0.25">
      <c r="A567" s="21" t="s">
        <v>4653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350</v>
      </c>
      <c r="L567" s="19"/>
      <c r="M567" s="19">
        <v>350</v>
      </c>
    </row>
    <row r="568" spans="1:13" s="20" customFormat="1" x14ac:dyDescent="0.25">
      <c r="A568" s="21" t="s">
        <v>429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>
        <v>5617.79</v>
      </c>
      <c r="M568" s="19">
        <v>5617.79</v>
      </c>
    </row>
    <row r="569" spans="1:13" s="20" customFormat="1" x14ac:dyDescent="0.25">
      <c r="A569" s="21" t="s">
        <v>5136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>
        <v>2500</v>
      </c>
      <c r="M569" s="19">
        <v>2500</v>
      </c>
    </row>
    <row r="570" spans="1:13" s="20" customFormat="1" x14ac:dyDescent="0.25">
      <c r="A570" s="21" t="s">
        <v>2914</v>
      </c>
      <c r="B570" s="19">
        <v>3545.3</v>
      </c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>
        <v>3545.3</v>
      </c>
    </row>
    <row r="571" spans="1:13" s="20" customFormat="1" x14ac:dyDescent="0.25">
      <c r="A571" s="21" t="s">
        <v>4685</v>
      </c>
      <c r="B571" s="19"/>
      <c r="C571" s="19"/>
      <c r="D571" s="19"/>
      <c r="E571" s="19"/>
      <c r="F571" s="19">
        <v>759</v>
      </c>
      <c r="G571" s="19"/>
      <c r="H571" s="19"/>
      <c r="I571" s="19"/>
      <c r="J571" s="19"/>
      <c r="K571" s="19"/>
      <c r="L571" s="19"/>
      <c r="M571" s="19">
        <v>759</v>
      </c>
    </row>
    <row r="572" spans="1:13" s="20" customFormat="1" x14ac:dyDescent="0.25">
      <c r="A572" s="21" t="s">
        <v>2916</v>
      </c>
      <c r="B572" s="19"/>
      <c r="C572" s="19"/>
      <c r="D572" s="19"/>
      <c r="E572" s="19"/>
      <c r="F572" s="19"/>
      <c r="G572" s="19">
        <v>300</v>
      </c>
      <c r="H572" s="19"/>
      <c r="I572" s="19"/>
      <c r="J572" s="19"/>
      <c r="K572" s="19"/>
      <c r="L572" s="19"/>
      <c r="M572" s="19">
        <v>300</v>
      </c>
    </row>
    <row r="573" spans="1:13" s="20" customFormat="1" x14ac:dyDescent="0.25">
      <c r="A573" s="21" t="s">
        <v>2919</v>
      </c>
      <c r="B573" s="19"/>
      <c r="C573" s="19"/>
      <c r="D573" s="19"/>
      <c r="E573" s="19"/>
      <c r="F573" s="19"/>
      <c r="G573" s="19">
        <v>2199.1799999999998</v>
      </c>
      <c r="H573" s="19"/>
      <c r="I573" s="19"/>
      <c r="J573" s="19"/>
      <c r="K573" s="19"/>
      <c r="L573" s="19"/>
      <c r="M573" s="19">
        <v>2199.1799999999998</v>
      </c>
    </row>
    <row r="574" spans="1:13" s="20" customFormat="1" x14ac:dyDescent="0.25">
      <c r="A574" s="21" t="s">
        <v>2922</v>
      </c>
      <c r="B574" s="19"/>
      <c r="C574" s="19"/>
      <c r="D574" s="19"/>
      <c r="E574" s="19"/>
      <c r="F574" s="19">
        <v>332.75</v>
      </c>
      <c r="G574" s="19"/>
      <c r="H574" s="19"/>
      <c r="I574" s="19"/>
      <c r="J574" s="19"/>
      <c r="K574" s="19"/>
      <c r="L574" s="19"/>
      <c r="M574" s="19">
        <v>332.75</v>
      </c>
    </row>
    <row r="575" spans="1:13" s="20" customFormat="1" x14ac:dyDescent="0.25">
      <c r="A575" s="21" t="s">
        <v>5023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14520</v>
      </c>
      <c r="M575" s="19">
        <v>14520</v>
      </c>
    </row>
    <row r="576" spans="1:13" s="20" customFormat="1" x14ac:dyDescent="0.25">
      <c r="A576" s="21" t="s">
        <v>2924</v>
      </c>
      <c r="B576" s="19">
        <v>611.04999999999995</v>
      </c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>
        <v>611.04999999999995</v>
      </c>
    </row>
    <row r="577" spans="1:13" s="20" customFormat="1" x14ac:dyDescent="0.25">
      <c r="A577" s="21" t="s">
        <v>484</v>
      </c>
      <c r="B577" s="19"/>
      <c r="C577" s="19"/>
      <c r="D577" s="19">
        <v>550</v>
      </c>
      <c r="E577" s="19"/>
      <c r="F577" s="19"/>
      <c r="G577" s="19"/>
      <c r="H577" s="19"/>
      <c r="I577" s="19"/>
      <c r="J577" s="19"/>
      <c r="K577" s="19"/>
      <c r="L577" s="19"/>
      <c r="M577" s="19">
        <v>550</v>
      </c>
    </row>
    <row r="578" spans="1:13" s="20" customFormat="1" x14ac:dyDescent="0.25">
      <c r="A578" s="21" t="s">
        <v>2927</v>
      </c>
      <c r="B578" s="19"/>
      <c r="C578" s="19"/>
      <c r="D578" s="19"/>
      <c r="E578" s="19"/>
      <c r="F578" s="19"/>
      <c r="G578" s="19"/>
      <c r="H578" s="19"/>
      <c r="I578" s="19"/>
      <c r="J578" s="19">
        <v>3025</v>
      </c>
      <c r="K578" s="19"/>
      <c r="L578" s="19"/>
      <c r="M578" s="19">
        <v>3025</v>
      </c>
    </row>
    <row r="579" spans="1:13" s="20" customFormat="1" x14ac:dyDescent="0.25">
      <c r="A579" s="21" t="s">
        <v>430</v>
      </c>
      <c r="B579" s="19"/>
      <c r="C579" s="19"/>
      <c r="D579" s="19"/>
      <c r="E579" s="19"/>
      <c r="F579" s="19">
        <v>1694</v>
      </c>
      <c r="G579" s="19"/>
      <c r="H579" s="19"/>
      <c r="I579" s="19"/>
      <c r="J579" s="19"/>
      <c r="K579" s="19"/>
      <c r="L579" s="19"/>
      <c r="M579" s="19">
        <v>1694</v>
      </c>
    </row>
    <row r="580" spans="1:13" s="20" customFormat="1" x14ac:dyDescent="0.25">
      <c r="A580" s="21" t="s">
        <v>431</v>
      </c>
      <c r="B580" s="19"/>
      <c r="C580" s="19"/>
      <c r="D580" s="19"/>
      <c r="E580" s="19"/>
      <c r="F580" s="19"/>
      <c r="G580" s="19">
        <v>6217.13</v>
      </c>
      <c r="H580" s="19"/>
      <c r="I580" s="19"/>
      <c r="J580" s="19"/>
      <c r="K580" s="19"/>
      <c r="L580" s="19"/>
      <c r="M580" s="19">
        <v>6217.13</v>
      </c>
    </row>
    <row r="581" spans="1:13" s="20" customFormat="1" x14ac:dyDescent="0.25">
      <c r="A581" s="21" t="s">
        <v>333</v>
      </c>
      <c r="B581" s="19"/>
      <c r="C581" s="19"/>
      <c r="D581" s="19"/>
      <c r="E581" s="19"/>
      <c r="F581" s="19"/>
      <c r="G581" s="19"/>
      <c r="H581" s="19"/>
      <c r="I581" s="19">
        <v>4950</v>
      </c>
      <c r="J581" s="19"/>
      <c r="K581" s="19"/>
      <c r="L581" s="19">
        <v>5000</v>
      </c>
      <c r="M581" s="19">
        <v>9950</v>
      </c>
    </row>
    <row r="582" spans="1:13" s="20" customFormat="1" x14ac:dyDescent="0.25">
      <c r="A582" s="21" t="s">
        <v>5402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>
        <v>181.5</v>
      </c>
      <c r="M582" s="19">
        <v>181.5</v>
      </c>
    </row>
    <row r="583" spans="1:13" s="20" customFormat="1" x14ac:dyDescent="0.25">
      <c r="A583" s="21" t="s">
        <v>481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>
        <v>429.55</v>
      </c>
      <c r="L583" s="19"/>
      <c r="M583" s="19">
        <v>429.55</v>
      </c>
    </row>
    <row r="584" spans="1:13" s="20" customFormat="1" ht="25.5" x14ac:dyDescent="0.25">
      <c r="A584" s="21" t="s">
        <v>461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>
        <v>35175.519999999997</v>
      </c>
      <c r="M584" s="19">
        <v>35175.519999999997</v>
      </c>
    </row>
    <row r="585" spans="1:13" s="20" customFormat="1" x14ac:dyDescent="0.25">
      <c r="A585" s="21" t="s">
        <v>405</v>
      </c>
      <c r="B585" s="19">
        <v>912</v>
      </c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>
        <v>912</v>
      </c>
    </row>
    <row r="586" spans="1:13" s="20" customFormat="1" x14ac:dyDescent="0.25">
      <c r="A586" s="21" t="s">
        <v>52</v>
      </c>
      <c r="B586" s="19"/>
      <c r="C586" s="19"/>
      <c r="D586" s="19"/>
      <c r="E586" s="19"/>
      <c r="F586" s="19">
        <v>53.52</v>
      </c>
      <c r="G586" s="19"/>
      <c r="H586" s="19"/>
      <c r="I586" s="19"/>
      <c r="J586" s="19"/>
      <c r="K586" s="19"/>
      <c r="L586" s="19">
        <v>428.04</v>
      </c>
      <c r="M586" s="19">
        <v>481.56</v>
      </c>
    </row>
    <row r="587" spans="1:13" s="20" customFormat="1" x14ac:dyDescent="0.25">
      <c r="A587" s="21" t="s">
        <v>411</v>
      </c>
      <c r="B587" s="19"/>
      <c r="C587" s="19">
        <v>847</v>
      </c>
      <c r="D587" s="19"/>
      <c r="E587" s="19"/>
      <c r="F587" s="19"/>
      <c r="G587" s="19"/>
      <c r="H587" s="19"/>
      <c r="I587" s="19"/>
      <c r="J587" s="19"/>
      <c r="K587" s="19">
        <v>4235</v>
      </c>
      <c r="L587" s="19"/>
      <c r="M587" s="19">
        <v>5082</v>
      </c>
    </row>
    <row r="588" spans="1:13" s="20" customFormat="1" x14ac:dyDescent="0.25">
      <c r="A588" s="21" t="s">
        <v>401</v>
      </c>
      <c r="B588" s="19">
        <v>305.76</v>
      </c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>
        <v>305.76</v>
      </c>
    </row>
    <row r="589" spans="1:13" s="20" customFormat="1" x14ac:dyDescent="0.25">
      <c r="A589" s="21" t="s">
        <v>454</v>
      </c>
      <c r="B589" s="19"/>
      <c r="C589" s="19"/>
      <c r="D589" s="19"/>
      <c r="E589" s="19"/>
      <c r="F589" s="19"/>
      <c r="G589" s="19">
        <v>175</v>
      </c>
      <c r="H589" s="19"/>
      <c r="I589" s="19"/>
      <c r="J589" s="19"/>
      <c r="K589" s="19"/>
      <c r="L589" s="19"/>
      <c r="M589" s="19">
        <v>175</v>
      </c>
    </row>
    <row r="590" spans="1:13" s="20" customFormat="1" x14ac:dyDescent="0.25">
      <c r="A590" s="21" t="s">
        <v>3005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105.27</v>
      </c>
      <c r="M590" s="19">
        <v>105.27</v>
      </c>
    </row>
    <row r="591" spans="1:13" s="20" customFormat="1" x14ac:dyDescent="0.25">
      <c r="A591" s="21" t="s">
        <v>3007</v>
      </c>
      <c r="B591" s="19"/>
      <c r="C591" s="19"/>
      <c r="D591" s="19"/>
      <c r="E591" s="19"/>
      <c r="F591" s="19"/>
      <c r="G591" s="19">
        <v>3267</v>
      </c>
      <c r="H591" s="19"/>
      <c r="I591" s="19"/>
      <c r="J591" s="19"/>
      <c r="K591" s="19"/>
      <c r="L591" s="19"/>
      <c r="M591" s="19">
        <v>3267</v>
      </c>
    </row>
    <row r="592" spans="1:13" s="20" customFormat="1" x14ac:dyDescent="0.25">
      <c r="A592" s="21" t="s">
        <v>3010</v>
      </c>
      <c r="B592" s="19"/>
      <c r="C592" s="19"/>
      <c r="D592" s="19"/>
      <c r="E592" s="19"/>
      <c r="F592" s="19"/>
      <c r="G592" s="19"/>
      <c r="H592" s="19"/>
      <c r="I592" s="19"/>
      <c r="J592" s="19">
        <v>260.14999999999998</v>
      </c>
      <c r="K592" s="19"/>
      <c r="L592" s="19"/>
      <c r="M592" s="19">
        <v>260.14999999999998</v>
      </c>
    </row>
    <row r="593" spans="1:13" s="20" customFormat="1" x14ac:dyDescent="0.25">
      <c r="A593" s="21" t="s">
        <v>62</v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>
        <v>6226.25</v>
      </c>
      <c r="M593" s="19">
        <v>6226.25</v>
      </c>
    </row>
    <row r="594" spans="1:13" s="20" customFormat="1" x14ac:dyDescent="0.25">
      <c r="A594" s="21" t="s">
        <v>3027</v>
      </c>
      <c r="B594" s="19"/>
      <c r="C594" s="19"/>
      <c r="D594" s="19"/>
      <c r="E594" s="19"/>
      <c r="F594" s="19"/>
      <c r="G594" s="19">
        <v>300</v>
      </c>
      <c r="H594" s="19"/>
      <c r="I594" s="19"/>
      <c r="J594" s="19"/>
      <c r="K594" s="19"/>
      <c r="L594" s="19"/>
      <c r="M594" s="19">
        <v>300</v>
      </c>
    </row>
    <row r="595" spans="1:13" s="20" customFormat="1" x14ac:dyDescent="0.25">
      <c r="A595" s="21" t="s">
        <v>5333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490.05</v>
      </c>
      <c r="L595" s="19"/>
      <c r="M595" s="19">
        <v>490.05</v>
      </c>
    </row>
    <row r="596" spans="1:13" s="20" customFormat="1" x14ac:dyDescent="0.25">
      <c r="A596" s="21" t="s">
        <v>3030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>
        <v>323.98</v>
      </c>
      <c r="M596" s="19">
        <v>323.98</v>
      </c>
    </row>
    <row r="597" spans="1:13" s="20" customFormat="1" x14ac:dyDescent="0.25">
      <c r="A597" s="21" t="s">
        <v>3032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>
        <v>562.83000000000004</v>
      </c>
      <c r="M597" s="19">
        <v>562.83000000000004</v>
      </c>
    </row>
    <row r="598" spans="1:13" s="20" customFormat="1" x14ac:dyDescent="0.25">
      <c r="A598" s="21" t="s">
        <v>452</v>
      </c>
      <c r="B598" s="19"/>
      <c r="C598" s="19">
        <v>1452</v>
      </c>
      <c r="D598" s="19">
        <v>5723.3</v>
      </c>
      <c r="E598" s="19"/>
      <c r="F598" s="19">
        <v>8482.1</v>
      </c>
      <c r="G598" s="19"/>
      <c r="H598" s="19"/>
      <c r="I598" s="19"/>
      <c r="J598" s="19"/>
      <c r="K598" s="19"/>
      <c r="L598" s="19"/>
      <c r="M598" s="19">
        <v>15657.400000000001</v>
      </c>
    </row>
    <row r="599" spans="1:13" s="20" customFormat="1" x14ac:dyDescent="0.25">
      <c r="A599" s="21" t="s">
        <v>34</v>
      </c>
      <c r="B599" s="19">
        <v>2142.91</v>
      </c>
      <c r="C599" s="19"/>
      <c r="D599" s="19"/>
      <c r="E599" s="19"/>
      <c r="F599" s="19"/>
      <c r="G599" s="19">
        <v>1100</v>
      </c>
      <c r="H599" s="19"/>
      <c r="I599" s="19"/>
      <c r="J599" s="19"/>
      <c r="K599" s="19"/>
      <c r="L599" s="19"/>
      <c r="M599" s="19">
        <v>3242.91</v>
      </c>
    </row>
    <row r="600" spans="1:13" s="20" customFormat="1" x14ac:dyDescent="0.25">
      <c r="A600" s="21" t="s">
        <v>3071</v>
      </c>
      <c r="B600" s="19"/>
      <c r="C600" s="19"/>
      <c r="D600" s="19">
        <v>1354.72</v>
      </c>
      <c r="E600" s="19"/>
      <c r="F600" s="19"/>
      <c r="G600" s="19">
        <v>399.3</v>
      </c>
      <c r="H600" s="19"/>
      <c r="I600" s="19"/>
      <c r="J600" s="19"/>
      <c r="K600" s="19"/>
      <c r="L600" s="19">
        <v>353.93</v>
      </c>
      <c r="M600" s="19">
        <v>2107.9499999999998</v>
      </c>
    </row>
    <row r="601" spans="1:13" s="20" customFormat="1" x14ac:dyDescent="0.25">
      <c r="A601" s="21" t="s">
        <v>41</v>
      </c>
      <c r="B601" s="19">
        <v>7210.39</v>
      </c>
      <c r="C601" s="19">
        <v>763.51</v>
      </c>
      <c r="D601" s="19">
        <v>1194.27</v>
      </c>
      <c r="E601" s="19"/>
      <c r="F601" s="19"/>
      <c r="G601" s="19">
        <v>2000</v>
      </c>
      <c r="H601" s="19"/>
      <c r="I601" s="19"/>
      <c r="J601" s="19">
        <v>302.5</v>
      </c>
      <c r="K601" s="19">
        <v>2997.04</v>
      </c>
      <c r="L601" s="19">
        <v>3182.79</v>
      </c>
      <c r="M601" s="19">
        <v>17650.5</v>
      </c>
    </row>
    <row r="602" spans="1:13" s="20" customFormat="1" ht="25.5" x14ac:dyDescent="0.25">
      <c r="A602" s="21" t="s">
        <v>3083</v>
      </c>
      <c r="B602" s="19"/>
      <c r="C602" s="19"/>
      <c r="D602" s="19">
        <v>665.5</v>
      </c>
      <c r="E602" s="19"/>
      <c r="F602" s="19"/>
      <c r="G602" s="19"/>
      <c r="H602" s="19"/>
      <c r="I602" s="19"/>
      <c r="J602" s="19"/>
      <c r="K602" s="19"/>
      <c r="L602" s="19"/>
      <c r="M602" s="19">
        <v>665.5</v>
      </c>
    </row>
    <row r="603" spans="1:13" s="20" customFormat="1" x14ac:dyDescent="0.25">
      <c r="A603" s="21" t="s">
        <v>404</v>
      </c>
      <c r="B603" s="19"/>
      <c r="C603" s="19"/>
      <c r="D603" s="19"/>
      <c r="E603" s="19"/>
      <c r="F603" s="19"/>
      <c r="G603" s="19">
        <v>626.36</v>
      </c>
      <c r="H603" s="19"/>
      <c r="I603" s="19"/>
      <c r="J603" s="19"/>
      <c r="K603" s="19"/>
      <c r="L603" s="19"/>
      <c r="M603" s="19">
        <v>626.36</v>
      </c>
    </row>
    <row r="604" spans="1:13" s="20" customFormat="1" x14ac:dyDescent="0.25">
      <c r="A604" s="21" t="s">
        <v>38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>
        <v>1720</v>
      </c>
      <c r="M604" s="19">
        <v>1720</v>
      </c>
    </row>
    <row r="605" spans="1:13" s="20" customFormat="1" x14ac:dyDescent="0.25">
      <c r="A605" s="21" t="s">
        <v>3089</v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>
        <v>6050</v>
      </c>
      <c r="L605" s="19"/>
      <c r="M605" s="19">
        <v>6050</v>
      </c>
    </row>
    <row r="606" spans="1:13" s="20" customFormat="1" x14ac:dyDescent="0.25">
      <c r="A606" s="21" t="s">
        <v>760</v>
      </c>
      <c r="B606" s="19"/>
      <c r="C606" s="19"/>
      <c r="D606" s="19"/>
      <c r="E606" s="19"/>
      <c r="F606" s="19"/>
      <c r="G606" s="19">
        <v>578.79999999999995</v>
      </c>
      <c r="H606" s="19"/>
      <c r="I606" s="19"/>
      <c r="J606" s="19"/>
      <c r="K606" s="19">
        <v>363</v>
      </c>
      <c r="L606" s="19"/>
      <c r="M606" s="19">
        <v>941.8</v>
      </c>
    </row>
    <row r="607" spans="1:13" s="20" customFormat="1" x14ac:dyDescent="0.25">
      <c r="A607" s="21" t="s">
        <v>2240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>
        <v>45189.81</v>
      </c>
      <c r="M607" s="19">
        <v>45189.81</v>
      </c>
    </row>
    <row r="608" spans="1:13" s="20" customFormat="1" x14ac:dyDescent="0.25">
      <c r="A608" s="21" t="s">
        <v>496</v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>
        <v>6110.5</v>
      </c>
      <c r="M608" s="19">
        <v>6110.5</v>
      </c>
    </row>
    <row r="609" spans="1:13" s="20" customFormat="1" x14ac:dyDescent="0.25">
      <c r="A609" s="21" t="s">
        <v>3102</v>
      </c>
      <c r="B609" s="19"/>
      <c r="C609" s="19"/>
      <c r="D609" s="19"/>
      <c r="E609" s="19"/>
      <c r="F609" s="19">
        <v>1210</v>
      </c>
      <c r="G609" s="19">
        <v>935</v>
      </c>
      <c r="H609" s="19"/>
      <c r="I609" s="19"/>
      <c r="J609" s="19"/>
      <c r="K609" s="19"/>
      <c r="L609" s="19"/>
      <c r="M609" s="19">
        <v>2145</v>
      </c>
    </row>
    <row r="610" spans="1:13" s="20" customFormat="1" x14ac:dyDescent="0.25">
      <c r="A610" s="21" t="s">
        <v>482</v>
      </c>
      <c r="B610" s="19"/>
      <c r="C610" s="19"/>
      <c r="D610" s="19"/>
      <c r="E610" s="19"/>
      <c r="F610" s="19"/>
      <c r="G610" s="19">
        <v>1720</v>
      </c>
      <c r="H610" s="19"/>
      <c r="I610" s="19"/>
      <c r="J610" s="19"/>
      <c r="K610" s="19"/>
      <c r="L610" s="19"/>
      <c r="M610" s="19">
        <v>1720</v>
      </c>
    </row>
    <row r="611" spans="1:13" s="20" customFormat="1" x14ac:dyDescent="0.25">
      <c r="A611" s="21" t="s">
        <v>4705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617.1</v>
      </c>
      <c r="M611" s="19">
        <v>617.1</v>
      </c>
    </row>
    <row r="612" spans="1:13" s="20" customFormat="1" x14ac:dyDescent="0.25">
      <c r="A612" s="21" t="s">
        <v>3105</v>
      </c>
      <c r="B612" s="19"/>
      <c r="C612" s="19"/>
      <c r="D612" s="19"/>
      <c r="E612" s="19"/>
      <c r="F612" s="19">
        <v>13650</v>
      </c>
      <c r="G612" s="19"/>
      <c r="H612" s="19"/>
      <c r="I612" s="19"/>
      <c r="J612" s="19"/>
      <c r="K612" s="19"/>
      <c r="L612" s="19"/>
      <c r="M612" s="19">
        <v>13650</v>
      </c>
    </row>
    <row r="613" spans="1:13" s="20" customFormat="1" x14ac:dyDescent="0.25">
      <c r="A613" s="21" t="s">
        <v>72</v>
      </c>
      <c r="B613" s="19"/>
      <c r="C613" s="19"/>
      <c r="D613" s="19"/>
      <c r="E613" s="19"/>
      <c r="F613" s="19">
        <v>4235</v>
      </c>
      <c r="G613" s="19">
        <v>3230.8900000000003</v>
      </c>
      <c r="H613" s="19"/>
      <c r="I613" s="19"/>
      <c r="J613" s="19">
        <v>474.32</v>
      </c>
      <c r="K613" s="19">
        <v>452.73</v>
      </c>
      <c r="L613" s="19"/>
      <c r="M613" s="19">
        <v>8392.94</v>
      </c>
    </row>
    <row r="614" spans="1:13" s="20" customFormat="1" x14ac:dyDescent="0.25">
      <c r="A614" s="21" t="s">
        <v>345</v>
      </c>
      <c r="B614" s="19"/>
      <c r="C614" s="19"/>
      <c r="D614" s="19"/>
      <c r="E614" s="19"/>
      <c r="F614" s="19"/>
      <c r="G614" s="19"/>
      <c r="H614" s="19">
        <v>3000</v>
      </c>
      <c r="I614" s="19"/>
      <c r="J614" s="19"/>
      <c r="K614" s="19"/>
      <c r="L614" s="19"/>
      <c r="M614" s="19">
        <v>3000</v>
      </c>
    </row>
    <row r="615" spans="1:13" s="20" customFormat="1" x14ac:dyDescent="0.25">
      <c r="A615" s="21" t="s">
        <v>89</v>
      </c>
      <c r="B615" s="19"/>
      <c r="C615" s="19"/>
      <c r="D615" s="19"/>
      <c r="E615" s="19"/>
      <c r="F615" s="19"/>
      <c r="G615" s="19"/>
      <c r="H615" s="19"/>
      <c r="I615" s="19">
        <v>1210</v>
      </c>
      <c r="J615" s="19"/>
      <c r="K615" s="19"/>
      <c r="L615" s="19">
        <v>399.13</v>
      </c>
      <c r="M615" s="19">
        <v>1609.13</v>
      </c>
    </row>
    <row r="616" spans="1:13" s="20" customFormat="1" x14ac:dyDescent="0.25">
      <c r="A616" s="21" t="s">
        <v>3157</v>
      </c>
      <c r="B616" s="19"/>
      <c r="C616" s="19"/>
      <c r="D616" s="19"/>
      <c r="E616" s="19"/>
      <c r="F616" s="19"/>
      <c r="G616" s="19">
        <v>2974.24</v>
      </c>
      <c r="H616" s="19"/>
      <c r="I616" s="19"/>
      <c r="J616" s="19">
        <v>248.29</v>
      </c>
      <c r="K616" s="19">
        <v>290.39999999999998</v>
      </c>
      <c r="L616" s="19"/>
      <c r="M616" s="19">
        <v>3512.93</v>
      </c>
    </row>
    <row r="617" spans="1:13" s="20" customFormat="1" x14ac:dyDescent="0.25">
      <c r="A617" s="21" t="s">
        <v>3175</v>
      </c>
      <c r="B617" s="19"/>
      <c r="C617" s="19"/>
      <c r="D617" s="19"/>
      <c r="E617" s="19"/>
      <c r="F617" s="19"/>
      <c r="G617" s="19"/>
      <c r="H617" s="19"/>
      <c r="I617" s="19">
        <v>825.34</v>
      </c>
      <c r="J617" s="19"/>
      <c r="K617" s="19"/>
      <c r="L617" s="19"/>
      <c r="M617" s="19">
        <v>825.34</v>
      </c>
    </row>
    <row r="618" spans="1:13" s="20" customFormat="1" x14ac:dyDescent="0.25">
      <c r="A618" s="21" t="s">
        <v>46</v>
      </c>
      <c r="B618" s="19"/>
      <c r="C618" s="19">
        <v>2000</v>
      </c>
      <c r="D618" s="19">
        <v>542.82000000000005</v>
      </c>
      <c r="E618" s="19"/>
      <c r="F618" s="19">
        <v>9</v>
      </c>
      <c r="G618" s="19">
        <v>9860</v>
      </c>
      <c r="H618" s="19"/>
      <c r="I618" s="19">
        <v>126.2</v>
      </c>
      <c r="J618" s="19"/>
      <c r="K618" s="19">
        <v>2305.9700000000003</v>
      </c>
      <c r="L618" s="19">
        <v>3500</v>
      </c>
      <c r="M618" s="19">
        <v>18343.990000000002</v>
      </c>
    </row>
    <row r="619" spans="1:13" s="20" customFormat="1" x14ac:dyDescent="0.25">
      <c r="A619" s="21" t="s">
        <v>495</v>
      </c>
      <c r="B619" s="19"/>
      <c r="C619" s="19"/>
      <c r="D619" s="19"/>
      <c r="E619" s="19"/>
      <c r="F619" s="19">
        <v>4147.0600000000004</v>
      </c>
      <c r="G619" s="19"/>
      <c r="H619" s="19"/>
      <c r="I619" s="19"/>
      <c r="J619" s="19"/>
      <c r="K619" s="19"/>
      <c r="L619" s="19"/>
      <c r="M619" s="19">
        <v>4147.0600000000004</v>
      </c>
    </row>
    <row r="620" spans="1:13" s="20" customFormat="1" x14ac:dyDescent="0.25">
      <c r="A620" s="21" t="s">
        <v>3243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>
        <v>300</v>
      </c>
      <c r="M620" s="19">
        <v>300</v>
      </c>
    </row>
    <row r="621" spans="1:13" s="20" customFormat="1" x14ac:dyDescent="0.25">
      <c r="A621" s="21" t="s">
        <v>3245</v>
      </c>
      <c r="B621" s="19">
        <v>1815</v>
      </c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>
        <v>1815</v>
      </c>
    </row>
    <row r="622" spans="1:13" s="20" customFormat="1" x14ac:dyDescent="0.25">
      <c r="A622" s="21" t="s">
        <v>3249</v>
      </c>
      <c r="B622" s="19"/>
      <c r="C622" s="19"/>
      <c r="D622" s="19"/>
      <c r="E622" s="19"/>
      <c r="F622" s="19"/>
      <c r="G622" s="19"/>
      <c r="H622" s="19"/>
      <c r="I622" s="19">
        <v>11106.59</v>
      </c>
      <c r="J622" s="19"/>
      <c r="K622" s="19"/>
      <c r="L622" s="19"/>
      <c r="M622" s="19">
        <v>11106.59</v>
      </c>
    </row>
    <row r="623" spans="1:13" s="20" customFormat="1" x14ac:dyDescent="0.25">
      <c r="A623" s="21" t="s">
        <v>4711</v>
      </c>
      <c r="B623" s="19">
        <v>1936</v>
      </c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>
        <v>1936</v>
      </c>
    </row>
    <row r="624" spans="1:13" s="20" customFormat="1" x14ac:dyDescent="0.25">
      <c r="A624" s="21" t="s">
        <v>3251</v>
      </c>
      <c r="B624" s="19"/>
      <c r="C624" s="19"/>
      <c r="D624" s="19"/>
      <c r="E624" s="19"/>
      <c r="F624" s="19"/>
      <c r="G624" s="19"/>
      <c r="H624" s="19"/>
      <c r="I624" s="19"/>
      <c r="J624" s="19">
        <v>6655</v>
      </c>
      <c r="K624" s="19"/>
      <c r="L624" s="19"/>
      <c r="M624" s="19">
        <v>6655</v>
      </c>
    </row>
    <row r="625" spans="1:13" s="20" customFormat="1" ht="25.5" x14ac:dyDescent="0.25">
      <c r="A625" s="21" t="s">
        <v>462</v>
      </c>
      <c r="B625" s="19"/>
      <c r="C625" s="19"/>
      <c r="D625" s="19"/>
      <c r="E625" s="19"/>
      <c r="F625" s="19"/>
      <c r="G625" s="19"/>
      <c r="H625" s="19">
        <v>178.48</v>
      </c>
      <c r="I625" s="19"/>
      <c r="J625" s="19"/>
      <c r="K625" s="19"/>
      <c r="L625" s="19">
        <v>2394.3200000000002</v>
      </c>
      <c r="M625" s="19">
        <v>2572.8000000000002</v>
      </c>
    </row>
    <row r="626" spans="1:13" s="20" customFormat="1" x14ac:dyDescent="0.25">
      <c r="A626" s="21" t="s">
        <v>5039</v>
      </c>
      <c r="B626" s="19"/>
      <c r="C626" s="19"/>
      <c r="D626" s="19"/>
      <c r="E626" s="19"/>
      <c r="F626" s="19"/>
      <c r="G626" s="19">
        <v>7258.79</v>
      </c>
      <c r="H626" s="19"/>
      <c r="I626" s="19"/>
      <c r="J626" s="19"/>
      <c r="K626" s="19"/>
      <c r="L626" s="19"/>
      <c r="M626" s="19">
        <v>7258.79</v>
      </c>
    </row>
    <row r="627" spans="1:13" s="20" customFormat="1" x14ac:dyDescent="0.25">
      <c r="A627" s="21" t="s">
        <v>22</v>
      </c>
      <c r="B627" s="19"/>
      <c r="C627" s="19"/>
      <c r="D627" s="19">
        <v>157.30000000000001</v>
      </c>
      <c r="E627" s="19">
        <v>5968.81</v>
      </c>
      <c r="F627" s="19"/>
      <c r="G627" s="19"/>
      <c r="H627" s="19"/>
      <c r="I627" s="19"/>
      <c r="J627" s="19"/>
      <c r="K627" s="19"/>
      <c r="L627" s="19"/>
      <c r="M627" s="19">
        <v>6126.1100000000006</v>
      </c>
    </row>
    <row r="628" spans="1:13" s="20" customFormat="1" x14ac:dyDescent="0.25">
      <c r="A628" s="21" t="s">
        <v>398</v>
      </c>
      <c r="B628" s="19"/>
      <c r="C628" s="19"/>
      <c r="D628" s="19">
        <v>78.650000000000006</v>
      </c>
      <c r="E628" s="19"/>
      <c r="F628" s="19"/>
      <c r="G628" s="19"/>
      <c r="H628" s="19"/>
      <c r="I628" s="19"/>
      <c r="J628" s="19"/>
      <c r="K628" s="19"/>
      <c r="L628" s="19"/>
      <c r="M628" s="19">
        <v>78.650000000000006</v>
      </c>
    </row>
    <row r="629" spans="1:13" s="20" customFormat="1" ht="25.5" x14ac:dyDescent="0.25">
      <c r="A629" s="21" t="s">
        <v>4715</v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>
        <v>1441.11</v>
      </c>
      <c r="L629" s="19"/>
      <c r="M629" s="19">
        <v>1441.11</v>
      </c>
    </row>
    <row r="630" spans="1:13" s="20" customFormat="1" x14ac:dyDescent="0.25">
      <c r="A630" s="21" t="s">
        <v>341</v>
      </c>
      <c r="B630" s="19">
        <v>108.16</v>
      </c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>
        <v>108.16</v>
      </c>
    </row>
    <row r="631" spans="1:13" s="20" customFormat="1" x14ac:dyDescent="0.25">
      <c r="A631" s="21" t="s">
        <v>3288</v>
      </c>
      <c r="B631" s="19"/>
      <c r="C631" s="19"/>
      <c r="D631" s="19"/>
      <c r="E631" s="19"/>
      <c r="F631" s="19">
        <v>217.8</v>
      </c>
      <c r="G631" s="19"/>
      <c r="H631" s="19"/>
      <c r="I631" s="19"/>
      <c r="J631" s="19"/>
      <c r="K631" s="19"/>
      <c r="L631" s="19"/>
      <c r="M631" s="19">
        <v>217.8</v>
      </c>
    </row>
    <row r="632" spans="1:13" s="20" customFormat="1" x14ac:dyDescent="0.25">
      <c r="A632" s="21" t="s">
        <v>74</v>
      </c>
      <c r="B632" s="19"/>
      <c r="C632" s="19"/>
      <c r="D632" s="19"/>
      <c r="E632" s="19"/>
      <c r="F632" s="19"/>
      <c r="G632" s="19"/>
      <c r="H632" s="19"/>
      <c r="I632" s="19"/>
      <c r="J632" s="19">
        <v>15967.56</v>
      </c>
      <c r="K632" s="19"/>
      <c r="L632" s="19"/>
      <c r="M632" s="19">
        <v>15967.56</v>
      </c>
    </row>
    <row r="633" spans="1:13" s="20" customFormat="1" x14ac:dyDescent="0.25">
      <c r="A633" s="21" t="s">
        <v>850</v>
      </c>
      <c r="B633" s="19"/>
      <c r="C633" s="19"/>
      <c r="D633" s="19"/>
      <c r="E633" s="19"/>
      <c r="F633" s="19">
        <v>351.38</v>
      </c>
      <c r="G633" s="19"/>
      <c r="H633" s="19"/>
      <c r="I633" s="19"/>
      <c r="J633" s="19"/>
      <c r="K633" s="19"/>
      <c r="L633" s="19"/>
      <c r="M633" s="19">
        <v>351.38</v>
      </c>
    </row>
    <row r="634" spans="1:13" s="20" customFormat="1" x14ac:dyDescent="0.25">
      <c r="A634" s="21" t="s">
        <v>5014</v>
      </c>
      <c r="B634" s="19"/>
      <c r="C634" s="19">
        <v>18089.5</v>
      </c>
      <c r="D634" s="19"/>
      <c r="E634" s="19"/>
      <c r="F634" s="19"/>
      <c r="G634" s="19"/>
      <c r="H634" s="19"/>
      <c r="I634" s="19"/>
      <c r="J634" s="19"/>
      <c r="K634" s="19"/>
      <c r="L634" s="19"/>
      <c r="M634" s="19">
        <v>18089.5</v>
      </c>
    </row>
    <row r="635" spans="1:13" s="20" customFormat="1" x14ac:dyDescent="0.25">
      <c r="A635" s="21" t="s">
        <v>3309</v>
      </c>
      <c r="B635" s="19"/>
      <c r="C635" s="19"/>
      <c r="D635" s="19"/>
      <c r="E635" s="19"/>
      <c r="F635" s="19"/>
      <c r="G635" s="19">
        <v>411.4</v>
      </c>
      <c r="H635" s="19"/>
      <c r="I635" s="19"/>
      <c r="J635" s="19"/>
      <c r="K635" s="19"/>
      <c r="L635" s="19"/>
      <c r="M635" s="19">
        <v>411.4</v>
      </c>
    </row>
    <row r="636" spans="1:13" s="20" customFormat="1" x14ac:dyDescent="0.25">
      <c r="A636" s="21" t="s">
        <v>3312</v>
      </c>
      <c r="B636" s="19"/>
      <c r="C636" s="19"/>
      <c r="D636" s="19"/>
      <c r="E636" s="19"/>
      <c r="F636" s="19"/>
      <c r="G636" s="19"/>
      <c r="H636" s="19"/>
      <c r="I636" s="19"/>
      <c r="J636" s="19">
        <v>7724.6399999999994</v>
      </c>
      <c r="K636" s="19"/>
      <c r="L636" s="19"/>
      <c r="M636" s="19">
        <v>7724.6399999999994</v>
      </c>
    </row>
    <row r="637" spans="1:13" s="20" customFormat="1" x14ac:dyDescent="0.25">
      <c r="A637" s="21" t="s">
        <v>3325</v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>
        <v>232.32</v>
      </c>
      <c r="L637" s="19"/>
      <c r="M637" s="19">
        <v>232.32</v>
      </c>
    </row>
    <row r="638" spans="1:13" s="20" customFormat="1" x14ac:dyDescent="0.25">
      <c r="A638" s="21" t="s">
        <v>3327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>
        <v>846.76</v>
      </c>
      <c r="M638" s="19">
        <v>846.76</v>
      </c>
    </row>
    <row r="639" spans="1:13" s="20" customFormat="1" x14ac:dyDescent="0.25">
      <c r="A639" s="21" t="s">
        <v>3330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>
        <v>2574.88</v>
      </c>
      <c r="L639" s="19"/>
      <c r="M639" s="19">
        <v>2574.88</v>
      </c>
    </row>
    <row r="640" spans="1:13" s="20" customFormat="1" x14ac:dyDescent="0.25">
      <c r="A640" s="21" t="s">
        <v>3333</v>
      </c>
      <c r="B640" s="19"/>
      <c r="C640" s="19"/>
      <c r="D640" s="19"/>
      <c r="E640" s="19"/>
      <c r="F640" s="19">
        <v>1815</v>
      </c>
      <c r="G640" s="19"/>
      <c r="H640" s="19"/>
      <c r="I640" s="19"/>
      <c r="J640" s="19"/>
      <c r="K640" s="19"/>
      <c r="L640" s="19"/>
      <c r="M640" s="19">
        <v>1815</v>
      </c>
    </row>
    <row r="641" spans="1:13" s="20" customFormat="1" ht="25.5" x14ac:dyDescent="0.25">
      <c r="A641" s="21" t="s">
        <v>3337</v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>
        <v>3736.57</v>
      </c>
      <c r="M641" s="19">
        <v>3736.57</v>
      </c>
    </row>
    <row r="642" spans="1:13" s="20" customFormat="1" x14ac:dyDescent="0.25">
      <c r="A642" s="21" t="s">
        <v>349</v>
      </c>
      <c r="B642" s="19"/>
      <c r="C642" s="19"/>
      <c r="D642" s="19">
        <v>9196</v>
      </c>
      <c r="E642" s="19"/>
      <c r="F642" s="19"/>
      <c r="G642" s="19">
        <v>4235</v>
      </c>
      <c r="H642" s="19"/>
      <c r="I642" s="19"/>
      <c r="J642" s="19"/>
      <c r="K642" s="19"/>
      <c r="L642" s="19"/>
      <c r="M642" s="19">
        <v>13431</v>
      </c>
    </row>
    <row r="643" spans="1:13" s="20" customFormat="1" x14ac:dyDescent="0.25">
      <c r="A643" s="21" t="s">
        <v>4724</v>
      </c>
      <c r="B643" s="19"/>
      <c r="C643" s="19"/>
      <c r="D643" s="19"/>
      <c r="E643" s="19"/>
      <c r="F643" s="19"/>
      <c r="G643" s="19">
        <v>1000</v>
      </c>
      <c r="H643" s="19"/>
      <c r="I643" s="19"/>
      <c r="J643" s="19"/>
      <c r="K643" s="19"/>
      <c r="L643" s="19"/>
      <c r="M643" s="19">
        <v>1000</v>
      </c>
    </row>
    <row r="644" spans="1:13" s="20" customFormat="1" x14ac:dyDescent="0.25">
      <c r="A644" s="21" t="s">
        <v>4727</v>
      </c>
      <c r="B644" s="19">
        <v>4191.22</v>
      </c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>
        <v>4191.22</v>
      </c>
    </row>
    <row r="645" spans="1:13" s="20" customFormat="1" x14ac:dyDescent="0.25">
      <c r="A645" s="21" t="s">
        <v>59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>
        <v>6220.5</v>
      </c>
      <c r="M645" s="19">
        <v>6220.5</v>
      </c>
    </row>
    <row r="646" spans="1:13" s="20" customFormat="1" x14ac:dyDescent="0.25">
      <c r="A646" s="21" t="s">
        <v>3347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>
        <v>1137.4000000000001</v>
      </c>
      <c r="L646" s="19"/>
      <c r="M646" s="19">
        <v>1137.4000000000001</v>
      </c>
    </row>
    <row r="647" spans="1:13" s="20" customFormat="1" x14ac:dyDescent="0.25">
      <c r="A647" s="21" t="s">
        <v>4730</v>
      </c>
      <c r="B647" s="19"/>
      <c r="C647" s="19"/>
      <c r="D647" s="19"/>
      <c r="E647" s="19"/>
      <c r="F647" s="19"/>
      <c r="G647" s="19"/>
      <c r="H647" s="19"/>
      <c r="I647" s="19">
        <v>4066.88</v>
      </c>
      <c r="J647" s="19"/>
      <c r="K647" s="19"/>
      <c r="L647" s="19"/>
      <c r="M647" s="19">
        <v>4066.88</v>
      </c>
    </row>
    <row r="648" spans="1:13" s="20" customFormat="1" x14ac:dyDescent="0.25">
      <c r="A648" s="21" t="s">
        <v>455</v>
      </c>
      <c r="B648" s="19"/>
      <c r="C648" s="19"/>
      <c r="D648" s="19"/>
      <c r="E648" s="19"/>
      <c r="F648" s="19"/>
      <c r="G648" s="19">
        <v>1260</v>
      </c>
      <c r="H648" s="19"/>
      <c r="I648" s="19"/>
      <c r="J648" s="19"/>
      <c r="K648" s="19"/>
      <c r="L648" s="19"/>
      <c r="M648" s="19">
        <v>1260</v>
      </c>
    </row>
    <row r="649" spans="1:13" s="20" customFormat="1" x14ac:dyDescent="0.25">
      <c r="A649" s="21" t="s">
        <v>441</v>
      </c>
      <c r="B649" s="19"/>
      <c r="C649" s="19">
        <v>1597.2</v>
      </c>
      <c r="D649" s="19"/>
      <c r="E649" s="19"/>
      <c r="F649" s="19"/>
      <c r="G649" s="19"/>
      <c r="H649" s="19"/>
      <c r="I649" s="19"/>
      <c r="J649" s="19"/>
      <c r="K649" s="19"/>
      <c r="L649" s="19"/>
      <c r="M649" s="19">
        <v>1597.2</v>
      </c>
    </row>
    <row r="650" spans="1:13" s="20" customFormat="1" x14ac:dyDescent="0.25">
      <c r="A650" s="21" t="s">
        <v>12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>
        <v>250</v>
      </c>
      <c r="M650" s="19">
        <v>250</v>
      </c>
    </row>
    <row r="651" spans="1:13" s="20" customFormat="1" x14ac:dyDescent="0.25">
      <c r="A651" s="21" t="s">
        <v>3396</v>
      </c>
      <c r="B651" s="19"/>
      <c r="C651" s="19"/>
      <c r="D651" s="19"/>
      <c r="E651" s="19"/>
      <c r="F651" s="19">
        <v>6267.7999999999993</v>
      </c>
      <c r="G651" s="19"/>
      <c r="H651" s="19"/>
      <c r="I651" s="19"/>
      <c r="J651" s="19"/>
      <c r="K651" s="19"/>
      <c r="L651" s="19"/>
      <c r="M651" s="19">
        <v>6267.7999999999993</v>
      </c>
    </row>
    <row r="652" spans="1:13" s="20" customFormat="1" x14ac:dyDescent="0.25">
      <c r="A652" s="21" t="s">
        <v>3398</v>
      </c>
      <c r="B652" s="19"/>
      <c r="C652" s="19"/>
      <c r="D652" s="19"/>
      <c r="E652" s="19"/>
      <c r="F652" s="19"/>
      <c r="G652" s="19">
        <v>5900</v>
      </c>
      <c r="H652" s="19"/>
      <c r="I652" s="19"/>
      <c r="J652" s="19"/>
      <c r="K652" s="19"/>
      <c r="L652" s="19"/>
      <c r="M652" s="19">
        <v>5900</v>
      </c>
    </row>
    <row r="653" spans="1:13" s="20" customFormat="1" x14ac:dyDescent="0.25">
      <c r="A653" s="21" t="s">
        <v>4757</v>
      </c>
      <c r="B653" s="19"/>
      <c r="C653" s="19"/>
      <c r="D653" s="19"/>
      <c r="E653" s="19"/>
      <c r="F653" s="19"/>
      <c r="G653" s="19">
        <v>17871.7</v>
      </c>
      <c r="H653" s="19"/>
      <c r="I653" s="19"/>
      <c r="J653" s="19"/>
      <c r="K653" s="19"/>
      <c r="L653" s="19"/>
      <c r="M653" s="19">
        <v>17871.7</v>
      </c>
    </row>
    <row r="654" spans="1:13" s="20" customFormat="1" x14ac:dyDescent="0.25">
      <c r="A654" s="21" t="s">
        <v>433</v>
      </c>
      <c r="B654" s="19"/>
      <c r="C654" s="19"/>
      <c r="D654" s="19"/>
      <c r="E654" s="19"/>
      <c r="F654" s="19">
        <v>12500</v>
      </c>
      <c r="G654" s="19"/>
      <c r="H654" s="19"/>
      <c r="I654" s="19"/>
      <c r="J654" s="19"/>
      <c r="K654" s="19"/>
      <c r="L654" s="19"/>
      <c r="M654" s="19">
        <v>12500</v>
      </c>
    </row>
    <row r="655" spans="1:13" s="20" customFormat="1" x14ac:dyDescent="0.25">
      <c r="A655" s="21" t="s">
        <v>1631</v>
      </c>
      <c r="B655" s="19"/>
      <c r="C655" s="19"/>
      <c r="D655" s="19">
        <v>11509.52</v>
      </c>
      <c r="E655" s="19">
        <v>4544.88</v>
      </c>
      <c r="F655" s="19"/>
      <c r="G655" s="19"/>
      <c r="H655" s="19"/>
      <c r="I655" s="19"/>
      <c r="J655" s="19"/>
      <c r="K655" s="19"/>
      <c r="L655" s="19"/>
      <c r="M655" s="19">
        <v>16054.400000000001</v>
      </c>
    </row>
    <row r="656" spans="1:13" s="20" customFormat="1" x14ac:dyDescent="0.25">
      <c r="A656" s="21" t="s">
        <v>318</v>
      </c>
      <c r="B656" s="19"/>
      <c r="C656" s="19"/>
      <c r="D656" s="19"/>
      <c r="E656" s="19">
        <v>1600</v>
      </c>
      <c r="F656" s="19"/>
      <c r="G656" s="19"/>
      <c r="H656" s="19"/>
      <c r="I656" s="19"/>
      <c r="J656" s="19"/>
      <c r="K656" s="19"/>
      <c r="L656" s="19">
        <v>2702.22</v>
      </c>
      <c r="M656" s="19">
        <v>4302.2199999999993</v>
      </c>
    </row>
    <row r="657" spans="1:13" s="20" customFormat="1" x14ac:dyDescent="0.25">
      <c r="A657" s="21" t="s">
        <v>4762</v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>
        <v>1149.5</v>
      </c>
      <c r="L657" s="19"/>
      <c r="M657" s="19">
        <v>1149.5</v>
      </c>
    </row>
    <row r="658" spans="1:13" s="20" customFormat="1" x14ac:dyDescent="0.25">
      <c r="A658" s="21" t="s">
        <v>5059</v>
      </c>
      <c r="B658" s="19"/>
      <c r="C658" s="19"/>
      <c r="D658" s="19"/>
      <c r="E658" s="19"/>
      <c r="F658" s="19"/>
      <c r="G658" s="19">
        <v>3960</v>
      </c>
      <c r="H658" s="19"/>
      <c r="I658" s="19"/>
      <c r="J658" s="19"/>
      <c r="K658" s="19"/>
      <c r="L658" s="19"/>
      <c r="M658" s="19">
        <v>3960</v>
      </c>
    </row>
    <row r="659" spans="1:13" s="20" customFormat="1" x14ac:dyDescent="0.25">
      <c r="A659" s="21" t="s">
        <v>983</v>
      </c>
      <c r="B659" s="19"/>
      <c r="C659" s="19"/>
      <c r="D659" s="19"/>
      <c r="E659" s="19"/>
      <c r="F659" s="19"/>
      <c r="G659" s="19">
        <v>180</v>
      </c>
      <c r="H659" s="19"/>
      <c r="I659" s="19"/>
      <c r="J659" s="19"/>
      <c r="K659" s="19"/>
      <c r="L659" s="19"/>
      <c r="M659" s="19">
        <v>180</v>
      </c>
    </row>
    <row r="660" spans="1:13" s="20" customFormat="1" x14ac:dyDescent="0.25">
      <c r="A660" s="21" t="s">
        <v>3405</v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>
        <v>341.31</v>
      </c>
      <c r="M660" s="19">
        <v>341.31</v>
      </c>
    </row>
    <row r="661" spans="1:13" s="20" customFormat="1" x14ac:dyDescent="0.25">
      <c r="A661" s="21" t="s">
        <v>2436</v>
      </c>
      <c r="B661" s="19"/>
      <c r="C661" s="19"/>
      <c r="D661" s="19">
        <v>244.2</v>
      </c>
      <c r="E661" s="19"/>
      <c r="F661" s="19"/>
      <c r="G661" s="19">
        <v>9759.33</v>
      </c>
      <c r="H661" s="19"/>
      <c r="I661" s="19"/>
      <c r="J661" s="19"/>
      <c r="K661" s="19">
        <v>40.680000000000007</v>
      </c>
      <c r="L661" s="19"/>
      <c r="M661" s="19">
        <v>10044.210000000001</v>
      </c>
    </row>
    <row r="662" spans="1:13" s="20" customFormat="1" x14ac:dyDescent="0.25">
      <c r="A662" s="21" t="s">
        <v>323</v>
      </c>
      <c r="B662" s="19">
        <v>6322.25</v>
      </c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>
        <v>6322.25</v>
      </c>
    </row>
    <row r="663" spans="1:13" s="20" customFormat="1" x14ac:dyDescent="0.25">
      <c r="A663" s="21" t="s">
        <v>36</v>
      </c>
      <c r="B663" s="19"/>
      <c r="C663" s="19"/>
      <c r="D663" s="19"/>
      <c r="E663" s="19">
        <v>15776.95</v>
      </c>
      <c r="F663" s="19"/>
      <c r="G663" s="19"/>
      <c r="H663" s="19"/>
      <c r="I663" s="19"/>
      <c r="J663" s="19"/>
      <c r="K663" s="19"/>
      <c r="L663" s="19"/>
      <c r="M663" s="19">
        <v>15776.95</v>
      </c>
    </row>
    <row r="664" spans="1:13" s="20" customFormat="1" x14ac:dyDescent="0.25">
      <c r="A664" s="21" t="s">
        <v>4766</v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>
        <v>1000</v>
      </c>
      <c r="L664" s="19"/>
      <c r="M664" s="19">
        <v>1000</v>
      </c>
    </row>
    <row r="665" spans="1:13" s="20" customFormat="1" x14ac:dyDescent="0.25">
      <c r="A665" s="21" t="s">
        <v>3464</v>
      </c>
      <c r="B665" s="19"/>
      <c r="C665" s="19"/>
      <c r="D665" s="19"/>
      <c r="E665" s="19"/>
      <c r="F665" s="19">
        <v>5989.5</v>
      </c>
      <c r="G665" s="19"/>
      <c r="H665" s="19"/>
      <c r="I665" s="19"/>
      <c r="J665" s="19"/>
      <c r="K665" s="19"/>
      <c r="L665" s="19"/>
      <c r="M665" s="19">
        <v>5989.5</v>
      </c>
    </row>
    <row r="666" spans="1:13" s="20" customFormat="1" x14ac:dyDescent="0.25">
      <c r="A666" s="21" t="s">
        <v>3467</v>
      </c>
      <c r="B666" s="19"/>
      <c r="C666" s="19"/>
      <c r="D666" s="19"/>
      <c r="E666" s="19"/>
      <c r="F666" s="19">
        <v>7336.02</v>
      </c>
      <c r="G666" s="19"/>
      <c r="H666" s="19"/>
      <c r="I666" s="19"/>
      <c r="J666" s="19"/>
      <c r="K666" s="19"/>
      <c r="L666" s="19"/>
      <c r="M666" s="19">
        <v>7336.02</v>
      </c>
    </row>
    <row r="667" spans="1:13" s="20" customFormat="1" x14ac:dyDescent="0.25">
      <c r="A667" s="21" t="s">
        <v>57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>
        <v>3000</v>
      </c>
      <c r="M667" s="19">
        <v>3000</v>
      </c>
    </row>
    <row r="668" spans="1:13" s="20" customFormat="1" x14ac:dyDescent="0.25">
      <c r="A668" s="21" t="s">
        <v>3479</v>
      </c>
      <c r="B668" s="19"/>
      <c r="C668" s="19"/>
      <c r="D668" s="19"/>
      <c r="E668" s="19"/>
      <c r="F668" s="19"/>
      <c r="G668" s="19"/>
      <c r="H668" s="19"/>
      <c r="I668" s="19">
        <v>1331</v>
      </c>
      <c r="J668" s="19"/>
      <c r="K668" s="19"/>
      <c r="L668" s="19"/>
      <c r="M668" s="19">
        <v>1331</v>
      </c>
    </row>
    <row r="669" spans="1:13" s="20" customFormat="1" x14ac:dyDescent="0.25">
      <c r="A669" s="21" t="s">
        <v>3484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>
        <v>19118</v>
      </c>
      <c r="M669" s="19">
        <v>19118</v>
      </c>
    </row>
    <row r="670" spans="1:13" s="20" customFormat="1" x14ac:dyDescent="0.25">
      <c r="A670" s="21" t="s">
        <v>4491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4686.8</v>
      </c>
      <c r="M670" s="19">
        <v>4686.8</v>
      </c>
    </row>
    <row r="671" spans="1:13" s="20" customFormat="1" x14ac:dyDescent="0.25">
      <c r="A671" s="21" t="s">
        <v>4771</v>
      </c>
      <c r="B671" s="19"/>
      <c r="C671" s="19"/>
      <c r="D671" s="19"/>
      <c r="E671" s="19"/>
      <c r="F671" s="19"/>
      <c r="G671" s="19">
        <v>1353.32</v>
      </c>
      <c r="H671" s="19"/>
      <c r="I671" s="19"/>
      <c r="J671" s="19"/>
      <c r="K671" s="19"/>
      <c r="L671" s="19"/>
      <c r="M671" s="19">
        <v>1353.32</v>
      </c>
    </row>
    <row r="672" spans="1:13" s="20" customFormat="1" x14ac:dyDescent="0.25">
      <c r="A672" s="21" t="s">
        <v>494</v>
      </c>
      <c r="B672" s="19"/>
      <c r="C672" s="19"/>
      <c r="D672" s="19">
        <v>544.5</v>
      </c>
      <c r="E672" s="19"/>
      <c r="F672" s="19"/>
      <c r="G672" s="19"/>
      <c r="H672" s="19"/>
      <c r="I672" s="19"/>
      <c r="J672" s="19"/>
      <c r="K672" s="19"/>
      <c r="L672" s="19"/>
      <c r="M672" s="19">
        <v>544.5</v>
      </c>
    </row>
    <row r="673" spans="1:13" s="20" customFormat="1" x14ac:dyDescent="0.25">
      <c r="A673" s="21" t="s">
        <v>3546</v>
      </c>
      <c r="B673" s="19"/>
      <c r="C673" s="19">
        <v>152</v>
      </c>
      <c r="D673" s="19"/>
      <c r="E673" s="19"/>
      <c r="F673" s="19"/>
      <c r="G673" s="19"/>
      <c r="H673" s="19"/>
      <c r="I673" s="19"/>
      <c r="J673" s="19"/>
      <c r="K673" s="19"/>
      <c r="L673" s="19"/>
      <c r="M673" s="19">
        <v>152</v>
      </c>
    </row>
    <row r="674" spans="1:13" s="20" customFormat="1" x14ac:dyDescent="0.25">
      <c r="A674" s="21" t="s">
        <v>335</v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>
        <v>3400.1</v>
      </c>
      <c r="M674" s="19">
        <v>3400.1</v>
      </c>
    </row>
    <row r="675" spans="1:13" s="20" customFormat="1" x14ac:dyDescent="0.25">
      <c r="A675" s="21" t="s">
        <v>4774</v>
      </c>
      <c r="B675" s="19"/>
      <c r="C675" s="19"/>
      <c r="D675" s="19"/>
      <c r="E675" s="19"/>
      <c r="F675" s="19">
        <v>4477</v>
      </c>
      <c r="G675" s="19"/>
      <c r="H675" s="19"/>
      <c r="I675" s="19"/>
      <c r="J675" s="19"/>
      <c r="K675" s="19"/>
      <c r="L675" s="19"/>
      <c r="M675" s="19">
        <v>4477</v>
      </c>
    </row>
    <row r="676" spans="1:13" s="20" customFormat="1" x14ac:dyDescent="0.25">
      <c r="A676" s="21" t="s">
        <v>4778</v>
      </c>
      <c r="B676" s="19"/>
      <c r="C676" s="19"/>
      <c r="D676" s="19"/>
      <c r="E676" s="19"/>
      <c r="F676" s="19"/>
      <c r="G676" s="19"/>
      <c r="H676" s="19"/>
      <c r="I676" s="19"/>
      <c r="J676" s="19">
        <v>7139</v>
      </c>
      <c r="K676" s="19"/>
      <c r="L676" s="19"/>
      <c r="M676" s="19">
        <v>7139</v>
      </c>
    </row>
    <row r="677" spans="1:13" s="20" customFormat="1" x14ac:dyDescent="0.25">
      <c r="A677" s="21" t="s">
        <v>23</v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>
        <v>13155.12</v>
      </c>
      <c r="L677" s="19"/>
      <c r="M677" s="19">
        <v>13155.12</v>
      </c>
    </row>
    <row r="678" spans="1:13" s="20" customFormat="1" x14ac:dyDescent="0.25">
      <c r="A678" s="21" t="s">
        <v>408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>
        <v>1464.2</v>
      </c>
      <c r="M678" s="19">
        <v>1464.2</v>
      </c>
    </row>
    <row r="679" spans="1:13" s="20" customFormat="1" x14ac:dyDescent="0.25">
      <c r="A679" s="21" t="s">
        <v>445</v>
      </c>
      <c r="B679" s="19"/>
      <c r="C679" s="19"/>
      <c r="D679" s="19"/>
      <c r="E679" s="19">
        <v>1304.79</v>
      </c>
      <c r="F679" s="19"/>
      <c r="G679" s="19"/>
      <c r="H679" s="19"/>
      <c r="I679" s="19"/>
      <c r="J679" s="19"/>
      <c r="K679" s="19"/>
      <c r="L679" s="19"/>
      <c r="M679" s="19">
        <v>1304.79</v>
      </c>
    </row>
    <row r="680" spans="1:13" s="20" customFormat="1" x14ac:dyDescent="0.25">
      <c r="A680" s="21" t="s">
        <v>410</v>
      </c>
      <c r="B680" s="19"/>
      <c r="C680" s="19"/>
      <c r="D680" s="19"/>
      <c r="E680" s="19"/>
      <c r="F680" s="19"/>
      <c r="G680" s="19"/>
      <c r="H680" s="19">
        <v>994.62</v>
      </c>
      <c r="I680" s="19"/>
      <c r="J680" s="19"/>
      <c r="K680" s="19"/>
      <c r="L680" s="19"/>
      <c r="M680" s="19">
        <v>994.62</v>
      </c>
    </row>
    <row r="681" spans="1:13" s="20" customFormat="1" x14ac:dyDescent="0.25">
      <c r="A681" s="21" t="s">
        <v>4780</v>
      </c>
      <c r="B681" s="19"/>
      <c r="C681" s="19"/>
      <c r="D681" s="19"/>
      <c r="E681" s="19"/>
      <c r="F681" s="19">
        <v>33911.160000000003</v>
      </c>
      <c r="G681" s="19"/>
      <c r="H681" s="19"/>
      <c r="I681" s="19"/>
      <c r="J681" s="19"/>
      <c r="K681" s="19"/>
      <c r="L681" s="19"/>
      <c r="M681" s="19">
        <v>33911.160000000003</v>
      </c>
    </row>
    <row r="682" spans="1:13" s="20" customFormat="1" x14ac:dyDescent="0.25">
      <c r="A682" s="21" t="s">
        <v>3561</v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>
        <v>350</v>
      </c>
      <c r="M682" s="19">
        <v>350</v>
      </c>
    </row>
    <row r="683" spans="1:13" s="20" customFormat="1" ht="25.5" x14ac:dyDescent="0.25">
      <c r="A683" s="21" t="s">
        <v>434</v>
      </c>
      <c r="B683" s="19"/>
      <c r="C683" s="19"/>
      <c r="D683" s="19"/>
      <c r="E683" s="19">
        <v>2321.29</v>
      </c>
      <c r="F683" s="19"/>
      <c r="G683" s="19"/>
      <c r="H683" s="19"/>
      <c r="I683" s="19"/>
      <c r="J683" s="19"/>
      <c r="K683" s="19"/>
      <c r="L683" s="19"/>
      <c r="M683" s="19">
        <v>2321.29</v>
      </c>
    </row>
    <row r="684" spans="1:13" s="20" customFormat="1" x14ac:dyDescent="0.25">
      <c r="A684" s="21" t="s">
        <v>5309</v>
      </c>
      <c r="B684" s="19"/>
      <c r="C684" s="19"/>
      <c r="D684" s="19"/>
      <c r="E684" s="19"/>
      <c r="F684" s="19"/>
      <c r="G684" s="19"/>
      <c r="H684" s="19">
        <v>750</v>
      </c>
      <c r="I684" s="19"/>
      <c r="J684" s="19"/>
      <c r="K684" s="19"/>
      <c r="L684" s="19"/>
      <c r="M684" s="19">
        <v>750</v>
      </c>
    </row>
    <row r="685" spans="1:13" s="20" customFormat="1" x14ac:dyDescent="0.25">
      <c r="A685" s="21" t="s">
        <v>316</v>
      </c>
      <c r="B685" s="19"/>
      <c r="C685" s="19">
        <v>854.41000000000008</v>
      </c>
      <c r="D685" s="19"/>
      <c r="E685" s="19"/>
      <c r="F685" s="19"/>
      <c r="G685" s="19"/>
      <c r="H685" s="19"/>
      <c r="I685" s="19"/>
      <c r="J685" s="19"/>
      <c r="K685" s="19"/>
      <c r="L685" s="19"/>
      <c r="M685" s="19">
        <v>854.41000000000008</v>
      </c>
    </row>
    <row r="686" spans="1:13" s="20" customFormat="1" x14ac:dyDescent="0.25">
      <c r="A686" s="21" t="s">
        <v>399</v>
      </c>
      <c r="B686" s="19">
        <v>89</v>
      </c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>
        <v>89</v>
      </c>
    </row>
    <row r="687" spans="1:13" s="20" customFormat="1" x14ac:dyDescent="0.25">
      <c r="A687" s="21" t="s">
        <v>4788</v>
      </c>
      <c r="B687" s="19"/>
      <c r="C687" s="19"/>
      <c r="D687" s="19"/>
      <c r="E687" s="19"/>
      <c r="F687" s="19"/>
      <c r="G687" s="19"/>
      <c r="H687" s="19"/>
      <c r="I687" s="19">
        <v>6050</v>
      </c>
      <c r="J687" s="19"/>
      <c r="K687" s="19"/>
      <c r="L687" s="19"/>
      <c r="M687" s="19">
        <v>6050</v>
      </c>
    </row>
    <row r="688" spans="1:13" s="20" customFormat="1" x14ac:dyDescent="0.25">
      <c r="A688" s="21" t="s">
        <v>498</v>
      </c>
      <c r="B688" s="19"/>
      <c r="C688" s="19">
        <v>7260</v>
      </c>
      <c r="D688" s="19"/>
      <c r="E688" s="19"/>
      <c r="F688" s="19"/>
      <c r="G688" s="19"/>
      <c r="H688" s="19"/>
      <c r="I688" s="19"/>
      <c r="J688" s="19"/>
      <c r="K688" s="19"/>
      <c r="L688" s="19"/>
      <c r="M688" s="19">
        <v>7260</v>
      </c>
    </row>
    <row r="689" spans="1:13" s="20" customFormat="1" x14ac:dyDescent="0.25">
      <c r="A689" s="21" t="s">
        <v>4792</v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>
        <v>38236</v>
      </c>
      <c r="M689" s="19">
        <v>38236</v>
      </c>
    </row>
    <row r="690" spans="1:13" s="20" customFormat="1" x14ac:dyDescent="0.25">
      <c r="A690" s="21" t="s">
        <v>4794</v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>
        <v>515.55999999999995</v>
      </c>
      <c r="M690" s="19">
        <v>515.55999999999995</v>
      </c>
    </row>
    <row r="691" spans="1:13" s="20" customFormat="1" x14ac:dyDescent="0.25">
      <c r="A691" s="21" t="s">
        <v>584</v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>
        <v>16494.5</v>
      </c>
      <c r="M691" s="19">
        <v>16494.5</v>
      </c>
    </row>
    <row r="692" spans="1:13" s="20" customFormat="1" x14ac:dyDescent="0.25">
      <c r="A692" s="21" t="s">
        <v>3566</v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>
        <v>2359.5</v>
      </c>
      <c r="M692" s="19">
        <v>2359.5</v>
      </c>
    </row>
    <row r="693" spans="1:13" s="20" customFormat="1" x14ac:dyDescent="0.25">
      <c r="A693" s="21" t="s">
        <v>4798</v>
      </c>
      <c r="B693" s="19"/>
      <c r="C693" s="19"/>
      <c r="D693" s="19"/>
      <c r="E693" s="19"/>
      <c r="F693" s="19"/>
      <c r="G693" s="19"/>
      <c r="H693" s="19"/>
      <c r="I693" s="19"/>
      <c r="J693" s="19">
        <v>7137.79</v>
      </c>
      <c r="K693" s="19"/>
      <c r="L693" s="19"/>
      <c r="M693" s="19">
        <v>7137.79</v>
      </c>
    </row>
    <row r="694" spans="1:13" s="20" customFormat="1" x14ac:dyDescent="0.25">
      <c r="A694" s="21" t="s">
        <v>3568</v>
      </c>
      <c r="B694" s="19"/>
      <c r="C694" s="19"/>
      <c r="D694" s="19"/>
      <c r="E694" s="19"/>
      <c r="F694" s="19"/>
      <c r="G694" s="19"/>
      <c r="H694" s="19">
        <v>586.85</v>
      </c>
      <c r="I694" s="19"/>
      <c r="J694" s="19">
        <v>1790.8</v>
      </c>
      <c r="K694" s="19"/>
      <c r="L694" s="19"/>
      <c r="M694" s="19">
        <v>2377.65</v>
      </c>
    </row>
    <row r="695" spans="1:13" s="20" customFormat="1" x14ac:dyDescent="0.25">
      <c r="A695" s="21" t="s">
        <v>61</v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>
        <v>3500</v>
      </c>
      <c r="M695" s="19">
        <v>3500</v>
      </c>
    </row>
    <row r="696" spans="1:13" s="20" customFormat="1" x14ac:dyDescent="0.25">
      <c r="A696" s="21" t="s">
        <v>3581</v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>
        <v>1089</v>
      </c>
      <c r="L696" s="19"/>
      <c r="M696" s="19">
        <v>1089</v>
      </c>
    </row>
    <row r="697" spans="1:13" s="20" customFormat="1" x14ac:dyDescent="0.25">
      <c r="A697" s="21" t="s">
        <v>3588</v>
      </c>
      <c r="B697" s="19"/>
      <c r="C697" s="19"/>
      <c r="D697" s="19"/>
      <c r="E697" s="19"/>
      <c r="F697" s="19"/>
      <c r="G697" s="19"/>
      <c r="H697" s="19">
        <v>7200</v>
      </c>
      <c r="I697" s="19"/>
      <c r="J697" s="19"/>
      <c r="K697" s="19"/>
      <c r="L697" s="19"/>
      <c r="M697" s="19">
        <v>7200</v>
      </c>
    </row>
    <row r="698" spans="1:13" s="20" customFormat="1" x14ac:dyDescent="0.25">
      <c r="A698" s="21" t="s">
        <v>88</v>
      </c>
      <c r="B698" s="19"/>
      <c r="C698" s="19"/>
      <c r="D698" s="19"/>
      <c r="E698" s="19"/>
      <c r="F698" s="19"/>
      <c r="G698" s="19"/>
      <c r="H698" s="19">
        <v>968</v>
      </c>
      <c r="I698" s="19"/>
      <c r="J698" s="19">
        <v>16.73</v>
      </c>
      <c r="K698" s="19"/>
      <c r="L698" s="19">
        <v>500</v>
      </c>
      <c r="M698" s="19">
        <v>1484.73</v>
      </c>
    </row>
    <row r="699" spans="1:13" s="20" customFormat="1" x14ac:dyDescent="0.25">
      <c r="A699" s="21" t="s">
        <v>449</v>
      </c>
      <c r="B699" s="19"/>
      <c r="C699" s="19"/>
      <c r="D699" s="19">
        <v>500</v>
      </c>
      <c r="E699" s="19"/>
      <c r="F699" s="19"/>
      <c r="G699" s="19"/>
      <c r="H699" s="19"/>
      <c r="I699" s="19"/>
      <c r="J699" s="19"/>
      <c r="K699" s="19"/>
      <c r="L699" s="19"/>
      <c r="M699" s="19">
        <v>500</v>
      </c>
    </row>
    <row r="700" spans="1:13" s="20" customFormat="1" x14ac:dyDescent="0.25">
      <c r="A700" s="21" t="s">
        <v>1879</v>
      </c>
      <c r="B700" s="19">
        <v>3025</v>
      </c>
      <c r="C700" s="19"/>
      <c r="D700" s="19"/>
      <c r="E700" s="19">
        <v>726</v>
      </c>
      <c r="F700" s="19"/>
      <c r="G700" s="19"/>
      <c r="H700" s="19"/>
      <c r="I700" s="19"/>
      <c r="J700" s="19"/>
      <c r="K700" s="19"/>
      <c r="L700" s="19"/>
      <c r="M700" s="19">
        <v>3751</v>
      </c>
    </row>
    <row r="701" spans="1:13" s="20" customFormat="1" x14ac:dyDescent="0.25">
      <c r="A701" s="21" t="s">
        <v>3602</v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>
        <v>100</v>
      </c>
      <c r="M701" s="19">
        <v>100</v>
      </c>
    </row>
    <row r="702" spans="1:13" s="20" customFormat="1" x14ac:dyDescent="0.25">
      <c r="A702" s="21" t="s">
        <v>493</v>
      </c>
      <c r="B702" s="19"/>
      <c r="C702" s="19"/>
      <c r="D702" s="19"/>
      <c r="E702" s="19">
        <v>1100.32</v>
      </c>
      <c r="F702" s="19"/>
      <c r="G702" s="19"/>
      <c r="H702" s="19"/>
      <c r="I702" s="19"/>
      <c r="J702" s="19"/>
      <c r="K702" s="19"/>
      <c r="L702" s="19"/>
      <c r="M702" s="19">
        <v>1100.32</v>
      </c>
    </row>
    <row r="703" spans="1:13" s="20" customFormat="1" ht="25.5" x14ac:dyDescent="0.25">
      <c r="A703" s="21" t="s">
        <v>797</v>
      </c>
      <c r="B703" s="19"/>
      <c r="C703" s="19"/>
      <c r="D703" s="19">
        <v>290.39999999999998</v>
      </c>
      <c r="E703" s="19"/>
      <c r="F703" s="19"/>
      <c r="G703" s="19"/>
      <c r="H703" s="19"/>
      <c r="I703" s="19"/>
      <c r="J703" s="19"/>
      <c r="K703" s="19"/>
      <c r="L703" s="19"/>
      <c r="M703" s="19">
        <v>290.39999999999998</v>
      </c>
    </row>
    <row r="704" spans="1:13" s="20" customFormat="1" x14ac:dyDescent="0.25">
      <c r="A704" s="21" t="s">
        <v>3656</v>
      </c>
      <c r="B704" s="19"/>
      <c r="C704" s="19"/>
      <c r="D704" s="19"/>
      <c r="E704" s="19">
        <v>89.39</v>
      </c>
      <c r="F704" s="19"/>
      <c r="G704" s="19"/>
      <c r="H704" s="19"/>
      <c r="I704" s="19"/>
      <c r="J704" s="19"/>
      <c r="K704" s="19">
        <v>87</v>
      </c>
      <c r="L704" s="19"/>
      <c r="M704" s="19">
        <v>176.39</v>
      </c>
    </row>
    <row r="705" spans="1:13" s="20" customFormat="1" x14ac:dyDescent="0.25">
      <c r="A705" s="21" t="s">
        <v>3609</v>
      </c>
      <c r="B705" s="19"/>
      <c r="C705" s="19"/>
      <c r="D705" s="19"/>
      <c r="E705" s="19"/>
      <c r="F705" s="19">
        <v>169.4</v>
      </c>
      <c r="G705" s="19"/>
      <c r="H705" s="19"/>
      <c r="I705" s="19"/>
      <c r="J705" s="19"/>
      <c r="K705" s="19"/>
      <c r="L705" s="19"/>
      <c r="M705" s="19">
        <v>169.4</v>
      </c>
    </row>
    <row r="706" spans="1:13" s="20" customFormat="1" x14ac:dyDescent="0.25">
      <c r="A706" s="21" t="s">
        <v>492</v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>
        <v>1452.02</v>
      </c>
      <c r="M706" s="19">
        <v>1452.02</v>
      </c>
    </row>
    <row r="707" spans="1:13" s="20" customFormat="1" x14ac:dyDescent="0.25">
      <c r="A707" s="21" t="s">
        <v>402</v>
      </c>
      <c r="B707" s="19"/>
      <c r="C707" s="19"/>
      <c r="D707" s="19"/>
      <c r="E707" s="19">
        <v>6918.35</v>
      </c>
      <c r="F707" s="19"/>
      <c r="G707" s="19"/>
      <c r="H707" s="19">
        <v>7647.2</v>
      </c>
      <c r="I707" s="19"/>
      <c r="J707" s="19"/>
      <c r="K707" s="19"/>
      <c r="L707" s="19"/>
      <c r="M707" s="19">
        <v>14565.55</v>
      </c>
    </row>
    <row r="708" spans="1:13" s="20" customFormat="1" x14ac:dyDescent="0.25">
      <c r="A708" s="21" t="s">
        <v>4808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4393.3900000000003</v>
      </c>
      <c r="M708" s="19">
        <v>4393.3900000000003</v>
      </c>
    </row>
    <row r="709" spans="1:13" s="20" customFormat="1" x14ac:dyDescent="0.25">
      <c r="A709" s="21" t="s">
        <v>575</v>
      </c>
      <c r="B709" s="19"/>
      <c r="C709" s="19"/>
      <c r="D709" s="19"/>
      <c r="E709" s="19"/>
      <c r="F709" s="19">
        <v>5280</v>
      </c>
      <c r="G709" s="19"/>
      <c r="H709" s="19"/>
      <c r="I709" s="19"/>
      <c r="J709" s="19"/>
      <c r="K709" s="19"/>
      <c r="L709" s="19"/>
      <c r="M709" s="19">
        <v>5280</v>
      </c>
    </row>
    <row r="710" spans="1:13" s="20" customFormat="1" x14ac:dyDescent="0.25">
      <c r="A710" s="21" t="s">
        <v>3619</v>
      </c>
      <c r="B710" s="19"/>
      <c r="C710" s="19"/>
      <c r="D710" s="19">
        <v>1437.48</v>
      </c>
      <c r="E710" s="19"/>
      <c r="F710" s="19"/>
      <c r="G710" s="19"/>
      <c r="H710" s="19"/>
      <c r="I710" s="19"/>
      <c r="J710" s="19"/>
      <c r="K710" s="19"/>
      <c r="L710" s="19"/>
      <c r="M710" s="19">
        <v>1437.48</v>
      </c>
    </row>
    <row r="711" spans="1:13" s="20" customFormat="1" x14ac:dyDescent="0.25">
      <c r="A711" s="21" t="s">
        <v>3626</v>
      </c>
      <c r="B711" s="19"/>
      <c r="C711" s="19"/>
      <c r="D711" s="19"/>
      <c r="E711" s="19"/>
      <c r="F711" s="19"/>
      <c r="G711" s="19">
        <v>305.20999999999998</v>
      </c>
      <c r="H711" s="19"/>
      <c r="I711" s="19"/>
      <c r="J711" s="19"/>
      <c r="K711" s="19"/>
      <c r="L711" s="19"/>
      <c r="M711" s="19">
        <v>305.20999999999998</v>
      </c>
    </row>
    <row r="712" spans="1:13" s="20" customFormat="1" x14ac:dyDescent="0.25">
      <c r="A712" s="21" t="s">
        <v>5388</v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>
        <v>225</v>
      </c>
      <c r="L712" s="19"/>
      <c r="M712" s="19">
        <v>225</v>
      </c>
    </row>
    <row r="713" spans="1:13" s="20" customFormat="1" x14ac:dyDescent="0.25">
      <c r="A713" s="21" t="s">
        <v>3628</v>
      </c>
      <c r="B713" s="19"/>
      <c r="C713" s="19"/>
      <c r="D713" s="19"/>
      <c r="E713" s="19"/>
      <c r="F713" s="19"/>
      <c r="G713" s="19"/>
      <c r="H713" s="19"/>
      <c r="I713" s="19"/>
      <c r="J713" s="19">
        <v>363</v>
      </c>
      <c r="K713" s="19"/>
      <c r="L713" s="19"/>
      <c r="M713" s="19">
        <v>363</v>
      </c>
    </row>
    <row r="714" spans="1:13" s="20" customFormat="1" x14ac:dyDescent="0.25">
      <c r="A714" s="21" t="s">
        <v>317</v>
      </c>
      <c r="B714" s="19"/>
      <c r="C714" s="19"/>
      <c r="D714" s="19"/>
      <c r="E714" s="19"/>
      <c r="F714" s="19">
        <v>676.36</v>
      </c>
      <c r="G714" s="19"/>
      <c r="H714" s="19"/>
      <c r="I714" s="19"/>
      <c r="J714" s="19"/>
      <c r="K714" s="19"/>
      <c r="L714" s="19"/>
      <c r="M714" s="19">
        <v>676.36</v>
      </c>
    </row>
    <row r="715" spans="1:13" s="20" customFormat="1" x14ac:dyDescent="0.25">
      <c r="A715" s="21" t="s">
        <v>96</v>
      </c>
      <c r="B715" s="19">
        <v>7253.95</v>
      </c>
      <c r="C715" s="19"/>
      <c r="D715" s="19">
        <v>37.090000000000003</v>
      </c>
      <c r="E715" s="19"/>
      <c r="F715" s="19"/>
      <c r="G715" s="19">
        <v>500</v>
      </c>
      <c r="H715" s="19"/>
      <c r="I715" s="19"/>
      <c r="J715" s="19">
        <v>454.96000000000004</v>
      </c>
      <c r="K715" s="19">
        <v>900</v>
      </c>
      <c r="L715" s="19">
        <v>6570.55</v>
      </c>
      <c r="M715" s="19">
        <v>15716.55</v>
      </c>
    </row>
    <row r="716" spans="1:13" s="20" customFormat="1" x14ac:dyDescent="0.25">
      <c r="A716" s="21" t="s">
        <v>3643</v>
      </c>
      <c r="B716" s="19"/>
      <c r="C716" s="19">
        <v>6292</v>
      </c>
      <c r="D716" s="19"/>
      <c r="E716" s="19"/>
      <c r="F716" s="19"/>
      <c r="G716" s="19"/>
      <c r="H716" s="19"/>
      <c r="I716" s="19"/>
      <c r="J716" s="19"/>
      <c r="K716" s="19"/>
      <c r="L716" s="19"/>
      <c r="M716" s="19">
        <v>6292</v>
      </c>
    </row>
    <row r="717" spans="1:13" s="20" customFormat="1" x14ac:dyDescent="0.25">
      <c r="A717" s="21" t="s">
        <v>4814</v>
      </c>
      <c r="B717" s="19"/>
      <c r="C717" s="19"/>
      <c r="D717" s="19"/>
      <c r="E717" s="19"/>
      <c r="F717" s="19">
        <v>61.6</v>
      </c>
      <c r="G717" s="19"/>
      <c r="H717" s="19"/>
      <c r="I717" s="19"/>
      <c r="J717" s="19"/>
      <c r="K717" s="19">
        <v>101.98</v>
      </c>
      <c r="L717" s="19"/>
      <c r="M717" s="19">
        <v>163.58000000000001</v>
      </c>
    </row>
    <row r="718" spans="1:13" s="20" customFormat="1" x14ac:dyDescent="0.25">
      <c r="A718" s="21" t="s">
        <v>3646</v>
      </c>
      <c r="B718" s="19">
        <v>5541.8</v>
      </c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>
        <v>5541.8</v>
      </c>
    </row>
    <row r="719" spans="1:13" s="20" customFormat="1" x14ac:dyDescent="0.25">
      <c r="A719" s="21" t="s">
        <v>3648</v>
      </c>
      <c r="B719" s="19">
        <v>150</v>
      </c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>
        <v>150</v>
      </c>
    </row>
    <row r="720" spans="1:13" s="20" customFormat="1" x14ac:dyDescent="0.25">
      <c r="A720" s="21" t="s">
        <v>3650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>
        <v>2100.4</v>
      </c>
      <c r="L720" s="19"/>
      <c r="M720" s="19">
        <v>2100.4</v>
      </c>
    </row>
    <row r="721" spans="1:13" s="20" customFormat="1" x14ac:dyDescent="0.25">
      <c r="A721" s="21" t="s">
        <v>3653</v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>
        <v>7260</v>
      </c>
      <c r="M721" s="19">
        <v>7260</v>
      </c>
    </row>
    <row r="722" spans="1:13" s="20" customFormat="1" x14ac:dyDescent="0.25">
      <c r="A722" s="21" t="s">
        <v>3668</v>
      </c>
      <c r="B722" s="19"/>
      <c r="C722" s="19"/>
      <c r="D722" s="19"/>
      <c r="E722" s="19"/>
      <c r="F722" s="19"/>
      <c r="G722" s="19"/>
      <c r="H722" s="19"/>
      <c r="I722" s="19"/>
      <c r="J722" s="19">
        <v>17136.02</v>
      </c>
      <c r="K722" s="19"/>
      <c r="L722" s="19"/>
      <c r="M722" s="19">
        <v>17136.02</v>
      </c>
    </row>
    <row r="723" spans="1:13" s="20" customFormat="1" x14ac:dyDescent="0.25">
      <c r="A723" s="21" t="s">
        <v>3670</v>
      </c>
      <c r="B723" s="19"/>
      <c r="C723" s="19"/>
      <c r="D723" s="19"/>
      <c r="E723" s="19"/>
      <c r="F723" s="19">
        <v>2420</v>
      </c>
      <c r="G723" s="19"/>
      <c r="H723" s="19"/>
      <c r="I723" s="19"/>
      <c r="J723" s="19"/>
      <c r="K723" s="19"/>
      <c r="L723" s="19"/>
      <c r="M723" s="19">
        <v>2420</v>
      </c>
    </row>
    <row r="724" spans="1:13" s="20" customFormat="1" x14ac:dyDescent="0.25">
      <c r="A724" s="21" t="s">
        <v>3672</v>
      </c>
      <c r="B724" s="19"/>
      <c r="C724" s="19"/>
      <c r="D724" s="19"/>
      <c r="E724" s="19"/>
      <c r="F724" s="19"/>
      <c r="G724" s="19"/>
      <c r="H724" s="19"/>
      <c r="I724" s="19"/>
      <c r="J724" s="19">
        <v>1149.5</v>
      </c>
      <c r="K724" s="19"/>
      <c r="L724" s="19"/>
      <c r="M724" s="19">
        <v>1149.5</v>
      </c>
    </row>
    <row r="725" spans="1:13" s="20" customFormat="1" x14ac:dyDescent="0.25">
      <c r="A725" s="21" t="s">
        <v>344</v>
      </c>
      <c r="B725" s="19"/>
      <c r="C725" s="19"/>
      <c r="D725" s="19"/>
      <c r="E725" s="19"/>
      <c r="F725" s="19"/>
      <c r="G725" s="19"/>
      <c r="H725" s="19">
        <v>7260</v>
      </c>
      <c r="I725" s="19"/>
      <c r="J725" s="19"/>
      <c r="K725" s="19"/>
      <c r="L725" s="19"/>
      <c r="M725" s="19">
        <v>7260</v>
      </c>
    </row>
    <row r="726" spans="1:13" s="20" customFormat="1" x14ac:dyDescent="0.25">
      <c r="A726" s="21" t="s">
        <v>3677</v>
      </c>
      <c r="B726" s="19"/>
      <c r="C726" s="19"/>
      <c r="D726" s="19"/>
      <c r="E726" s="19"/>
      <c r="F726" s="19"/>
      <c r="G726" s="19"/>
      <c r="H726" s="19"/>
      <c r="I726" s="19"/>
      <c r="J726" s="19">
        <v>2204.62</v>
      </c>
      <c r="K726" s="19"/>
      <c r="L726" s="19"/>
      <c r="M726" s="19">
        <v>2204.62</v>
      </c>
    </row>
    <row r="727" spans="1:13" s="20" customFormat="1" x14ac:dyDescent="0.25">
      <c r="A727" s="21" t="s">
        <v>463</v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>
        <v>1911.8</v>
      </c>
      <c r="L727" s="19"/>
      <c r="M727" s="19">
        <v>1911.8</v>
      </c>
    </row>
    <row r="728" spans="1:13" s="20" customFormat="1" x14ac:dyDescent="0.25">
      <c r="A728" s="21" t="s">
        <v>415</v>
      </c>
      <c r="B728" s="19">
        <v>7030.32</v>
      </c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>
        <v>7030.32</v>
      </c>
    </row>
    <row r="729" spans="1:13" s="20" customFormat="1" x14ac:dyDescent="0.25">
      <c r="A729" s="21" t="s">
        <v>322</v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>
        <v>2000</v>
      </c>
      <c r="M729" s="19">
        <v>2000</v>
      </c>
    </row>
    <row r="730" spans="1:13" s="20" customFormat="1" x14ac:dyDescent="0.25">
      <c r="A730" s="21" t="s">
        <v>3238</v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>
        <v>632.25</v>
      </c>
      <c r="L730" s="19"/>
      <c r="M730" s="19">
        <v>632.25</v>
      </c>
    </row>
    <row r="731" spans="1:13" s="20" customFormat="1" x14ac:dyDescent="0.25">
      <c r="A731" s="21" t="s">
        <v>4819</v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>
        <v>122.14</v>
      </c>
      <c r="M731" s="19">
        <v>122.14</v>
      </c>
    </row>
    <row r="732" spans="1:13" s="20" customFormat="1" x14ac:dyDescent="0.25">
      <c r="A732" s="21" t="s">
        <v>2730</v>
      </c>
      <c r="B732" s="19">
        <v>3630</v>
      </c>
      <c r="C732" s="19"/>
      <c r="D732" s="19">
        <v>3630</v>
      </c>
      <c r="E732" s="19"/>
      <c r="F732" s="19"/>
      <c r="G732" s="19"/>
      <c r="H732" s="19"/>
      <c r="I732" s="19"/>
      <c r="J732" s="19"/>
      <c r="K732" s="19"/>
      <c r="L732" s="19"/>
      <c r="M732" s="19">
        <v>7260</v>
      </c>
    </row>
    <row r="733" spans="1:13" s="20" customFormat="1" ht="25.5" x14ac:dyDescent="0.25">
      <c r="A733" s="21" t="s">
        <v>409</v>
      </c>
      <c r="B733" s="19"/>
      <c r="C733" s="19"/>
      <c r="D733" s="19"/>
      <c r="E733" s="19"/>
      <c r="F733" s="19"/>
      <c r="G733" s="19"/>
      <c r="H733" s="19">
        <v>0</v>
      </c>
      <c r="I733" s="19"/>
      <c r="J733" s="19"/>
      <c r="K733" s="19"/>
      <c r="L733" s="19">
        <v>2136.0100000000002</v>
      </c>
      <c r="M733" s="19">
        <v>2136.0100000000002</v>
      </c>
    </row>
    <row r="734" spans="1:13" s="20" customFormat="1" x14ac:dyDescent="0.25">
      <c r="A734" s="21" t="s">
        <v>3732</v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>
        <v>2063.0500000000002</v>
      </c>
      <c r="L734" s="19"/>
      <c r="M734" s="19">
        <v>2063.0500000000002</v>
      </c>
    </row>
    <row r="735" spans="1:13" s="20" customFormat="1" x14ac:dyDescent="0.25">
      <c r="A735" s="21" t="s">
        <v>3739</v>
      </c>
      <c r="B735" s="19">
        <v>32474.47</v>
      </c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>
        <v>32474.47</v>
      </c>
    </row>
    <row r="736" spans="1:13" s="20" customFormat="1" x14ac:dyDescent="0.25">
      <c r="A736" s="21" t="s">
        <v>3742</v>
      </c>
      <c r="B736" s="19"/>
      <c r="C736" s="19"/>
      <c r="D736" s="19">
        <v>7260</v>
      </c>
      <c r="E736" s="19"/>
      <c r="F736" s="19"/>
      <c r="G736" s="19">
        <v>1161.5999999999999</v>
      </c>
      <c r="H736" s="19"/>
      <c r="I736" s="19"/>
      <c r="J736" s="19"/>
      <c r="K736" s="19"/>
      <c r="L736" s="19"/>
      <c r="M736" s="19">
        <v>8421.6</v>
      </c>
    </row>
    <row r="737" spans="1:13" s="20" customFormat="1" x14ac:dyDescent="0.25">
      <c r="A737" s="21" t="s">
        <v>5503</v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>
        <v>330</v>
      </c>
      <c r="M737" s="19">
        <v>330</v>
      </c>
    </row>
    <row r="738" spans="1:13" s="20" customFormat="1" x14ac:dyDescent="0.25">
      <c r="A738" s="21" t="s">
        <v>3744</v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>
        <v>2301</v>
      </c>
      <c r="M738" s="19">
        <v>2301</v>
      </c>
    </row>
    <row r="739" spans="1:13" s="20" customFormat="1" x14ac:dyDescent="0.25">
      <c r="A739" s="21" t="s">
        <v>2187</v>
      </c>
      <c r="B739" s="19"/>
      <c r="C739" s="19">
        <v>476.21</v>
      </c>
      <c r="D739" s="19"/>
      <c r="E739" s="19"/>
      <c r="F739" s="19"/>
      <c r="G739" s="19"/>
      <c r="H739" s="19"/>
      <c r="I739" s="19"/>
      <c r="J739" s="19"/>
      <c r="K739" s="19"/>
      <c r="L739" s="19"/>
      <c r="M739" s="19">
        <v>476.21</v>
      </c>
    </row>
    <row r="740" spans="1:13" s="20" customFormat="1" x14ac:dyDescent="0.25">
      <c r="A740" s="21" t="s">
        <v>109</v>
      </c>
      <c r="B740" s="19"/>
      <c r="C740" s="19"/>
      <c r="D740" s="19"/>
      <c r="E740" s="19"/>
      <c r="F740" s="19"/>
      <c r="G740" s="19">
        <v>1000</v>
      </c>
      <c r="H740" s="19"/>
      <c r="I740" s="19"/>
      <c r="J740" s="19"/>
      <c r="K740" s="19"/>
      <c r="L740" s="19"/>
      <c r="M740" s="19">
        <v>1000</v>
      </c>
    </row>
    <row r="741" spans="1:13" s="20" customFormat="1" x14ac:dyDescent="0.25">
      <c r="A741" s="21" t="s">
        <v>86</v>
      </c>
      <c r="B741" s="19"/>
      <c r="C741" s="19"/>
      <c r="D741" s="19"/>
      <c r="E741" s="19"/>
      <c r="F741" s="19"/>
      <c r="G741" s="19">
        <v>1004.4</v>
      </c>
      <c r="H741" s="19"/>
      <c r="I741" s="19"/>
      <c r="J741" s="19"/>
      <c r="K741" s="19"/>
      <c r="L741" s="19"/>
      <c r="M741" s="19">
        <v>1004.4</v>
      </c>
    </row>
    <row r="742" spans="1:13" s="20" customFormat="1" x14ac:dyDescent="0.25">
      <c r="A742" s="21" t="s">
        <v>3750</v>
      </c>
      <c r="B742" s="19"/>
      <c r="C742" s="19"/>
      <c r="D742" s="19"/>
      <c r="E742" s="19"/>
      <c r="F742" s="19"/>
      <c r="G742" s="19">
        <v>8640</v>
      </c>
      <c r="H742" s="19"/>
      <c r="I742" s="19"/>
      <c r="J742" s="19"/>
      <c r="K742" s="19"/>
      <c r="L742" s="19"/>
      <c r="M742" s="19">
        <v>8640</v>
      </c>
    </row>
    <row r="743" spans="1:13" s="20" customFormat="1" x14ac:dyDescent="0.25">
      <c r="A743" s="21" t="s">
        <v>311</v>
      </c>
      <c r="B743" s="19">
        <v>216797.19000000003</v>
      </c>
      <c r="C743" s="19">
        <v>272205.44000000012</v>
      </c>
      <c r="D743" s="19">
        <v>258586.39999999997</v>
      </c>
      <c r="E743" s="19">
        <v>180348.67000000004</v>
      </c>
      <c r="F743" s="19">
        <v>484467.07000000007</v>
      </c>
      <c r="G743" s="19">
        <v>777201.9300000004</v>
      </c>
      <c r="H743" s="19">
        <v>228760.65999999997</v>
      </c>
      <c r="I743" s="19">
        <v>193590.53999999998</v>
      </c>
      <c r="J743" s="19">
        <v>161387.16999999998</v>
      </c>
      <c r="K743" s="19">
        <v>307442.29999999993</v>
      </c>
      <c r="L743" s="19">
        <v>781398.14000000025</v>
      </c>
      <c r="M743" s="19">
        <v>3862185.5099999979</v>
      </c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 s="50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0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0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 SEMESTRE 2023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500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5505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21" t="s">
        <v>346</v>
      </c>
      <c r="B2" s="19"/>
      <c r="C2" s="19">
        <v>5025.55</v>
      </c>
      <c r="D2" s="19">
        <v>483.71</v>
      </c>
      <c r="E2" s="19"/>
      <c r="F2" s="19">
        <v>32.54</v>
      </c>
      <c r="G2" s="19">
        <v>809.63000000000011</v>
      </c>
      <c r="H2" s="19"/>
      <c r="I2" s="19"/>
      <c r="J2" s="19"/>
      <c r="K2" s="19"/>
      <c r="L2" s="19">
        <v>322.14</v>
      </c>
      <c r="M2" s="23">
        <f>SUM(Tabla2[[#This Row],[01. Alcaldía]:[11. Salud pública y seguridad ciudadana]])</f>
        <v>6673.5700000000006</v>
      </c>
    </row>
    <row r="3" spans="1:13" x14ac:dyDescent="0.25">
      <c r="A3" s="21" t="s">
        <v>2360</v>
      </c>
      <c r="B3" s="19"/>
      <c r="C3" s="19"/>
      <c r="D3" s="19">
        <v>200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200</v>
      </c>
    </row>
    <row r="4" spans="1:13" x14ac:dyDescent="0.25">
      <c r="A4" s="21" t="s">
        <v>1888</v>
      </c>
      <c r="B4" s="19"/>
      <c r="C4" s="19"/>
      <c r="D4" s="19">
        <v>750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750</v>
      </c>
    </row>
    <row r="5" spans="1:13" x14ac:dyDescent="0.25">
      <c r="A5" s="21" t="s">
        <v>3791</v>
      </c>
      <c r="B5" s="19"/>
      <c r="C5" s="19"/>
      <c r="D5" s="19"/>
      <c r="E5" s="19"/>
      <c r="F5" s="19"/>
      <c r="G5" s="19"/>
      <c r="H5" s="19"/>
      <c r="I5" s="19"/>
      <c r="J5" s="19"/>
      <c r="K5" s="19">
        <v>1775</v>
      </c>
      <c r="L5" s="19"/>
      <c r="M5" s="23">
        <f>SUM(Tabla2[[#This Row],[01. Alcaldía]:[11. Salud pública y seguridad ciudadana]])</f>
        <v>1775</v>
      </c>
    </row>
    <row r="6" spans="1:13" x14ac:dyDescent="0.25">
      <c r="A6" s="21" t="s">
        <v>3795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423.52</v>
      </c>
      <c r="M6" s="23">
        <f>SUM(Tabla2[[#This Row],[01. Alcaldía]:[11. Salud pública y seguridad ciudadana]])</f>
        <v>423.52</v>
      </c>
    </row>
    <row r="7" spans="1:13" x14ac:dyDescent="0.25">
      <c r="A7" s="21" t="s">
        <v>1658</v>
      </c>
      <c r="B7" s="19"/>
      <c r="C7" s="19"/>
      <c r="D7" s="19"/>
      <c r="E7" s="19"/>
      <c r="F7" s="19"/>
      <c r="G7" s="19">
        <v>3815</v>
      </c>
      <c r="H7" s="19"/>
      <c r="I7" s="19"/>
      <c r="J7" s="19"/>
      <c r="K7" s="19">
        <v>617.09999999999991</v>
      </c>
      <c r="L7" s="19"/>
      <c r="M7" s="23">
        <f>SUM(Tabla2[[#This Row],[01. Alcaldía]:[11. Salud pública y seguridad ciudadana]])</f>
        <v>4432.1000000000004</v>
      </c>
    </row>
    <row r="8" spans="1:13" x14ac:dyDescent="0.25">
      <c r="A8" s="21" t="s">
        <v>328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845</v>
      </c>
      <c r="M8" s="23">
        <f>SUM(Tabla2[[#This Row],[01. Alcaldía]:[11. Salud pública y seguridad ciudadana]])</f>
        <v>845</v>
      </c>
    </row>
    <row r="9" spans="1:13" x14ac:dyDescent="0.25">
      <c r="A9" s="21" t="s">
        <v>3120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1199.3</v>
      </c>
      <c r="M9" s="23">
        <f>SUM(Tabla2[[#This Row],[01. Alcaldía]:[11. Salud pública y seguridad ciudadana]])</f>
        <v>1199.3</v>
      </c>
    </row>
    <row r="10" spans="1:13" x14ac:dyDescent="0.25">
      <c r="A10" s="21" t="s">
        <v>28</v>
      </c>
      <c r="B10" s="19">
        <v>9922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SUM(Tabla2[[#This Row],[01. Alcaldía]:[11. Salud pública y seguridad ciudadana]])</f>
        <v>9922</v>
      </c>
    </row>
    <row r="11" spans="1:13" x14ac:dyDescent="0.25">
      <c r="A11" s="21" t="s">
        <v>27</v>
      </c>
      <c r="B11" s="19">
        <v>11750.25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SUM(Tabla2[[#This Row],[01. Alcaldía]:[11. Salud pública y seguridad ciudadana]])</f>
        <v>11750.25</v>
      </c>
    </row>
    <row r="12" spans="1:13" x14ac:dyDescent="0.25">
      <c r="A12" s="21" t="s">
        <v>4029</v>
      </c>
      <c r="B12" s="19"/>
      <c r="C12" s="19"/>
      <c r="D12" s="19"/>
      <c r="E12" s="19"/>
      <c r="F12" s="19">
        <v>10769</v>
      </c>
      <c r="G12" s="19"/>
      <c r="H12" s="19"/>
      <c r="I12" s="19"/>
      <c r="J12" s="19"/>
      <c r="K12" s="19"/>
      <c r="L12" s="19"/>
      <c r="M12" s="23">
        <f>SUM(Tabla2[[#This Row],[01. Alcaldía]:[11. Salud pública y seguridad ciudadana]])</f>
        <v>10769</v>
      </c>
    </row>
    <row r="13" spans="1:13" x14ac:dyDescent="0.25">
      <c r="A13" s="21" t="s">
        <v>3799</v>
      </c>
      <c r="B13" s="19"/>
      <c r="C13" s="19"/>
      <c r="D13" s="19"/>
      <c r="E13" s="19"/>
      <c r="F13" s="19"/>
      <c r="G13" s="19"/>
      <c r="H13" s="19">
        <v>11670.45</v>
      </c>
      <c r="I13" s="19"/>
      <c r="J13" s="19"/>
      <c r="K13" s="19"/>
      <c r="L13" s="19"/>
      <c r="M13" s="23">
        <f>SUM(Tabla2[[#This Row],[01. Alcaldía]:[11. Salud pública y seguridad ciudadana]])</f>
        <v>11670.45</v>
      </c>
    </row>
    <row r="14" spans="1:13" x14ac:dyDescent="0.25">
      <c r="A14" s="21" t="s">
        <v>384</v>
      </c>
      <c r="B14" s="19"/>
      <c r="C14" s="19"/>
      <c r="D14" s="19"/>
      <c r="E14" s="19"/>
      <c r="F14" s="19"/>
      <c r="G14" s="19"/>
      <c r="H14" s="19">
        <v>7260</v>
      </c>
      <c r="I14" s="19"/>
      <c r="J14" s="19"/>
      <c r="K14" s="19"/>
      <c r="L14" s="19"/>
      <c r="M14" s="23">
        <f>SUM(Tabla2[[#This Row],[01. Alcaldía]:[11. Salud pública y seguridad ciudadana]])</f>
        <v>7260</v>
      </c>
    </row>
    <row r="15" spans="1:13" x14ac:dyDescent="0.25">
      <c r="A15" s="21" t="s">
        <v>51</v>
      </c>
      <c r="B15" s="19"/>
      <c r="C15" s="19"/>
      <c r="D15" s="19"/>
      <c r="E15" s="19"/>
      <c r="F15" s="19">
        <v>39.81</v>
      </c>
      <c r="G15" s="19"/>
      <c r="H15" s="19"/>
      <c r="I15" s="19"/>
      <c r="J15" s="19"/>
      <c r="K15" s="19"/>
      <c r="L15" s="19"/>
      <c r="M15" s="23">
        <f>SUM(Tabla2[[#This Row],[01. Alcaldía]:[11. Salud pública y seguridad ciudadana]])</f>
        <v>39.81</v>
      </c>
    </row>
    <row r="16" spans="1:13" x14ac:dyDescent="0.25">
      <c r="A16" s="21" t="s">
        <v>3801</v>
      </c>
      <c r="B16" s="19"/>
      <c r="C16" s="19"/>
      <c r="D16" s="19">
        <v>550</v>
      </c>
      <c r="E16" s="19"/>
      <c r="F16" s="19"/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550</v>
      </c>
    </row>
    <row r="17" spans="1:13" x14ac:dyDescent="0.25">
      <c r="A17" s="21" t="s">
        <v>1044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8893.5</v>
      </c>
      <c r="L17" s="19"/>
      <c r="M17" s="23">
        <f>SUM(Tabla2[[#This Row],[01. Alcaldía]:[11. Salud pública y seguridad ciudadana]])</f>
        <v>8893.5</v>
      </c>
    </row>
    <row r="18" spans="1:13" x14ac:dyDescent="0.25">
      <c r="A18" s="21" t="s">
        <v>981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1989.28</v>
      </c>
      <c r="M18" s="23">
        <f>SUM(Tabla2[[#This Row],[01. Alcaldía]:[11. Salud pública y seguridad ciudadana]])</f>
        <v>1989.28</v>
      </c>
    </row>
    <row r="19" spans="1:13" x14ac:dyDescent="0.25">
      <c r="A19" s="21" t="s">
        <v>3803</v>
      </c>
      <c r="B19" s="19"/>
      <c r="C19" s="19"/>
      <c r="D19" s="19"/>
      <c r="E19" s="19"/>
      <c r="F19" s="19"/>
      <c r="G19" s="19"/>
      <c r="H19" s="19">
        <v>5445</v>
      </c>
      <c r="I19" s="19"/>
      <c r="J19" s="19"/>
      <c r="K19" s="19"/>
      <c r="L19" s="19"/>
      <c r="M19" s="23">
        <f>SUM(Tabla2[[#This Row],[01. Alcaldía]:[11. Salud pública y seguridad ciudadana]])</f>
        <v>5445</v>
      </c>
    </row>
    <row r="20" spans="1:13" x14ac:dyDescent="0.25">
      <c r="A20" s="21" t="s">
        <v>3487</v>
      </c>
      <c r="B20" s="19"/>
      <c r="C20" s="19"/>
      <c r="D20" s="19"/>
      <c r="E20" s="19"/>
      <c r="F20" s="19"/>
      <c r="G20" s="19">
        <v>320.64999999999998</v>
      </c>
      <c r="H20" s="19"/>
      <c r="I20" s="19"/>
      <c r="J20" s="19"/>
      <c r="K20" s="19"/>
      <c r="L20" s="19"/>
      <c r="M20" s="23">
        <f>SUM(Tabla2[[#This Row],[01. Alcaldía]:[11. Salud pública y seguridad ciudadana]])</f>
        <v>320.64999999999998</v>
      </c>
    </row>
    <row r="21" spans="1:13" x14ac:dyDescent="0.25">
      <c r="A21" s="21" t="s">
        <v>4284</v>
      </c>
      <c r="B21" s="19"/>
      <c r="C21" s="19"/>
      <c r="D21" s="19"/>
      <c r="E21" s="19"/>
      <c r="F21" s="19"/>
      <c r="G21" s="19"/>
      <c r="H21" s="19">
        <v>2500</v>
      </c>
      <c r="I21" s="19"/>
      <c r="J21" s="19"/>
      <c r="K21" s="19"/>
      <c r="L21" s="19"/>
      <c r="M21" s="23">
        <f>SUM(Tabla2[[#This Row],[01. Alcaldía]:[11. Salud pública y seguridad ciudadana]])</f>
        <v>2500</v>
      </c>
    </row>
    <row r="22" spans="1:13" x14ac:dyDescent="0.25">
      <c r="A22" s="21" t="s">
        <v>467</v>
      </c>
      <c r="B22" s="19"/>
      <c r="C22" s="19"/>
      <c r="D22" s="19"/>
      <c r="E22" s="19"/>
      <c r="F22" s="19"/>
      <c r="G22" s="19">
        <v>181.5</v>
      </c>
      <c r="H22" s="19"/>
      <c r="I22" s="19"/>
      <c r="J22" s="19"/>
      <c r="K22" s="19"/>
      <c r="L22" s="19"/>
      <c r="M22" s="23">
        <f>SUM(Tabla2[[#This Row],[01. Alcaldía]:[11. Salud pública y seguridad ciudadana]])</f>
        <v>181.5</v>
      </c>
    </row>
    <row r="23" spans="1:13" x14ac:dyDescent="0.25">
      <c r="A23" s="21" t="s">
        <v>104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330.45</v>
      </c>
      <c r="L23" s="19"/>
      <c r="M23" s="23">
        <f>SUM(Tabla2[[#This Row],[01. Alcaldía]:[11. Salud pública y seguridad ciudadana]])</f>
        <v>330.45</v>
      </c>
    </row>
    <row r="24" spans="1:13" x14ac:dyDescent="0.25">
      <c r="A24" s="21" t="s">
        <v>1664</v>
      </c>
      <c r="B24" s="19">
        <v>762.3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SUM(Tabla2[[#This Row],[01. Alcaldía]:[11. Salud pública y seguridad ciudadana]])</f>
        <v>762.3</v>
      </c>
    </row>
    <row r="25" spans="1:13" x14ac:dyDescent="0.25">
      <c r="A25" s="21" t="s">
        <v>5273</v>
      </c>
      <c r="B25" s="19"/>
      <c r="C25" s="19"/>
      <c r="D25" s="19"/>
      <c r="E25" s="19"/>
      <c r="F25" s="19"/>
      <c r="G25" s="19">
        <v>900</v>
      </c>
      <c r="H25" s="19"/>
      <c r="I25" s="19"/>
      <c r="J25" s="19"/>
      <c r="K25" s="19"/>
      <c r="L25" s="19"/>
      <c r="M25" s="23">
        <f>SUM(Tabla2[[#This Row],[01. Alcaldía]:[11. Salud pública y seguridad ciudadana]])</f>
        <v>900</v>
      </c>
    </row>
    <row r="26" spans="1:13" x14ac:dyDescent="0.25">
      <c r="A26" s="21" t="s">
        <v>1966</v>
      </c>
      <c r="B26" s="19"/>
      <c r="C26" s="19">
        <v>2904</v>
      </c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SUM(Tabla2[[#This Row],[01. Alcaldía]:[11. Salud pública y seguridad ciudadana]])</f>
        <v>2904</v>
      </c>
    </row>
    <row r="27" spans="1:13" x14ac:dyDescent="0.25">
      <c r="A27" s="21" t="s">
        <v>3493</v>
      </c>
      <c r="B27" s="19"/>
      <c r="C27" s="19"/>
      <c r="D27" s="19">
        <v>1045</v>
      </c>
      <c r="E27" s="19"/>
      <c r="F27" s="19"/>
      <c r="G27" s="19"/>
      <c r="H27" s="19"/>
      <c r="I27" s="19"/>
      <c r="J27" s="19"/>
      <c r="K27" s="19"/>
      <c r="L27" s="19"/>
      <c r="M27" s="23">
        <f>SUM(Tabla2[[#This Row],[01. Alcaldía]:[11. Salud pública y seguridad ciudadana]])</f>
        <v>1045</v>
      </c>
    </row>
    <row r="28" spans="1:13" x14ac:dyDescent="0.25">
      <c r="A28" s="21" t="s">
        <v>1675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2377.65</v>
      </c>
      <c r="L28" s="19"/>
      <c r="M28" s="23">
        <f>SUM(Tabla2[[#This Row],[01. Alcaldía]:[11. Salud pública y seguridad ciudadana]])</f>
        <v>2377.65</v>
      </c>
    </row>
    <row r="29" spans="1:13" x14ac:dyDescent="0.25">
      <c r="A29" s="21" t="s">
        <v>31</v>
      </c>
      <c r="B29" s="19"/>
      <c r="C29" s="19"/>
      <c r="D29" s="19">
        <v>605</v>
      </c>
      <c r="E29" s="19"/>
      <c r="F29" s="19"/>
      <c r="G29" s="19">
        <v>330</v>
      </c>
      <c r="H29" s="19"/>
      <c r="I29" s="19"/>
      <c r="J29" s="19"/>
      <c r="K29" s="19"/>
      <c r="L29" s="19"/>
      <c r="M29" s="23">
        <f>SUM(Tabla2[[#This Row],[01. Alcaldía]:[11. Salud pública y seguridad ciudadana]])</f>
        <v>935</v>
      </c>
    </row>
    <row r="30" spans="1:13" x14ac:dyDescent="0.25">
      <c r="A30" s="21" t="s">
        <v>486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2000</v>
      </c>
      <c r="M30" s="23">
        <f>SUM(Tabla2[[#This Row],[01. Alcaldía]:[11. Salud pública y seguridad ciudadana]])</f>
        <v>2000</v>
      </c>
    </row>
    <row r="31" spans="1:13" x14ac:dyDescent="0.25">
      <c r="A31" s="21" t="s">
        <v>2895</v>
      </c>
      <c r="B31" s="19"/>
      <c r="C31" s="19"/>
      <c r="D31" s="19"/>
      <c r="E31" s="19"/>
      <c r="F31" s="19"/>
      <c r="G31" s="19"/>
      <c r="H31" s="19">
        <v>1503.37</v>
      </c>
      <c r="I31" s="19"/>
      <c r="J31" s="19"/>
      <c r="K31" s="19"/>
      <c r="L31" s="19"/>
      <c r="M31" s="23">
        <f>SUM(Tabla2[[#This Row],[01. Alcaldía]:[11. Salud pública y seguridad ciudadana]])</f>
        <v>1503.37</v>
      </c>
    </row>
    <row r="32" spans="1:13" x14ac:dyDescent="0.25">
      <c r="A32" s="21" t="s">
        <v>763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11484.84</v>
      </c>
      <c r="M32" s="23">
        <f>SUM(Tabla2[[#This Row],[01. Alcaldía]:[11. Salud pública y seguridad ciudadana]])</f>
        <v>11484.84</v>
      </c>
    </row>
    <row r="33" spans="1:13" x14ac:dyDescent="0.25">
      <c r="A33" s="21" t="s">
        <v>44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7247.9</v>
      </c>
      <c r="M33" s="23">
        <f>SUM(Tabla2[[#This Row],[01. Alcaldía]:[11. Salud pública y seguridad ciudadana]])</f>
        <v>7247.9</v>
      </c>
    </row>
    <row r="34" spans="1:13" x14ac:dyDescent="0.25">
      <c r="A34" s="21" t="s">
        <v>457</v>
      </c>
      <c r="B34" s="19"/>
      <c r="C34" s="19"/>
      <c r="D34" s="19">
        <v>665.5</v>
      </c>
      <c r="E34" s="19"/>
      <c r="F34" s="19"/>
      <c r="G34" s="19">
        <v>410</v>
      </c>
      <c r="H34" s="19"/>
      <c r="I34" s="19"/>
      <c r="J34" s="19"/>
      <c r="K34" s="19"/>
      <c r="L34" s="19"/>
      <c r="M34" s="23">
        <f>SUM(Tabla2[[#This Row],[01. Alcaldía]:[11. Salud pública y seguridad ciudadana]])</f>
        <v>1075.5</v>
      </c>
    </row>
    <row r="35" spans="1:13" x14ac:dyDescent="0.25">
      <c r="A35" s="21" t="s">
        <v>5356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575</v>
      </c>
      <c r="L35" s="19"/>
      <c r="M35" s="23">
        <f>SUM(Tabla2[[#This Row],[01. Alcaldía]:[11. Salud pública y seguridad ciudadana]])</f>
        <v>575</v>
      </c>
    </row>
    <row r="36" spans="1:13" x14ac:dyDescent="0.25">
      <c r="A36" s="21" t="s">
        <v>2214</v>
      </c>
      <c r="B36" s="19"/>
      <c r="C36" s="19"/>
      <c r="D36" s="19"/>
      <c r="E36" s="19"/>
      <c r="F36" s="19">
        <v>6988.4000000000005</v>
      </c>
      <c r="G36" s="19">
        <v>907.5</v>
      </c>
      <c r="H36" s="19"/>
      <c r="I36" s="19"/>
      <c r="J36" s="19"/>
      <c r="K36" s="19"/>
      <c r="L36" s="19"/>
      <c r="M36" s="23">
        <f>SUM(Tabla2[[#This Row],[01. Alcaldía]:[11. Salud pública y seguridad ciudadana]])</f>
        <v>7895.9000000000005</v>
      </c>
    </row>
    <row r="37" spans="1:13" x14ac:dyDescent="0.25">
      <c r="A37" s="21" t="s">
        <v>5118</v>
      </c>
      <c r="B37" s="19"/>
      <c r="C37" s="19"/>
      <c r="D37" s="19"/>
      <c r="E37" s="19"/>
      <c r="F37" s="19"/>
      <c r="G37" s="19">
        <v>2500</v>
      </c>
      <c r="H37" s="19"/>
      <c r="I37" s="19"/>
      <c r="J37" s="19"/>
      <c r="K37" s="19"/>
      <c r="L37" s="19"/>
      <c r="M37" s="23">
        <f>SUM(Tabla2[[#This Row],[01. Alcaldía]:[11. Salud pública y seguridad ciudadana]])</f>
        <v>2500</v>
      </c>
    </row>
    <row r="38" spans="1:13" x14ac:dyDescent="0.25">
      <c r="A38" s="21" t="s">
        <v>1184</v>
      </c>
      <c r="B38" s="19"/>
      <c r="C38" s="19"/>
      <c r="D38" s="19"/>
      <c r="E38" s="19"/>
      <c r="F38" s="19"/>
      <c r="G38" s="19"/>
      <c r="H38" s="19"/>
      <c r="I38" s="19"/>
      <c r="J38" s="19">
        <v>4627.04</v>
      </c>
      <c r="K38" s="19"/>
      <c r="L38" s="19"/>
      <c r="M38" s="23">
        <f>SUM(Tabla2[[#This Row],[01. Alcaldía]:[11. Salud pública y seguridad ciudadana]])</f>
        <v>4627.04</v>
      </c>
    </row>
    <row r="39" spans="1:13" x14ac:dyDescent="0.25">
      <c r="A39" s="21" t="s">
        <v>487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1183.3800000000001</v>
      </c>
      <c r="L39" s="19"/>
      <c r="M39" s="23">
        <f>SUM(Tabla2[[#This Row],[01. Alcaldía]:[11. Salud pública y seguridad ciudadana]])</f>
        <v>1183.3800000000001</v>
      </c>
    </row>
    <row r="40" spans="1:13" x14ac:dyDescent="0.25">
      <c r="A40" s="21" t="s">
        <v>3827</v>
      </c>
      <c r="B40" s="19"/>
      <c r="C40" s="19"/>
      <c r="D40" s="19"/>
      <c r="E40" s="19"/>
      <c r="F40" s="19"/>
      <c r="G40" s="19">
        <v>2057</v>
      </c>
      <c r="H40" s="19"/>
      <c r="I40" s="19"/>
      <c r="J40" s="19"/>
      <c r="K40" s="19"/>
      <c r="L40" s="19"/>
      <c r="M40" s="23">
        <f>SUM(Tabla2[[#This Row],[01. Alcaldía]:[11. Salud pública y seguridad ciudadana]])</f>
        <v>2057</v>
      </c>
    </row>
    <row r="41" spans="1:13" x14ac:dyDescent="0.25">
      <c r="A41" s="21" t="s">
        <v>5487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48.4</v>
      </c>
      <c r="M41" s="23">
        <f>SUM(Tabla2[[#This Row],[01. Alcaldía]:[11. Salud pública y seguridad ciudadana]])</f>
        <v>48.4</v>
      </c>
    </row>
    <row r="42" spans="1:13" x14ac:dyDescent="0.25">
      <c r="A42" s="21" t="s">
        <v>32</v>
      </c>
      <c r="B42" s="19"/>
      <c r="C42" s="19"/>
      <c r="D42" s="19">
        <v>550</v>
      </c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550</v>
      </c>
    </row>
    <row r="43" spans="1:13" x14ac:dyDescent="0.25">
      <c r="A43" s="21" t="s">
        <v>3832</v>
      </c>
      <c r="B43" s="19"/>
      <c r="C43" s="19"/>
      <c r="D43" s="19"/>
      <c r="E43" s="19"/>
      <c r="F43" s="19"/>
      <c r="G43" s="19">
        <v>4719</v>
      </c>
      <c r="H43" s="19"/>
      <c r="I43" s="19"/>
      <c r="J43" s="19"/>
      <c r="K43" s="19"/>
      <c r="L43" s="19"/>
      <c r="M43" s="23">
        <f>SUM(Tabla2[[#This Row],[01. Alcaldía]:[11. Salud pública y seguridad ciudadana]])</f>
        <v>4719</v>
      </c>
    </row>
    <row r="44" spans="1:13" x14ac:dyDescent="0.25">
      <c r="A44" s="21" t="s">
        <v>2042</v>
      </c>
      <c r="B44" s="19"/>
      <c r="C44" s="19"/>
      <c r="D44" s="19"/>
      <c r="E44" s="19"/>
      <c r="F44" s="19"/>
      <c r="G44" s="19">
        <v>7772.5</v>
      </c>
      <c r="H44" s="19"/>
      <c r="I44" s="19"/>
      <c r="J44" s="19"/>
      <c r="K44" s="19"/>
      <c r="L44" s="19"/>
      <c r="M44" s="23">
        <f>SUM(Tabla2[[#This Row],[01. Alcaldía]:[11. Salud pública y seguridad ciudadana]])</f>
        <v>7772.5</v>
      </c>
    </row>
    <row r="45" spans="1:13" x14ac:dyDescent="0.25">
      <c r="A45" s="21" t="s">
        <v>3835</v>
      </c>
      <c r="B45" s="19">
        <v>508.81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SUM(Tabla2[[#This Row],[01. Alcaldía]:[11. Salud pública y seguridad ciudadana]])</f>
        <v>508.81</v>
      </c>
    </row>
    <row r="46" spans="1:13" x14ac:dyDescent="0.25">
      <c r="A46" s="21" t="s">
        <v>3860</v>
      </c>
      <c r="B46" s="19"/>
      <c r="C46" s="19"/>
      <c r="D46" s="19"/>
      <c r="E46" s="19"/>
      <c r="F46" s="19"/>
      <c r="G46" s="19"/>
      <c r="H46" s="19">
        <v>16637.5</v>
      </c>
      <c r="I46" s="19"/>
      <c r="J46" s="19"/>
      <c r="K46" s="19"/>
      <c r="L46" s="19"/>
      <c r="M46" s="23">
        <f>SUM(Tabla2[[#This Row],[01. Alcaldía]:[11. Salud pública y seguridad ciudadana]])</f>
        <v>16637.5</v>
      </c>
    </row>
    <row r="47" spans="1:13" x14ac:dyDescent="0.25">
      <c r="A47" s="21" t="s">
        <v>3495</v>
      </c>
      <c r="B47" s="19"/>
      <c r="C47" s="19"/>
      <c r="D47" s="19">
        <v>461.17</v>
      </c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461.17</v>
      </c>
    </row>
    <row r="48" spans="1:13" x14ac:dyDescent="0.25">
      <c r="A48" s="21" t="s">
        <v>2212</v>
      </c>
      <c r="B48" s="19"/>
      <c r="C48" s="19"/>
      <c r="D48" s="19"/>
      <c r="E48" s="19"/>
      <c r="F48" s="19"/>
      <c r="G48" s="19">
        <v>360</v>
      </c>
      <c r="H48" s="19"/>
      <c r="I48" s="19"/>
      <c r="J48" s="19"/>
      <c r="K48" s="19"/>
      <c r="L48" s="19"/>
      <c r="M48" s="23">
        <f>SUM(Tabla2[[#This Row],[01. Alcaldía]:[11. Salud pública y seguridad ciudadana]])</f>
        <v>360</v>
      </c>
    </row>
    <row r="49" spans="1:13" x14ac:dyDescent="0.25">
      <c r="A49" s="21" t="s">
        <v>39</v>
      </c>
      <c r="B49" s="19"/>
      <c r="C49" s="19"/>
      <c r="D49" s="19"/>
      <c r="E49" s="19"/>
      <c r="F49" s="19"/>
      <c r="G49" s="19"/>
      <c r="H49" s="19">
        <v>2333.36</v>
      </c>
      <c r="I49" s="19"/>
      <c r="J49" s="19"/>
      <c r="K49" s="19"/>
      <c r="L49" s="19">
        <v>3518.64</v>
      </c>
      <c r="M49" s="23">
        <f>SUM(Tabla2[[#This Row],[01. Alcaldía]:[11. Salud pública y seguridad ciudadana]])</f>
        <v>5852</v>
      </c>
    </row>
    <row r="50" spans="1:13" x14ac:dyDescent="0.25">
      <c r="A50" s="21" t="s">
        <v>15</v>
      </c>
      <c r="B50" s="19"/>
      <c r="C50" s="19"/>
      <c r="D50" s="19"/>
      <c r="E50" s="19"/>
      <c r="F50" s="19"/>
      <c r="G50" s="19"/>
      <c r="H50" s="19"/>
      <c r="I50" s="19"/>
      <c r="J50" s="19"/>
      <c r="K50" s="19">
        <v>2927.97</v>
      </c>
      <c r="L50" s="19"/>
      <c r="M50" s="23">
        <f>SUM(Tabla2[[#This Row],[01. Alcaldía]:[11. Salud pública y seguridad ciudadana]])</f>
        <v>2927.97</v>
      </c>
    </row>
    <row r="51" spans="1:13" x14ac:dyDescent="0.25">
      <c r="A51" s="21" t="s">
        <v>2560</v>
      </c>
      <c r="B51" s="19"/>
      <c r="C51" s="19"/>
      <c r="D51" s="19"/>
      <c r="E51" s="19"/>
      <c r="F51" s="19"/>
      <c r="G51" s="19">
        <v>300</v>
      </c>
      <c r="H51" s="19"/>
      <c r="I51" s="19"/>
      <c r="J51" s="19"/>
      <c r="K51" s="19"/>
      <c r="L51" s="19"/>
      <c r="M51" s="23">
        <f>SUM(Tabla2[[#This Row],[01. Alcaldía]:[11. Salud pública y seguridad ciudadana]])</f>
        <v>300</v>
      </c>
    </row>
    <row r="52" spans="1:13" x14ac:dyDescent="0.25">
      <c r="A52" s="21" t="s">
        <v>5349</v>
      </c>
      <c r="B52" s="19"/>
      <c r="C52" s="19"/>
      <c r="D52" s="19">
        <v>400</v>
      </c>
      <c r="E52" s="19"/>
      <c r="F52" s="19"/>
      <c r="G52" s="19"/>
      <c r="H52" s="19"/>
      <c r="I52" s="19"/>
      <c r="J52" s="19"/>
      <c r="K52" s="19"/>
      <c r="L52" s="19"/>
      <c r="M52" s="23">
        <f>SUM(Tabla2[[#This Row],[01. Alcaldía]:[11. Salud pública y seguridad ciudadana]])</f>
        <v>400</v>
      </c>
    </row>
    <row r="53" spans="1:13" x14ac:dyDescent="0.25">
      <c r="A53" s="21" t="s">
        <v>475</v>
      </c>
      <c r="B53" s="19"/>
      <c r="C53" s="19"/>
      <c r="D53" s="19">
        <v>900</v>
      </c>
      <c r="E53" s="19"/>
      <c r="F53" s="19"/>
      <c r="G53" s="19"/>
      <c r="H53" s="19"/>
      <c r="I53" s="19"/>
      <c r="J53" s="19"/>
      <c r="K53" s="19"/>
      <c r="L53" s="19"/>
      <c r="M53" s="23">
        <f>SUM(Tabla2[[#This Row],[01. Alcaldía]:[11. Salud pública y seguridad ciudadana]])</f>
        <v>900</v>
      </c>
    </row>
    <row r="54" spans="1:13" x14ac:dyDescent="0.25">
      <c r="A54" s="21" t="s">
        <v>3509</v>
      </c>
      <c r="B54" s="19"/>
      <c r="C54" s="19"/>
      <c r="D54" s="19"/>
      <c r="E54" s="19"/>
      <c r="F54" s="19"/>
      <c r="G54" s="19">
        <v>500</v>
      </c>
      <c r="H54" s="19"/>
      <c r="I54" s="19"/>
      <c r="J54" s="19"/>
      <c r="K54" s="19"/>
      <c r="L54" s="19"/>
      <c r="M54" s="23">
        <f>SUM(Tabla2[[#This Row],[01. Alcaldía]:[11. Salud pública y seguridad ciudadana]])</f>
        <v>500</v>
      </c>
    </row>
    <row r="55" spans="1:13" x14ac:dyDescent="0.25">
      <c r="A55" s="21" t="s">
        <v>3043</v>
      </c>
      <c r="B55" s="19"/>
      <c r="C55" s="19"/>
      <c r="D55" s="19">
        <v>258</v>
      </c>
      <c r="E55" s="19"/>
      <c r="F55" s="19"/>
      <c r="G55" s="19"/>
      <c r="H55" s="19"/>
      <c r="I55" s="19"/>
      <c r="J55" s="19"/>
      <c r="K55" s="19"/>
      <c r="L55" s="19"/>
      <c r="M55" s="23">
        <f>SUM(Tabla2[[#This Row],[01. Alcaldía]:[11. Salud pública y seguridad ciudadana]])</f>
        <v>258</v>
      </c>
    </row>
    <row r="56" spans="1:13" x14ac:dyDescent="0.25">
      <c r="A56" s="21" t="s">
        <v>3873</v>
      </c>
      <c r="B56" s="19"/>
      <c r="C56" s="19"/>
      <c r="D56" s="19"/>
      <c r="E56" s="19"/>
      <c r="F56" s="19"/>
      <c r="G56" s="19"/>
      <c r="H56" s="19">
        <v>11979</v>
      </c>
      <c r="I56" s="19"/>
      <c r="J56" s="19"/>
      <c r="K56" s="19"/>
      <c r="L56" s="19"/>
      <c r="M56" s="23">
        <f>SUM(Tabla2[[#This Row],[01. Alcaldía]:[11. Salud pública y seguridad ciudadana]])</f>
        <v>11979</v>
      </c>
    </row>
    <row r="57" spans="1:13" x14ac:dyDescent="0.25">
      <c r="A57" s="21" t="s">
        <v>2362</v>
      </c>
      <c r="B57" s="19"/>
      <c r="C57" s="19"/>
      <c r="D57" s="19">
        <v>450</v>
      </c>
      <c r="E57" s="19"/>
      <c r="F57" s="19"/>
      <c r="G57" s="19"/>
      <c r="H57" s="19"/>
      <c r="I57" s="19"/>
      <c r="J57" s="19"/>
      <c r="K57" s="19"/>
      <c r="L57" s="19"/>
      <c r="M57" s="23">
        <f>SUM(Tabla2[[#This Row],[01. Alcaldía]:[11. Salud pública y seguridad ciudadana]])</f>
        <v>450</v>
      </c>
    </row>
    <row r="58" spans="1:13" x14ac:dyDescent="0.25">
      <c r="A58" s="21" t="s">
        <v>2564</v>
      </c>
      <c r="B58" s="19"/>
      <c r="C58" s="19"/>
      <c r="D58" s="19"/>
      <c r="E58" s="19"/>
      <c r="F58" s="19"/>
      <c r="G58" s="19">
        <v>1000</v>
      </c>
      <c r="H58" s="19"/>
      <c r="I58" s="19"/>
      <c r="J58" s="19"/>
      <c r="K58" s="19"/>
      <c r="L58" s="19"/>
      <c r="M58" s="23">
        <f>SUM(Tabla2[[#This Row],[01. Alcaldía]:[11. Salud pública y seguridad ciudadana]])</f>
        <v>1000</v>
      </c>
    </row>
    <row r="59" spans="1:13" x14ac:dyDescent="0.25">
      <c r="A59" s="21" t="s">
        <v>2220</v>
      </c>
      <c r="B59" s="19"/>
      <c r="C59" s="19"/>
      <c r="D59" s="19">
        <v>500</v>
      </c>
      <c r="E59" s="19"/>
      <c r="F59" s="19"/>
      <c r="G59" s="19"/>
      <c r="H59" s="19"/>
      <c r="I59" s="19"/>
      <c r="J59" s="19"/>
      <c r="K59" s="19"/>
      <c r="L59" s="19"/>
      <c r="M59" s="23">
        <f>SUM(Tabla2[[#This Row],[01. Alcaldía]:[11. Salud pública y seguridad ciudadana]])</f>
        <v>500</v>
      </c>
    </row>
    <row r="60" spans="1:13" x14ac:dyDescent="0.25">
      <c r="A60" s="21" t="s">
        <v>2222</v>
      </c>
      <c r="B60" s="19"/>
      <c r="C60" s="19"/>
      <c r="D60" s="19">
        <v>200</v>
      </c>
      <c r="E60" s="19"/>
      <c r="F60" s="19"/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200</v>
      </c>
    </row>
    <row r="61" spans="1:13" x14ac:dyDescent="0.25">
      <c r="A61" s="21" t="s">
        <v>3045</v>
      </c>
      <c r="B61" s="19"/>
      <c r="C61" s="19"/>
      <c r="D61" s="19">
        <v>300</v>
      </c>
      <c r="E61" s="19"/>
      <c r="F61" s="19"/>
      <c r="G61" s="19"/>
      <c r="H61" s="19"/>
      <c r="I61" s="19"/>
      <c r="J61" s="19"/>
      <c r="K61" s="19"/>
      <c r="L61" s="19"/>
      <c r="M61" s="23">
        <f>SUM(Tabla2[[#This Row],[01. Alcaldía]:[11. Salud pública y seguridad ciudadana]])</f>
        <v>300</v>
      </c>
    </row>
    <row r="62" spans="1:13" x14ac:dyDescent="0.25">
      <c r="A62" s="21" t="s">
        <v>3878</v>
      </c>
      <c r="B62" s="19"/>
      <c r="C62" s="19"/>
      <c r="D62" s="19"/>
      <c r="E62" s="19"/>
      <c r="F62" s="19"/>
      <c r="G62" s="19"/>
      <c r="H62" s="19"/>
      <c r="I62" s="19"/>
      <c r="J62" s="19"/>
      <c r="K62" s="19">
        <v>1902.6</v>
      </c>
      <c r="L62" s="19"/>
      <c r="M62" s="23">
        <f>SUM(Tabla2[[#This Row],[01. Alcaldía]:[11. Salud pública y seguridad ciudadana]])</f>
        <v>1902.6</v>
      </c>
    </row>
    <row r="63" spans="1:13" x14ac:dyDescent="0.25">
      <c r="A63" s="21" t="s">
        <v>3880</v>
      </c>
      <c r="B63" s="19"/>
      <c r="C63" s="19"/>
      <c r="D63" s="19">
        <v>450</v>
      </c>
      <c r="E63" s="19"/>
      <c r="F63" s="19"/>
      <c r="G63" s="19"/>
      <c r="H63" s="19"/>
      <c r="I63" s="19"/>
      <c r="J63" s="19"/>
      <c r="K63" s="19"/>
      <c r="L63" s="19"/>
      <c r="M63" s="23">
        <f>SUM(Tabla2[[#This Row],[01. Alcaldía]:[11. Salud pública y seguridad ciudadana]])</f>
        <v>450</v>
      </c>
    </row>
    <row r="64" spans="1:13" x14ac:dyDescent="0.25">
      <c r="A64" s="21" t="s">
        <v>3136</v>
      </c>
      <c r="B64" s="19"/>
      <c r="C64" s="19"/>
      <c r="D64" s="19"/>
      <c r="E64" s="19"/>
      <c r="F64" s="19"/>
      <c r="G64" s="19">
        <v>400</v>
      </c>
      <c r="H64" s="19"/>
      <c r="I64" s="19"/>
      <c r="J64" s="19"/>
      <c r="K64" s="19"/>
      <c r="L64" s="19"/>
      <c r="M64" s="23">
        <f>SUM(Tabla2[[#This Row],[01. Alcaldía]:[11. Salud pública y seguridad ciudadana]])</f>
        <v>400</v>
      </c>
    </row>
    <row r="65" spans="1:13" x14ac:dyDescent="0.25">
      <c r="A65" s="21" t="s">
        <v>2224</v>
      </c>
      <c r="B65" s="19"/>
      <c r="C65" s="19"/>
      <c r="D65" s="19">
        <v>1150</v>
      </c>
      <c r="E65" s="19"/>
      <c r="F65" s="19"/>
      <c r="G65" s="19"/>
      <c r="H65" s="19"/>
      <c r="I65" s="19"/>
      <c r="J65" s="19"/>
      <c r="K65" s="19"/>
      <c r="L65" s="19"/>
      <c r="M65" s="23">
        <f>SUM(Tabla2[[#This Row],[01. Alcaldía]:[11. Salud pública y seguridad ciudadana]])</f>
        <v>1150</v>
      </c>
    </row>
    <row r="66" spans="1:13" x14ac:dyDescent="0.25">
      <c r="A66" s="21" t="s">
        <v>3047</v>
      </c>
      <c r="B66" s="19"/>
      <c r="C66" s="19"/>
      <c r="D66" s="19"/>
      <c r="E66" s="19"/>
      <c r="F66" s="19"/>
      <c r="G66" s="19">
        <v>500</v>
      </c>
      <c r="H66" s="19"/>
      <c r="I66" s="19"/>
      <c r="J66" s="19"/>
      <c r="K66" s="19"/>
      <c r="L66" s="19"/>
      <c r="M66" s="23">
        <f>SUM(Tabla2[[#This Row],[01. Alcaldía]:[11. Salud pública y seguridad ciudadana]])</f>
        <v>500</v>
      </c>
    </row>
    <row r="67" spans="1:13" x14ac:dyDescent="0.25">
      <c r="A67" s="21" t="s">
        <v>1629</v>
      </c>
      <c r="B67" s="19"/>
      <c r="C67" s="19"/>
      <c r="D67" s="19">
        <v>1500</v>
      </c>
      <c r="E67" s="19"/>
      <c r="F67" s="19"/>
      <c r="G67" s="19"/>
      <c r="H67" s="19"/>
      <c r="I67" s="19"/>
      <c r="J67" s="19"/>
      <c r="K67" s="19"/>
      <c r="L67" s="19"/>
      <c r="M67" s="23">
        <f>SUM(Tabla2[[#This Row],[01. Alcaldía]:[11. Salud pública y seguridad ciudadana]])</f>
        <v>1500</v>
      </c>
    </row>
    <row r="68" spans="1:13" x14ac:dyDescent="0.25">
      <c r="A68" s="21" t="s">
        <v>3049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1736.5</v>
      </c>
      <c r="L68" s="19"/>
      <c r="M68" s="23">
        <f>SUM(Tabla2[[#This Row],[01. Alcaldía]:[11. Salud pública y seguridad ciudadana]])</f>
        <v>1736.5</v>
      </c>
    </row>
    <row r="69" spans="1:13" x14ac:dyDescent="0.25">
      <c r="A69" s="21" t="s">
        <v>2948</v>
      </c>
      <c r="B69" s="19"/>
      <c r="C69" s="19"/>
      <c r="D69" s="19">
        <v>0</v>
      </c>
      <c r="E69" s="19"/>
      <c r="F69" s="19"/>
      <c r="G69" s="19"/>
      <c r="H69" s="19"/>
      <c r="I69" s="19"/>
      <c r="J69" s="19"/>
      <c r="K69" s="19"/>
      <c r="L69" s="19"/>
      <c r="M69" s="23">
        <f>SUM(Tabla2[[#This Row],[01. Alcaldía]:[11. Salud pública y seguridad ciudadana]])</f>
        <v>0</v>
      </c>
    </row>
    <row r="70" spans="1:13" x14ac:dyDescent="0.25">
      <c r="A70" s="21" t="s">
        <v>3886</v>
      </c>
      <c r="B70" s="19"/>
      <c r="C70" s="19"/>
      <c r="D70" s="19">
        <v>1000</v>
      </c>
      <c r="E70" s="19"/>
      <c r="F70" s="19"/>
      <c r="G70" s="19"/>
      <c r="H70" s="19"/>
      <c r="I70" s="19"/>
      <c r="J70" s="19"/>
      <c r="K70" s="19"/>
      <c r="L70" s="19"/>
      <c r="M70" s="23">
        <f>SUM(Tabla2[[#This Row],[01. Alcaldía]:[11. Salud pública y seguridad ciudadana]])</f>
        <v>1000</v>
      </c>
    </row>
    <row r="71" spans="1:13" x14ac:dyDescent="0.25">
      <c r="A71" s="21" t="s">
        <v>3888</v>
      </c>
      <c r="B71" s="19"/>
      <c r="C71" s="19"/>
      <c r="D71" s="19"/>
      <c r="E71" s="19"/>
      <c r="F71" s="19"/>
      <c r="G71" s="19">
        <v>675</v>
      </c>
      <c r="H71" s="19"/>
      <c r="I71" s="19"/>
      <c r="J71" s="19"/>
      <c r="K71" s="19"/>
      <c r="L71" s="19"/>
      <c r="M71" s="23">
        <f>SUM(Tabla2[[#This Row],[01. Alcaldía]:[11. Salud pública y seguridad ciudadana]])</f>
        <v>675</v>
      </c>
    </row>
    <row r="72" spans="1:13" ht="25.5" x14ac:dyDescent="0.25">
      <c r="A72" s="21" t="s">
        <v>458</v>
      </c>
      <c r="B72" s="19"/>
      <c r="C72" s="19"/>
      <c r="D72" s="19">
        <v>726</v>
      </c>
      <c r="E72" s="19"/>
      <c r="F72" s="19"/>
      <c r="G72" s="19">
        <v>2900</v>
      </c>
      <c r="H72" s="19"/>
      <c r="I72" s="19"/>
      <c r="J72" s="19"/>
      <c r="K72" s="19"/>
      <c r="L72" s="19"/>
      <c r="M72" s="23">
        <f>SUM(Tabla2[[#This Row],[01. Alcaldía]:[11. Salud pública y seguridad ciudadana]])</f>
        <v>3626</v>
      </c>
    </row>
    <row r="73" spans="1:13" x14ac:dyDescent="0.25">
      <c r="A73" s="21" t="s">
        <v>3051</v>
      </c>
      <c r="B73" s="19"/>
      <c r="C73" s="19"/>
      <c r="D73" s="19">
        <v>550</v>
      </c>
      <c r="E73" s="19"/>
      <c r="F73" s="19"/>
      <c r="G73" s="19"/>
      <c r="H73" s="19"/>
      <c r="I73" s="19"/>
      <c r="J73" s="19"/>
      <c r="K73" s="19">
        <v>350</v>
      </c>
      <c r="L73" s="19"/>
      <c r="M73" s="23">
        <f>SUM(Tabla2[[#This Row],[01. Alcaldía]:[11. Salud pública y seguridad ciudadana]])</f>
        <v>900</v>
      </c>
    </row>
    <row r="74" spans="1:13" x14ac:dyDescent="0.25">
      <c r="A74" s="21" t="s">
        <v>3900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193.44</v>
      </c>
      <c r="M74" s="23">
        <f>SUM(Tabla2[[#This Row],[01. Alcaldía]:[11. Salud pública y seguridad ciudadana]])</f>
        <v>193.44</v>
      </c>
    </row>
    <row r="75" spans="1:13" x14ac:dyDescent="0.25">
      <c r="A75" s="21" t="s">
        <v>1940</v>
      </c>
      <c r="B75" s="19"/>
      <c r="C75" s="19"/>
      <c r="D75" s="19"/>
      <c r="E75" s="19"/>
      <c r="F75" s="19">
        <v>18149.990000000002</v>
      </c>
      <c r="G75" s="19"/>
      <c r="H75" s="19"/>
      <c r="I75" s="19"/>
      <c r="J75" s="19"/>
      <c r="K75" s="19"/>
      <c r="L75" s="19"/>
      <c r="M75" s="23">
        <f>SUM(Tabla2[[#This Row],[01. Alcaldía]:[11. Salud pública y seguridad ciudadana]])</f>
        <v>18149.990000000002</v>
      </c>
    </row>
    <row r="76" spans="1:13" x14ac:dyDescent="0.25">
      <c r="A76" s="21" t="s">
        <v>991</v>
      </c>
      <c r="B76" s="19"/>
      <c r="C76" s="19"/>
      <c r="D76" s="19"/>
      <c r="E76" s="19"/>
      <c r="F76" s="19"/>
      <c r="G76" s="19">
        <v>377.52</v>
      </c>
      <c r="H76" s="19"/>
      <c r="I76" s="19"/>
      <c r="J76" s="19"/>
      <c r="K76" s="19"/>
      <c r="L76" s="19"/>
      <c r="M76" s="23">
        <f>SUM(Tabla2[[#This Row],[01. Alcaldía]:[11. Salud pública y seguridad ciudadana]])</f>
        <v>377.52</v>
      </c>
    </row>
    <row r="77" spans="1:13" x14ac:dyDescent="0.25">
      <c r="A77" s="21" t="s">
        <v>2873</v>
      </c>
      <c r="B77" s="19"/>
      <c r="C77" s="19"/>
      <c r="D77" s="19"/>
      <c r="E77" s="19"/>
      <c r="F77" s="19"/>
      <c r="G77" s="19">
        <v>620</v>
      </c>
      <c r="H77" s="19"/>
      <c r="I77" s="19"/>
      <c r="J77" s="19"/>
      <c r="K77" s="19"/>
      <c r="L77" s="19"/>
      <c r="M77" s="23">
        <f>SUM(Tabla2[[#This Row],[01. Alcaldía]:[11. Salud pública y seguridad ciudadana]])</f>
        <v>620</v>
      </c>
    </row>
    <row r="78" spans="1:13" x14ac:dyDescent="0.25">
      <c r="A78" s="21" t="s">
        <v>3913</v>
      </c>
      <c r="B78" s="19"/>
      <c r="C78" s="19"/>
      <c r="D78" s="19"/>
      <c r="E78" s="19"/>
      <c r="F78" s="19"/>
      <c r="G78" s="19">
        <v>3652</v>
      </c>
      <c r="H78" s="19"/>
      <c r="I78" s="19"/>
      <c r="J78" s="19"/>
      <c r="K78" s="19">
        <v>1045</v>
      </c>
      <c r="L78" s="19"/>
      <c r="M78" s="23">
        <f>SUM(Tabla2[[#This Row],[01. Alcaldía]:[11. Salud pública y seguridad ciudadana]])</f>
        <v>4697</v>
      </c>
    </row>
    <row r="79" spans="1:13" x14ac:dyDescent="0.25">
      <c r="A79" s="21" t="s">
        <v>3923</v>
      </c>
      <c r="B79" s="19"/>
      <c r="C79" s="19"/>
      <c r="D79" s="19"/>
      <c r="E79" s="19"/>
      <c r="F79" s="19"/>
      <c r="G79" s="19"/>
      <c r="H79" s="19"/>
      <c r="I79" s="19">
        <v>1660.48</v>
      </c>
      <c r="J79" s="19"/>
      <c r="K79" s="19"/>
      <c r="L79" s="19"/>
      <c r="M79" s="23">
        <f>SUM(Tabla2[[#This Row],[01. Alcaldía]:[11. Salud pública y seguridad ciudadana]])</f>
        <v>1660.48</v>
      </c>
    </row>
    <row r="80" spans="1:13" x14ac:dyDescent="0.25">
      <c r="A80" s="21" t="s">
        <v>420</v>
      </c>
      <c r="B80" s="19"/>
      <c r="C80" s="19"/>
      <c r="D80" s="19"/>
      <c r="E80" s="19"/>
      <c r="F80" s="19"/>
      <c r="G80" s="19"/>
      <c r="H80" s="19"/>
      <c r="I80" s="19"/>
      <c r="J80" s="19">
        <v>2634.77</v>
      </c>
      <c r="K80" s="19"/>
      <c r="L80" s="19"/>
      <c r="M80" s="23">
        <f>SUM(Tabla2[[#This Row],[01. Alcaldía]:[11. Salud pública y seguridad ciudadana]])</f>
        <v>2634.77</v>
      </c>
    </row>
    <row r="81" spans="1:13" x14ac:dyDescent="0.25">
      <c r="A81" s="21" t="s">
        <v>119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4000</v>
      </c>
      <c r="M81" s="23">
        <f>SUM(Tabla2[[#This Row],[01. Alcaldía]:[11. Salud pública y seguridad ciudadana]])</f>
        <v>4000</v>
      </c>
    </row>
    <row r="82" spans="1:13" x14ac:dyDescent="0.25">
      <c r="A82" s="21" t="s">
        <v>1686</v>
      </c>
      <c r="B82" s="19"/>
      <c r="C82" s="19"/>
      <c r="D82" s="19"/>
      <c r="E82" s="19"/>
      <c r="F82" s="19"/>
      <c r="G82" s="19"/>
      <c r="H82" s="19"/>
      <c r="I82" s="19"/>
      <c r="J82" s="19">
        <v>1385.45</v>
      </c>
      <c r="K82" s="19"/>
      <c r="L82" s="19"/>
      <c r="M82" s="23">
        <f>SUM(Tabla2[[#This Row],[01. Alcaldía]:[11. Salud pública y seguridad ciudadana]])</f>
        <v>1385.45</v>
      </c>
    </row>
    <row r="83" spans="1:13" x14ac:dyDescent="0.25">
      <c r="A83" s="21" t="s">
        <v>2216</v>
      </c>
      <c r="B83" s="19"/>
      <c r="C83" s="19"/>
      <c r="D83" s="19"/>
      <c r="E83" s="19">
        <v>4885.3599999999997</v>
      </c>
      <c r="F83" s="19"/>
      <c r="G83" s="19"/>
      <c r="H83" s="19"/>
      <c r="I83" s="19"/>
      <c r="J83" s="19">
        <v>575.08999999999992</v>
      </c>
      <c r="K83" s="19"/>
      <c r="L83" s="19"/>
      <c r="M83" s="23">
        <f>SUM(Tabla2[[#This Row],[01. Alcaldía]:[11. Salud pública y seguridad ciudadana]])</f>
        <v>5460.45</v>
      </c>
    </row>
    <row r="84" spans="1:13" x14ac:dyDescent="0.25">
      <c r="A84" s="21" t="s">
        <v>1019</v>
      </c>
      <c r="B84" s="19"/>
      <c r="C84" s="19"/>
      <c r="D84" s="19"/>
      <c r="E84" s="19">
        <v>7246.69</v>
      </c>
      <c r="F84" s="19"/>
      <c r="G84" s="19"/>
      <c r="H84" s="19"/>
      <c r="I84" s="19"/>
      <c r="J84" s="19"/>
      <c r="K84" s="19"/>
      <c r="L84" s="19"/>
      <c r="M84" s="23">
        <f>SUM(Tabla2[[#This Row],[01. Alcaldía]:[11. Salud pública y seguridad ciudadana]])</f>
        <v>7246.69</v>
      </c>
    </row>
    <row r="85" spans="1:13" x14ac:dyDescent="0.25">
      <c r="A85" s="21" t="s">
        <v>3927</v>
      </c>
      <c r="B85" s="19"/>
      <c r="C85" s="19"/>
      <c r="D85" s="19"/>
      <c r="E85" s="19"/>
      <c r="F85" s="19"/>
      <c r="G85" s="19">
        <v>499.13</v>
      </c>
      <c r="H85" s="19"/>
      <c r="I85" s="19"/>
      <c r="J85" s="19"/>
      <c r="K85" s="19"/>
      <c r="L85" s="19">
        <v>1393.92</v>
      </c>
      <c r="M85" s="23">
        <f>SUM(Tabla2[[#This Row],[01. Alcaldía]:[11. Salud pública y seguridad ciudadana]])</f>
        <v>1893.0500000000002</v>
      </c>
    </row>
    <row r="86" spans="1:13" x14ac:dyDescent="0.25">
      <c r="A86" s="21" t="s">
        <v>1189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9498.5</v>
      </c>
      <c r="L86" s="19"/>
      <c r="M86" s="23">
        <f>SUM(Tabla2[[#This Row],[01. Alcaldía]:[11. Salud pública y seguridad ciudadana]])</f>
        <v>9498.5</v>
      </c>
    </row>
    <row r="87" spans="1:13" x14ac:dyDescent="0.25">
      <c r="A87" s="21" t="s">
        <v>1689</v>
      </c>
      <c r="B87" s="19"/>
      <c r="C87" s="19"/>
      <c r="D87" s="19">
        <v>3300</v>
      </c>
      <c r="E87" s="19"/>
      <c r="F87" s="19"/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3300</v>
      </c>
    </row>
    <row r="88" spans="1:13" x14ac:dyDescent="0.25">
      <c r="A88" s="21" t="s">
        <v>120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6255.7</v>
      </c>
      <c r="M88" s="23">
        <f>SUM(Tabla2[[#This Row],[01. Alcaldía]:[11. Salud pública y seguridad ciudadana]])</f>
        <v>6255.7</v>
      </c>
    </row>
    <row r="89" spans="1:13" x14ac:dyDescent="0.25">
      <c r="A89" s="21" t="s">
        <v>1192</v>
      </c>
      <c r="B89" s="19"/>
      <c r="C89" s="19"/>
      <c r="D89" s="19"/>
      <c r="E89" s="19"/>
      <c r="F89" s="19"/>
      <c r="G89" s="19">
        <v>363</v>
      </c>
      <c r="H89" s="19"/>
      <c r="I89" s="19"/>
      <c r="J89" s="19"/>
      <c r="K89" s="19"/>
      <c r="L89" s="19"/>
      <c r="M89" s="23">
        <f>SUM(Tabla2[[#This Row],[01. Alcaldía]:[11. Salud pública y seguridad ciudadana]])</f>
        <v>363</v>
      </c>
    </row>
    <row r="90" spans="1:13" x14ac:dyDescent="0.25">
      <c r="A90" s="21" t="s">
        <v>118</v>
      </c>
      <c r="B90" s="19"/>
      <c r="C90" s="19"/>
      <c r="D90" s="19">
        <v>423.5</v>
      </c>
      <c r="E90" s="19"/>
      <c r="F90" s="19"/>
      <c r="G90" s="19">
        <v>15068</v>
      </c>
      <c r="H90" s="19"/>
      <c r="I90" s="19"/>
      <c r="J90" s="19"/>
      <c r="K90" s="19">
        <v>5426.42</v>
      </c>
      <c r="L90" s="19"/>
      <c r="M90" s="23">
        <f>SUM(Tabla2[[#This Row],[01. Alcaldía]:[11. Salud pública y seguridad ciudadana]])</f>
        <v>20917.919999999998</v>
      </c>
    </row>
    <row r="91" spans="1:13" x14ac:dyDescent="0.25">
      <c r="A91" s="21" t="s">
        <v>1695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3120</v>
      </c>
      <c r="M91" s="23">
        <f>SUM(Tabla2[[#This Row],[01. Alcaldía]:[11. Salud pública y seguridad ciudadana]])</f>
        <v>3120</v>
      </c>
    </row>
    <row r="92" spans="1:13" x14ac:dyDescent="0.25">
      <c r="A92" s="21" t="s">
        <v>348</v>
      </c>
      <c r="B92" s="19"/>
      <c r="C92" s="19"/>
      <c r="D92" s="19"/>
      <c r="E92" s="19"/>
      <c r="F92" s="19"/>
      <c r="G92" s="19"/>
      <c r="H92" s="19">
        <v>1028.5</v>
      </c>
      <c r="I92" s="19"/>
      <c r="J92" s="19"/>
      <c r="K92" s="19"/>
      <c r="L92" s="19"/>
      <c r="M92" s="23">
        <f>SUM(Tabla2[[#This Row],[01. Alcaldía]:[11. Salud pública y seguridad ciudadana]])</f>
        <v>1028.5</v>
      </c>
    </row>
    <row r="93" spans="1:13" x14ac:dyDescent="0.25">
      <c r="A93" s="21" t="s">
        <v>389</v>
      </c>
      <c r="B93" s="19"/>
      <c r="C93" s="19"/>
      <c r="D93" s="19"/>
      <c r="E93" s="19"/>
      <c r="F93" s="19"/>
      <c r="G93" s="19"/>
      <c r="H93" s="19"/>
      <c r="I93" s="19"/>
      <c r="J93" s="19"/>
      <c r="K93" s="19">
        <v>5445</v>
      </c>
      <c r="L93" s="19"/>
      <c r="M93" s="23">
        <f>SUM(Tabla2[[#This Row],[01. Alcaldía]:[11. Salud pública y seguridad ciudadana]])</f>
        <v>5445</v>
      </c>
    </row>
    <row r="94" spans="1:13" x14ac:dyDescent="0.25">
      <c r="A94" s="21" t="s">
        <v>102</v>
      </c>
      <c r="B94" s="19"/>
      <c r="C94" s="19"/>
      <c r="D94" s="19"/>
      <c r="E94" s="19"/>
      <c r="F94" s="19"/>
      <c r="G94" s="19"/>
      <c r="H94" s="19">
        <v>1500</v>
      </c>
      <c r="I94" s="19"/>
      <c r="J94" s="19"/>
      <c r="K94" s="19"/>
      <c r="L94" s="19"/>
      <c r="M94" s="23">
        <f>SUM(Tabla2[[#This Row],[01. Alcaldía]:[11. Salud pública y seguridad ciudadana]])</f>
        <v>1500</v>
      </c>
    </row>
    <row r="95" spans="1:13" x14ac:dyDescent="0.25">
      <c r="A95" s="21" t="s">
        <v>315</v>
      </c>
      <c r="B95" s="19"/>
      <c r="C95" s="19"/>
      <c r="D95" s="19"/>
      <c r="E95" s="19"/>
      <c r="F95" s="19"/>
      <c r="G95" s="19"/>
      <c r="H95" s="19"/>
      <c r="I95" s="19"/>
      <c r="J95" s="19"/>
      <c r="K95" s="19">
        <v>4235</v>
      </c>
      <c r="L95" s="19"/>
      <c r="M95" s="23">
        <f>SUM(Tabla2[[#This Row],[01. Alcaldía]:[11. Salud pública y seguridad ciudadana]])</f>
        <v>4235</v>
      </c>
    </row>
    <row r="96" spans="1:13" x14ac:dyDescent="0.25">
      <c r="A96" s="21" t="s">
        <v>419</v>
      </c>
      <c r="B96" s="19"/>
      <c r="C96" s="19"/>
      <c r="D96" s="19"/>
      <c r="E96" s="19"/>
      <c r="F96" s="19">
        <v>5906.95</v>
      </c>
      <c r="G96" s="19">
        <v>2500</v>
      </c>
      <c r="H96" s="19"/>
      <c r="I96" s="19"/>
      <c r="J96" s="19"/>
      <c r="K96" s="19"/>
      <c r="L96" s="19"/>
      <c r="M96" s="23">
        <f>SUM(Tabla2[[#This Row],[01. Alcaldía]:[11. Salud pública y seguridad ciudadana]])</f>
        <v>8406.9500000000007</v>
      </c>
    </row>
    <row r="97" spans="1:13" x14ac:dyDescent="0.25">
      <c r="A97" s="21" t="s">
        <v>1163</v>
      </c>
      <c r="B97" s="19"/>
      <c r="C97" s="19"/>
      <c r="D97" s="19"/>
      <c r="E97" s="19"/>
      <c r="F97" s="19"/>
      <c r="G97" s="19"/>
      <c r="H97" s="19">
        <v>1976.63</v>
      </c>
      <c r="I97" s="19"/>
      <c r="J97" s="19"/>
      <c r="K97" s="19"/>
      <c r="L97" s="19"/>
      <c r="M97" s="23">
        <f>SUM(Tabla2[[#This Row],[01. Alcaldía]:[11. Salud pública y seguridad ciudadana]])</f>
        <v>1976.63</v>
      </c>
    </row>
    <row r="98" spans="1:13" x14ac:dyDescent="0.25">
      <c r="A98" s="21" t="s">
        <v>416</v>
      </c>
      <c r="B98" s="19"/>
      <c r="C98" s="19"/>
      <c r="D98" s="19"/>
      <c r="E98" s="19">
        <v>700</v>
      </c>
      <c r="F98" s="19"/>
      <c r="G98" s="19"/>
      <c r="H98" s="19"/>
      <c r="I98" s="19"/>
      <c r="J98" s="19"/>
      <c r="K98" s="19"/>
      <c r="L98" s="19"/>
      <c r="M98" s="23">
        <f>SUM(Tabla2[[#This Row],[01. Alcaldía]:[11. Salud pública y seguridad ciudadana]])</f>
        <v>700</v>
      </c>
    </row>
    <row r="99" spans="1:13" x14ac:dyDescent="0.25">
      <c r="A99" s="21" t="s">
        <v>1701</v>
      </c>
      <c r="B99" s="19"/>
      <c r="C99" s="19"/>
      <c r="D99" s="19"/>
      <c r="E99" s="19"/>
      <c r="F99" s="19"/>
      <c r="G99" s="19">
        <v>3000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3000</v>
      </c>
    </row>
    <row r="100" spans="1:13" x14ac:dyDescent="0.25">
      <c r="A100" s="21" t="s">
        <v>421</v>
      </c>
      <c r="B100" s="19"/>
      <c r="C100" s="19"/>
      <c r="D100" s="19"/>
      <c r="E100" s="19"/>
      <c r="F100" s="19"/>
      <c r="G100" s="19"/>
      <c r="H100" s="19"/>
      <c r="I100" s="19">
        <v>2904</v>
      </c>
      <c r="J100" s="19"/>
      <c r="K100" s="19"/>
      <c r="L100" s="19"/>
      <c r="M100" s="23">
        <f>SUM(Tabla2[[#This Row],[01. Alcaldía]:[11. Salud pública y seguridad ciudadana]])</f>
        <v>2904</v>
      </c>
    </row>
    <row r="101" spans="1:13" x14ac:dyDescent="0.25">
      <c r="A101" s="21" t="s">
        <v>45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1500.0000000000002</v>
      </c>
      <c r="L101" s="19"/>
      <c r="M101" s="23">
        <f>SUM(Tabla2[[#This Row],[01. Alcaldía]:[11. Salud pública y seguridad ciudadana]])</f>
        <v>1500.0000000000002</v>
      </c>
    </row>
    <row r="102" spans="1:13" x14ac:dyDescent="0.25">
      <c r="A102" s="21" t="s">
        <v>3514</v>
      </c>
      <c r="B102" s="19"/>
      <c r="C102" s="19"/>
      <c r="D102" s="19"/>
      <c r="E102" s="19"/>
      <c r="F102" s="19">
        <v>17545</v>
      </c>
      <c r="G102" s="19"/>
      <c r="H102" s="19"/>
      <c r="I102" s="19"/>
      <c r="J102" s="19"/>
      <c r="K102" s="19"/>
      <c r="L102" s="19"/>
      <c r="M102" s="23">
        <f>SUM(Tabla2[[#This Row],[01. Alcaldía]:[11. Salud pública y seguridad ciudadana]])</f>
        <v>17545</v>
      </c>
    </row>
    <row r="103" spans="1:13" x14ac:dyDescent="0.25">
      <c r="A103" s="21" t="s">
        <v>3981</v>
      </c>
      <c r="B103" s="19"/>
      <c r="C103" s="19"/>
      <c r="D103" s="19"/>
      <c r="E103" s="19"/>
      <c r="F103" s="19">
        <v>6755.16</v>
      </c>
      <c r="G103" s="19"/>
      <c r="H103" s="19"/>
      <c r="I103" s="19"/>
      <c r="J103" s="19"/>
      <c r="K103" s="19"/>
      <c r="L103" s="19"/>
      <c r="M103" s="23">
        <f>SUM(Tabla2[[#This Row],[01. Alcaldía]:[11. Salud pública y seguridad ciudadana]])</f>
        <v>6755.16</v>
      </c>
    </row>
    <row r="104" spans="1:13" x14ac:dyDescent="0.25">
      <c r="A104" s="21" t="s">
        <v>390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640.09</v>
      </c>
      <c r="M104" s="23">
        <f>SUM(Tabla2[[#This Row],[01. Alcaldía]:[11. Salud pública y seguridad ciudadana]])</f>
        <v>640.09</v>
      </c>
    </row>
    <row r="105" spans="1:13" x14ac:dyDescent="0.25">
      <c r="A105" s="21" t="s">
        <v>1706</v>
      </c>
      <c r="B105" s="19"/>
      <c r="C105" s="19"/>
      <c r="D105" s="19"/>
      <c r="E105" s="19"/>
      <c r="F105" s="19"/>
      <c r="G105" s="19"/>
      <c r="H105" s="19"/>
      <c r="I105" s="19"/>
      <c r="J105" s="19">
        <v>4089</v>
      </c>
      <c r="K105" s="19"/>
      <c r="L105" s="19"/>
      <c r="M105" s="23">
        <f>SUM(Tabla2[[#This Row],[01. Alcaldía]:[11. Salud pública y seguridad ciudadana]])</f>
        <v>4089</v>
      </c>
    </row>
    <row r="106" spans="1:13" x14ac:dyDescent="0.25">
      <c r="A106" s="21" t="s">
        <v>3729</v>
      </c>
      <c r="B106" s="19"/>
      <c r="C106" s="19"/>
      <c r="D106" s="19"/>
      <c r="E106" s="19"/>
      <c r="F106" s="19"/>
      <c r="G106" s="19">
        <v>205.7</v>
      </c>
      <c r="H106" s="19"/>
      <c r="I106" s="19"/>
      <c r="J106" s="19"/>
      <c r="K106" s="19"/>
      <c r="L106" s="19"/>
      <c r="M106" s="23">
        <f>SUM(Tabla2[[#This Row],[01. Alcaldía]:[11. Salud pública y seguridad ciudadana]])</f>
        <v>205.7</v>
      </c>
    </row>
    <row r="107" spans="1:13" x14ac:dyDescent="0.25">
      <c r="A107" s="21" t="s">
        <v>1223</v>
      </c>
      <c r="B107" s="19"/>
      <c r="C107" s="19"/>
      <c r="D107" s="19"/>
      <c r="E107" s="19"/>
      <c r="F107" s="19"/>
      <c r="G107" s="19">
        <v>1306.8</v>
      </c>
      <c r="H107" s="19"/>
      <c r="I107" s="19"/>
      <c r="J107" s="19"/>
      <c r="K107" s="19"/>
      <c r="L107" s="19"/>
      <c r="M107" s="23">
        <f>SUM(Tabla2[[#This Row],[01. Alcaldía]:[11. Salud pública y seguridad ciudadana]])</f>
        <v>1306.8</v>
      </c>
    </row>
    <row r="108" spans="1:13" x14ac:dyDescent="0.25">
      <c r="A108" s="21" t="s">
        <v>99</v>
      </c>
      <c r="B108" s="19"/>
      <c r="C108" s="19"/>
      <c r="D108" s="19">
        <v>317.88</v>
      </c>
      <c r="E108" s="19"/>
      <c r="F108" s="19"/>
      <c r="G108" s="19">
        <v>3630</v>
      </c>
      <c r="H108" s="19">
        <v>4000</v>
      </c>
      <c r="I108" s="19">
        <v>375</v>
      </c>
      <c r="J108" s="19"/>
      <c r="K108" s="19"/>
      <c r="L108" s="19"/>
      <c r="M108" s="23">
        <f>SUM(Tabla2[[#This Row],[01. Alcaldía]:[11. Salud pública y seguridad ciudadana]])</f>
        <v>8322.880000000001</v>
      </c>
    </row>
    <row r="109" spans="1:13" x14ac:dyDescent="0.25">
      <c r="A109" s="21" t="s">
        <v>3055</v>
      </c>
      <c r="B109" s="19"/>
      <c r="C109" s="19">
        <v>500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23">
        <f>SUM(Tabla2[[#This Row],[01. Alcaldía]:[11. Salud pública y seguridad ciudadana]])</f>
        <v>500</v>
      </c>
    </row>
    <row r="110" spans="1:13" x14ac:dyDescent="0.25">
      <c r="A110" s="21" t="s">
        <v>37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>
        <v>14335.3</v>
      </c>
      <c r="M110" s="23">
        <f>SUM(Tabla2[[#This Row],[01. Alcaldía]:[11. Salud pública y seguridad ciudadana]])</f>
        <v>14335.3</v>
      </c>
    </row>
    <row r="111" spans="1:13" x14ac:dyDescent="0.25">
      <c r="A111" s="21" t="s">
        <v>1227</v>
      </c>
      <c r="B111" s="19"/>
      <c r="C111" s="19"/>
      <c r="D111" s="19"/>
      <c r="E111" s="19"/>
      <c r="F111" s="19"/>
      <c r="G111" s="19">
        <v>5384.5</v>
      </c>
      <c r="H111" s="19"/>
      <c r="I111" s="19"/>
      <c r="J111" s="19"/>
      <c r="K111" s="19"/>
      <c r="L111" s="19"/>
      <c r="M111" s="23">
        <f>SUM(Tabla2[[#This Row],[01. Alcaldía]:[11. Salud pública y seguridad ciudadana]])</f>
        <v>5384.5</v>
      </c>
    </row>
    <row r="112" spans="1:13" x14ac:dyDescent="0.25">
      <c r="A112" s="21" t="s">
        <v>1715</v>
      </c>
      <c r="B112" s="19"/>
      <c r="C112" s="19">
        <v>7952</v>
      </c>
      <c r="D112" s="19"/>
      <c r="E112" s="19"/>
      <c r="F112" s="19"/>
      <c r="G112" s="19"/>
      <c r="H112" s="19"/>
      <c r="I112" s="19"/>
      <c r="J112" s="19"/>
      <c r="K112" s="19"/>
      <c r="L112" s="19"/>
      <c r="M112" s="23">
        <f>SUM(Tabla2[[#This Row],[01. Alcaldía]:[11. Salud pública y seguridad ciudadana]])</f>
        <v>7952</v>
      </c>
    </row>
    <row r="113" spans="1:13" x14ac:dyDescent="0.25">
      <c r="A113" s="21" t="s">
        <v>5056</v>
      </c>
      <c r="B113" s="19">
        <v>5324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SUM(Tabla2[[#This Row],[01. Alcaldía]:[11. Salud pública y seguridad ciudadana]])</f>
        <v>5324</v>
      </c>
    </row>
    <row r="114" spans="1:13" x14ac:dyDescent="0.25">
      <c r="A114" s="21" t="s">
        <v>321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>
        <v>529.53</v>
      </c>
      <c r="M114" s="23">
        <f>SUM(Tabla2[[#This Row],[01. Alcaldía]:[11. Salud pública y seguridad ciudadana]])</f>
        <v>529.53</v>
      </c>
    </row>
    <row r="115" spans="1:13" x14ac:dyDescent="0.25">
      <c r="A115" s="21" t="s">
        <v>423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18</v>
      </c>
      <c r="M115" s="23">
        <f>SUM(Tabla2[[#This Row],[01. Alcaldía]:[11. Salud pública y seguridad ciudadana]])</f>
        <v>18</v>
      </c>
    </row>
    <row r="116" spans="1:13" x14ac:dyDescent="0.25">
      <c r="A116" s="21" t="s">
        <v>2477</v>
      </c>
      <c r="B116" s="19"/>
      <c r="C116" s="19"/>
      <c r="D116" s="19"/>
      <c r="E116" s="19"/>
      <c r="F116" s="19"/>
      <c r="G116" s="19"/>
      <c r="H116" s="19">
        <v>20.51</v>
      </c>
      <c r="I116" s="19"/>
      <c r="J116" s="19"/>
      <c r="K116" s="19"/>
      <c r="L116" s="19"/>
      <c r="M116" s="23">
        <f>SUM(Tabla2[[#This Row],[01. Alcaldía]:[11. Salud pública y seguridad ciudadana]])</f>
        <v>20.51</v>
      </c>
    </row>
    <row r="117" spans="1:13" x14ac:dyDescent="0.25">
      <c r="A117" s="21" t="s">
        <v>2227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9075</v>
      </c>
      <c r="M117" s="23">
        <f>SUM(Tabla2[[#This Row],[01. Alcaldía]:[11. Salud pública y seguridad ciudadana]])</f>
        <v>9075</v>
      </c>
    </row>
    <row r="118" spans="1:13" x14ac:dyDescent="0.25">
      <c r="A118" s="21" t="s">
        <v>117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6425.12</v>
      </c>
      <c r="M118" s="23">
        <f>SUM(Tabla2[[#This Row],[01. Alcaldía]:[11. Salud pública y seguridad ciudadana]])</f>
        <v>6425.12</v>
      </c>
    </row>
    <row r="119" spans="1:13" x14ac:dyDescent="0.25">
      <c r="A119" s="21" t="s">
        <v>4004</v>
      </c>
      <c r="B119" s="19"/>
      <c r="C119" s="19"/>
      <c r="D119" s="19"/>
      <c r="E119" s="19"/>
      <c r="F119" s="19"/>
      <c r="G119" s="19">
        <v>6171</v>
      </c>
      <c r="H119" s="19"/>
      <c r="I119" s="19"/>
      <c r="J119" s="19"/>
      <c r="K119" s="19"/>
      <c r="L119" s="19"/>
      <c r="M119" s="23">
        <f>SUM(Tabla2[[#This Row],[01. Alcaldía]:[11. Salud pública y seguridad ciudadana]])</f>
        <v>6171</v>
      </c>
    </row>
    <row r="120" spans="1:13" x14ac:dyDescent="0.25">
      <c r="A120" s="21" t="s">
        <v>3057</v>
      </c>
      <c r="B120" s="19"/>
      <c r="C120" s="19"/>
      <c r="D120" s="19">
        <v>211.75</v>
      </c>
      <c r="E120" s="19"/>
      <c r="F120" s="19"/>
      <c r="G120" s="19"/>
      <c r="H120" s="19"/>
      <c r="I120" s="19"/>
      <c r="J120" s="19"/>
      <c r="K120" s="19"/>
      <c r="L120" s="19"/>
      <c r="M120" s="23">
        <f>SUM(Tabla2[[#This Row],[01. Alcaldía]:[11. Salud pública y seguridad ciudadana]])</f>
        <v>211.75</v>
      </c>
    </row>
    <row r="121" spans="1:13" x14ac:dyDescent="0.25">
      <c r="A121" s="21" t="s">
        <v>3958</v>
      </c>
      <c r="B121" s="19"/>
      <c r="C121" s="19"/>
      <c r="D121" s="19">
        <v>3630</v>
      </c>
      <c r="E121" s="19"/>
      <c r="F121" s="19"/>
      <c r="G121" s="19"/>
      <c r="H121" s="19"/>
      <c r="I121" s="19"/>
      <c r="J121" s="19"/>
      <c r="K121" s="19"/>
      <c r="L121" s="19"/>
      <c r="M121" s="23">
        <f>SUM(Tabla2[[#This Row],[01. Alcaldía]:[11. Salud pública y seguridad ciudadana]])</f>
        <v>3630</v>
      </c>
    </row>
    <row r="122" spans="1:13" x14ac:dyDescent="0.25">
      <c r="A122" s="21" t="s">
        <v>3320</v>
      </c>
      <c r="B122" s="19"/>
      <c r="C122" s="19"/>
      <c r="D122" s="19"/>
      <c r="E122" s="19"/>
      <c r="F122" s="19">
        <v>605</v>
      </c>
      <c r="G122" s="19"/>
      <c r="H122" s="19"/>
      <c r="I122" s="19"/>
      <c r="J122" s="19"/>
      <c r="K122" s="19"/>
      <c r="L122" s="19"/>
      <c r="M122" s="23">
        <f>SUM(Tabla2[[#This Row],[01. Alcaldía]:[11. Salud pública y seguridad ciudadana]])</f>
        <v>605</v>
      </c>
    </row>
    <row r="123" spans="1:13" x14ac:dyDescent="0.25">
      <c r="A123" s="21" t="s">
        <v>21</v>
      </c>
      <c r="B123" s="19">
        <v>4853.76</v>
      </c>
      <c r="C123" s="19">
        <v>218.58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23">
        <f>SUM(Tabla2[[#This Row],[01. Alcaldía]:[11. Salud pública y seguridad ciudadana]])</f>
        <v>5072.34</v>
      </c>
    </row>
    <row r="124" spans="1:13" x14ac:dyDescent="0.25">
      <c r="A124" s="21" t="s">
        <v>392</v>
      </c>
      <c r="B124" s="19"/>
      <c r="C124" s="19">
        <v>2770.9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23">
        <f>SUM(Tabla2[[#This Row],[01. Alcaldía]:[11. Salud pública y seguridad ciudadana]])</f>
        <v>2770.9</v>
      </c>
    </row>
    <row r="125" spans="1:13" x14ac:dyDescent="0.25">
      <c r="A125" s="21" t="s">
        <v>115</v>
      </c>
      <c r="B125" s="19"/>
      <c r="C125" s="19">
        <v>2090</v>
      </c>
      <c r="D125" s="19">
        <v>702.9</v>
      </c>
      <c r="E125" s="19"/>
      <c r="F125" s="19"/>
      <c r="G125" s="19"/>
      <c r="H125" s="19"/>
      <c r="I125" s="19"/>
      <c r="J125" s="19"/>
      <c r="K125" s="19">
        <v>121</v>
      </c>
      <c r="L125" s="19"/>
      <c r="M125" s="23">
        <f>SUM(Tabla2[[#This Row],[01. Alcaldía]:[11. Salud pública y seguridad ciudadana]])</f>
        <v>2913.9</v>
      </c>
    </row>
    <row r="126" spans="1:13" x14ac:dyDescent="0.25">
      <c r="A126" s="21" t="s">
        <v>4012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1540</v>
      </c>
      <c r="L126" s="19"/>
      <c r="M126" s="23">
        <f>SUM(Tabla2[[#This Row],[01. Alcaldía]:[11. Salud pública y seguridad ciudadana]])</f>
        <v>1540</v>
      </c>
    </row>
    <row r="127" spans="1:13" x14ac:dyDescent="0.25">
      <c r="A127" s="21" t="s">
        <v>4014</v>
      </c>
      <c r="B127" s="19"/>
      <c r="C127" s="19"/>
      <c r="D127" s="19"/>
      <c r="E127" s="19"/>
      <c r="F127" s="19"/>
      <c r="G127" s="19"/>
      <c r="H127" s="19"/>
      <c r="I127" s="19"/>
      <c r="J127" s="19">
        <v>4836.53</v>
      </c>
      <c r="K127" s="19"/>
      <c r="L127" s="19"/>
      <c r="M127" s="23">
        <f>SUM(Tabla2[[#This Row],[01. Alcaldía]:[11. Salud pública y seguridad ciudadana]])</f>
        <v>4836.53</v>
      </c>
    </row>
    <row r="128" spans="1:13" x14ac:dyDescent="0.25">
      <c r="A128" s="21" t="s">
        <v>18</v>
      </c>
      <c r="B128" s="19"/>
      <c r="C128" s="19">
        <v>4914.38</v>
      </c>
      <c r="D128" s="19"/>
      <c r="E128" s="19">
        <v>701.8</v>
      </c>
      <c r="F128" s="19"/>
      <c r="G128" s="19">
        <v>8760</v>
      </c>
      <c r="H128" s="19"/>
      <c r="I128" s="19">
        <v>560.96</v>
      </c>
      <c r="J128" s="19"/>
      <c r="K128" s="19"/>
      <c r="L128" s="19">
        <v>7370.11</v>
      </c>
      <c r="M128" s="23">
        <f>SUM(Tabla2[[#This Row],[01. Alcaldía]:[11. Salud pública y seguridad ciudadana]])</f>
        <v>22307.25</v>
      </c>
    </row>
    <row r="129" spans="1:13" x14ac:dyDescent="0.25">
      <c r="A129" s="21" t="s">
        <v>2568</v>
      </c>
      <c r="B129" s="19"/>
      <c r="C129" s="19"/>
      <c r="D129" s="19"/>
      <c r="E129" s="19"/>
      <c r="F129" s="19"/>
      <c r="G129" s="19">
        <v>1000</v>
      </c>
      <c r="H129" s="19"/>
      <c r="I129" s="19"/>
      <c r="J129" s="19"/>
      <c r="K129" s="19"/>
      <c r="L129" s="19"/>
      <c r="M129" s="23">
        <f>SUM(Tabla2[[#This Row],[01. Alcaldía]:[11. Salud pública y seguridad ciudadana]])</f>
        <v>1000</v>
      </c>
    </row>
    <row r="130" spans="1:13" x14ac:dyDescent="0.25">
      <c r="A130" s="21" t="s">
        <v>435</v>
      </c>
      <c r="B130" s="19"/>
      <c r="C130" s="19"/>
      <c r="D130" s="19"/>
      <c r="E130" s="19"/>
      <c r="F130" s="19"/>
      <c r="G130" s="19"/>
      <c r="H130" s="19">
        <v>5545.36</v>
      </c>
      <c r="I130" s="19">
        <v>1512.55</v>
      </c>
      <c r="J130" s="19"/>
      <c r="K130" s="19"/>
      <c r="L130" s="19"/>
      <c r="M130" s="23">
        <f>SUM(Tabla2[[#This Row],[01. Alcaldía]:[11. Salud pública y seguridad ciudadana]])</f>
        <v>7057.91</v>
      </c>
    </row>
    <row r="131" spans="1:13" x14ac:dyDescent="0.25">
      <c r="A131" s="21" t="s">
        <v>3543</v>
      </c>
      <c r="B131" s="19"/>
      <c r="C131" s="19"/>
      <c r="D131" s="19"/>
      <c r="E131" s="19"/>
      <c r="F131" s="19"/>
      <c r="G131" s="19">
        <v>2288.7800000000002</v>
      </c>
      <c r="H131" s="19"/>
      <c r="I131" s="19"/>
      <c r="J131" s="19"/>
      <c r="K131" s="19"/>
      <c r="L131" s="19"/>
      <c r="M131" s="23">
        <f>SUM(Tabla2[[#This Row],[01. Alcaldía]:[11. Salud pública y seguridad ciudadana]])</f>
        <v>2288.7800000000002</v>
      </c>
    </row>
    <row r="132" spans="1:13" x14ac:dyDescent="0.25">
      <c r="A132" s="21" t="s">
        <v>477</v>
      </c>
      <c r="B132" s="19"/>
      <c r="C132" s="19"/>
      <c r="D132" s="19">
        <v>440</v>
      </c>
      <c r="E132" s="19"/>
      <c r="F132" s="19"/>
      <c r="G132" s="19"/>
      <c r="H132" s="19"/>
      <c r="I132" s="19"/>
      <c r="J132" s="19"/>
      <c r="K132" s="19"/>
      <c r="L132" s="19"/>
      <c r="M132" s="23">
        <f>SUM(Tabla2[[#This Row],[01. Alcaldía]:[11. Salud pública y seguridad ciudadana]])</f>
        <v>440</v>
      </c>
    </row>
    <row r="133" spans="1:13" x14ac:dyDescent="0.25">
      <c r="A133" s="21" t="s">
        <v>3148</v>
      </c>
      <c r="B133" s="19"/>
      <c r="C133" s="19"/>
      <c r="D133" s="19"/>
      <c r="E133" s="19"/>
      <c r="F133" s="19">
        <v>2904</v>
      </c>
      <c r="G133" s="19"/>
      <c r="H133" s="19"/>
      <c r="I133" s="19"/>
      <c r="J133" s="19"/>
      <c r="K133" s="19"/>
      <c r="L133" s="19"/>
      <c r="M133" s="23">
        <f>SUM(Tabla2[[#This Row],[01. Alcaldía]:[11. Salud pública y seguridad ciudadana]])</f>
        <v>2904</v>
      </c>
    </row>
    <row r="134" spans="1:13" x14ac:dyDescent="0.25">
      <c r="A134" s="21" t="s">
        <v>1255</v>
      </c>
      <c r="B134" s="19"/>
      <c r="C134" s="19"/>
      <c r="D134" s="19"/>
      <c r="E134" s="19"/>
      <c r="F134" s="19"/>
      <c r="G134" s="19">
        <v>9616.17</v>
      </c>
      <c r="H134" s="19"/>
      <c r="I134" s="19"/>
      <c r="J134" s="19"/>
      <c r="K134" s="19"/>
      <c r="L134" s="19"/>
      <c r="M134" s="23">
        <f>SUM(Tabla2[[#This Row],[01. Alcaldía]:[11. Salud pública y seguridad ciudadana]])</f>
        <v>9616.17</v>
      </c>
    </row>
    <row r="135" spans="1:13" x14ac:dyDescent="0.25">
      <c r="A135" s="21" t="s">
        <v>1972</v>
      </c>
      <c r="B135" s="19"/>
      <c r="C135" s="19"/>
      <c r="D135" s="19"/>
      <c r="E135" s="19">
        <v>10333.4</v>
      </c>
      <c r="F135" s="19"/>
      <c r="G135" s="19"/>
      <c r="H135" s="19"/>
      <c r="I135" s="19"/>
      <c r="J135" s="19"/>
      <c r="K135" s="19"/>
      <c r="L135" s="19"/>
      <c r="M135" s="23">
        <f>SUM(Tabla2[[#This Row],[01. Alcaldía]:[11. Salud pública y seguridad ciudadana]])</f>
        <v>10333.4</v>
      </c>
    </row>
    <row r="136" spans="1:13" x14ac:dyDescent="0.25">
      <c r="A136" s="21" t="s">
        <v>19</v>
      </c>
      <c r="B136" s="19"/>
      <c r="C136" s="19"/>
      <c r="D136" s="19"/>
      <c r="E136" s="19"/>
      <c r="F136" s="19">
        <v>17666</v>
      </c>
      <c r="G136" s="19"/>
      <c r="H136" s="19"/>
      <c r="I136" s="19"/>
      <c r="J136" s="19"/>
      <c r="K136" s="19"/>
      <c r="L136" s="19"/>
      <c r="M136" s="23">
        <f>SUM(Tabla2[[#This Row],[01. Alcaldía]:[11. Salud pública y seguridad ciudadana]])</f>
        <v>17666</v>
      </c>
    </row>
    <row r="137" spans="1:13" x14ac:dyDescent="0.25">
      <c r="A137" s="21" t="s">
        <v>5110</v>
      </c>
      <c r="B137" s="19"/>
      <c r="C137" s="19">
        <v>2511.12</v>
      </c>
      <c r="D137" s="19"/>
      <c r="E137" s="19"/>
      <c r="F137" s="19"/>
      <c r="G137" s="19"/>
      <c r="H137" s="19"/>
      <c r="I137" s="19"/>
      <c r="J137" s="19">
        <v>415.59</v>
      </c>
      <c r="K137" s="19"/>
      <c r="L137" s="19"/>
      <c r="M137" s="23">
        <f>SUM(Tabla2[[#This Row],[01. Alcaldía]:[11. Salud pública y seguridad ciudadana]])</f>
        <v>2926.71</v>
      </c>
    </row>
    <row r="138" spans="1:13" x14ac:dyDescent="0.25">
      <c r="A138" s="21" t="s">
        <v>490</v>
      </c>
      <c r="B138" s="19"/>
      <c r="C138" s="19"/>
      <c r="D138" s="19">
        <v>550</v>
      </c>
      <c r="E138" s="19"/>
      <c r="F138" s="19"/>
      <c r="G138" s="19"/>
      <c r="H138" s="19"/>
      <c r="I138" s="19"/>
      <c r="J138" s="19"/>
      <c r="K138" s="19"/>
      <c r="L138" s="19"/>
      <c r="M138" s="23">
        <f>SUM(Tabla2[[#This Row],[01. Alcaldía]:[11. Salud pública y seguridad ciudadana]])</f>
        <v>550</v>
      </c>
    </row>
    <row r="139" spans="1:13" x14ac:dyDescent="0.25">
      <c r="A139" s="21" t="s">
        <v>393</v>
      </c>
      <c r="B139" s="19"/>
      <c r="C139" s="19"/>
      <c r="D139" s="19"/>
      <c r="E139" s="19"/>
      <c r="F139" s="19"/>
      <c r="G139" s="19">
        <v>14750</v>
      </c>
      <c r="H139" s="19"/>
      <c r="I139" s="19"/>
      <c r="J139" s="19"/>
      <c r="K139" s="19"/>
      <c r="L139" s="19"/>
      <c r="M139" s="23">
        <f>SUM(Tabla2[[#This Row],[01. Alcaldía]:[11. Salud pública y seguridad ciudadana]])</f>
        <v>14750</v>
      </c>
    </row>
    <row r="140" spans="1:13" x14ac:dyDescent="0.25">
      <c r="A140" s="21" t="s">
        <v>2366</v>
      </c>
      <c r="B140" s="19"/>
      <c r="C140" s="19"/>
      <c r="D140" s="19"/>
      <c r="E140" s="19"/>
      <c r="F140" s="19"/>
      <c r="G140" s="19">
        <v>2612.5</v>
      </c>
      <c r="H140" s="19"/>
      <c r="I140" s="19"/>
      <c r="J140" s="19"/>
      <c r="K140" s="19"/>
      <c r="L140" s="19"/>
      <c r="M140" s="23">
        <f>SUM(Tabla2[[#This Row],[01. Alcaldía]:[11. Salud pública y seguridad ciudadana]])</f>
        <v>2612.5</v>
      </c>
    </row>
    <row r="141" spans="1:13" x14ac:dyDescent="0.25">
      <c r="A141" s="21" t="s">
        <v>470</v>
      </c>
      <c r="B141" s="19"/>
      <c r="C141" s="19"/>
      <c r="D141" s="19"/>
      <c r="E141" s="19"/>
      <c r="F141" s="19">
        <v>9680</v>
      </c>
      <c r="G141" s="19"/>
      <c r="H141" s="19"/>
      <c r="I141" s="19"/>
      <c r="J141" s="19"/>
      <c r="K141" s="19"/>
      <c r="L141" s="19"/>
      <c r="M141" s="23">
        <f>SUM(Tabla2[[#This Row],[01. Alcaldía]:[11. Salud pública y seguridad ciudadana]])</f>
        <v>9680</v>
      </c>
    </row>
    <row r="142" spans="1:13" x14ac:dyDescent="0.25">
      <c r="A142" s="21" t="s">
        <v>24</v>
      </c>
      <c r="B142" s="19"/>
      <c r="C142" s="19"/>
      <c r="D142" s="19">
        <v>4582.07</v>
      </c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4582.07</v>
      </c>
    </row>
    <row r="143" spans="1:13" x14ac:dyDescent="0.25">
      <c r="A143" s="21" t="s">
        <v>90</v>
      </c>
      <c r="B143" s="19"/>
      <c r="C143" s="19"/>
      <c r="D143" s="19">
        <v>18.149999999999999</v>
      </c>
      <c r="E143" s="19"/>
      <c r="F143" s="19">
        <v>2473.0700000000002</v>
      </c>
      <c r="G143" s="19">
        <v>170</v>
      </c>
      <c r="H143" s="19"/>
      <c r="I143" s="19"/>
      <c r="J143" s="19"/>
      <c r="K143" s="19"/>
      <c r="L143" s="19"/>
      <c r="M143" s="23">
        <f>SUM(Tabla2[[#This Row],[01. Alcaldía]:[11. Salud pública y seguridad ciudadana]])</f>
        <v>2661.2200000000003</v>
      </c>
    </row>
    <row r="144" spans="1:13" x14ac:dyDescent="0.25">
      <c r="A144" s="21" t="s">
        <v>394</v>
      </c>
      <c r="B144" s="19"/>
      <c r="C144" s="19"/>
      <c r="D144" s="19"/>
      <c r="E144" s="19"/>
      <c r="F144" s="19"/>
      <c r="G144" s="19">
        <v>1000</v>
      </c>
      <c r="H144" s="19"/>
      <c r="I144" s="19"/>
      <c r="J144" s="19"/>
      <c r="K144" s="19">
        <v>1712.87</v>
      </c>
      <c r="L144" s="19"/>
      <c r="M144" s="23">
        <f>SUM(Tabla2[[#This Row],[01. Alcaldía]:[11. Salud pública y seguridad ciudadana]])</f>
        <v>2712.87</v>
      </c>
    </row>
    <row r="145" spans="1:13" x14ac:dyDescent="0.25">
      <c r="A145" s="21" t="s">
        <v>478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1106.19</v>
      </c>
      <c r="M145" s="23">
        <f>SUM(Tabla2[[#This Row],[01. Alcaldía]:[11. Salud pública y seguridad ciudadana]])</f>
        <v>1106.19</v>
      </c>
    </row>
    <row r="146" spans="1:13" x14ac:dyDescent="0.25">
      <c r="A146" s="21" t="s">
        <v>395</v>
      </c>
      <c r="B146" s="19"/>
      <c r="C146" s="19"/>
      <c r="D146" s="19"/>
      <c r="E146" s="19"/>
      <c r="F146" s="19"/>
      <c r="G146" s="19">
        <v>2300.69</v>
      </c>
      <c r="H146" s="19"/>
      <c r="I146" s="19"/>
      <c r="J146" s="19"/>
      <c r="K146" s="19">
        <v>1500</v>
      </c>
      <c r="L146" s="19">
        <v>2200</v>
      </c>
      <c r="M146" s="23">
        <f>SUM(Tabla2[[#This Row],[01. Alcaldía]:[11. Salud pública y seguridad ciudadana]])</f>
        <v>6000.6900000000005</v>
      </c>
    </row>
    <row r="147" spans="1:13" x14ac:dyDescent="0.25">
      <c r="A147" s="21" t="s">
        <v>1316</v>
      </c>
      <c r="B147" s="19">
        <v>726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726</v>
      </c>
    </row>
    <row r="148" spans="1:13" x14ac:dyDescent="0.25">
      <c r="A148" s="21" t="s">
        <v>1331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976.1</v>
      </c>
      <c r="M148" s="23">
        <f>SUM(Tabla2[[#This Row],[01. Alcaldía]:[11. Salud pública y seguridad ciudadana]])</f>
        <v>976.1</v>
      </c>
    </row>
    <row r="149" spans="1:13" x14ac:dyDescent="0.25">
      <c r="A149" s="21" t="s">
        <v>1342</v>
      </c>
      <c r="B149" s="19"/>
      <c r="C149" s="19"/>
      <c r="D149" s="19"/>
      <c r="E149" s="19"/>
      <c r="F149" s="19">
        <v>3763.1</v>
      </c>
      <c r="G149" s="19"/>
      <c r="H149" s="19"/>
      <c r="I149" s="19"/>
      <c r="J149" s="19"/>
      <c r="K149" s="19"/>
      <c r="L149" s="19"/>
      <c r="M149" s="23">
        <f>SUM(Tabla2[[#This Row],[01. Alcaldía]:[11. Salud pública y seguridad ciudadana]])</f>
        <v>3763.1</v>
      </c>
    </row>
    <row r="150" spans="1:13" x14ac:dyDescent="0.25">
      <c r="A150" s="21" t="s">
        <v>1764</v>
      </c>
      <c r="B150" s="19"/>
      <c r="C150" s="19"/>
      <c r="D150" s="19"/>
      <c r="E150" s="19">
        <v>605</v>
      </c>
      <c r="F150" s="19"/>
      <c r="G150" s="19"/>
      <c r="H150" s="19"/>
      <c r="I150" s="19"/>
      <c r="J150" s="19"/>
      <c r="K150" s="19"/>
      <c r="L150" s="19"/>
      <c r="M150" s="23">
        <f>SUM(Tabla2[[#This Row],[01. Alcaldía]:[11. Salud pública y seguridad ciudadana]])</f>
        <v>605</v>
      </c>
    </row>
    <row r="151" spans="1:13" x14ac:dyDescent="0.25">
      <c r="A151" s="21" t="s">
        <v>1357</v>
      </c>
      <c r="B151" s="19"/>
      <c r="C151" s="19"/>
      <c r="D151" s="19"/>
      <c r="E151" s="19"/>
      <c r="F151" s="19"/>
      <c r="G151" s="19"/>
      <c r="H151" s="19">
        <v>14520</v>
      </c>
      <c r="I151" s="19"/>
      <c r="J151" s="19"/>
      <c r="K151" s="19"/>
      <c r="L151" s="19"/>
      <c r="M151" s="23">
        <f>SUM(Tabla2[[#This Row],[01. Alcaldía]:[11. Salud pública y seguridad ciudadana]])</f>
        <v>14520</v>
      </c>
    </row>
    <row r="152" spans="1:13" x14ac:dyDescent="0.25">
      <c r="A152" s="21" t="s">
        <v>75</v>
      </c>
      <c r="B152" s="19"/>
      <c r="C152" s="19"/>
      <c r="D152" s="19"/>
      <c r="E152" s="19"/>
      <c r="F152" s="19"/>
      <c r="G152" s="19"/>
      <c r="H152" s="19"/>
      <c r="I152" s="19"/>
      <c r="J152" s="19">
        <v>3540.84</v>
      </c>
      <c r="K152" s="19"/>
      <c r="L152" s="19"/>
      <c r="M152" s="23">
        <f>SUM(Tabla2[[#This Row],[01. Alcaldía]:[11. Salud pública y seguridad ciudadana]])</f>
        <v>3540.84</v>
      </c>
    </row>
    <row r="153" spans="1:13" x14ac:dyDescent="0.25">
      <c r="A153" s="21" t="s">
        <v>5460</v>
      </c>
      <c r="B153" s="19">
        <v>69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23">
        <f>SUM(Tabla2[[#This Row],[01. Alcaldía]:[11. Salud pública y seguridad ciudadana]])</f>
        <v>69</v>
      </c>
    </row>
    <row r="154" spans="1:13" x14ac:dyDescent="0.25">
      <c r="A154" s="21" t="s">
        <v>29</v>
      </c>
      <c r="B154" s="19"/>
      <c r="C154" s="19">
        <v>7260</v>
      </c>
      <c r="D154" s="19"/>
      <c r="E154" s="19">
        <v>605</v>
      </c>
      <c r="F154" s="19"/>
      <c r="G154" s="19">
        <v>6655</v>
      </c>
      <c r="H154" s="19"/>
      <c r="I154" s="19">
        <v>7139</v>
      </c>
      <c r="J154" s="19"/>
      <c r="K154" s="19">
        <v>3630</v>
      </c>
      <c r="L154" s="19"/>
      <c r="M154" s="23">
        <f>SUM(Tabla2[[#This Row],[01. Alcaldía]:[11. Salud pública y seguridad ciudadana]])</f>
        <v>25289</v>
      </c>
    </row>
    <row r="155" spans="1:13" x14ac:dyDescent="0.25">
      <c r="A155" s="21" t="s">
        <v>4067</v>
      </c>
      <c r="B155" s="19"/>
      <c r="C155" s="19"/>
      <c r="D155" s="19">
        <v>4598</v>
      </c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4598</v>
      </c>
    </row>
    <row r="156" spans="1:13" x14ac:dyDescent="0.25">
      <c r="A156" s="21" t="s">
        <v>469</v>
      </c>
      <c r="B156" s="19"/>
      <c r="C156" s="19"/>
      <c r="D156" s="19">
        <v>1078.1099999999999</v>
      </c>
      <c r="E156" s="19"/>
      <c r="F156" s="19"/>
      <c r="G156" s="19"/>
      <c r="H156" s="19">
        <v>1131.8</v>
      </c>
      <c r="I156" s="19"/>
      <c r="J156" s="19"/>
      <c r="K156" s="19"/>
      <c r="L156" s="19"/>
      <c r="M156" s="23">
        <f>SUM(Tabla2[[#This Row],[01. Alcaldía]:[11. Salud pública y seguridad ciudadana]])</f>
        <v>2209.91</v>
      </c>
    </row>
    <row r="157" spans="1:13" x14ac:dyDescent="0.25">
      <c r="A157" s="21" t="s">
        <v>84</v>
      </c>
      <c r="B157" s="19"/>
      <c r="C157" s="19"/>
      <c r="D157" s="19"/>
      <c r="E157" s="19"/>
      <c r="F157" s="19"/>
      <c r="G157" s="19"/>
      <c r="H157" s="19">
        <v>522.95000000000005</v>
      </c>
      <c r="I157" s="19"/>
      <c r="J157" s="19"/>
      <c r="K157" s="19"/>
      <c r="L157" s="19"/>
      <c r="M157" s="23">
        <f>SUM(Tabla2[[#This Row],[01. Alcaldía]:[11. Salud pública y seguridad ciudadana]])</f>
        <v>522.95000000000005</v>
      </c>
    </row>
    <row r="158" spans="1:13" x14ac:dyDescent="0.25">
      <c r="A158" s="21" t="s">
        <v>320</v>
      </c>
      <c r="B158" s="19"/>
      <c r="C158" s="19"/>
      <c r="D158" s="19"/>
      <c r="E158" s="19"/>
      <c r="F158" s="19">
        <v>7029.62</v>
      </c>
      <c r="G158" s="19">
        <v>3000</v>
      </c>
      <c r="H158" s="19"/>
      <c r="I158" s="19">
        <v>3424.3</v>
      </c>
      <c r="J158" s="19"/>
      <c r="K158" s="19"/>
      <c r="L158" s="19">
        <v>0</v>
      </c>
      <c r="M158" s="23">
        <f>SUM(Tabla2[[#This Row],[01. Alcaldía]:[11. Salud pública y seguridad ciudadana]])</f>
        <v>13453.919999999998</v>
      </c>
    </row>
    <row r="159" spans="1:13" x14ac:dyDescent="0.25">
      <c r="A159" s="21" t="s">
        <v>347</v>
      </c>
      <c r="B159" s="19"/>
      <c r="C159" s="19"/>
      <c r="D159" s="19"/>
      <c r="E159" s="19"/>
      <c r="F159" s="19"/>
      <c r="G159" s="19"/>
      <c r="H159" s="19">
        <v>500.21</v>
      </c>
      <c r="I159" s="19"/>
      <c r="J159" s="19"/>
      <c r="K159" s="19"/>
      <c r="L159" s="19"/>
      <c r="M159" s="23">
        <f>SUM(Tabla2[[#This Row],[01. Alcaldía]:[11. Salud pública y seguridad ciudadana]])</f>
        <v>500.21</v>
      </c>
    </row>
    <row r="160" spans="1:13" x14ac:dyDescent="0.25">
      <c r="A160" s="21" t="s">
        <v>1407</v>
      </c>
      <c r="B160" s="19"/>
      <c r="C160" s="19"/>
      <c r="D160" s="19"/>
      <c r="E160" s="19"/>
      <c r="F160" s="19"/>
      <c r="G160" s="19">
        <v>2880</v>
      </c>
      <c r="H160" s="19"/>
      <c r="I160" s="19"/>
      <c r="J160" s="19"/>
      <c r="K160" s="19"/>
      <c r="L160" s="19"/>
      <c r="M160" s="23">
        <f>SUM(Tabla2[[#This Row],[01. Alcaldía]:[11. Salud pública y seguridad ciudadana]])</f>
        <v>2880</v>
      </c>
    </row>
    <row r="161" spans="1:13" x14ac:dyDescent="0.25">
      <c r="A161" s="21" t="s">
        <v>4081</v>
      </c>
      <c r="B161" s="19"/>
      <c r="C161" s="19"/>
      <c r="D161" s="19"/>
      <c r="E161" s="19"/>
      <c r="F161" s="19"/>
      <c r="G161" s="19">
        <v>800.94</v>
      </c>
      <c r="H161" s="19"/>
      <c r="I161" s="19"/>
      <c r="J161" s="19"/>
      <c r="K161" s="19"/>
      <c r="L161" s="19"/>
      <c r="M161" s="23">
        <f>SUM(Tabla2[[#This Row],[01. Alcaldía]:[11. Salud pública y seguridad ciudadana]])</f>
        <v>800.94</v>
      </c>
    </row>
    <row r="162" spans="1:13" x14ac:dyDescent="0.25">
      <c r="A162" s="21" t="s">
        <v>4083</v>
      </c>
      <c r="B162" s="19"/>
      <c r="C162" s="19"/>
      <c r="D162" s="19"/>
      <c r="E162" s="19"/>
      <c r="F162" s="19"/>
      <c r="G162" s="19"/>
      <c r="H162" s="19">
        <v>2500</v>
      </c>
      <c r="I162" s="19"/>
      <c r="J162" s="19"/>
      <c r="K162" s="19"/>
      <c r="L162" s="19"/>
      <c r="M162" s="23">
        <f>SUM(Tabla2[[#This Row],[01. Alcaldía]:[11. Salud pública y seguridad ciudadana]])</f>
        <v>2500</v>
      </c>
    </row>
    <row r="163" spans="1:13" x14ac:dyDescent="0.25">
      <c r="A163" s="21" t="s">
        <v>440</v>
      </c>
      <c r="B163" s="19"/>
      <c r="C163" s="19"/>
      <c r="D163" s="19"/>
      <c r="E163" s="19"/>
      <c r="F163" s="19"/>
      <c r="G163" s="19">
        <v>660</v>
      </c>
      <c r="H163" s="19"/>
      <c r="I163" s="19"/>
      <c r="J163" s="19"/>
      <c r="K163" s="19"/>
      <c r="L163" s="19"/>
      <c r="M163" s="23">
        <f>SUM(Tabla2[[#This Row],[01. Alcaldía]:[11. Salud pública y seguridad ciudadana]])</f>
        <v>660</v>
      </c>
    </row>
    <row r="164" spans="1:13" x14ac:dyDescent="0.25">
      <c r="A164" s="21" t="s">
        <v>4085</v>
      </c>
      <c r="B164" s="19"/>
      <c r="C164" s="19"/>
      <c r="D164" s="19"/>
      <c r="E164" s="19"/>
      <c r="F164" s="19"/>
      <c r="G164" s="19">
        <v>240</v>
      </c>
      <c r="H164" s="19"/>
      <c r="I164" s="19"/>
      <c r="J164" s="19"/>
      <c r="K164" s="19">
        <v>2862</v>
      </c>
      <c r="L164" s="19"/>
      <c r="M164" s="23">
        <f>SUM(Tabla2[[#This Row],[01. Alcaldía]:[11. Salud pública y seguridad ciudadana]])</f>
        <v>3102</v>
      </c>
    </row>
    <row r="165" spans="1:13" x14ac:dyDescent="0.25">
      <c r="A165" s="21" t="s">
        <v>1351</v>
      </c>
      <c r="B165" s="19"/>
      <c r="C165" s="19"/>
      <c r="D165" s="19"/>
      <c r="E165" s="19">
        <v>4210.8</v>
      </c>
      <c r="F165" s="19"/>
      <c r="G165" s="19"/>
      <c r="H165" s="19"/>
      <c r="I165" s="19"/>
      <c r="J165" s="19"/>
      <c r="K165" s="19"/>
      <c r="L165" s="19"/>
      <c r="M165" s="23">
        <f>SUM(Tabla2[[#This Row],[01. Alcaldía]:[11. Salud pública y seguridad ciudadana]])</f>
        <v>4210.8</v>
      </c>
    </row>
    <row r="166" spans="1:13" x14ac:dyDescent="0.25">
      <c r="A166" s="21" t="s">
        <v>5169</v>
      </c>
      <c r="B166" s="19"/>
      <c r="C166" s="19"/>
      <c r="D166" s="19"/>
      <c r="E166" s="19"/>
      <c r="F166" s="19"/>
      <c r="G166" s="19">
        <v>1500</v>
      </c>
      <c r="H166" s="19"/>
      <c r="I166" s="19"/>
      <c r="J166" s="19"/>
      <c r="K166" s="19"/>
      <c r="L166" s="19"/>
      <c r="M166" s="23">
        <f>SUM(Tabla2[[#This Row],[01. Alcaldía]:[11. Salud pública y seguridad ciudadana]])</f>
        <v>1500</v>
      </c>
    </row>
    <row r="167" spans="1:13" x14ac:dyDescent="0.25">
      <c r="A167" s="21" t="s">
        <v>1420</v>
      </c>
      <c r="B167" s="19"/>
      <c r="C167" s="19"/>
      <c r="D167" s="19"/>
      <c r="E167" s="19"/>
      <c r="F167" s="19">
        <v>574.20000000000005</v>
      </c>
      <c r="G167" s="19"/>
      <c r="H167" s="19"/>
      <c r="I167" s="19"/>
      <c r="J167" s="19">
        <v>125.84</v>
      </c>
      <c r="K167" s="19">
        <v>1683</v>
      </c>
      <c r="L167" s="19"/>
      <c r="M167" s="23">
        <f>SUM(Tabla2[[#This Row],[01. Alcaldía]:[11. Salud pública y seguridad ciudadana]])</f>
        <v>2383.04</v>
      </c>
    </row>
    <row r="168" spans="1:13" x14ac:dyDescent="0.25">
      <c r="A168" s="21" t="s">
        <v>1424</v>
      </c>
      <c r="B168" s="19"/>
      <c r="C168" s="19"/>
      <c r="D168" s="19"/>
      <c r="E168" s="19"/>
      <c r="F168" s="19"/>
      <c r="G168" s="19">
        <v>3600</v>
      </c>
      <c r="H168" s="19"/>
      <c r="I168" s="19"/>
      <c r="J168" s="19"/>
      <c r="K168" s="19"/>
      <c r="L168" s="19"/>
      <c r="M168" s="23">
        <f>SUM(Tabla2[[#This Row],[01. Alcaldía]:[11. Salud pública y seguridad ciudadana]])</f>
        <v>3600</v>
      </c>
    </row>
    <row r="169" spans="1:13" x14ac:dyDescent="0.25">
      <c r="A169" s="21" t="s">
        <v>334</v>
      </c>
      <c r="B169" s="19"/>
      <c r="C169" s="19"/>
      <c r="D169" s="19"/>
      <c r="E169" s="19"/>
      <c r="F169" s="19"/>
      <c r="G169" s="19">
        <v>220</v>
      </c>
      <c r="H169" s="19"/>
      <c r="I169" s="19"/>
      <c r="J169" s="19"/>
      <c r="K169" s="19"/>
      <c r="L169" s="19"/>
      <c r="M169" s="23">
        <f>SUM(Tabla2[[#This Row],[01. Alcaldía]:[11. Salud pública y seguridad ciudadana]])</f>
        <v>220</v>
      </c>
    </row>
    <row r="170" spans="1:13" x14ac:dyDescent="0.25">
      <c r="A170" s="21" t="s">
        <v>1434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70.75</v>
      </c>
      <c r="M170" s="23">
        <f>SUM(Tabla2[[#This Row],[01. Alcaldía]:[11. Salud pública y seguridad ciudadana]])</f>
        <v>70.75</v>
      </c>
    </row>
    <row r="171" spans="1:13" x14ac:dyDescent="0.25">
      <c r="A171" s="21" t="s">
        <v>1444</v>
      </c>
      <c r="B171" s="19"/>
      <c r="C171" s="19"/>
      <c r="D171" s="19"/>
      <c r="E171" s="19"/>
      <c r="F171" s="19">
        <v>6550</v>
      </c>
      <c r="G171" s="19"/>
      <c r="H171" s="19"/>
      <c r="I171" s="19"/>
      <c r="J171" s="19"/>
      <c r="K171" s="19"/>
      <c r="L171" s="19"/>
      <c r="M171" s="23">
        <f>SUM(Tabla2[[#This Row],[01. Alcaldía]:[11. Salud pública y seguridad ciudadana]])</f>
        <v>6550</v>
      </c>
    </row>
    <row r="172" spans="1:13" x14ac:dyDescent="0.25">
      <c r="A172" s="21" t="s">
        <v>340</v>
      </c>
      <c r="B172" s="19"/>
      <c r="C172" s="19"/>
      <c r="D172" s="19"/>
      <c r="E172" s="19"/>
      <c r="F172" s="19"/>
      <c r="G172" s="19"/>
      <c r="H172" s="19"/>
      <c r="I172" s="19">
        <v>5420.8</v>
      </c>
      <c r="J172" s="19"/>
      <c r="K172" s="19"/>
      <c r="L172" s="19"/>
      <c r="M172" s="23">
        <f>SUM(Tabla2[[#This Row],[01. Alcaldía]:[11. Salud pública y seguridad ciudadana]])</f>
        <v>5420.8</v>
      </c>
    </row>
    <row r="173" spans="1:13" x14ac:dyDescent="0.25">
      <c r="A173" s="21" t="s">
        <v>451</v>
      </c>
      <c r="B173" s="19">
        <v>1688.24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23">
        <f>SUM(Tabla2[[#This Row],[01. Alcaldía]:[11. Salud pública y seguridad ciudadana]])</f>
        <v>1688.24</v>
      </c>
    </row>
    <row r="174" spans="1:13" x14ac:dyDescent="0.25">
      <c r="A174" s="21" t="s">
        <v>65</v>
      </c>
      <c r="B174" s="19"/>
      <c r="C174" s="19"/>
      <c r="D174" s="19"/>
      <c r="E174" s="19"/>
      <c r="F174" s="19">
        <v>8938.8799999999992</v>
      </c>
      <c r="G174" s="19">
        <v>1123.8499999999999</v>
      </c>
      <c r="H174" s="19"/>
      <c r="I174" s="19"/>
      <c r="J174" s="19"/>
      <c r="K174" s="19"/>
      <c r="L174" s="19"/>
      <c r="M174" s="23">
        <f>SUM(Tabla2[[#This Row],[01. Alcaldía]:[11. Salud pública y seguridad ciudadana]])</f>
        <v>10062.73</v>
      </c>
    </row>
    <row r="175" spans="1:13" x14ac:dyDescent="0.25">
      <c r="A175" s="21" t="s">
        <v>26</v>
      </c>
      <c r="B175" s="19">
        <v>18897.12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23">
        <f>SUM(Tabla2[[#This Row],[01. Alcaldía]:[11. Salud pública y seguridad ciudadana]])</f>
        <v>18897.12</v>
      </c>
    </row>
    <row r="176" spans="1:13" x14ac:dyDescent="0.25">
      <c r="A176" s="21" t="s">
        <v>1475</v>
      </c>
      <c r="B176" s="19"/>
      <c r="C176" s="19"/>
      <c r="D176" s="19"/>
      <c r="E176" s="19"/>
      <c r="F176" s="19"/>
      <c r="G176" s="19"/>
      <c r="H176" s="19">
        <v>2171.9499999999998</v>
      </c>
      <c r="I176" s="19"/>
      <c r="J176" s="19"/>
      <c r="K176" s="19"/>
      <c r="L176" s="19"/>
      <c r="M176" s="23">
        <f>SUM(Tabla2[[#This Row],[01. Alcaldía]:[11. Salud pública y seguridad ciudadana]])</f>
        <v>2171.9499999999998</v>
      </c>
    </row>
    <row r="177" spans="1:13" x14ac:dyDescent="0.25">
      <c r="A177" s="21" t="s">
        <v>4478</v>
      </c>
      <c r="B177" s="19"/>
      <c r="C177" s="19"/>
      <c r="D177" s="19"/>
      <c r="E177" s="19"/>
      <c r="F177" s="19"/>
      <c r="G177" s="19"/>
      <c r="H177" s="19">
        <v>1573</v>
      </c>
      <c r="I177" s="19"/>
      <c r="J177" s="19"/>
      <c r="K177" s="19"/>
      <c r="L177" s="19"/>
      <c r="M177" s="23">
        <f>SUM(Tabla2[[#This Row],[01. Alcaldía]:[11. Salud pública y seguridad ciudadana]])</f>
        <v>1573</v>
      </c>
    </row>
    <row r="178" spans="1:13" x14ac:dyDescent="0.25">
      <c r="A178" s="21" t="s">
        <v>42</v>
      </c>
      <c r="B178" s="19"/>
      <c r="C178" s="19"/>
      <c r="D178" s="19">
        <v>2530</v>
      </c>
      <c r="E178" s="19"/>
      <c r="F178" s="19"/>
      <c r="G178" s="19">
        <v>2673</v>
      </c>
      <c r="H178" s="19"/>
      <c r="I178" s="19"/>
      <c r="J178" s="19"/>
      <c r="K178" s="19"/>
      <c r="L178" s="19"/>
      <c r="M178" s="23">
        <f>SUM(Tabla2[[#This Row],[01. Alcaldía]:[11. Salud pública y seguridad ciudadana]])</f>
        <v>5203</v>
      </c>
    </row>
    <row r="179" spans="1:13" x14ac:dyDescent="0.25">
      <c r="A179" s="21" t="s">
        <v>1485</v>
      </c>
      <c r="B179" s="19"/>
      <c r="C179" s="19"/>
      <c r="D179" s="19"/>
      <c r="E179" s="19"/>
      <c r="F179" s="19"/>
      <c r="G179" s="19">
        <v>3795.63</v>
      </c>
      <c r="H179" s="19"/>
      <c r="I179" s="19"/>
      <c r="J179" s="19">
        <v>4065.7200000000003</v>
      </c>
      <c r="K179" s="19"/>
      <c r="L179" s="19"/>
      <c r="M179" s="23">
        <f>SUM(Tabla2[[#This Row],[01. Alcaldía]:[11. Salud pública y seguridad ciudadana]])</f>
        <v>7861.35</v>
      </c>
    </row>
    <row r="180" spans="1:13" x14ac:dyDescent="0.25">
      <c r="A180" s="21" t="s">
        <v>5161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1795.13</v>
      </c>
      <c r="M180" s="23">
        <f>SUM(Tabla2[[#This Row],[01. Alcaldía]:[11. Salud pública y seguridad ciudadana]])</f>
        <v>1795.13</v>
      </c>
    </row>
    <row r="181" spans="1:13" x14ac:dyDescent="0.25">
      <c r="A181" s="21" t="s">
        <v>4098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1731.54</v>
      </c>
      <c r="M181" s="23">
        <f>SUM(Tabla2[[#This Row],[01. Alcaldía]:[11. Salud pública y seguridad ciudadana]])</f>
        <v>1731.54</v>
      </c>
    </row>
    <row r="182" spans="1:13" x14ac:dyDescent="0.25">
      <c r="A182" s="21" t="s">
        <v>773</v>
      </c>
      <c r="B182" s="19"/>
      <c r="C182" s="19"/>
      <c r="D182" s="19"/>
      <c r="E182" s="19"/>
      <c r="F182" s="19"/>
      <c r="G182" s="19">
        <v>4277.3500000000004</v>
      </c>
      <c r="H182" s="19"/>
      <c r="I182" s="19"/>
      <c r="J182" s="19"/>
      <c r="K182" s="19"/>
      <c r="L182" s="19"/>
      <c r="M182" s="23">
        <f>SUM(Tabla2[[#This Row],[01. Alcaldía]:[11. Salud pública y seguridad ciudadana]])</f>
        <v>4277.3500000000004</v>
      </c>
    </row>
    <row r="183" spans="1:13" x14ac:dyDescent="0.25">
      <c r="A183" s="21" t="s">
        <v>4101</v>
      </c>
      <c r="B183" s="19"/>
      <c r="C183" s="19"/>
      <c r="D183" s="19">
        <v>242</v>
      </c>
      <c r="E183" s="19"/>
      <c r="F183" s="19"/>
      <c r="G183" s="19">
        <v>280</v>
      </c>
      <c r="H183" s="19"/>
      <c r="I183" s="19"/>
      <c r="J183" s="19"/>
      <c r="K183" s="19"/>
      <c r="L183" s="19"/>
      <c r="M183" s="23">
        <f>SUM(Tabla2[[#This Row],[01. Alcaldía]:[11. Salud pública y seguridad ciudadana]])</f>
        <v>522</v>
      </c>
    </row>
    <row r="184" spans="1:13" x14ac:dyDescent="0.25">
      <c r="A184" s="21" t="s">
        <v>459</v>
      </c>
      <c r="B184" s="19"/>
      <c r="C184" s="19"/>
      <c r="D184" s="19"/>
      <c r="E184" s="19"/>
      <c r="F184" s="19"/>
      <c r="G184" s="19">
        <v>7018</v>
      </c>
      <c r="H184" s="19"/>
      <c r="I184" s="19"/>
      <c r="J184" s="19"/>
      <c r="K184" s="19"/>
      <c r="L184" s="19"/>
      <c r="M184" s="23">
        <f>SUM(Tabla2[[#This Row],[01. Alcaldía]:[11. Salud pública y seguridad ciudadana]])</f>
        <v>7018</v>
      </c>
    </row>
    <row r="185" spans="1:13" x14ac:dyDescent="0.25">
      <c r="A185" s="21" t="s">
        <v>422</v>
      </c>
      <c r="B185" s="19"/>
      <c r="C185" s="19">
        <v>656.72</v>
      </c>
      <c r="D185" s="19"/>
      <c r="E185" s="19"/>
      <c r="F185" s="19"/>
      <c r="G185" s="19"/>
      <c r="H185" s="19"/>
      <c r="I185" s="19"/>
      <c r="J185" s="19"/>
      <c r="K185" s="19"/>
      <c r="L185" s="19">
        <v>14029.4</v>
      </c>
      <c r="M185" s="23">
        <f>SUM(Tabla2[[#This Row],[01. Alcaldía]:[11. Salud pública y seguridad ciudadana]])</f>
        <v>14686.119999999999</v>
      </c>
    </row>
    <row r="186" spans="1:13" x14ac:dyDescent="0.25">
      <c r="A186" s="21" t="s">
        <v>491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>
        <v>796.95</v>
      </c>
      <c r="L186" s="19"/>
      <c r="M186" s="23">
        <f>SUM(Tabla2[[#This Row],[01. Alcaldía]:[11. Salud pública y seguridad ciudadana]])</f>
        <v>796.95</v>
      </c>
    </row>
    <row r="187" spans="1:13" x14ac:dyDescent="0.25">
      <c r="A187" s="21" t="s">
        <v>737</v>
      </c>
      <c r="B187" s="19"/>
      <c r="C187" s="19"/>
      <c r="D187" s="19"/>
      <c r="E187" s="19"/>
      <c r="F187" s="19"/>
      <c r="G187" s="19">
        <v>5994</v>
      </c>
      <c r="H187" s="19"/>
      <c r="I187" s="19"/>
      <c r="J187" s="19"/>
      <c r="K187" s="19"/>
      <c r="L187" s="19"/>
      <c r="M187" s="23">
        <f>SUM(Tabla2[[#This Row],[01. Alcaldía]:[11. Salud pública y seguridad ciudadana]])</f>
        <v>5994</v>
      </c>
    </row>
    <row r="188" spans="1:13" x14ac:dyDescent="0.25">
      <c r="A188" s="21" t="s">
        <v>4105</v>
      </c>
      <c r="B188" s="19">
        <v>1754.5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23">
        <f>SUM(Tabla2[[#This Row],[01. Alcaldía]:[11. Salud pública y seguridad ciudadana]])</f>
        <v>1754.5</v>
      </c>
    </row>
    <row r="189" spans="1:13" x14ac:dyDescent="0.25">
      <c r="A189" s="21" t="s">
        <v>1498</v>
      </c>
      <c r="B189" s="19"/>
      <c r="C189" s="19"/>
      <c r="D189" s="19"/>
      <c r="E189" s="19"/>
      <c r="F189" s="19"/>
      <c r="G189" s="19">
        <v>1452</v>
      </c>
      <c r="H189" s="19"/>
      <c r="I189" s="19"/>
      <c r="J189" s="19"/>
      <c r="K189" s="19"/>
      <c r="L189" s="19"/>
      <c r="M189" s="23">
        <f>SUM(Tabla2[[#This Row],[01. Alcaldía]:[11. Salud pública y seguridad ciudadana]])</f>
        <v>1452</v>
      </c>
    </row>
    <row r="190" spans="1:13" x14ac:dyDescent="0.25">
      <c r="A190" s="21" t="s">
        <v>497</v>
      </c>
      <c r="B190" s="19"/>
      <c r="C190" s="19">
        <v>5207.6000000000004</v>
      </c>
      <c r="D190" s="19"/>
      <c r="E190" s="19"/>
      <c r="F190" s="19"/>
      <c r="G190" s="19"/>
      <c r="H190" s="19"/>
      <c r="I190" s="19"/>
      <c r="J190" s="19"/>
      <c r="K190" s="19"/>
      <c r="L190" s="19"/>
      <c r="M190" s="23">
        <f>SUM(Tabla2[[#This Row],[01. Alcaldía]:[11. Salud pública y seguridad ciudadana]])</f>
        <v>5207.6000000000004</v>
      </c>
    </row>
    <row r="191" spans="1:13" x14ac:dyDescent="0.25">
      <c r="A191" s="21" t="s">
        <v>4108</v>
      </c>
      <c r="B191" s="19"/>
      <c r="C191" s="19">
        <v>3025</v>
      </c>
      <c r="D191" s="19"/>
      <c r="E191" s="19"/>
      <c r="F191" s="19"/>
      <c r="G191" s="19"/>
      <c r="H191" s="19"/>
      <c r="I191" s="19"/>
      <c r="J191" s="19"/>
      <c r="K191" s="19"/>
      <c r="L191" s="19"/>
      <c r="M191" s="23">
        <f>SUM(Tabla2[[#This Row],[01. Alcaldía]:[11. Salud pública y seguridad ciudadana]])</f>
        <v>3025</v>
      </c>
    </row>
    <row r="192" spans="1:13" x14ac:dyDescent="0.25">
      <c r="A192" s="21" t="s">
        <v>5084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3630</v>
      </c>
      <c r="M192" s="23">
        <f>SUM(Tabla2[[#This Row],[01. Alcaldía]:[11. Salud pública y seguridad ciudadana]])</f>
        <v>3630</v>
      </c>
    </row>
    <row r="193" spans="1:13" x14ac:dyDescent="0.25">
      <c r="A193" s="21" t="s">
        <v>1527</v>
      </c>
      <c r="B193" s="19"/>
      <c r="C193" s="19"/>
      <c r="D193" s="19"/>
      <c r="E193" s="19"/>
      <c r="F193" s="19">
        <v>1633.5</v>
      </c>
      <c r="G193" s="19"/>
      <c r="H193" s="19"/>
      <c r="I193" s="19"/>
      <c r="J193" s="19"/>
      <c r="K193" s="19"/>
      <c r="L193" s="19"/>
      <c r="M193" s="23">
        <f>SUM(Tabla2[[#This Row],[01. Alcaldía]:[11. Salud pública y seguridad ciudadana]])</f>
        <v>1633.5</v>
      </c>
    </row>
    <row r="194" spans="1:13" x14ac:dyDescent="0.25">
      <c r="A194" s="21" t="s">
        <v>1521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108.4</v>
      </c>
      <c r="M194" s="23">
        <f>SUM(Tabla2[[#This Row],[01. Alcaldía]:[11. Salud pública y seguridad ciudadana]])</f>
        <v>108.4</v>
      </c>
    </row>
    <row r="195" spans="1:13" x14ac:dyDescent="0.25">
      <c r="A195" s="21" t="s">
        <v>396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160</v>
      </c>
      <c r="M195" s="23">
        <f>SUM(Tabla2[[#This Row],[01. Alcaldía]:[11. Salud pública y seguridad ciudadana]])</f>
        <v>160</v>
      </c>
    </row>
    <row r="196" spans="1:13" x14ac:dyDescent="0.25">
      <c r="A196" s="21" t="s">
        <v>4121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1161.5999999999999</v>
      </c>
      <c r="M196" s="23">
        <f>SUM(Tabla2[[#This Row],[01. Alcaldía]:[11. Salud pública y seguridad ciudadana]])</f>
        <v>1161.5999999999999</v>
      </c>
    </row>
    <row r="197" spans="1:13" x14ac:dyDescent="0.25">
      <c r="A197" s="21" t="s">
        <v>804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11192.5</v>
      </c>
      <c r="L197" s="19"/>
      <c r="M197" s="23">
        <f>SUM(Tabla2[[#This Row],[01. Alcaldía]:[11. Salud pública y seguridad ciudadana]])</f>
        <v>11192.5</v>
      </c>
    </row>
    <row r="198" spans="1:13" x14ac:dyDescent="0.25">
      <c r="A198" s="21" t="s">
        <v>479</v>
      </c>
      <c r="B198" s="19"/>
      <c r="C198" s="19"/>
      <c r="D198" s="19">
        <v>605</v>
      </c>
      <c r="E198" s="19"/>
      <c r="F198" s="19"/>
      <c r="G198" s="19"/>
      <c r="H198" s="19"/>
      <c r="I198" s="19"/>
      <c r="J198" s="19"/>
      <c r="K198" s="19"/>
      <c r="L198" s="19"/>
      <c r="M198" s="23">
        <f>SUM(Tabla2[[#This Row],[01. Alcaldía]:[11. Salud pública y seguridad ciudadana]])</f>
        <v>605</v>
      </c>
    </row>
    <row r="199" spans="1:13" x14ac:dyDescent="0.25">
      <c r="A199" s="21" t="s">
        <v>1549</v>
      </c>
      <c r="B199" s="19"/>
      <c r="C199" s="19"/>
      <c r="D199" s="19"/>
      <c r="E199" s="19"/>
      <c r="F199" s="19"/>
      <c r="G199" s="19"/>
      <c r="H199" s="19">
        <v>1331</v>
      </c>
      <c r="I199" s="19"/>
      <c r="J199" s="19"/>
      <c r="K199" s="19"/>
      <c r="L199" s="19"/>
      <c r="M199" s="23">
        <f>SUM(Tabla2[[#This Row],[01. Alcaldía]:[11. Salud pública y seguridad ciudadana]])</f>
        <v>1331</v>
      </c>
    </row>
    <row r="200" spans="1:13" x14ac:dyDescent="0.25">
      <c r="A200" s="21" t="s">
        <v>1533</v>
      </c>
      <c r="B200" s="19"/>
      <c r="C200" s="19"/>
      <c r="D200" s="19"/>
      <c r="E200" s="19"/>
      <c r="F200" s="19"/>
      <c r="G200" s="19"/>
      <c r="H200" s="19"/>
      <c r="I200" s="19"/>
      <c r="J200" s="19">
        <v>556.6</v>
      </c>
      <c r="K200" s="19"/>
      <c r="L200" s="19"/>
      <c r="M200" s="23">
        <f>SUM(Tabla2[[#This Row],[01. Alcaldía]:[11. Salud pública y seguridad ciudadana]])</f>
        <v>556.6</v>
      </c>
    </row>
    <row r="201" spans="1:13" x14ac:dyDescent="0.25">
      <c r="A201" s="21" t="s">
        <v>1555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10883.95</v>
      </c>
      <c r="M201" s="23">
        <f>SUM(Tabla2[[#This Row],[01. Alcaldía]:[11. Salud pública y seguridad ciudadana]])</f>
        <v>10883.95</v>
      </c>
    </row>
    <row r="202" spans="1:13" x14ac:dyDescent="0.25">
      <c r="A202" s="21" t="s">
        <v>1559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178.86</v>
      </c>
      <c r="M202" s="23">
        <f>SUM(Tabla2[[#This Row],[01. Alcaldía]:[11. Salud pública y seguridad ciudadana]])</f>
        <v>178.86</v>
      </c>
    </row>
    <row r="203" spans="1:13" x14ac:dyDescent="0.25">
      <c r="A203" s="21" t="s">
        <v>1562</v>
      </c>
      <c r="B203" s="19"/>
      <c r="C203" s="19"/>
      <c r="D203" s="19"/>
      <c r="E203" s="19"/>
      <c r="F203" s="19"/>
      <c r="G203" s="19"/>
      <c r="H203" s="19">
        <v>3275.17</v>
      </c>
      <c r="I203" s="19"/>
      <c r="J203" s="19"/>
      <c r="K203" s="19"/>
      <c r="L203" s="19">
        <v>2300</v>
      </c>
      <c r="M203" s="23">
        <f>SUM(Tabla2[[#This Row],[01. Alcaldía]:[11. Salud pública y seguridad ciudadana]])</f>
        <v>5575.17</v>
      </c>
    </row>
    <row r="204" spans="1:13" x14ac:dyDescent="0.25">
      <c r="A204" s="21" t="s">
        <v>1567</v>
      </c>
      <c r="B204" s="19"/>
      <c r="C204" s="19"/>
      <c r="D204" s="19"/>
      <c r="E204" s="19"/>
      <c r="F204" s="19"/>
      <c r="G204" s="19">
        <v>7260</v>
      </c>
      <c r="H204" s="19"/>
      <c r="I204" s="19"/>
      <c r="J204" s="19"/>
      <c r="K204" s="19"/>
      <c r="L204" s="19"/>
      <c r="M204" s="23">
        <f>SUM(Tabla2[[#This Row],[01. Alcaldía]:[11. Salud pública y seguridad ciudadana]])</f>
        <v>7260</v>
      </c>
    </row>
    <row r="205" spans="1:13" x14ac:dyDescent="0.25">
      <c r="A205" s="21" t="s">
        <v>1570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1500</v>
      </c>
      <c r="L205" s="19"/>
      <c r="M205" s="23">
        <f>SUM(Tabla2[[#This Row],[01. Alcaldía]:[11. Salud pública y seguridad ciudadana]])</f>
        <v>1500</v>
      </c>
    </row>
    <row r="206" spans="1:13" x14ac:dyDescent="0.25">
      <c r="A206" s="21" t="s">
        <v>1573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556.6</v>
      </c>
      <c r="L206" s="19"/>
      <c r="M206" s="23">
        <f>SUM(Tabla2[[#This Row],[01. Alcaldía]:[11. Salud pública y seguridad ciudadana]])</f>
        <v>556.6</v>
      </c>
    </row>
    <row r="207" spans="1:13" x14ac:dyDescent="0.25">
      <c r="A207" s="21" t="s">
        <v>4128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>
        <v>14175</v>
      </c>
      <c r="L207" s="19"/>
      <c r="M207" s="23">
        <f>SUM(Tabla2[[#This Row],[01. Alcaldía]:[11. Salud pública y seguridad ciudadana]])</f>
        <v>14175</v>
      </c>
    </row>
    <row r="208" spans="1:13" x14ac:dyDescent="0.25">
      <c r="A208" s="21" t="s">
        <v>426</v>
      </c>
      <c r="B208" s="19"/>
      <c r="C208" s="19"/>
      <c r="D208" s="19"/>
      <c r="E208" s="19"/>
      <c r="F208" s="19">
        <v>34963.279999999999</v>
      </c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34963.279999999999</v>
      </c>
    </row>
    <row r="209" spans="1:13" x14ac:dyDescent="0.25">
      <c r="A209" s="21" t="s">
        <v>1579</v>
      </c>
      <c r="B209" s="19"/>
      <c r="C209" s="19"/>
      <c r="D209" s="19"/>
      <c r="E209" s="19"/>
      <c r="F209" s="19"/>
      <c r="G209" s="19">
        <v>1100</v>
      </c>
      <c r="H209" s="19"/>
      <c r="I209" s="19"/>
      <c r="J209" s="19"/>
      <c r="K209" s="19">
        <v>173.25</v>
      </c>
      <c r="L209" s="19"/>
      <c r="M209" s="23">
        <f>SUM(Tabla2[[#This Row],[01. Alcaldía]:[11. Salud pública y seguridad ciudadana]])</f>
        <v>1273.25</v>
      </c>
    </row>
    <row r="210" spans="1:13" x14ac:dyDescent="0.25">
      <c r="A210" s="21" t="s">
        <v>1581</v>
      </c>
      <c r="B210" s="19"/>
      <c r="C210" s="19"/>
      <c r="D210" s="19"/>
      <c r="E210" s="19"/>
      <c r="F210" s="19">
        <v>3475.12</v>
      </c>
      <c r="G210" s="19">
        <v>290.39999999999998</v>
      </c>
      <c r="H210" s="19"/>
      <c r="I210" s="19"/>
      <c r="J210" s="19"/>
      <c r="K210" s="19"/>
      <c r="L210" s="19"/>
      <c r="M210" s="23">
        <f>SUM(Tabla2[[#This Row],[01. Alcaldía]:[11. Salud pública y seguridad ciudadana]])</f>
        <v>3765.52</v>
      </c>
    </row>
    <row r="211" spans="1:13" x14ac:dyDescent="0.25">
      <c r="A211" s="21" t="s">
        <v>121</v>
      </c>
      <c r="B211" s="19"/>
      <c r="C211" s="19"/>
      <c r="D211" s="19"/>
      <c r="E211" s="19">
        <v>246.5</v>
      </c>
      <c r="F211" s="19"/>
      <c r="G211" s="19"/>
      <c r="H211" s="19"/>
      <c r="I211" s="19"/>
      <c r="J211" s="19"/>
      <c r="K211" s="19">
        <v>214.5</v>
      </c>
      <c r="L211" s="19"/>
      <c r="M211" s="23">
        <f>SUM(Tabla2[[#This Row],[01. Alcaldía]:[11. Salud pública y seguridad ciudadana]])</f>
        <v>461</v>
      </c>
    </row>
    <row r="212" spans="1:13" x14ac:dyDescent="0.25">
      <c r="A212" s="21" t="s">
        <v>1587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>
        <v>4509.12</v>
      </c>
      <c r="L212" s="19"/>
      <c r="M212" s="23">
        <f>SUM(Tabla2[[#This Row],[01. Alcaldía]:[11. Salud pública y seguridad ciudadana]])</f>
        <v>4509.12</v>
      </c>
    </row>
    <row r="213" spans="1:13" x14ac:dyDescent="0.25">
      <c r="A213" s="21" t="s">
        <v>1590</v>
      </c>
      <c r="B213" s="19"/>
      <c r="C213" s="19"/>
      <c r="D213" s="19"/>
      <c r="E213" s="19"/>
      <c r="F213" s="19">
        <v>5945.38</v>
      </c>
      <c r="G213" s="19">
        <v>1093.3699999999999</v>
      </c>
      <c r="H213" s="19"/>
      <c r="I213" s="19"/>
      <c r="J213" s="19"/>
      <c r="K213" s="19"/>
      <c r="L213" s="19"/>
      <c r="M213" s="23">
        <f>SUM(Tabla2[[#This Row],[01. Alcaldía]:[11. Salud pública y seguridad ciudadana]])</f>
        <v>7038.75</v>
      </c>
    </row>
    <row r="214" spans="1:13" x14ac:dyDescent="0.25">
      <c r="A214" s="21" t="s">
        <v>403</v>
      </c>
      <c r="B214" s="19"/>
      <c r="C214" s="19"/>
      <c r="D214" s="19">
        <v>665.5</v>
      </c>
      <c r="E214" s="19"/>
      <c r="F214" s="19"/>
      <c r="G214" s="19"/>
      <c r="H214" s="19"/>
      <c r="I214" s="19"/>
      <c r="J214" s="19"/>
      <c r="K214" s="19"/>
      <c r="L214" s="19"/>
      <c r="M214" s="23">
        <f>SUM(Tabla2[[#This Row],[01. Alcaldía]:[11. Salud pública y seguridad ciudadana]])</f>
        <v>665.5</v>
      </c>
    </row>
    <row r="215" spans="1:13" x14ac:dyDescent="0.25">
      <c r="A215" s="21" t="s">
        <v>1593</v>
      </c>
      <c r="B215" s="19"/>
      <c r="C215" s="19"/>
      <c r="D215" s="19">
        <v>460.78</v>
      </c>
      <c r="E215" s="19"/>
      <c r="F215" s="19"/>
      <c r="G215" s="19"/>
      <c r="H215" s="19"/>
      <c r="I215" s="19"/>
      <c r="J215" s="19"/>
      <c r="K215" s="19"/>
      <c r="L215" s="19"/>
      <c r="M215" s="23">
        <f>SUM(Tabla2[[#This Row],[01. Alcaldía]:[11. Salud pública y seguridad ciudadana]])</f>
        <v>460.78</v>
      </c>
    </row>
    <row r="216" spans="1:13" x14ac:dyDescent="0.25">
      <c r="A216" s="21" t="s">
        <v>16</v>
      </c>
      <c r="B216" s="19"/>
      <c r="C216" s="19"/>
      <c r="D216" s="19"/>
      <c r="E216" s="19"/>
      <c r="F216" s="19"/>
      <c r="G216" s="19">
        <v>1050</v>
      </c>
      <c r="H216" s="19"/>
      <c r="I216" s="19"/>
      <c r="J216" s="19"/>
      <c r="K216" s="19"/>
      <c r="L216" s="19"/>
      <c r="M216" s="23">
        <f>SUM(Tabla2[[#This Row],[01. Alcaldía]:[11. Salud pública y seguridad ciudadana]])</f>
        <v>1050</v>
      </c>
    </row>
    <row r="217" spans="1:13" x14ac:dyDescent="0.25">
      <c r="A217" s="21" t="s">
        <v>1599</v>
      </c>
      <c r="B217" s="19"/>
      <c r="C217" s="19">
        <v>1000</v>
      </c>
      <c r="D217" s="19"/>
      <c r="E217" s="19"/>
      <c r="F217" s="19"/>
      <c r="G217" s="19"/>
      <c r="H217" s="19"/>
      <c r="I217" s="19"/>
      <c r="J217" s="19"/>
      <c r="K217" s="19"/>
      <c r="L217" s="19"/>
      <c r="M217" s="23">
        <f>SUM(Tabla2[[#This Row],[01. Alcaldía]:[11. Salud pública y seguridad ciudadana]])</f>
        <v>1000</v>
      </c>
    </row>
    <row r="218" spans="1:13" x14ac:dyDescent="0.25">
      <c r="A218" s="21" t="s">
        <v>1614</v>
      </c>
      <c r="B218" s="19"/>
      <c r="C218" s="19"/>
      <c r="D218" s="19"/>
      <c r="E218" s="19"/>
      <c r="F218" s="19"/>
      <c r="G218" s="19">
        <v>400</v>
      </c>
      <c r="H218" s="19"/>
      <c r="I218" s="19"/>
      <c r="J218" s="19"/>
      <c r="K218" s="19"/>
      <c r="L218" s="19"/>
      <c r="M218" s="23">
        <f>SUM(Tabla2[[#This Row],[01. Alcaldía]:[11. Salud pública y seguridad ciudadana]])</f>
        <v>400</v>
      </c>
    </row>
    <row r="219" spans="1:13" x14ac:dyDescent="0.25">
      <c r="A219" s="21" t="s">
        <v>14</v>
      </c>
      <c r="B219" s="19"/>
      <c r="C219" s="19"/>
      <c r="D219" s="19">
        <v>9366.3700000000008</v>
      </c>
      <c r="E219" s="19"/>
      <c r="F219" s="19"/>
      <c r="G219" s="19"/>
      <c r="H219" s="19">
        <v>4119.2</v>
      </c>
      <c r="I219" s="19"/>
      <c r="J219" s="19"/>
      <c r="K219" s="19"/>
      <c r="L219" s="19"/>
      <c r="M219" s="23">
        <f>SUM(Tabla2[[#This Row],[01. Alcaldía]:[11. Salud pública y seguridad ciudadana]])</f>
        <v>13485.57</v>
      </c>
    </row>
    <row r="220" spans="1:13" x14ac:dyDescent="0.25">
      <c r="A220" s="21" t="s">
        <v>343</v>
      </c>
      <c r="B220" s="19"/>
      <c r="C220" s="19"/>
      <c r="D220" s="19"/>
      <c r="E220" s="19"/>
      <c r="F220" s="19"/>
      <c r="G220" s="19"/>
      <c r="H220" s="19">
        <v>7260</v>
      </c>
      <c r="I220" s="19"/>
      <c r="J220" s="19"/>
      <c r="K220" s="19"/>
      <c r="L220" s="19"/>
      <c r="M220" s="23">
        <f>SUM(Tabla2[[#This Row],[01. Alcaldía]:[11. Salud pública y seguridad ciudadana]])</f>
        <v>7260</v>
      </c>
    </row>
    <row r="221" spans="1:13" x14ac:dyDescent="0.25">
      <c r="A221" s="21" t="s">
        <v>4140</v>
      </c>
      <c r="B221" s="19"/>
      <c r="C221" s="19"/>
      <c r="D221" s="19"/>
      <c r="E221" s="19"/>
      <c r="F221" s="19"/>
      <c r="G221" s="19">
        <v>4089.8</v>
      </c>
      <c r="H221" s="19"/>
      <c r="I221" s="19"/>
      <c r="J221" s="19"/>
      <c r="K221" s="19"/>
      <c r="L221" s="19"/>
      <c r="M221" s="23">
        <f>SUM(Tabla2[[#This Row],[01. Alcaldía]:[11. Salud pública y seguridad ciudadana]])</f>
        <v>4089.8</v>
      </c>
    </row>
    <row r="222" spans="1:13" x14ac:dyDescent="0.25">
      <c r="A222" s="21" t="s">
        <v>446</v>
      </c>
      <c r="B222" s="19"/>
      <c r="C222" s="19"/>
      <c r="D222" s="19"/>
      <c r="E222" s="19"/>
      <c r="F222" s="19"/>
      <c r="G222" s="19">
        <v>84.4</v>
      </c>
      <c r="H222" s="19"/>
      <c r="I222" s="19"/>
      <c r="J222" s="19"/>
      <c r="K222" s="19"/>
      <c r="L222" s="19"/>
      <c r="M222" s="23">
        <f>SUM(Tabla2[[#This Row],[01. Alcaldía]:[11. Salud pública y seguridad ciudadana]])</f>
        <v>84.4</v>
      </c>
    </row>
    <row r="223" spans="1:13" x14ac:dyDescent="0.25">
      <c r="A223" s="21" t="s">
        <v>1743</v>
      </c>
      <c r="B223" s="19"/>
      <c r="C223" s="19"/>
      <c r="D223" s="19"/>
      <c r="E223" s="19"/>
      <c r="F223" s="19"/>
      <c r="G223" s="19">
        <v>847</v>
      </c>
      <c r="H223" s="19"/>
      <c r="I223" s="19"/>
      <c r="J223" s="19"/>
      <c r="K223" s="19"/>
      <c r="L223" s="19"/>
      <c r="M223" s="23">
        <f>SUM(Tabla2[[#This Row],[01. Alcaldía]:[11. Salud pública y seguridad ciudadana]])</f>
        <v>847</v>
      </c>
    </row>
    <row r="224" spans="1:13" x14ac:dyDescent="0.25">
      <c r="A224" s="21" t="s">
        <v>480</v>
      </c>
      <c r="B224" s="19"/>
      <c r="C224" s="19"/>
      <c r="D224" s="19">
        <v>84.22999999999999</v>
      </c>
      <c r="E224" s="19"/>
      <c r="F224" s="19"/>
      <c r="G224" s="19"/>
      <c r="H224" s="19"/>
      <c r="I224" s="19"/>
      <c r="J224" s="19"/>
      <c r="K224" s="19"/>
      <c r="L224" s="19"/>
      <c r="M224" s="23">
        <f>SUM(Tabla2[[#This Row],[01. Alcaldía]:[11. Salud pública y seguridad ciudadana]])</f>
        <v>84.22999999999999</v>
      </c>
    </row>
    <row r="225" spans="1:13" x14ac:dyDescent="0.25">
      <c r="A225" s="21" t="s">
        <v>1747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1350</v>
      </c>
      <c r="L225" s="19"/>
      <c r="M225" s="23">
        <f>SUM(Tabla2[[#This Row],[01. Alcaldía]:[11. Salud pública y seguridad ciudadana]])</f>
        <v>1350</v>
      </c>
    </row>
    <row r="226" spans="1:13" x14ac:dyDescent="0.25">
      <c r="A226" s="21" t="s">
        <v>1757</v>
      </c>
      <c r="B226" s="19"/>
      <c r="C226" s="19"/>
      <c r="D226" s="19"/>
      <c r="E226" s="19"/>
      <c r="F226" s="19"/>
      <c r="G226" s="19"/>
      <c r="H226" s="19"/>
      <c r="I226" s="19">
        <v>300.08</v>
      </c>
      <c r="J226" s="19"/>
      <c r="K226" s="19"/>
      <c r="L226" s="19"/>
      <c r="M226" s="23">
        <f>SUM(Tabla2[[#This Row],[01. Alcaldía]:[11. Salud pública y seguridad ciudadana]])</f>
        <v>300.08</v>
      </c>
    </row>
    <row r="227" spans="1:13" x14ac:dyDescent="0.25">
      <c r="A227" s="21" t="s">
        <v>450</v>
      </c>
      <c r="B227" s="19"/>
      <c r="C227" s="19"/>
      <c r="D227" s="19">
        <v>1150</v>
      </c>
      <c r="E227" s="19"/>
      <c r="F227" s="19"/>
      <c r="G227" s="19"/>
      <c r="H227" s="19"/>
      <c r="I227" s="19"/>
      <c r="J227" s="19"/>
      <c r="K227" s="19"/>
      <c r="L227" s="19"/>
      <c r="M227" s="23">
        <f>SUM(Tabla2[[#This Row],[01. Alcaldía]:[11. Salud pública y seguridad ciudadana]])</f>
        <v>1150</v>
      </c>
    </row>
    <row r="228" spans="1:13" x14ac:dyDescent="0.25">
      <c r="A228" s="21" t="s">
        <v>1769</v>
      </c>
      <c r="B228" s="19"/>
      <c r="C228" s="19"/>
      <c r="D228" s="19"/>
      <c r="E228" s="19">
        <v>3500</v>
      </c>
      <c r="F228" s="19"/>
      <c r="G228" s="19"/>
      <c r="H228" s="19"/>
      <c r="I228" s="19"/>
      <c r="J228" s="19"/>
      <c r="K228" s="19"/>
      <c r="L228" s="19"/>
      <c r="M228" s="23">
        <f>SUM(Tabla2[[#This Row],[01. Alcaldía]:[11. Salud pública y seguridad ciudadana]])</f>
        <v>3500</v>
      </c>
    </row>
    <row r="229" spans="1:13" x14ac:dyDescent="0.25">
      <c r="A229" s="21" t="s">
        <v>53</v>
      </c>
      <c r="B229" s="19">
        <v>1584</v>
      </c>
      <c r="C229" s="19"/>
      <c r="D229" s="19"/>
      <c r="E229" s="19">
        <v>600</v>
      </c>
      <c r="F229" s="19"/>
      <c r="G229" s="19">
        <v>8349</v>
      </c>
      <c r="H229" s="19">
        <v>536.79999999999995</v>
      </c>
      <c r="I229" s="19"/>
      <c r="J229" s="19">
        <v>6926.92</v>
      </c>
      <c r="K229" s="19">
        <v>199.78</v>
      </c>
      <c r="L229" s="19"/>
      <c r="M229" s="23">
        <f>SUM(Tabla2[[#This Row],[01. Alcaldía]:[11. Salud pública y seguridad ciudadana]])</f>
        <v>18196.5</v>
      </c>
    </row>
    <row r="230" spans="1:13" x14ac:dyDescent="0.25">
      <c r="A230" s="21" t="s">
        <v>1794</v>
      </c>
      <c r="B230" s="19"/>
      <c r="C230" s="19"/>
      <c r="D230" s="19">
        <v>400</v>
      </c>
      <c r="E230" s="19"/>
      <c r="F230" s="19"/>
      <c r="G230" s="19"/>
      <c r="H230" s="19"/>
      <c r="I230" s="19"/>
      <c r="J230" s="19"/>
      <c r="K230" s="19"/>
      <c r="L230" s="19"/>
      <c r="M230" s="23">
        <f>SUM(Tabla2[[#This Row],[01. Alcaldía]:[11. Salud pública y seguridad ciudadana]])</f>
        <v>400</v>
      </c>
    </row>
    <row r="231" spans="1:13" x14ac:dyDescent="0.25">
      <c r="A231" s="21" t="s">
        <v>471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>
        <v>1539.12</v>
      </c>
      <c r="M231" s="23">
        <f>SUM(Tabla2[[#This Row],[01. Alcaldía]:[11. Salud pública y seguridad ciudadana]])</f>
        <v>1539.12</v>
      </c>
    </row>
    <row r="232" spans="1:13" x14ac:dyDescent="0.25">
      <c r="A232" s="21" t="s">
        <v>4271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4931.68</v>
      </c>
      <c r="M232" s="23">
        <f>SUM(Tabla2[[#This Row],[01. Alcaldía]:[11. Salud pública y seguridad ciudadana]])</f>
        <v>4931.68</v>
      </c>
    </row>
    <row r="233" spans="1:13" x14ac:dyDescent="0.25">
      <c r="A233" s="21" t="s">
        <v>1800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5112.12</v>
      </c>
      <c r="L233" s="19"/>
      <c r="M233" s="23">
        <f>SUM(Tabla2[[#This Row],[01. Alcaldía]:[11. Salud pública y seguridad ciudadana]])</f>
        <v>5112.12</v>
      </c>
    </row>
    <row r="234" spans="1:13" x14ac:dyDescent="0.25">
      <c r="A234" s="21" t="s">
        <v>25</v>
      </c>
      <c r="B234" s="19"/>
      <c r="C234" s="19"/>
      <c r="D234" s="19"/>
      <c r="E234" s="19"/>
      <c r="F234" s="19"/>
      <c r="G234" s="19"/>
      <c r="H234" s="19"/>
      <c r="I234" s="19"/>
      <c r="J234" s="19">
        <v>1089</v>
      </c>
      <c r="K234" s="19"/>
      <c r="L234" s="19"/>
      <c r="M234" s="23">
        <f>SUM(Tabla2[[#This Row],[01. Alcaldía]:[11. Salud pública y seguridad ciudadana]])</f>
        <v>1089</v>
      </c>
    </row>
    <row r="235" spans="1:13" x14ac:dyDescent="0.25">
      <c r="A235" s="21" t="s">
        <v>1813</v>
      </c>
      <c r="B235" s="19"/>
      <c r="C235" s="19"/>
      <c r="D235" s="19">
        <v>1762.06</v>
      </c>
      <c r="E235" s="19"/>
      <c r="F235" s="19"/>
      <c r="G235" s="19"/>
      <c r="H235" s="19"/>
      <c r="I235" s="19"/>
      <c r="J235" s="19"/>
      <c r="K235" s="19"/>
      <c r="L235" s="19"/>
      <c r="M235" s="23">
        <f>SUM(Tabla2[[#This Row],[01. Alcaldía]:[11. Salud pública y seguridad ciudadana]])</f>
        <v>1762.06</v>
      </c>
    </row>
    <row r="236" spans="1:13" x14ac:dyDescent="0.25">
      <c r="A236" s="21" t="s">
        <v>1816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8394.3799999999992</v>
      </c>
      <c r="M236" s="23">
        <f>SUM(Tabla2[[#This Row],[01. Alcaldía]:[11. Salud pública y seguridad ciudadana]])</f>
        <v>8394.3799999999992</v>
      </c>
    </row>
    <row r="237" spans="1:13" x14ac:dyDescent="0.25">
      <c r="A237" s="21" t="s">
        <v>5120</v>
      </c>
      <c r="B237" s="19"/>
      <c r="C237" s="19"/>
      <c r="D237" s="19"/>
      <c r="E237" s="19"/>
      <c r="F237" s="19"/>
      <c r="G237" s="19">
        <v>2500</v>
      </c>
      <c r="H237" s="19"/>
      <c r="I237" s="19"/>
      <c r="J237" s="19"/>
      <c r="K237" s="19"/>
      <c r="L237" s="19"/>
      <c r="M237" s="23">
        <f>SUM(Tabla2[[#This Row],[01. Alcaldía]:[11. Salud pública y seguridad ciudadana]])</f>
        <v>2500</v>
      </c>
    </row>
    <row r="238" spans="1:13" x14ac:dyDescent="0.25">
      <c r="A238" s="21" t="s">
        <v>1819</v>
      </c>
      <c r="B238" s="19">
        <v>605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23">
        <f>SUM(Tabla2[[#This Row],[01. Alcaldía]:[11. Salud pública y seguridad ciudadana]])</f>
        <v>605</v>
      </c>
    </row>
    <row r="239" spans="1:13" x14ac:dyDescent="0.25">
      <c r="A239" s="21" t="s">
        <v>1833</v>
      </c>
      <c r="B239" s="19"/>
      <c r="C239" s="19"/>
      <c r="D239" s="19"/>
      <c r="E239" s="19"/>
      <c r="F239" s="19"/>
      <c r="G239" s="19"/>
      <c r="H239" s="19"/>
      <c r="I239" s="19"/>
      <c r="J239" s="19">
        <v>610.67999999999995</v>
      </c>
      <c r="K239" s="19"/>
      <c r="L239" s="19"/>
      <c r="M239" s="23">
        <f>SUM(Tabla2[[#This Row],[01. Alcaldía]:[11. Salud pública y seguridad ciudadana]])</f>
        <v>610.67999999999995</v>
      </c>
    </row>
    <row r="240" spans="1:13" x14ac:dyDescent="0.25">
      <c r="A240" s="21" t="s">
        <v>4297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>
        <v>1007.93</v>
      </c>
      <c r="L240" s="19"/>
      <c r="M240" s="23">
        <f>SUM(Tabla2[[#This Row],[01. Alcaldía]:[11. Salud pública y seguridad ciudadana]])</f>
        <v>1007.93</v>
      </c>
    </row>
    <row r="241" spans="1:13" x14ac:dyDescent="0.25">
      <c r="A241" s="21" t="s">
        <v>1842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13722.5</v>
      </c>
      <c r="M241" s="23">
        <f>SUM(Tabla2[[#This Row],[01. Alcaldía]:[11. Salud pública y seguridad ciudadana]])</f>
        <v>13722.5</v>
      </c>
    </row>
    <row r="242" spans="1:13" x14ac:dyDescent="0.25">
      <c r="A242" s="21" t="s">
        <v>397</v>
      </c>
      <c r="B242" s="19"/>
      <c r="C242" s="19"/>
      <c r="D242" s="19"/>
      <c r="E242" s="19"/>
      <c r="F242" s="19"/>
      <c r="G242" s="19"/>
      <c r="H242" s="19">
        <v>222.42</v>
      </c>
      <c r="I242" s="19"/>
      <c r="J242" s="19"/>
      <c r="K242" s="19"/>
      <c r="L242" s="19">
        <v>1641.46</v>
      </c>
      <c r="M242" s="23">
        <f>SUM(Tabla2[[#This Row],[01. Alcaldía]:[11. Salud pública y seguridad ciudadana]])</f>
        <v>1863.88</v>
      </c>
    </row>
    <row r="243" spans="1:13" x14ac:dyDescent="0.25">
      <c r="A243" s="21" t="s">
        <v>4300</v>
      </c>
      <c r="B243" s="19"/>
      <c r="C243" s="19"/>
      <c r="D243" s="19"/>
      <c r="E243" s="19"/>
      <c r="F243" s="19"/>
      <c r="G243" s="19"/>
      <c r="H243" s="19">
        <v>871.2</v>
      </c>
      <c r="I243" s="19"/>
      <c r="J243" s="19"/>
      <c r="K243" s="19"/>
      <c r="L243" s="19"/>
      <c r="M243" s="23">
        <f>SUM(Tabla2[[#This Row],[01. Alcaldía]:[11. Salud pública y seguridad ciudadana]])</f>
        <v>871.2</v>
      </c>
    </row>
    <row r="244" spans="1:13" x14ac:dyDescent="0.25">
      <c r="A244" s="21" t="s">
        <v>4304</v>
      </c>
      <c r="B244" s="19"/>
      <c r="C244" s="19"/>
      <c r="D244" s="19"/>
      <c r="E244" s="19">
        <v>2153.8000000000002</v>
      </c>
      <c r="F244" s="19"/>
      <c r="G244" s="19"/>
      <c r="H244" s="19"/>
      <c r="I244" s="19"/>
      <c r="J244" s="19"/>
      <c r="K244" s="19"/>
      <c r="L244" s="19"/>
      <c r="M244" s="23">
        <f>SUM(Tabla2[[#This Row],[01. Alcaldía]:[11. Salud pública y seguridad ciudadana]])</f>
        <v>2153.8000000000002</v>
      </c>
    </row>
    <row r="245" spans="1:13" x14ac:dyDescent="0.25">
      <c r="A245" s="21" t="s">
        <v>1854</v>
      </c>
      <c r="B245" s="19"/>
      <c r="C245" s="19"/>
      <c r="D245" s="19"/>
      <c r="E245" s="19"/>
      <c r="F245" s="19">
        <v>7260</v>
      </c>
      <c r="G245" s="19"/>
      <c r="H245" s="19"/>
      <c r="I245" s="19"/>
      <c r="J245" s="19"/>
      <c r="K245" s="19"/>
      <c r="L245" s="19"/>
      <c r="M245" s="23">
        <f>SUM(Tabla2[[#This Row],[01. Alcaldía]:[11. Salud pública y seguridad ciudadana]])</f>
        <v>7260</v>
      </c>
    </row>
    <row r="246" spans="1:13" x14ac:dyDescent="0.25">
      <c r="A246" s="21" t="s">
        <v>4306</v>
      </c>
      <c r="B246" s="19"/>
      <c r="C246" s="19"/>
      <c r="D246" s="19"/>
      <c r="E246" s="19"/>
      <c r="F246" s="19"/>
      <c r="G246" s="19"/>
      <c r="H246" s="19"/>
      <c r="I246" s="19">
        <v>266.44</v>
      </c>
      <c r="J246" s="19"/>
      <c r="K246" s="19"/>
      <c r="L246" s="19"/>
      <c r="M246" s="23">
        <f>SUM(Tabla2[[#This Row],[01. Alcaldía]:[11. Salud pública y seguridad ciudadana]])</f>
        <v>266.44</v>
      </c>
    </row>
    <row r="247" spans="1:13" x14ac:dyDescent="0.25">
      <c r="A247" s="21" t="s">
        <v>4308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1090</v>
      </c>
      <c r="L247" s="19"/>
      <c r="M247" s="23">
        <f>SUM(Tabla2[[#This Row],[01. Alcaldía]:[11. Salud pública y seguridad ciudadana]])</f>
        <v>1090</v>
      </c>
    </row>
    <row r="248" spans="1:13" x14ac:dyDescent="0.25">
      <c r="A248" s="21" t="s">
        <v>2082</v>
      </c>
      <c r="B248" s="19"/>
      <c r="C248" s="19"/>
      <c r="D248" s="19"/>
      <c r="E248" s="19"/>
      <c r="F248" s="19"/>
      <c r="G248" s="19">
        <v>2117.5</v>
      </c>
      <c r="H248" s="19"/>
      <c r="I248" s="19"/>
      <c r="J248" s="19"/>
      <c r="K248" s="19"/>
      <c r="L248" s="19"/>
      <c r="M248" s="23">
        <f>SUM(Tabla2[[#This Row],[01. Alcaldía]:[11. Salud pública y seguridad ciudadana]])</f>
        <v>2117.5</v>
      </c>
    </row>
    <row r="249" spans="1:13" x14ac:dyDescent="0.25">
      <c r="A249" s="21" t="s">
        <v>1861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>
        <v>3331.52</v>
      </c>
      <c r="M249" s="23">
        <f>SUM(Tabla2[[#This Row],[01. Alcaldía]:[11. Salud pública y seguridad ciudadana]])</f>
        <v>3331.52</v>
      </c>
    </row>
    <row r="250" spans="1:13" x14ac:dyDescent="0.25">
      <c r="A250" s="21" t="s">
        <v>428</v>
      </c>
      <c r="B250" s="19">
        <v>1179.75</v>
      </c>
      <c r="C250" s="19"/>
      <c r="D250" s="19"/>
      <c r="E250" s="19"/>
      <c r="F250" s="19"/>
      <c r="G250" s="19"/>
      <c r="H250" s="19"/>
      <c r="I250" s="19"/>
      <c r="J250" s="19">
        <v>9468.25</v>
      </c>
      <c r="K250" s="19"/>
      <c r="L250" s="19"/>
      <c r="M250" s="23">
        <f>SUM(Tabla2[[#This Row],[01. Alcaldía]:[11. Salud pública y seguridad ciudadana]])</f>
        <v>10648</v>
      </c>
    </row>
    <row r="251" spans="1:13" x14ac:dyDescent="0.25">
      <c r="A251" s="21" t="s">
        <v>1866</v>
      </c>
      <c r="B251" s="19"/>
      <c r="C251" s="19">
        <v>15702.78</v>
      </c>
      <c r="D251" s="19"/>
      <c r="E251" s="19"/>
      <c r="F251" s="19"/>
      <c r="G251" s="19"/>
      <c r="H251" s="19"/>
      <c r="I251" s="19"/>
      <c r="J251" s="19"/>
      <c r="K251" s="19"/>
      <c r="L251" s="19"/>
      <c r="M251" s="23">
        <f>SUM(Tabla2[[#This Row],[01. Alcaldía]:[11. Salud pública y seguridad ciudadana]])</f>
        <v>15702.78</v>
      </c>
    </row>
    <row r="252" spans="1:13" x14ac:dyDescent="0.25">
      <c r="A252" s="21" t="s">
        <v>1869</v>
      </c>
      <c r="B252" s="19"/>
      <c r="C252" s="19"/>
      <c r="D252" s="19"/>
      <c r="E252" s="19"/>
      <c r="F252" s="19"/>
      <c r="G252" s="19">
        <v>363</v>
      </c>
      <c r="H252" s="19"/>
      <c r="I252" s="19"/>
      <c r="J252" s="19"/>
      <c r="K252" s="19"/>
      <c r="L252" s="19"/>
      <c r="M252" s="23">
        <f>SUM(Tabla2[[#This Row],[01. Alcaldía]:[11. Salud pública y seguridad ciudadana]])</f>
        <v>363</v>
      </c>
    </row>
    <row r="253" spans="1:13" x14ac:dyDescent="0.25">
      <c r="A253" s="21" t="s">
        <v>522</v>
      </c>
      <c r="B253" s="19"/>
      <c r="C253" s="19"/>
      <c r="D253" s="19"/>
      <c r="E253" s="19"/>
      <c r="F253" s="19"/>
      <c r="G253" s="19">
        <v>2148.96</v>
      </c>
      <c r="H253" s="19"/>
      <c r="I253" s="19"/>
      <c r="J253" s="19"/>
      <c r="K253" s="19">
        <v>1873.08</v>
      </c>
      <c r="L253" s="19"/>
      <c r="M253" s="23">
        <f>SUM(Tabla2[[#This Row],[01. Alcaldía]:[11. Salud pública y seguridad ciudadana]])</f>
        <v>4022.04</v>
      </c>
    </row>
    <row r="254" spans="1:13" x14ac:dyDescent="0.25">
      <c r="A254" s="21" t="s">
        <v>1881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498</v>
      </c>
      <c r="L254" s="19"/>
      <c r="M254" s="23">
        <f>SUM(Tabla2[[#This Row],[01. Alcaldía]:[11. Salud pública y seguridad ciudadana]])</f>
        <v>498</v>
      </c>
    </row>
    <row r="255" spans="1:13" x14ac:dyDescent="0.25">
      <c r="A255" s="21" t="s">
        <v>3152</v>
      </c>
      <c r="B255" s="19"/>
      <c r="C255" s="19"/>
      <c r="D255" s="19">
        <v>4487.6000000000004</v>
      </c>
      <c r="E255" s="19"/>
      <c r="F255" s="19"/>
      <c r="G255" s="19"/>
      <c r="H255" s="19"/>
      <c r="I255" s="19"/>
      <c r="J255" s="19"/>
      <c r="K255" s="19">
        <v>1802.9</v>
      </c>
      <c r="L255" s="19"/>
      <c r="M255" s="23">
        <f>SUM(Tabla2[[#This Row],[01. Alcaldía]:[11. Salud pública y seguridad ciudadana]])</f>
        <v>6290.5</v>
      </c>
    </row>
    <row r="256" spans="1:13" x14ac:dyDescent="0.25">
      <c r="A256" s="21" t="s">
        <v>1885</v>
      </c>
      <c r="B256" s="19"/>
      <c r="C256" s="19"/>
      <c r="D256" s="19"/>
      <c r="E256" s="19"/>
      <c r="F256" s="19"/>
      <c r="G256" s="19"/>
      <c r="H256" s="19">
        <v>1512.5</v>
      </c>
      <c r="I256" s="19"/>
      <c r="J256" s="19"/>
      <c r="K256" s="19"/>
      <c r="L256" s="19"/>
      <c r="M256" s="23">
        <f>SUM(Tabla2[[#This Row],[01. Alcaldía]:[11. Salud pública y seguridad ciudadana]])</f>
        <v>1512.5</v>
      </c>
    </row>
    <row r="257" spans="1:13" x14ac:dyDescent="0.25">
      <c r="A257" s="21" t="s">
        <v>1050</v>
      </c>
      <c r="B257" s="19"/>
      <c r="C257" s="19"/>
      <c r="D257" s="19"/>
      <c r="E257" s="19"/>
      <c r="F257" s="19"/>
      <c r="G257" s="19">
        <v>7199.5</v>
      </c>
      <c r="H257" s="19"/>
      <c r="I257" s="19"/>
      <c r="J257" s="19"/>
      <c r="K257" s="19">
        <v>532.4</v>
      </c>
      <c r="L257" s="19"/>
      <c r="M257" s="23">
        <f>SUM(Tabla2[[#This Row],[01. Alcaldía]:[11. Salud pública y seguridad ciudadana]])</f>
        <v>7731.9</v>
      </c>
    </row>
    <row r="258" spans="1:13" x14ac:dyDescent="0.25">
      <c r="A258" s="21" t="s">
        <v>67</v>
      </c>
      <c r="B258" s="19"/>
      <c r="C258" s="19">
        <v>1857.35</v>
      </c>
      <c r="D258" s="19"/>
      <c r="E258" s="19"/>
      <c r="F258" s="19">
        <v>2311.1</v>
      </c>
      <c r="G258" s="19">
        <v>2214.3000000000002</v>
      </c>
      <c r="H258" s="19"/>
      <c r="I258" s="19"/>
      <c r="J258" s="19"/>
      <c r="K258" s="19"/>
      <c r="L258" s="19">
        <v>4700.87</v>
      </c>
      <c r="M258" s="23">
        <f>SUM(Tabla2[[#This Row],[01. Alcaldía]:[11. Salud pública y seguridad ciudadana]])</f>
        <v>11083.619999999999</v>
      </c>
    </row>
    <row r="259" spans="1:13" x14ac:dyDescent="0.25">
      <c r="A259" s="21" t="s">
        <v>417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7676.24</v>
      </c>
      <c r="M259" s="23">
        <f>SUM(Tabla2[[#This Row],[01. Alcaldía]:[11. Salud pública y seguridad ciudadana]])</f>
        <v>7676.24</v>
      </c>
    </row>
    <row r="260" spans="1:13" x14ac:dyDescent="0.25">
      <c r="A260" s="21" t="s">
        <v>1928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786.52</v>
      </c>
      <c r="M260" s="23">
        <f>SUM(Tabla2[[#This Row],[01. Alcaldía]:[11. Salud pública y seguridad ciudadana]])</f>
        <v>786.52</v>
      </c>
    </row>
    <row r="261" spans="1:13" x14ac:dyDescent="0.25">
      <c r="A261" s="21" t="s">
        <v>1930</v>
      </c>
      <c r="B261" s="19"/>
      <c r="C261" s="19"/>
      <c r="D261" s="19"/>
      <c r="E261" s="19"/>
      <c r="F261" s="19"/>
      <c r="G261" s="19">
        <v>2000</v>
      </c>
      <c r="H261" s="19"/>
      <c r="I261" s="19"/>
      <c r="J261" s="19"/>
      <c r="K261" s="19"/>
      <c r="L261" s="19"/>
      <c r="M261" s="23">
        <f>SUM(Tabla2[[#This Row],[01. Alcaldía]:[11. Salud pública y seguridad ciudadana]])</f>
        <v>2000</v>
      </c>
    </row>
    <row r="262" spans="1:13" x14ac:dyDescent="0.25">
      <c r="A262" s="21" t="s">
        <v>1932</v>
      </c>
      <c r="B262" s="19"/>
      <c r="C262" s="19"/>
      <c r="D262" s="19">
        <v>544.5</v>
      </c>
      <c r="E262" s="19"/>
      <c r="F262" s="19"/>
      <c r="G262" s="19"/>
      <c r="H262" s="19"/>
      <c r="I262" s="19"/>
      <c r="J262" s="19"/>
      <c r="K262" s="19"/>
      <c r="L262" s="19"/>
      <c r="M262" s="23">
        <f>SUM(Tabla2[[#This Row],[01. Alcaldía]:[11. Salud pública y seguridad ciudadana]])</f>
        <v>544.5</v>
      </c>
    </row>
    <row r="263" spans="1:13" x14ac:dyDescent="0.25">
      <c r="A263" s="21" t="s">
        <v>327</v>
      </c>
      <c r="B263" s="19"/>
      <c r="C263" s="19"/>
      <c r="D263" s="19"/>
      <c r="E263" s="19"/>
      <c r="F263" s="19"/>
      <c r="G263" s="19"/>
      <c r="H263" s="19">
        <v>1633.5</v>
      </c>
      <c r="I263" s="19"/>
      <c r="J263" s="19"/>
      <c r="K263" s="19"/>
      <c r="L263" s="19"/>
      <c r="M263" s="23">
        <f>SUM(Tabla2[[#This Row],[01. Alcaldía]:[11. Salud pública y seguridad ciudadana]])</f>
        <v>1633.5</v>
      </c>
    </row>
    <row r="264" spans="1:13" x14ac:dyDescent="0.25">
      <c r="A264" s="21" t="s">
        <v>30</v>
      </c>
      <c r="B264" s="19">
        <v>544.5</v>
      </c>
      <c r="C264" s="19"/>
      <c r="D264" s="19">
        <v>211.75</v>
      </c>
      <c r="E264" s="19"/>
      <c r="F264" s="19"/>
      <c r="G264" s="19">
        <v>6179.75</v>
      </c>
      <c r="H264" s="19">
        <v>1113.2</v>
      </c>
      <c r="I264" s="19"/>
      <c r="J264" s="19"/>
      <c r="K264" s="19">
        <v>393.25</v>
      </c>
      <c r="L264" s="19">
        <v>2516.8200000000002</v>
      </c>
      <c r="M264" s="23">
        <f>SUM(Tabla2[[#This Row],[01. Alcaldía]:[11. Salud pública y seguridad ciudadana]])</f>
        <v>10959.27</v>
      </c>
    </row>
    <row r="265" spans="1:13" x14ac:dyDescent="0.25">
      <c r="A265" s="21" t="s">
        <v>2013</v>
      </c>
      <c r="B265" s="19"/>
      <c r="C265" s="19"/>
      <c r="D265" s="19"/>
      <c r="E265" s="19"/>
      <c r="F265" s="19"/>
      <c r="G265" s="19"/>
      <c r="H265" s="19">
        <v>5614.4</v>
      </c>
      <c r="I265" s="19"/>
      <c r="J265" s="19"/>
      <c r="K265" s="19"/>
      <c r="L265" s="19"/>
      <c r="M265" s="23">
        <f>SUM(Tabla2[[#This Row],[01. Alcaldía]:[11. Salud pública y seguridad ciudadana]])</f>
        <v>5614.4</v>
      </c>
    </row>
    <row r="266" spans="1:13" x14ac:dyDescent="0.25">
      <c r="A266" s="21" t="s">
        <v>4337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>
        <v>7260</v>
      </c>
      <c r="L266" s="19"/>
      <c r="M266" s="23">
        <f>SUM(Tabla2[[#This Row],[01. Alcaldía]:[11. Salud pública y seguridad ciudadana]])</f>
        <v>7260</v>
      </c>
    </row>
    <row r="267" spans="1:13" x14ac:dyDescent="0.25">
      <c r="A267" s="21" t="s">
        <v>438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>
        <v>2149.46</v>
      </c>
      <c r="M267" s="23">
        <f>SUM(Tabla2[[#This Row],[01. Alcaldía]:[11. Salud pública y seguridad ciudadana]])</f>
        <v>2149.46</v>
      </c>
    </row>
    <row r="268" spans="1:13" x14ac:dyDescent="0.25">
      <c r="A268" s="21" t="s">
        <v>20</v>
      </c>
      <c r="B268" s="19"/>
      <c r="C268" s="19">
        <v>9471.5499999999993</v>
      </c>
      <c r="D268" s="19"/>
      <c r="E268" s="19"/>
      <c r="F268" s="19">
        <v>121</v>
      </c>
      <c r="G268" s="19">
        <v>6337.9499999999989</v>
      </c>
      <c r="H268" s="19">
        <v>5110.0499999999993</v>
      </c>
      <c r="I268" s="19">
        <v>405.31</v>
      </c>
      <c r="J268" s="19">
        <v>1786.8600000000001</v>
      </c>
      <c r="K268" s="19">
        <v>8402.74</v>
      </c>
      <c r="L268" s="19">
        <v>8779.41</v>
      </c>
      <c r="M268" s="23">
        <f>SUM(Tabla2[[#This Row],[01. Alcaldía]:[11. Salud pública y seguridad ciudadana]])</f>
        <v>40414.869999999995</v>
      </c>
    </row>
    <row r="269" spans="1:13" x14ac:dyDescent="0.25">
      <c r="A269" s="21" t="s">
        <v>400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>
        <v>69.25</v>
      </c>
      <c r="M269" s="23">
        <f>SUM(Tabla2[[#This Row],[01. Alcaldía]:[11. Salud pública y seguridad ciudadana]])</f>
        <v>69.25</v>
      </c>
    </row>
    <row r="270" spans="1:13" x14ac:dyDescent="0.25">
      <c r="A270" s="21" t="s">
        <v>5337</v>
      </c>
      <c r="B270" s="19"/>
      <c r="C270" s="19"/>
      <c r="D270" s="19"/>
      <c r="E270" s="19"/>
      <c r="F270" s="19"/>
      <c r="G270" s="19">
        <v>435.6</v>
      </c>
      <c r="H270" s="19"/>
      <c r="I270" s="19"/>
      <c r="J270" s="19"/>
      <c r="K270" s="19"/>
      <c r="L270" s="19"/>
      <c r="M270" s="23">
        <f>SUM(Tabla2[[#This Row],[01. Alcaldía]:[11. Salud pública y seguridad ciudadana]])</f>
        <v>435.6</v>
      </c>
    </row>
    <row r="271" spans="1:13" x14ac:dyDescent="0.25">
      <c r="A271" s="21" t="s">
        <v>55</v>
      </c>
      <c r="B271" s="19"/>
      <c r="C271" s="19"/>
      <c r="D271" s="19"/>
      <c r="E271" s="19"/>
      <c r="F271" s="19"/>
      <c r="G271" s="19">
        <v>4809.2</v>
      </c>
      <c r="H271" s="19"/>
      <c r="I271" s="19"/>
      <c r="J271" s="19"/>
      <c r="K271" s="19"/>
      <c r="L271" s="19"/>
      <c r="M271" s="23">
        <f>SUM(Tabla2[[#This Row],[01. Alcaldía]:[11. Salud pública y seguridad ciudadana]])</f>
        <v>4809.2</v>
      </c>
    </row>
    <row r="272" spans="1:13" x14ac:dyDescent="0.25">
      <c r="A272" s="21" t="s">
        <v>2022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471.9</v>
      </c>
      <c r="L272" s="19"/>
      <c r="M272" s="23">
        <f>SUM(Tabla2[[#This Row],[01. Alcaldía]:[11. Salud pública y seguridad ciudadana]])</f>
        <v>471.9</v>
      </c>
    </row>
    <row r="273" spans="1:13" x14ac:dyDescent="0.25">
      <c r="A273" s="21" t="s">
        <v>427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6259.14</v>
      </c>
      <c r="M273" s="23">
        <f>SUM(Tabla2[[#This Row],[01. Alcaldía]:[11. Salud pública y seguridad ciudadana]])</f>
        <v>6259.14</v>
      </c>
    </row>
    <row r="274" spans="1:13" x14ac:dyDescent="0.25">
      <c r="A274" s="21" t="s">
        <v>4345</v>
      </c>
      <c r="B274" s="19"/>
      <c r="C274" s="19"/>
      <c r="D274" s="19"/>
      <c r="E274" s="19"/>
      <c r="F274" s="19"/>
      <c r="G274" s="19"/>
      <c r="H274" s="19"/>
      <c r="I274" s="19"/>
      <c r="J274" s="19">
        <v>1318.9</v>
      </c>
      <c r="K274" s="19"/>
      <c r="L274" s="19"/>
      <c r="M274" s="23">
        <f>SUM(Tabla2[[#This Row],[01. Alcaldía]:[11. Salud pública y seguridad ciudadana]])</f>
        <v>1318.9</v>
      </c>
    </row>
    <row r="275" spans="1:13" x14ac:dyDescent="0.25">
      <c r="A275" s="21" t="s">
        <v>2161</v>
      </c>
      <c r="B275" s="19"/>
      <c r="C275" s="19"/>
      <c r="D275" s="19">
        <v>231.84</v>
      </c>
      <c r="E275" s="19"/>
      <c r="F275" s="19"/>
      <c r="G275" s="19"/>
      <c r="H275" s="19"/>
      <c r="I275" s="19"/>
      <c r="J275" s="19"/>
      <c r="K275" s="19"/>
      <c r="L275" s="19"/>
      <c r="M275" s="23">
        <f>SUM(Tabla2[[#This Row],[01. Alcaldía]:[11. Salud pública y seguridad ciudadana]])</f>
        <v>231.84</v>
      </c>
    </row>
    <row r="276" spans="1:13" x14ac:dyDescent="0.25">
      <c r="A276" s="21" t="s">
        <v>2166</v>
      </c>
      <c r="B276" s="19"/>
      <c r="C276" s="19"/>
      <c r="D276" s="19"/>
      <c r="E276" s="19"/>
      <c r="F276" s="19">
        <v>21961.5</v>
      </c>
      <c r="G276" s="19"/>
      <c r="H276" s="19"/>
      <c r="I276" s="19"/>
      <c r="J276" s="19"/>
      <c r="K276" s="19">
        <v>3630</v>
      </c>
      <c r="L276" s="19"/>
      <c r="M276" s="23">
        <f>SUM(Tabla2[[#This Row],[01. Alcaldía]:[11. Salud pública y seguridad ciudadana]])</f>
        <v>25591.5</v>
      </c>
    </row>
    <row r="277" spans="1:13" x14ac:dyDescent="0.25">
      <c r="A277" s="21" t="s">
        <v>5326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975.62</v>
      </c>
      <c r="L277" s="19"/>
      <c r="M277" s="23">
        <f>SUM(Tabla2[[#This Row],[01. Alcaldía]:[11. Salud pública y seguridad ciudadana]])</f>
        <v>975.62</v>
      </c>
    </row>
    <row r="278" spans="1:13" x14ac:dyDescent="0.25">
      <c r="A278" s="21" t="s">
        <v>2169</v>
      </c>
      <c r="B278" s="19"/>
      <c r="C278" s="19"/>
      <c r="D278" s="19"/>
      <c r="E278" s="19"/>
      <c r="F278" s="19">
        <v>7159.57</v>
      </c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7159.57</v>
      </c>
    </row>
    <row r="279" spans="1:13" x14ac:dyDescent="0.25">
      <c r="A279" s="21" t="s">
        <v>447</v>
      </c>
      <c r="B279" s="19"/>
      <c r="C279" s="19"/>
      <c r="D279" s="19">
        <v>605</v>
      </c>
      <c r="E279" s="19"/>
      <c r="F279" s="19"/>
      <c r="G279" s="19">
        <v>550</v>
      </c>
      <c r="H279" s="19"/>
      <c r="I279" s="19"/>
      <c r="J279" s="19"/>
      <c r="K279" s="19"/>
      <c r="L279" s="19"/>
      <c r="M279" s="23">
        <f>SUM(Tabla2[[#This Row],[01. Alcaldía]:[11. Salud pública y seguridad ciudadana]])</f>
        <v>1155</v>
      </c>
    </row>
    <row r="280" spans="1:13" x14ac:dyDescent="0.25">
      <c r="A280" s="21" t="s">
        <v>503</v>
      </c>
      <c r="B280" s="19"/>
      <c r="C280" s="19"/>
      <c r="D280" s="19">
        <v>665.5</v>
      </c>
      <c r="E280" s="19"/>
      <c r="F280" s="19"/>
      <c r="G280" s="19"/>
      <c r="H280" s="19"/>
      <c r="I280" s="19"/>
      <c r="J280" s="19"/>
      <c r="K280" s="19"/>
      <c r="L280" s="19"/>
      <c r="M280" s="23">
        <f>SUM(Tabla2[[#This Row],[01. Alcaldía]:[11. Salud pública y seguridad ciudadana]])</f>
        <v>665.5</v>
      </c>
    </row>
    <row r="281" spans="1:13" x14ac:dyDescent="0.25">
      <c r="A281" s="21" t="s">
        <v>1621</v>
      </c>
      <c r="B281" s="19"/>
      <c r="C281" s="19"/>
      <c r="D281" s="19"/>
      <c r="E281" s="19"/>
      <c r="F281" s="19"/>
      <c r="G281" s="19">
        <v>8474.44</v>
      </c>
      <c r="H281" s="19">
        <v>745</v>
      </c>
      <c r="I281" s="19"/>
      <c r="J281" s="19"/>
      <c r="K281" s="19">
        <v>6941.72</v>
      </c>
      <c r="L281" s="19"/>
      <c r="M281" s="23">
        <f>SUM(Tabla2[[#This Row],[01. Alcaldía]:[11. Salud pública y seguridad ciudadana]])</f>
        <v>16161.16</v>
      </c>
    </row>
    <row r="282" spans="1:13" x14ac:dyDescent="0.25">
      <c r="A282" s="21" t="s">
        <v>2234</v>
      </c>
      <c r="B282" s="19"/>
      <c r="C282" s="19"/>
      <c r="D282" s="19"/>
      <c r="E282" s="19"/>
      <c r="F282" s="19">
        <v>15669.5</v>
      </c>
      <c r="G282" s="19"/>
      <c r="H282" s="19"/>
      <c r="I282" s="19"/>
      <c r="J282" s="19"/>
      <c r="K282" s="19"/>
      <c r="L282" s="19"/>
      <c r="M282" s="23">
        <f>SUM(Tabla2[[#This Row],[01. Alcaldía]:[11. Salud pública y seguridad ciudadana]])</f>
        <v>15669.5</v>
      </c>
    </row>
    <row r="283" spans="1:13" x14ac:dyDescent="0.25">
      <c r="A283" s="21" t="s">
        <v>4373</v>
      </c>
      <c r="B283" s="19"/>
      <c r="C283" s="19"/>
      <c r="D283" s="19"/>
      <c r="E283" s="19"/>
      <c r="F283" s="19">
        <v>3176.25</v>
      </c>
      <c r="G283" s="19"/>
      <c r="H283" s="19"/>
      <c r="I283" s="19"/>
      <c r="J283" s="19"/>
      <c r="K283" s="19"/>
      <c r="L283" s="19"/>
      <c r="M283" s="23">
        <f>SUM(Tabla2[[#This Row],[01. Alcaldía]:[11. Salud pública y seguridad ciudadana]])</f>
        <v>3176.25</v>
      </c>
    </row>
    <row r="284" spans="1:13" x14ac:dyDescent="0.25">
      <c r="A284" s="21" t="s">
        <v>407</v>
      </c>
      <c r="B284" s="19"/>
      <c r="C284" s="19"/>
      <c r="D284" s="19">
        <v>1996.5</v>
      </c>
      <c r="E284" s="19"/>
      <c r="F284" s="19"/>
      <c r="G284" s="19"/>
      <c r="H284" s="19"/>
      <c r="I284" s="19"/>
      <c r="J284" s="19"/>
      <c r="K284" s="19"/>
      <c r="L284" s="19"/>
      <c r="M284" s="23">
        <f>SUM(Tabla2[[#This Row],[01. Alcaldía]:[11. Salud pública y seguridad ciudadana]])</f>
        <v>1996.5</v>
      </c>
    </row>
    <row r="285" spans="1:13" x14ac:dyDescent="0.25">
      <c r="A285" s="21" t="s">
        <v>50</v>
      </c>
      <c r="B285" s="19">
        <v>3960</v>
      </c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3960</v>
      </c>
    </row>
    <row r="286" spans="1:13" x14ac:dyDescent="0.25">
      <c r="A286" s="21" t="s">
        <v>54</v>
      </c>
      <c r="B286" s="19"/>
      <c r="C286" s="19">
        <v>6644.59</v>
      </c>
      <c r="D286" s="19"/>
      <c r="E286" s="19"/>
      <c r="F286" s="19"/>
      <c r="G286" s="19"/>
      <c r="H286" s="19"/>
      <c r="I286" s="19"/>
      <c r="J286" s="19"/>
      <c r="K286" s="19"/>
      <c r="L286" s="19">
        <v>889.35</v>
      </c>
      <c r="M286" s="23">
        <f>SUM(Tabla2[[#This Row],[01. Alcaldía]:[11. Salud pública y seguridad ciudadana]])</f>
        <v>7533.9400000000005</v>
      </c>
    </row>
    <row r="287" spans="1:13" x14ac:dyDescent="0.25">
      <c r="A287" s="21" t="s">
        <v>332</v>
      </c>
      <c r="B287" s="19"/>
      <c r="C287" s="19"/>
      <c r="D287" s="19">
        <v>491.64</v>
      </c>
      <c r="E287" s="19"/>
      <c r="F287" s="19"/>
      <c r="G287" s="19"/>
      <c r="H287" s="19"/>
      <c r="I287" s="19"/>
      <c r="J287" s="19"/>
      <c r="K287" s="19"/>
      <c r="L287" s="19"/>
      <c r="M287" s="23">
        <f>SUM(Tabla2[[#This Row],[01. Alcaldía]:[11. Salud pública y seguridad ciudadana]])</f>
        <v>491.64</v>
      </c>
    </row>
    <row r="288" spans="1:13" x14ac:dyDescent="0.25">
      <c r="A288" s="21" t="s">
        <v>2280</v>
      </c>
      <c r="B288" s="19"/>
      <c r="C288" s="19"/>
      <c r="D288" s="19"/>
      <c r="E288" s="19"/>
      <c r="F288" s="19"/>
      <c r="G288" s="19">
        <v>720</v>
      </c>
      <c r="H288" s="19"/>
      <c r="I288" s="19"/>
      <c r="J288" s="19"/>
      <c r="K288" s="19"/>
      <c r="L288" s="19"/>
      <c r="M288" s="23">
        <f>SUM(Tabla2[[#This Row],[01. Alcaldía]:[11. Salud pública y seguridad ciudadana]])</f>
        <v>720</v>
      </c>
    </row>
    <row r="289" spans="1:13" x14ac:dyDescent="0.25">
      <c r="A289" s="21" t="s">
        <v>2282</v>
      </c>
      <c r="B289" s="19"/>
      <c r="C289" s="19"/>
      <c r="D289" s="19"/>
      <c r="E289" s="19"/>
      <c r="F289" s="19"/>
      <c r="G289" s="19"/>
      <c r="H289" s="19">
        <v>300</v>
      </c>
      <c r="I289" s="19"/>
      <c r="J289" s="19"/>
      <c r="K289" s="19"/>
      <c r="L289" s="19"/>
      <c r="M289" s="23">
        <f>SUM(Tabla2[[#This Row],[01. Alcaldía]:[11. Salud pública y seguridad ciudadana]])</f>
        <v>300</v>
      </c>
    </row>
    <row r="290" spans="1:13" x14ac:dyDescent="0.25">
      <c r="A290" s="21" t="s">
        <v>5269</v>
      </c>
      <c r="B290" s="19"/>
      <c r="C290" s="19"/>
      <c r="D290" s="19"/>
      <c r="E290" s="19"/>
      <c r="F290" s="19"/>
      <c r="G290" s="19">
        <v>968</v>
      </c>
      <c r="H290" s="19"/>
      <c r="I290" s="19"/>
      <c r="J290" s="19"/>
      <c r="K290" s="19"/>
      <c r="L290" s="19"/>
      <c r="M290" s="23">
        <f>SUM(Tabla2[[#This Row],[01. Alcaldía]:[11. Salud pública y seguridad ciudadana]])</f>
        <v>968</v>
      </c>
    </row>
    <row r="291" spans="1:13" x14ac:dyDescent="0.25">
      <c r="A291" s="21" t="s">
        <v>2284</v>
      </c>
      <c r="B291" s="19"/>
      <c r="C291" s="19"/>
      <c r="D291" s="19"/>
      <c r="E291" s="19"/>
      <c r="F291" s="19"/>
      <c r="G291" s="19">
        <v>110</v>
      </c>
      <c r="H291" s="19"/>
      <c r="I291" s="19"/>
      <c r="J291" s="19"/>
      <c r="K291" s="19"/>
      <c r="L291" s="19"/>
      <c r="M291" s="23">
        <f>SUM(Tabla2[[#This Row],[01. Alcaldía]:[11. Salud pública y seguridad ciudadana]])</f>
        <v>110</v>
      </c>
    </row>
    <row r="292" spans="1:13" x14ac:dyDescent="0.25">
      <c r="A292" s="21" t="s">
        <v>2286</v>
      </c>
      <c r="B292" s="19"/>
      <c r="C292" s="19"/>
      <c r="D292" s="19"/>
      <c r="E292" s="19"/>
      <c r="F292" s="19"/>
      <c r="G292" s="19">
        <v>435.6</v>
      </c>
      <c r="H292" s="19"/>
      <c r="I292" s="19"/>
      <c r="J292" s="19"/>
      <c r="K292" s="19"/>
      <c r="L292" s="19"/>
      <c r="M292" s="23">
        <f>SUM(Tabla2[[#This Row],[01. Alcaldía]:[11. Salud pública y seguridad ciudadana]])</f>
        <v>435.6</v>
      </c>
    </row>
    <row r="293" spans="1:13" x14ac:dyDescent="0.25">
      <c r="A293" s="21" t="s">
        <v>466</v>
      </c>
      <c r="B293" s="19"/>
      <c r="C293" s="19"/>
      <c r="D293" s="19">
        <v>14000</v>
      </c>
      <c r="E293" s="19"/>
      <c r="F293" s="19"/>
      <c r="G293" s="19"/>
      <c r="H293" s="19"/>
      <c r="I293" s="19"/>
      <c r="J293" s="19"/>
      <c r="K293" s="19"/>
      <c r="L293" s="19"/>
      <c r="M293" s="23">
        <f>SUM(Tabla2[[#This Row],[01. Alcaldía]:[11. Salud pública y seguridad ciudadana]])</f>
        <v>14000</v>
      </c>
    </row>
    <row r="294" spans="1:13" x14ac:dyDescent="0.25">
      <c r="A294" s="21" t="s">
        <v>5367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>
        <v>6500</v>
      </c>
      <c r="M294" s="23">
        <f>SUM(Tabla2[[#This Row],[01. Alcaldía]:[11. Salud pública y seguridad ciudadana]])</f>
        <v>6500</v>
      </c>
    </row>
    <row r="295" spans="1:13" x14ac:dyDescent="0.25">
      <c r="A295" s="21" t="s">
        <v>4383</v>
      </c>
      <c r="B295" s="19"/>
      <c r="C295" s="19"/>
      <c r="D295" s="19"/>
      <c r="E295" s="19"/>
      <c r="F295" s="19"/>
      <c r="G295" s="19">
        <v>605</v>
      </c>
      <c r="H295" s="19"/>
      <c r="I295" s="19"/>
      <c r="J295" s="19"/>
      <c r="K295" s="19"/>
      <c r="L295" s="19"/>
      <c r="M295" s="23">
        <f>SUM(Tabla2[[#This Row],[01. Alcaldía]:[11. Salud pública y seguridad ciudadana]])</f>
        <v>605</v>
      </c>
    </row>
    <row r="296" spans="1:13" x14ac:dyDescent="0.25">
      <c r="A296" s="21" t="s">
        <v>4389</v>
      </c>
      <c r="B296" s="19"/>
      <c r="C296" s="19"/>
      <c r="D296" s="19"/>
      <c r="E296" s="19"/>
      <c r="F296" s="19"/>
      <c r="G296" s="19"/>
      <c r="H296" s="19"/>
      <c r="I296" s="19"/>
      <c r="J296" s="19">
        <v>126.5</v>
      </c>
      <c r="K296" s="19"/>
      <c r="L296" s="19"/>
      <c r="M296" s="23">
        <f>SUM(Tabla2[[#This Row],[01. Alcaldía]:[11. Salud pública y seguridad ciudadana]])</f>
        <v>126.5</v>
      </c>
    </row>
    <row r="297" spans="1:13" x14ac:dyDescent="0.25">
      <c r="A297" s="21" t="s">
        <v>504</v>
      </c>
      <c r="B297" s="19"/>
      <c r="C297" s="19"/>
      <c r="D297" s="19"/>
      <c r="E297" s="19"/>
      <c r="F297" s="19"/>
      <c r="G297" s="19">
        <v>333.98</v>
      </c>
      <c r="H297" s="19"/>
      <c r="I297" s="19"/>
      <c r="J297" s="19"/>
      <c r="K297" s="19"/>
      <c r="L297" s="19"/>
      <c r="M297" s="23">
        <f>SUM(Tabla2[[#This Row],[01. Alcaldía]:[11. Salud pública y seguridad ciudadana]])</f>
        <v>333.98</v>
      </c>
    </row>
    <row r="298" spans="1:13" x14ac:dyDescent="0.25">
      <c r="A298" s="21" t="s">
        <v>2316</v>
      </c>
      <c r="B298" s="19"/>
      <c r="C298" s="19"/>
      <c r="D298" s="19">
        <v>500</v>
      </c>
      <c r="E298" s="19"/>
      <c r="F298" s="19"/>
      <c r="G298" s="19"/>
      <c r="H298" s="19"/>
      <c r="I298" s="19"/>
      <c r="J298" s="19"/>
      <c r="K298" s="19"/>
      <c r="L298" s="19"/>
      <c r="M298" s="23">
        <f>SUM(Tabla2[[#This Row],[01. Alcaldía]:[11. Salud pública y seguridad ciudadana]])</f>
        <v>500</v>
      </c>
    </row>
    <row r="299" spans="1:13" x14ac:dyDescent="0.25">
      <c r="A299" s="21" t="s">
        <v>2320</v>
      </c>
      <c r="B299" s="19"/>
      <c r="C299" s="19"/>
      <c r="D299" s="19"/>
      <c r="E299" s="19"/>
      <c r="F299" s="19"/>
      <c r="G299" s="19">
        <v>870</v>
      </c>
      <c r="H299" s="19"/>
      <c r="I299" s="19"/>
      <c r="J299" s="19"/>
      <c r="K299" s="19"/>
      <c r="L299" s="19"/>
      <c r="M299" s="23">
        <f>SUM(Tabla2[[#This Row],[01. Alcaldía]:[11. Salud pública y seguridad ciudadana]])</f>
        <v>870</v>
      </c>
    </row>
    <row r="300" spans="1:13" x14ac:dyDescent="0.25">
      <c r="A300" s="21" t="s">
        <v>1835</v>
      </c>
      <c r="B300" s="19"/>
      <c r="C300" s="19"/>
      <c r="D300" s="19"/>
      <c r="E300" s="19">
        <v>726</v>
      </c>
      <c r="F300" s="19"/>
      <c r="G300" s="19"/>
      <c r="H300" s="19"/>
      <c r="I300" s="19"/>
      <c r="J300" s="19"/>
      <c r="K300" s="19"/>
      <c r="L300" s="19"/>
      <c r="M300" s="23">
        <f>SUM(Tabla2[[#This Row],[01. Alcaldía]:[11. Salud pública y seguridad ciudadana]])</f>
        <v>726</v>
      </c>
    </row>
    <row r="301" spans="1:13" x14ac:dyDescent="0.25">
      <c r="A301" s="21" t="s">
        <v>2324</v>
      </c>
      <c r="B301" s="19"/>
      <c r="C301" s="19"/>
      <c r="D301" s="19">
        <v>834.9</v>
      </c>
      <c r="E301" s="19"/>
      <c r="F301" s="19"/>
      <c r="G301" s="19"/>
      <c r="H301" s="19"/>
      <c r="I301" s="19"/>
      <c r="J301" s="19"/>
      <c r="K301" s="19"/>
      <c r="L301" s="19"/>
      <c r="M301" s="23">
        <f>SUM(Tabla2[[#This Row],[01. Alcaldía]:[11. Salud pública y seguridad ciudadana]])</f>
        <v>834.9</v>
      </c>
    </row>
    <row r="302" spans="1:13" x14ac:dyDescent="0.25">
      <c r="A302" s="21" t="s">
        <v>4392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2268.7800000000002</v>
      </c>
      <c r="M302" s="23">
        <f>SUM(Tabla2[[#This Row],[01. Alcaldía]:[11. Salud pública y seguridad ciudadana]])</f>
        <v>2268.7800000000002</v>
      </c>
    </row>
    <row r="303" spans="1:13" x14ac:dyDescent="0.25">
      <c r="A303" s="21" t="s">
        <v>2199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665.5</v>
      </c>
      <c r="L303" s="19"/>
      <c r="M303" s="23">
        <f>SUM(Tabla2[[#This Row],[01. Alcaldía]:[11. Salud pública y seguridad ciudadana]])</f>
        <v>665.5</v>
      </c>
    </row>
    <row r="304" spans="1:13" x14ac:dyDescent="0.25">
      <c r="A304" s="21" t="s">
        <v>4394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>
        <v>3102</v>
      </c>
      <c r="L304" s="19"/>
      <c r="M304" s="23">
        <f>SUM(Tabla2[[#This Row],[01. Alcaldía]:[11. Salud pública y seguridad ciudadana]])</f>
        <v>3102</v>
      </c>
    </row>
    <row r="305" spans="1:13" x14ac:dyDescent="0.25">
      <c r="A305" s="21" t="s">
        <v>2330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12947</v>
      </c>
      <c r="M305" s="23">
        <f>SUM(Tabla2[[#This Row],[01. Alcaldía]:[11. Salud pública y seguridad ciudadana]])</f>
        <v>12947</v>
      </c>
    </row>
    <row r="306" spans="1:13" x14ac:dyDescent="0.25">
      <c r="A306" s="21" t="s">
        <v>77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8605.06</v>
      </c>
      <c r="M306" s="23">
        <f>SUM(Tabla2[[#This Row],[01. Alcaldía]:[11. Salud pública y seguridad ciudadana]])</f>
        <v>8605.06</v>
      </c>
    </row>
    <row r="307" spans="1:13" x14ac:dyDescent="0.25">
      <c r="A307" s="21" t="s">
        <v>2340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>
        <v>411.4</v>
      </c>
      <c r="M307" s="23">
        <f>SUM(Tabla2[[#This Row],[01. Alcaldía]:[11. Salud pública y seguridad ciudadana]])</f>
        <v>411.4</v>
      </c>
    </row>
    <row r="308" spans="1:13" x14ac:dyDescent="0.25">
      <c r="A308" s="21" t="s">
        <v>2347</v>
      </c>
      <c r="B308" s="19"/>
      <c r="C308" s="19"/>
      <c r="D308" s="19">
        <v>605</v>
      </c>
      <c r="E308" s="19"/>
      <c r="F308" s="19"/>
      <c r="G308" s="19"/>
      <c r="H308" s="19"/>
      <c r="I308" s="19"/>
      <c r="J308" s="19"/>
      <c r="K308" s="19"/>
      <c r="L308" s="19"/>
      <c r="M308" s="23">
        <f>SUM(Tabla2[[#This Row],[01. Alcaldía]:[11. Salud pública y seguridad ciudadana]])</f>
        <v>605</v>
      </c>
    </row>
    <row r="309" spans="1:13" x14ac:dyDescent="0.25">
      <c r="A309" s="21" t="s">
        <v>2349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9075</v>
      </c>
      <c r="M309" s="23">
        <f>SUM(Tabla2[[#This Row],[01. Alcaldía]:[11. Salud pública y seguridad ciudadana]])</f>
        <v>9075</v>
      </c>
    </row>
    <row r="310" spans="1:13" x14ac:dyDescent="0.25">
      <c r="A310" s="21" t="s">
        <v>2353</v>
      </c>
      <c r="B310" s="19"/>
      <c r="C310" s="19"/>
      <c r="D310" s="19"/>
      <c r="E310" s="19"/>
      <c r="F310" s="19"/>
      <c r="G310" s="19">
        <v>2000</v>
      </c>
      <c r="H310" s="19"/>
      <c r="I310" s="19"/>
      <c r="J310" s="19"/>
      <c r="K310" s="19"/>
      <c r="L310" s="19"/>
      <c r="M310" s="23">
        <f>SUM(Tabla2[[#This Row],[01. Alcaldía]:[11. Salud pública y seguridad ciudadana]])</f>
        <v>2000</v>
      </c>
    </row>
    <row r="311" spans="1:13" x14ac:dyDescent="0.25">
      <c r="A311" s="21" t="s">
        <v>502</v>
      </c>
      <c r="B311" s="19"/>
      <c r="C311" s="19"/>
      <c r="D311" s="19"/>
      <c r="E311" s="19"/>
      <c r="F311" s="19"/>
      <c r="G311" s="19"/>
      <c r="H311" s="19">
        <v>10950.5</v>
      </c>
      <c r="I311" s="19"/>
      <c r="J311" s="19"/>
      <c r="K311" s="19"/>
      <c r="L311" s="19"/>
      <c r="M311" s="23">
        <f>SUM(Tabla2[[#This Row],[01. Alcaldía]:[11. Salud pública y seguridad ciudadana]])</f>
        <v>10950.5</v>
      </c>
    </row>
    <row r="312" spans="1:13" x14ac:dyDescent="0.25">
      <c r="A312" s="21" t="s">
        <v>4402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16225</v>
      </c>
      <c r="M312" s="23">
        <f>SUM(Tabla2[[#This Row],[01. Alcaldía]:[11. Salud pública y seguridad ciudadana]])</f>
        <v>16225</v>
      </c>
    </row>
    <row r="313" spans="1:13" x14ac:dyDescent="0.25">
      <c r="A313" s="21" t="s">
        <v>2370</v>
      </c>
      <c r="B313" s="19"/>
      <c r="C313" s="19"/>
      <c r="D313" s="19">
        <v>1452</v>
      </c>
      <c r="E313" s="19"/>
      <c r="F313" s="19"/>
      <c r="G313" s="19"/>
      <c r="H313" s="19"/>
      <c r="I313" s="19"/>
      <c r="J313" s="19"/>
      <c r="K313" s="19"/>
      <c r="L313" s="19"/>
      <c r="M313" s="23">
        <f>SUM(Tabla2[[#This Row],[01. Alcaldía]:[11. Salud pública y seguridad ciudadana]])</f>
        <v>1452</v>
      </c>
    </row>
    <row r="314" spans="1:13" x14ac:dyDescent="0.25">
      <c r="A314" s="21" t="s">
        <v>2372</v>
      </c>
      <c r="B314" s="19"/>
      <c r="C314" s="19"/>
      <c r="D314" s="19"/>
      <c r="E314" s="19"/>
      <c r="F314" s="19"/>
      <c r="G314" s="19">
        <v>2847</v>
      </c>
      <c r="H314" s="19"/>
      <c r="I314" s="19"/>
      <c r="J314" s="19"/>
      <c r="K314" s="19"/>
      <c r="L314" s="19"/>
      <c r="M314" s="23">
        <f>SUM(Tabla2[[#This Row],[01. Alcaldía]:[11. Salud pública y seguridad ciudadana]])</f>
        <v>2847</v>
      </c>
    </row>
    <row r="315" spans="1:13" x14ac:dyDescent="0.25">
      <c r="A315" s="21" t="s">
        <v>2375</v>
      </c>
      <c r="B315" s="19"/>
      <c r="C315" s="19"/>
      <c r="D315" s="19"/>
      <c r="E315" s="19"/>
      <c r="F315" s="19"/>
      <c r="G315" s="19">
        <v>396.79999999999995</v>
      </c>
      <c r="H315" s="19"/>
      <c r="I315" s="19"/>
      <c r="J315" s="19"/>
      <c r="K315" s="19"/>
      <c r="L315" s="19"/>
      <c r="M315" s="23">
        <f>SUM(Tabla2[[#This Row],[01. Alcaldía]:[11. Salud pública y seguridad ciudadana]])</f>
        <v>396.79999999999995</v>
      </c>
    </row>
    <row r="316" spans="1:13" x14ac:dyDescent="0.25">
      <c r="A316" s="21" t="s">
        <v>4405</v>
      </c>
      <c r="B316" s="19"/>
      <c r="C316" s="19"/>
      <c r="D316" s="19"/>
      <c r="E316" s="19"/>
      <c r="F316" s="19"/>
      <c r="G316" s="19"/>
      <c r="H316" s="19">
        <v>332.97</v>
      </c>
      <c r="I316" s="19"/>
      <c r="J316" s="19"/>
      <c r="K316" s="19"/>
      <c r="L316" s="19"/>
      <c r="M316" s="23">
        <f>SUM(Tabla2[[#This Row],[01. Alcaldía]:[11. Salud pública y seguridad ciudadana]])</f>
        <v>332.97</v>
      </c>
    </row>
    <row r="317" spans="1:13" x14ac:dyDescent="0.25">
      <c r="A317" s="21" t="s">
        <v>501</v>
      </c>
      <c r="B317" s="19"/>
      <c r="C317" s="19"/>
      <c r="D317" s="19"/>
      <c r="E317" s="19"/>
      <c r="F317" s="19"/>
      <c r="G317" s="19"/>
      <c r="H317" s="19">
        <v>363</v>
      </c>
      <c r="I317" s="19"/>
      <c r="J317" s="19"/>
      <c r="K317" s="19"/>
      <c r="L317" s="19">
        <v>4000</v>
      </c>
      <c r="M317" s="23">
        <f>SUM(Tabla2[[#This Row],[01. Alcaldía]:[11. Salud pública y seguridad ciudadana]])</f>
        <v>4363</v>
      </c>
    </row>
    <row r="318" spans="1:13" x14ac:dyDescent="0.25">
      <c r="A318" s="21" t="s">
        <v>2385</v>
      </c>
      <c r="B318" s="19"/>
      <c r="C318" s="19"/>
      <c r="D318" s="19"/>
      <c r="E318" s="19">
        <v>2420</v>
      </c>
      <c r="F318" s="19"/>
      <c r="G318" s="19"/>
      <c r="H318" s="19"/>
      <c r="I318" s="19"/>
      <c r="J318" s="19"/>
      <c r="K318" s="19"/>
      <c r="L318" s="19"/>
      <c r="M318" s="23">
        <f>SUM(Tabla2[[#This Row],[01. Alcaldía]:[11. Salud pública y seguridad ciudadana]])</f>
        <v>2420</v>
      </c>
    </row>
    <row r="319" spans="1:13" x14ac:dyDescent="0.25">
      <c r="A319" s="21" t="s">
        <v>2467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302.88</v>
      </c>
      <c r="M319" s="23">
        <f>SUM(Tabla2[[#This Row],[01. Alcaldía]:[11. Salud pública y seguridad ciudadana]])</f>
        <v>302.88</v>
      </c>
    </row>
    <row r="320" spans="1:13" x14ac:dyDescent="0.25">
      <c r="A320" s="21" t="s">
        <v>2473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270.70999999999998</v>
      </c>
      <c r="M320" s="23">
        <f>SUM(Tabla2[[#This Row],[01. Alcaldía]:[11. Salud pública y seguridad ciudadana]])</f>
        <v>270.70999999999998</v>
      </c>
    </row>
    <row r="321" spans="1:13" x14ac:dyDescent="0.25">
      <c r="A321" s="21" t="s">
        <v>4408</v>
      </c>
      <c r="B321" s="19"/>
      <c r="C321" s="19"/>
      <c r="D321" s="19"/>
      <c r="E321" s="19"/>
      <c r="F321" s="19"/>
      <c r="G321" s="19">
        <v>7260</v>
      </c>
      <c r="H321" s="19"/>
      <c r="I321" s="19"/>
      <c r="J321" s="19"/>
      <c r="K321" s="19"/>
      <c r="L321" s="19"/>
      <c r="M321" s="23">
        <f>SUM(Tabla2[[#This Row],[01. Alcaldía]:[11. Salud pública y seguridad ciudadana]])</f>
        <v>7260</v>
      </c>
    </row>
    <row r="322" spans="1:13" x14ac:dyDescent="0.25">
      <c r="A322" s="21" t="s">
        <v>2475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175.45</v>
      </c>
      <c r="L322" s="19"/>
      <c r="M322" s="23">
        <f>SUM(Tabla2[[#This Row],[01. Alcaldía]:[11. Salud pública y seguridad ciudadana]])</f>
        <v>175.45</v>
      </c>
    </row>
    <row r="323" spans="1:13" x14ac:dyDescent="0.25">
      <c r="A323" s="21" t="s">
        <v>2500</v>
      </c>
      <c r="B323" s="19"/>
      <c r="C323" s="19"/>
      <c r="D323" s="19"/>
      <c r="E323" s="19"/>
      <c r="F323" s="19"/>
      <c r="G323" s="19">
        <v>968</v>
      </c>
      <c r="H323" s="19"/>
      <c r="I323" s="19"/>
      <c r="J323" s="19"/>
      <c r="K323" s="19"/>
      <c r="L323" s="19"/>
      <c r="M323" s="23">
        <f>SUM(Tabla2[[#This Row],[01. Alcaldía]:[11. Salud pública y seguridad ciudadana]])</f>
        <v>968</v>
      </c>
    </row>
    <row r="324" spans="1:13" x14ac:dyDescent="0.25">
      <c r="A324" s="21" t="s">
        <v>2502</v>
      </c>
      <c r="B324" s="19"/>
      <c r="C324" s="19"/>
      <c r="D324" s="19"/>
      <c r="E324" s="19"/>
      <c r="F324" s="19"/>
      <c r="G324" s="19">
        <v>3850</v>
      </c>
      <c r="H324" s="19"/>
      <c r="I324" s="19"/>
      <c r="J324" s="19"/>
      <c r="K324" s="19"/>
      <c r="L324" s="19"/>
      <c r="M324" s="23">
        <f>SUM(Tabla2[[#This Row],[01. Alcaldía]:[11. Salud pública y seguridad ciudadana]])</f>
        <v>3850</v>
      </c>
    </row>
    <row r="325" spans="1:13" x14ac:dyDescent="0.25">
      <c r="A325" s="21" t="s">
        <v>2505</v>
      </c>
      <c r="B325" s="19"/>
      <c r="C325" s="19"/>
      <c r="D325" s="19"/>
      <c r="E325" s="19"/>
      <c r="F325" s="19"/>
      <c r="G325" s="19">
        <v>2541</v>
      </c>
      <c r="H325" s="19"/>
      <c r="I325" s="19"/>
      <c r="J325" s="19"/>
      <c r="K325" s="19"/>
      <c r="L325" s="19"/>
      <c r="M325" s="23">
        <f>SUM(Tabla2[[#This Row],[01. Alcaldía]:[11. Salud pública y seguridad ciudadana]])</f>
        <v>2541</v>
      </c>
    </row>
    <row r="326" spans="1:13" x14ac:dyDescent="0.25">
      <c r="A326" s="21" t="s">
        <v>1648</v>
      </c>
      <c r="B326" s="19"/>
      <c r="C326" s="19"/>
      <c r="D326" s="19">
        <v>1650</v>
      </c>
      <c r="E326" s="19"/>
      <c r="F326" s="19"/>
      <c r="G326" s="19"/>
      <c r="H326" s="19"/>
      <c r="I326" s="19"/>
      <c r="J326" s="19"/>
      <c r="K326" s="19"/>
      <c r="L326" s="19"/>
      <c r="M326" s="23">
        <f>SUM(Tabla2[[#This Row],[01. Alcaldía]:[11. Salud pública y seguridad ciudadana]])</f>
        <v>1650</v>
      </c>
    </row>
    <row r="327" spans="1:13" x14ac:dyDescent="0.25">
      <c r="A327" s="21" t="s">
        <v>443</v>
      </c>
      <c r="B327" s="19"/>
      <c r="C327" s="19"/>
      <c r="D327" s="19"/>
      <c r="E327" s="19"/>
      <c r="F327" s="19"/>
      <c r="G327" s="19">
        <v>1300</v>
      </c>
      <c r="H327" s="19"/>
      <c r="I327" s="19"/>
      <c r="J327" s="19"/>
      <c r="K327" s="19"/>
      <c r="L327" s="19"/>
      <c r="M327" s="23">
        <f>SUM(Tabla2[[#This Row],[01. Alcaldía]:[11. Salud pública y seguridad ciudadana]])</f>
        <v>1300</v>
      </c>
    </row>
    <row r="328" spans="1:13" x14ac:dyDescent="0.25">
      <c r="A328" s="21" t="s">
        <v>2524</v>
      </c>
      <c r="B328" s="19"/>
      <c r="C328" s="19"/>
      <c r="D328" s="19"/>
      <c r="E328" s="19"/>
      <c r="F328" s="19"/>
      <c r="G328" s="19">
        <v>2200</v>
      </c>
      <c r="H328" s="19"/>
      <c r="I328" s="19"/>
      <c r="J328" s="19"/>
      <c r="K328" s="19"/>
      <c r="L328" s="19"/>
      <c r="M328" s="23">
        <f>SUM(Tabla2[[#This Row],[01. Alcaldía]:[11. Salud pública y seguridad ciudadana]])</f>
        <v>2200</v>
      </c>
    </row>
    <row r="329" spans="1:13" x14ac:dyDescent="0.25">
      <c r="A329" s="21" t="s">
        <v>2526</v>
      </c>
      <c r="B329" s="19"/>
      <c r="C329" s="19"/>
      <c r="D329" s="19"/>
      <c r="E329" s="19"/>
      <c r="F329" s="19"/>
      <c r="G329" s="19">
        <v>726</v>
      </c>
      <c r="H329" s="19"/>
      <c r="I329" s="19"/>
      <c r="J329" s="19"/>
      <c r="K329" s="19"/>
      <c r="L329" s="19"/>
      <c r="M329" s="23">
        <f>SUM(Tabla2[[#This Row],[01. Alcaldía]:[11. Salud pública y seguridad ciudadana]])</f>
        <v>726</v>
      </c>
    </row>
    <row r="330" spans="1:13" x14ac:dyDescent="0.25">
      <c r="A330" s="21" t="s">
        <v>4410</v>
      </c>
      <c r="B330" s="19"/>
      <c r="C330" s="19"/>
      <c r="D330" s="19">
        <v>228.3</v>
      </c>
      <c r="E330" s="19"/>
      <c r="F330" s="19"/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228.3</v>
      </c>
    </row>
    <row r="331" spans="1:13" x14ac:dyDescent="0.25">
      <c r="A331" s="21" t="s">
        <v>483</v>
      </c>
      <c r="B331" s="19"/>
      <c r="C331" s="19"/>
      <c r="D331" s="19"/>
      <c r="E331" s="19"/>
      <c r="F331" s="19"/>
      <c r="G331" s="19">
        <v>2917.63</v>
      </c>
      <c r="H331" s="19"/>
      <c r="I331" s="19"/>
      <c r="J331" s="19"/>
      <c r="K331" s="19"/>
      <c r="L331" s="19"/>
      <c r="M331" s="23">
        <f>SUM(Tabla2[[#This Row],[01. Alcaldía]:[11. Salud pública y seguridad ciudadana]])</f>
        <v>2917.63</v>
      </c>
    </row>
    <row r="332" spans="1:13" x14ac:dyDescent="0.25">
      <c r="A332" s="21" t="s">
        <v>40</v>
      </c>
      <c r="B332" s="19"/>
      <c r="C332" s="19"/>
      <c r="D332" s="19"/>
      <c r="E332" s="19"/>
      <c r="F332" s="19"/>
      <c r="G332" s="19">
        <v>9150.02</v>
      </c>
      <c r="H332" s="19"/>
      <c r="I332" s="19"/>
      <c r="J332" s="19"/>
      <c r="K332" s="19"/>
      <c r="L332" s="19"/>
      <c r="M332" s="23">
        <f>SUM(Tabla2[[#This Row],[01. Alcaldía]:[11. Salud pública y seguridad ciudadana]])</f>
        <v>9150.02</v>
      </c>
    </row>
    <row r="333" spans="1:13" x14ac:dyDescent="0.25">
      <c r="A333" s="21" t="s">
        <v>406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246.97000000000003</v>
      </c>
      <c r="M333" s="23">
        <f>SUM(Tabla2[[#This Row],[01. Alcaldía]:[11. Salud pública y seguridad ciudadana]])</f>
        <v>246.97000000000003</v>
      </c>
    </row>
    <row r="334" spans="1:13" x14ac:dyDescent="0.25">
      <c r="A334" s="21" t="s">
        <v>2551</v>
      </c>
      <c r="B334" s="19"/>
      <c r="C334" s="19"/>
      <c r="D334" s="19"/>
      <c r="E334" s="19"/>
      <c r="F334" s="19"/>
      <c r="G334" s="19">
        <v>1800</v>
      </c>
      <c r="H334" s="19"/>
      <c r="I334" s="19"/>
      <c r="J334" s="19"/>
      <c r="K334" s="19"/>
      <c r="L334" s="19"/>
      <c r="M334" s="23">
        <f>SUM(Tabla2[[#This Row],[01. Alcaldía]:[11. Salud pública y seguridad ciudadana]])</f>
        <v>1800</v>
      </c>
    </row>
    <row r="335" spans="1:13" x14ac:dyDescent="0.25">
      <c r="A335" s="21" t="s">
        <v>418</v>
      </c>
      <c r="B335" s="19"/>
      <c r="C335" s="19"/>
      <c r="D335" s="19">
        <v>300</v>
      </c>
      <c r="E335" s="19"/>
      <c r="F335" s="19"/>
      <c r="G335" s="19">
        <v>3063</v>
      </c>
      <c r="H335" s="19"/>
      <c r="I335" s="19"/>
      <c r="J335" s="19"/>
      <c r="K335" s="19"/>
      <c r="L335" s="19"/>
      <c r="M335" s="23">
        <f>SUM(Tabla2[[#This Row],[01. Alcaldía]:[11. Salud pública y seguridad ciudadana]])</f>
        <v>3363</v>
      </c>
    </row>
    <row r="336" spans="1:13" x14ac:dyDescent="0.25">
      <c r="A336" s="21" t="s">
        <v>5322</v>
      </c>
      <c r="B336" s="19"/>
      <c r="C336" s="19"/>
      <c r="D336" s="19"/>
      <c r="E336" s="19"/>
      <c r="F336" s="19">
        <v>6534</v>
      </c>
      <c r="G336" s="19"/>
      <c r="H336" s="19"/>
      <c r="I336" s="19"/>
      <c r="J336" s="19"/>
      <c r="K336" s="19"/>
      <c r="L336" s="19"/>
      <c r="M336" s="23">
        <f>SUM(Tabla2[[#This Row],[01. Alcaldía]:[11. Salud pública y seguridad ciudadana]])</f>
        <v>6534</v>
      </c>
    </row>
    <row r="337" spans="1:13" x14ac:dyDescent="0.25">
      <c r="A337" s="21" t="s">
        <v>5094</v>
      </c>
      <c r="B337" s="19"/>
      <c r="C337" s="19"/>
      <c r="D337" s="19"/>
      <c r="E337" s="19"/>
      <c r="F337" s="19"/>
      <c r="G337" s="19">
        <v>3000</v>
      </c>
      <c r="H337" s="19"/>
      <c r="I337" s="19"/>
      <c r="J337" s="19"/>
      <c r="K337" s="19"/>
      <c r="L337" s="19"/>
      <c r="M337" s="23">
        <f>SUM(Tabla2[[#This Row],[01. Alcaldía]:[11. Salud pública y seguridad ciudadana]])</f>
        <v>3000</v>
      </c>
    </row>
    <row r="338" spans="1:13" x14ac:dyDescent="0.25">
      <c r="A338" s="21" t="s">
        <v>500</v>
      </c>
      <c r="B338" s="19"/>
      <c r="C338" s="19"/>
      <c r="D338" s="19">
        <v>605</v>
      </c>
      <c r="E338" s="19"/>
      <c r="F338" s="19"/>
      <c r="G338" s="19">
        <v>6800</v>
      </c>
      <c r="H338" s="19"/>
      <c r="I338" s="19"/>
      <c r="J338" s="19"/>
      <c r="K338" s="19">
        <v>1500</v>
      </c>
      <c r="L338" s="19"/>
      <c r="M338" s="23">
        <f>SUM(Tabla2[[#This Row],[01. Alcaldía]:[11. Salud pública y seguridad ciudadana]])</f>
        <v>8905</v>
      </c>
    </row>
    <row r="339" spans="1:13" x14ac:dyDescent="0.25">
      <c r="A339" s="21" t="s">
        <v>2579</v>
      </c>
      <c r="B339" s="19"/>
      <c r="C339" s="19"/>
      <c r="D339" s="19"/>
      <c r="E339" s="19"/>
      <c r="F339" s="19"/>
      <c r="G339" s="19">
        <v>500</v>
      </c>
      <c r="H339" s="19"/>
      <c r="I339" s="19"/>
      <c r="J339" s="19"/>
      <c r="K339" s="19"/>
      <c r="L339" s="19"/>
      <c r="M339" s="23">
        <f>SUM(Tabla2[[#This Row],[01. Alcaldía]:[11. Salud pública y seguridad ciudadana]])</f>
        <v>500</v>
      </c>
    </row>
    <row r="340" spans="1:13" x14ac:dyDescent="0.25">
      <c r="A340" s="21" t="s">
        <v>4534</v>
      </c>
      <c r="B340" s="19"/>
      <c r="C340" s="19"/>
      <c r="D340" s="19"/>
      <c r="E340" s="19"/>
      <c r="F340" s="19"/>
      <c r="G340" s="19"/>
      <c r="H340" s="19">
        <v>324.16000000000003</v>
      </c>
      <c r="I340" s="19"/>
      <c r="J340" s="19"/>
      <c r="K340" s="19"/>
      <c r="L340" s="19"/>
      <c r="M340" s="23">
        <f>SUM(Tabla2[[#This Row],[01. Alcaldía]:[11. Salud pública y seguridad ciudadana]])</f>
        <v>324.16000000000003</v>
      </c>
    </row>
    <row r="341" spans="1:13" x14ac:dyDescent="0.25">
      <c r="A341" s="21" t="s">
        <v>5035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820.4</v>
      </c>
      <c r="M341" s="23">
        <f>SUM(Tabla2[[#This Row],[01. Alcaldía]:[11. Salud pública y seguridad ciudadana]])</f>
        <v>820.4</v>
      </c>
    </row>
    <row r="342" spans="1:13" x14ac:dyDescent="0.25">
      <c r="A342" s="21" t="s">
        <v>112</v>
      </c>
      <c r="B342" s="19"/>
      <c r="C342" s="19"/>
      <c r="D342" s="19">
        <v>660.05</v>
      </c>
      <c r="E342" s="19"/>
      <c r="F342" s="19"/>
      <c r="G342" s="19">
        <v>1587</v>
      </c>
      <c r="H342" s="19"/>
      <c r="I342" s="19">
        <v>259.18</v>
      </c>
      <c r="J342" s="19">
        <v>180</v>
      </c>
      <c r="K342" s="19">
        <v>180</v>
      </c>
      <c r="L342" s="19">
        <v>1452</v>
      </c>
      <c r="M342" s="23">
        <f>SUM(Tabla2[[#This Row],[01. Alcaldía]:[11. Salud pública y seguridad ciudadana]])</f>
        <v>4318.2299999999996</v>
      </c>
    </row>
    <row r="343" spans="1:13" x14ac:dyDescent="0.25">
      <c r="A343" s="21" t="s">
        <v>4547</v>
      </c>
      <c r="B343" s="19"/>
      <c r="C343" s="19"/>
      <c r="D343" s="19"/>
      <c r="E343" s="19"/>
      <c r="F343" s="19"/>
      <c r="G343" s="19"/>
      <c r="H343" s="19"/>
      <c r="I343" s="19"/>
      <c r="J343" s="19">
        <v>1560</v>
      </c>
      <c r="K343" s="19"/>
      <c r="L343" s="19"/>
      <c r="M343" s="23">
        <f>SUM(Tabla2[[#This Row],[01. Alcaldía]:[11. Salud pública y seguridad ciudadana]])</f>
        <v>1560</v>
      </c>
    </row>
    <row r="344" spans="1:13" x14ac:dyDescent="0.25">
      <c r="A344" s="21" t="s">
        <v>4550</v>
      </c>
      <c r="B344" s="19"/>
      <c r="C344" s="19"/>
      <c r="D344" s="19"/>
      <c r="E344" s="19"/>
      <c r="F344" s="19"/>
      <c r="G344" s="19"/>
      <c r="H344" s="19">
        <v>2308.6799999999998</v>
      </c>
      <c r="I344" s="19"/>
      <c r="J344" s="19"/>
      <c r="K344" s="19"/>
      <c r="L344" s="19"/>
      <c r="M344" s="23">
        <f>SUM(Tabla2[[#This Row],[01. Alcaldía]:[11. Salud pública y seguridad ciudadana]])</f>
        <v>2308.6799999999998</v>
      </c>
    </row>
    <row r="345" spans="1:13" x14ac:dyDescent="0.25">
      <c r="A345" s="21" t="s">
        <v>4555</v>
      </c>
      <c r="B345" s="19"/>
      <c r="C345" s="19"/>
      <c r="D345" s="19"/>
      <c r="E345" s="19"/>
      <c r="F345" s="19">
        <v>514.25</v>
      </c>
      <c r="G345" s="19"/>
      <c r="H345" s="19"/>
      <c r="I345" s="19"/>
      <c r="J345" s="19"/>
      <c r="K345" s="19"/>
      <c r="L345" s="19"/>
      <c r="M345" s="23">
        <f>SUM(Tabla2[[#This Row],[01. Alcaldía]:[11. Salud pública y seguridad ciudadana]])</f>
        <v>514.25</v>
      </c>
    </row>
    <row r="346" spans="1:13" x14ac:dyDescent="0.25">
      <c r="A346" s="21" t="s">
        <v>2605</v>
      </c>
      <c r="B346" s="19"/>
      <c r="C346" s="19"/>
      <c r="D346" s="19"/>
      <c r="E346" s="19"/>
      <c r="F346" s="19">
        <v>6534</v>
      </c>
      <c r="G346" s="19"/>
      <c r="H346" s="19"/>
      <c r="I346" s="19"/>
      <c r="J346" s="19"/>
      <c r="K346" s="19"/>
      <c r="L346" s="19"/>
      <c r="M346" s="23">
        <f>SUM(Tabla2[[#This Row],[01. Alcaldía]:[11. Salud pública y seguridad ciudadana]])</f>
        <v>6534</v>
      </c>
    </row>
    <row r="347" spans="1:13" x14ac:dyDescent="0.25">
      <c r="A347" s="21" t="s">
        <v>13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>
        <v>4860</v>
      </c>
      <c r="L347" s="19"/>
      <c r="M347" s="23">
        <f>SUM(Tabla2[[#This Row],[01. Alcaldía]:[11. Salud pública y seguridad ciudadana]])</f>
        <v>4860</v>
      </c>
    </row>
    <row r="348" spans="1:13" ht="25.5" x14ac:dyDescent="0.25">
      <c r="A348" s="21" t="s">
        <v>2719</v>
      </c>
      <c r="B348" s="19"/>
      <c r="C348" s="19">
        <v>7909.38</v>
      </c>
      <c r="D348" s="19"/>
      <c r="E348" s="19"/>
      <c r="F348" s="19"/>
      <c r="G348" s="19"/>
      <c r="H348" s="19"/>
      <c r="I348" s="19"/>
      <c r="J348" s="19"/>
      <c r="K348" s="19"/>
      <c r="L348" s="19"/>
      <c r="M348" s="23">
        <f>SUM(Tabla2[[#This Row],[01. Alcaldía]:[11. Salud pública y seguridad ciudadana]])</f>
        <v>7909.38</v>
      </c>
    </row>
    <row r="349" spans="1:13" x14ac:dyDescent="0.25">
      <c r="A349" s="21" t="s">
        <v>2723</v>
      </c>
      <c r="B349" s="19"/>
      <c r="C349" s="19"/>
      <c r="D349" s="19"/>
      <c r="E349" s="19">
        <v>31762.5</v>
      </c>
      <c r="F349" s="19"/>
      <c r="G349" s="19">
        <v>726</v>
      </c>
      <c r="H349" s="19"/>
      <c r="I349" s="19"/>
      <c r="J349" s="19"/>
      <c r="K349" s="19">
        <v>1149.5</v>
      </c>
      <c r="L349" s="19"/>
      <c r="M349" s="23">
        <f>SUM(Tabla2[[#This Row],[01. Alcaldía]:[11. Salud pública y seguridad ciudadana]])</f>
        <v>33638</v>
      </c>
    </row>
    <row r="350" spans="1:13" x14ac:dyDescent="0.25">
      <c r="A350" s="21" t="s">
        <v>412</v>
      </c>
      <c r="B350" s="19"/>
      <c r="C350" s="19"/>
      <c r="D350" s="19"/>
      <c r="E350" s="19"/>
      <c r="F350" s="19"/>
      <c r="G350" s="19">
        <v>3746.16</v>
      </c>
      <c r="H350" s="19"/>
      <c r="I350" s="19"/>
      <c r="J350" s="19"/>
      <c r="K350" s="19"/>
      <c r="L350" s="19"/>
      <c r="M350" s="23">
        <f>SUM(Tabla2[[#This Row],[01. Alcaldía]:[11. Salud pública y seguridad ciudadana]])</f>
        <v>3746.16</v>
      </c>
    </row>
    <row r="351" spans="1:13" x14ac:dyDescent="0.25">
      <c r="A351" s="21" t="s">
        <v>4567</v>
      </c>
      <c r="B351" s="19"/>
      <c r="C351" s="19"/>
      <c r="D351" s="19"/>
      <c r="E351" s="19"/>
      <c r="F351" s="19">
        <v>18137.900000000001</v>
      </c>
      <c r="G351" s="19"/>
      <c r="H351" s="19"/>
      <c r="I351" s="19"/>
      <c r="J351" s="19"/>
      <c r="K351" s="19"/>
      <c r="L351" s="19"/>
      <c r="M351" s="23">
        <f>SUM(Tabla2[[#This Row],[01. Alcaldía]:[11. Salud pública y seguridad ciudadana]])</f>
        <v>18137.900000000001</v>
      </c>
    </row>
    <row r="352" spans="1:13" x14ac:dyDescent="0.25">
      <c r="A352" s="21" t="s">
        <v>2748</v>
      </c>
      <c r="B352" s="19"/>
      <c r="C352" s="19">
        <v>439.23</v>
      </c>
      <c r="D352" s="19"/>
      <c r="E352" s="19"/>
      <c r="F352" s="19"/>
      <c r="G352" s="19"/>
      <c r="H352" s="19"/>
      <c r="I352" s="19"/>
      <c r="J352" s="19"/>
      <c r="K352" s="19"/>
      <c r="L352" s="19"/>
      <c r="M352" s="23">
        <f>SUM(Tabla2[[#This Row],[01. Alcaldía]:[11. Salud pública y seguridad ciudadana]])</f>
        <v>439.23</v>
      </c>
    </row>
    <row r="353" spans="1:13" x14ac:dyDescent="0.25">
      <c r="A353" s="21" t="s">
        <v>2754</v>
      </c>
      <c r="B353" s="19"/>
      <c r="C353" s="19"/>
      <c r="D353" s="19"/>
      <c r="E353" s="19"/>
      <c r="F353" s="19"/>
      <c r="G353" s="19">
        <v>370.01</v>
      </c>
      <c r="H353" s="19"/>
      <c r="I353" s="19"/>
      <c r="J353" s="19"/>
      <c r="K353" s="19"/>
      <c r="L353" s="19"/>
      <c r="M353" s="23">
        <f>SUM(Tabla2[[#This Row],[01. Alcaldía]:[11. Salud pública y seguridad ciudadana]])</f>
        <v>370.01</v>
      </c>
    </row>
    <row r="354" spans="1:13" x14ac:dyDescent="0.25">
      <c r="A354" s="21" t="s">
        <v>5346</v>
      </c>
      <c r="B354" s="19"/>
      <c r="C354" s="19"/>
      <c r="D354" s="19"/>
      <c r="E354" s="19"/>
      <c r="F354" s="19"/>
      <c r="G354" s="19"/>
      <c r="H354" s="19">
        <v>12100</v>
      </c>
      <c r="I354" s="19"/>
      <c r="J354" s="19"/>
      <c r="K354" s="19"/>
      <c r="L354" s="19"/>
      <c r="M354" s="23">
        <f>SUM(Tabla2[[#This Row],[01. Alcaldía]:[11. Salud pública y seguridad ciudadana]])</f>
        <v>12100</v>
      </c>
    </row>
    <row r="355" spans="1:13" x14ac:dyDescent="0.25">
      <c r="A355" s="21" t="s">
        <v>2758</v>
      </c>
      <c r="B355" s="19"/>
      <c r="C355" s="19"/>
      <c r="D355" s="19"/>
      <c r="E355" s="19"/>
      <c r="F355" s="19">
        <v>14520</v>
      </c>
      <c r="G355" s="19"/>
      <c r="H355" s="19"/>
      <c r="I355" s="19"/>
      <c r="J355" s="19"/>
      <c r="K355" s="19"/>
      <c r="L355" s="19"/>
      <c r="M355" s="23">
        <f>SUM(Tabla2[[#This Row],[01. Alcaldía]:[11. Salud pública y seguridad ciudadana]])</f>
        <v>14520</v>
      </c>
    </row>
    <row r="356" spans="1:13" x14ac:dyDescent="0.25">
      <c r="A356" s="21" t="s">
        <v>986</v>
      </c>
      <c r="B356" s="19"/>
      <c r="C356" s="19"/>
      <c r="D356" s="19"/>
      <c r="E356" s="19"/>
      <c r="F356" s="19"/>
      <c r="G356" s="19">
        <v>6639.05</v>
      </c>
      <c r="H356" s="19"/>
      <c r="I356" s="19"/>
      <c r="J356" s="19"/>
      <c r="K356" s="19"/>
      <c r="L356" s="19">
        <v>1183.3800000000001</v>
      </c>
      <c r="M356" s="23">
        <f>SUM(Tabla2[[#This Row],[01. Alcaldía]:[11. Salud pública y seguridad ciudadana]])</f>
        <v>7822.43</v>
      </c>
    </row>
    <row r="357" spans="1:13" x14ac:dyDescent="0.25">
      <c r="A357" s="21" t="s">
        <v>448</v>
      </c>
      <c r="B357" s="19"/>
      <c r="C357" s="19"/>
      <c r="D357" s="19">
        <v>605</v>
      </c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605</v>
      </c>
    </row>
    <row r="358" spans="1:13" x14ac:dyDescent="0.25">
      <c r="A358" s="21" t="s">
        <v>453</v>
      </c>
      <c r="B358" s="19"/>
      <c r="C358" s="19"/>
      <c r="D358" s="19"/>
      <c r="E358" s="19"/>
      <c r="F358" s="19"/>
      <c r="G358" s="19">
        <v>6969.6</v>
      </c>
      <c r="H358" s="19"/>
      <c r="I358" s="19"/>
      <c r="J358" s="19"/>
      <c r="K358" s="19"/>
      <c r="L358" s="19"/>
      <c r="M358" s="23">
        <f>SUM(Tabla2[[#This Row],[01. Alcaldía]:[11. Salud pública y seguridad ciudadana]])</f>
        <v>6969.6</v>
      </c>
    </row>
    <row r="359" spans="1:13" x14ac:dyDescent="0.25">
      <c r="A359" s="21" t="s">
        <v>2769</v>
      </c>
      <c r="B359" s="19"/>
      <c r="C359" s="19">
        <v>203.66</v>
      </c>
      <c r="D359" s="19">
        <v>2057</v>
      </c>
      <c r="E359" s="19"/>
      <c r="F359" s="19"/>
      <c r="G359" s="19"/>
      <c r="H359" s="19"/>
      <c r="I359" s="19"/>
      <c r="J359" s="19"/>
      <c r="K359" s="19">
        <v>114.93</v>
      </c>
      <c r="L359" s="19"/>
      <c r="M359" s="23">
        <f>SUM(Tabla2[[#This Row],[01. Alcaldía]:[11. Salud pública y seguridad ciudadana]])</f>
        <v>2375.5899999999997</v>
      </c>
    </row>
    <row r="360" spans="1:13" x14ac:dyDescent="0.25">
      <c r="A360" s="21" t="s">
        <v>567</v>
      </c>
      <c r="B360" s="19"/>
      <c r="C360" s="19"/>
      <c r="D360" s="19"/>
      <c r="E360" s="19">
        <v>2316.3000000000002</v>
      </c>
      <c r="F360" s="19"/>
      <c r="G360" s="19"/>
      <c r="H360" s="19"/>
      <c r="I360" s="19"/>
      <c r="J360" s="19"/>
      <c r="K360" s="19"/>
      <c r="L360" s="19"/>
      <c r="M360" s="23">
        <f>SUM(Tabla2[[#This Row],[01. Alcaldía]:[11. Salud pública y seguridad ciudadana]])</f>
        <v>2316.3000000000002</v>
      </c>
    </row>
    <row r="361" spans="1:13" x14ac:dyDescent="0.25">
      <c r="A361" s="21" t="s">
        <v>2776</v>
      </c>
      <c r="B361" s="19"/>
      <c r="C361" s="19"/>
      <c r="D361" s="19"/>
      <c r="E361" s="19"/>
      <c r="F361" s="19"/>
      <c r="G361" s="19">
        <v>120</v>
      </c>
      <c r="H361" s="19"/>
      <c r="I361" s="19"/>
      <c r="J361" s="19"/>
      <c r="K361" s="19"/>
      <c r="L361" s="19"/>
      <c r="M361" s="23">
        <f>SUM(Tabla2[[#This Row],[01. Alcaldía]:[11. Salud pública y seguridad ciudadana]])</f>
        <v>120</v>
      </c>
    </row>
    <row r="362" spans="1:13" x14ac:dyDescent="0.25">
      <c r="A362" s="21" t="s">
        <v>33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>
        <v>1694</v>
      </c>
      <c r="L362" s="19">
        <v>4515.12</v>
      </c>
      <c r="M362" s="23">
        <f>SUM(Tabla2[[#This Row],[01. Alcaldía]:[11. Salud pública y seguridad ciudadana]])</f>
        <v>6209.12</v>
      </c>
    </row>
    <row r="363" spans="1:13" x14ac:dyDescent="0.25">
      <c r="A363" s="21" t="s">
        <v>2819</v>
      </c>
      <c r="B363" s="19"/>
      <c r="C363" s="19"/>
      <c r="D363" s="19">
        <v>605</v>
      </c>
      <c r="E363" s="19"/>
      <c r="F363" s="19"/>
      <c r="G363" s="19"/>
      <c r="H363" s="19"/>
      <c r="I363" s="19"/>
      <c r="J363" s="19"/>
      <c r="K363" s="19"/>
      <c r="L363" s="19"/>
      <c r="M363" s="23">
        <f>SUM(Tabla2[[#This Row],[01. Alcaldía]:[11. Salud pública y seguridad ciudadana]])</f>
        <v>605</v>
      </c>
    </row>
    <row r="364" spans="1:13" x14ac:dyDescent="0.25">
      <c r="A364" s="21" t="s">
        <v>336</v>
      </c>
      <c r="B364" s="19"/>
      <c r="C364" s="19"/>
      <c r="D364" s="19"/>
      <c r="E364" s="19"/>
      <c r="F364" s="19"/>
      <c r="G364" s="19">
        <v>2044.9</v>
      </c>
      <c r="H364" s="19"/>
      <c r="I364" s="19"/>
      <c r="J364" s="19"/>
      <c r="K364" s="19"/>
      <c r="L364" s="19"/>
      <c r="M364" s="23">
        <f>SUM(Tabla2[[#This Row],[01. Alcaldía]:[11. Salud pública y seguridad ciudadana]])</f>
        <v>2044.9</v>
      </c>
    </row>
    <row r="365" spans="1:13" x14ac:dyDescent="0.25">
      <c r="A365" s="21" t="s">
        <v>474</v>
      </c>
      <c r="B365" s="19"/>
      <c r="C365" s="19"/>
      <c r="D365" s="19">
        <v>665.5</v>
      </c>
      <c r="E365" s="19"/>
      <c r="F365" s="19"/>
      <c r="G365" s="19"/>
      <c r="H365" s="19"/>
      <c r="I365" s="19"/>
      <c r="J365" s="19"/>
      <c r="K365" s="19"/>
      <c r="L365" s="19"/>
      <c r="M365" s="23">
        <f>SUM(Tabla2[[#This Row],[01. Alcaldía]:[11. Salud pública y seguridad ciudadana]])</f>
        <v>665.5</v>
      </c>
    </row>
    <row r="366" spans="1:13" x14ac:dyDescent="0.25">
      <c r="A366" s="21" t="s">
        <v>4579</v>
      </c>
      <c r="B366" s="19"/>
      <c r="C366" s="19">
        <v>1635.92</v>
      </c>
      <c r="D366" s="19"/>
      <c r="E366" s="19"/>
      <c r="F366" s="19"/>
      <c r="G366" s="19"/>
      <c r="H366" s="19"/>
      <c r="I366" s="19"/>
      <c r="J366" s="19"/>
      <c r="K366" s="19"/>
      <c r="L366" s="19"/>
      <c r="M366" s="23">
        <f>SUM(Tabla2[[#This Row],[01. Alcaldía]:[11. Salud pública y seguridad ciudadana]])</f>
        <v>1635.92</v>
      </c>
    </row>
    <row r="367" spans="1:13" x14ac:dyDescent="0.25">
      <c r="A367" s="21" t="s">
        <v>2831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500</v>
      </c>
      <c r="M367" s="23">
        <f>SUM(Tabla2[[#This Row],[01. Alcaldía]:[11. Salud pública y seguridad ciudadana]])</f>
        <v>500</v>
      </c>
    </row>
    <row r="368" spans="1:13" x14ac:dyDescent="0.25">
      <c r="A368" s="21" t="s">
        <v>49</v>
      </c>
      <c r="B368" s="19"/>
      <c r="C368" s="19"/>
      <c r="D368" s="19"/>
      <c r="E368" s="19"/>
      <c r="F368" s="19">
        <v>1512.5</v>
      </c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1512.5</v>
      </c>
    </row>
    <row r="369" spans="1:13" x14ac:dyDescent="0.25">
      <c r="A369" s="21" t="s">
        <v>5228</v>
      </c>
      <c r="B369" s="19"/>
      <c r="C369" s="19"/>
      <c r="D369" s="19"/>
      <c r="E369" s="19"/>
      <c r="F369" s="19"/>
      <c r="G369" s="19">
        <v>1122</v>
      </c>
      <c r="H369" s="19"/>
      <c r="I369" s="19"/>
      <c r="J369" s="19"/>
      <c r="K369" s="19"/>
      <c r="L369" s="19"/>
      <c r="M369" s="23">
        <f>SUM(Tabla2[[#This Row],[01. Alcaldía]:[11. Salud pública y seguridad ciudadana]])</f>
        <v>1122</v>
      </c>
    </row>
    <row r="370" spans="1:13" x14ac:dyDescent="0.25">
      <c r="A370" s="21" t="s">
        <v>3683</v>
      </c>
      <c r="B370" s="19"/>
      <c r="C370" s="19"/>
      <c r="D370" s="19"/>
      <c r="E370" s="19"/>
      <c r="F370" s="19">
        <v>15700</v>
      </c>
      <c r="G370" s="19"/>
      <c r="H370" s="19"/>
      <c r="I370" s="19"/>
      <c r="J370" s="19"/>
      <c r="K370" s="19"/>
      <c r="L370" s="19"/>
      <c r="M370" s="23">
        <f>SUM(Tabla2[[#This Row],[01. Alcaldía]:[11. Salud pública y seguridad ciudadana]])</f>
        <v>15700</v>
      </c>
    </row>
    <row r="371" spans="1:13" x14ac:dyDescent="0.25">
      <c r="A371" s="21" t="s">
        <v>4583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>
        <v>1080</v>
      </c>
      <c r="L371" s="19"/>
      <c r="M371" s="23">
        <f>SUM(Tabla2[[#This Row],[01. Alcaldía]:[11. Salud pública y seguridad ciudadana]])</f>
        <v>1080</v>
      </c>
    </row>
    <row r="372" spans="1:13" x14ac:dyDescent="0.25">
      <c r="A372" s="21" t="s">
        <v>5383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>
        <v>1149.5</v>
      </c>
      <c r="L372" s="19"/>
      <c r="M372" s="23">
        <f>SUM(Tabla2[[#This Row],[01. Alcaldía]:[11. Salud pública y seguridad ciudadana]])</f>
        <v>1149.5</v>
      </c>
    </row>
    <row r="373" spans="1:13" x14ac:dyDescent="0.25">
      <c r="A373" s="21" t="s">
        <v>1650</v>
      </c>
      <c r="B373" s="19"/>
      <c r="C373" s="19"/>
      <c r="D373" s="19">
        <v>1265</v>
      </c>
      <c r="E373" s="19"/>
      <c r="F373" s="19"/>
      <c r="G373" s="19"/>
      <c r="H373" s="19"/>
      <c r="I373" s="19"/>
      <c r="J373" s="19"/>
      <c r="K373" s="19"/>
      <c r="L373" s="19"/>
      <c r="M373" s="23">
        <f>SUM(Tabla2[[#This Row],[01. Alcaldía]:[11. Salud pública y seguridad ciudadana]])</f>
        <v>1265</v>
      </c>
    </row>
    <row r="374" spans="1:13" x14ac:dyDescent="0.25">
      <c r="A374" s="21" t="s">
        <v>2848</v>
      </c>
      <c r="B374" s="19"/>
      <c r="C374" s="19"/>
      <c r="D374" s="19"/>
      <c r="E374" s="19"/>
      <c r="F374" s="19"/>
      <c r="G374" s="19">
        <v>1497.13</v>
      </c>
      <c r="H374" s="19"/>
      <c r="I374" s="19"/>
      <c r="J374" s="19"/>
      <c r="K374" s="19"/>
      <c r="L374" s="19"/>
      <c r="M374" s="23">
        <f>SUM(Tabla2[[#This Row],[01. Alcaldía]:[11. Salud pública y seguridad ciudadana]])</f>
        <v>1497.13</v>
      </c>
    </row>
    <row r="375" spans="1:13" x14ac:dyDescent="0.25">
      <c r="A375" s="21" t="s">
        <v>437</v>
      </c>
      <c r="B375" s="19"/>
      <c r="C375" s="19"/>
      <c r="D375" s="19">
        <v>280.72000000000003</v>
      </c>
      <c r="E375" s="19"/>
      <c r="F375" s="19"/>
      <c r="G375" s="19">
        <v>722.98</v>
      </c>
      <c r="H375" s="19"/>
      <c r="I375" s="19"/>
      <c r="J375" s="19"/>
      <c r="K375" s="19"/>
      <c r="L375" s="19"/>
      <c r="M375" s="23">
        <f>SUM(Tabla2[[#This Row],[01. Alcaldía]:[11. Salud pública y seguridad ciudadana]])</f>
        <v>1003.7</v>
      </c>
    </row>
    <row r="376" spans="1:13" x14ac:dyDescent="0.25">
      <c r="A376" s="21" t="s">
        <v>5391</v>
      </c>
      <c r="B376" s="19"/>
      <c r="C376" s="19"/>
      <c r="D376" s="19"/>
      <c r="E376" s="19"/>
      <c r="F376" s="19"/>
      <c r="G376" s="19"/>
      <c r="H376" s="19">
        <v>11434.5</v>
      </c>
      <c r="I376" s="19"/>
      <c r="J376" s="19"/>
      <c r="K376" s="19"/>
      <c r="L376" s="19"/>
      <c r="M376" s="23">
        <f>SUM(Tabla2[[#This Row],[01. Alcaldía]:[11. Salud pública y seguridad ciudadana]])</f>
        <v>11434.5</v>
      </c>
    </row>
    <row r="377" spans="1:13" x14ac:dyDescent="0.25">
      <c r="A377" s="21" t="s">
        <v>2141</v>
      </c>
      <c r="B377" s="19"/>
      <c r="C377" s="19"/>
      <c r="D377" s="19"/>
      <c r="E377" s="19"/>
      <c r="F377" s="19">
        <v>12408.55</v>
      </c>
      <c r="G377" s="19"/>
      <c r="H377" s="19"/>
      <c r="I377" s="19"/>
      <c r="J377" s="19"/>
      <c r="K377" s="19"/>
      <c r="L377" s="19"/>
      <c r="M377" s="23">
        <f>SUM(Tabla2[[#This Row],[01. Alcaldía]:[11. Salud pública y seguridad ciudadana]])</f>
        <v>12408.55</v>
      </c>
    </row>
    <row r="378" spans="1:13" x14ac:dyDescent="0.25">
      <c r="A378" s="21" t="s">
        <v>5306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758.7</v>
      </c>
      <c r="L378" s="19"/>
      <c r="M378" s="23">
        <f>SUM(Tabla2[[#This Row],[01. Alcaldía]:[11. Salud pública y seguridad ciudadana]])</f>
        <v>758.7</v>
      </c>
    </row>
    <row r="379" spans="1:13" x14ac:dyDescent="0.25">
      <c r="A379" s="21" t="s">
        <v>4023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>
        <v>11396</v>
      </c>
      <c r="L379" s="19"/>
      <c r="M379" s="23">
        <f>SUM(Tabla2[[#This Row],[01. Alcaldía]:[11. Salud pública y seguridad ciudadana]])</f>
        <v>11396</v>
      </c>
    </row>
    <row r="380" spans="1:13" x14ac:dyDescent="0.25">
      <c r="A380" s="21" t="s">
        <v>4653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350</v>
      </c>
      <c r="L380" s="19"/>
      <c r="M380" s="23">
        <f>SUM(Tabla2[[#This Row],[01. Alcaldía]:[11. Salud pública y seguridad ciudadana]])</f>
        <v>350</v>
      </c>
    </row>
    <row r="381" spans="1:13" x14ac:dyDescent="0.25">
      <c r="A381" s="21" t="s">
        <v>5136</v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>
        <v>2500</v>
      </c>
      <c r="M381" s="23">
        <f>SUM(Tabla2[[#This Row],[01. Alcaldía]:[11. Salud pública y seguridad ciudadana]])</f>
        <v>2500</v>
      </c>
    </row>
    <row r="382" spans="1:13" x14ac:dyDescent="0.25">
      <c r="A382" s="21" t="s">
        <v>2914</v>
      </c>
      <c r="B382" s="19">
        <v>3545.3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23">
        <f>SUM(Tabla2[[#This Row],[01. Alcaldía]:[11. Salud pública y seguridad ciudadana]])</f>
        <v>3545.3</v>
      </c>
    </row>
    <row r="383" spans="1:13" x14ac:dyDescent="0.25">
      <c r="A383" s="21" t="s">
        <v>4685</v>
      </c>
      <c r="B383" s="19"/>
      <c r="C383" s="19"/>
      <c r="D383" s="19"/>
      <c r="E383" s="19"/>
      <c r="F383" s="19">
        <v>759</v>
      </c>
      <c r="G383" s="19"/>
      <c r="H383" s="19"/>
      <c r="I383" s="19"/>
      <c r="J383" s="19"/>
      <c r="K383" s="19"/>
      <c r="L383" s="19"/>
      <c r="M383" s="23">
        <f>SUM(Tabla2[[#This Row],[01. Alcaldía]:[11. Salud pública y seguridad ciudadana]])</f>
        <v>759</v>
      </c>
    </row>
    <row r="384" spans="1:13" x14ac:dyDescent="0.25">
      <c r="A384" s="21" t="s">
        <v>2916</v>
      </c>
      <c r="B384" s="19"/>
      <c r="C384" s="19"/>
      <c r="D384" s="19"/>
      <c r="E384" s="19"/>
      <c r="F384" s="19"/>
      <c r="G384" s="19">
        <v>300</v>
      </c>
      <c r="H384" s="19"/>
      <c r="I384" s="19"/>
      <c r="J384" s="19"/>
      <c r="K384" s="19"/>
      <c r="L384" s="19"/>
      <c r="M384" s="23">
        <f>SUM(Tabla2[[#This Row],[01. Alcaldía]:[11. Salud pública y seguridad ciudadana]])</f>
        <v>300</v>
      </c>
    </row>
    <row r="385" spans="1:13" x14ac:dyDescent="0.25">
      <c r="A385" s="21" t="s">
        <v>2922</v>
      </c>
      <c r="B385" s="19"/>
      <c r="C385" s="19"/>
      <c r="D385" s="19"/>
      <c r="E385" s="19"/>
      <c r="F385" s="19">
        <v>332.75</v>
      </c>
      <c r="G385" s="19"/>
      <c r="H385" s="19"/>
      <c r="I385" s="19"/>
      <c r="J385" s="19"/>
      <c r="K385" s="19"/>
      <c r="L385" s="19"/>
      <c r="M385" s="23">
        <f>SUM(Tabla2[[#This Row],[01. Alcaldía]:[11. Salud pública y seguridad ciudadana]])</f>
        <v>332.75</v>
      </c>
    </row>
    <row r="386" spans="1:13" x14ac:dyDescent="0.25">
      <c r="A386" s="21" t="s">
        <v>5023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14520</v>
      </c>
      <c r="M386" s="23">
        <f>SUM(Tabla2[[#This Row],[01. Alcaldía]:[11. Salud pública y seguridad ciudadana]])</f>
        <v>14520</v>
      </c>
    </row>
    <row r="387" spans="1:13" x14ac:dyDescent="0.25">
      <c r="A387" s="21" t="s">
        <v>484</v>
      </c>
      <c r="B387" s="19"/>
      <c r="C387" s="19"/>
      <c r="D387" s="19">
        <v>550</v>
      </c>
      <c r="E387" s="19"/>
      <c r="F387" s="19"/>
      <c r="G387" s="19"/>
      <c r="H387" s="19"/>
      <c r="I387" s="19"/>
      <c r="J387" s="19"/>
      <c r="K387" s="19"/>
      <c r="L387" s="19"/>
      <c r="M387" s="23">
        <f>SUM(Tabla2[[#This Row],[01. Alcaldía]:[11. Salud pública y seguridad ciudadana]])</f>
        <v>550</v>
      </c>
    </row>
    <row r="388" spans="1:13" x14ac:dyDescent="0.25">
      <c r="A388" s="21" t="s">
        <v>430</v>
      </c>
      <c r="B388" s="19"/>
      <c r="C388" s="19"/>
      <c r="D388" s="19"/>
      <c r="E388" s="19"/>
      <c r="F388" s="19">
        <v>1694</v>
      </c>
      <c r="G388" s="19"/>
      <c r="H388" s="19"/>
      <c r="I388" s="19"/>
      <c r="J388" s="19"/>
      <c r="K388" s="19"/>
      <c r="L388" s="19"/>
      <c r="M388" s="23">
        <f>SUM(Tabla2[[#This Row],[01. Alcaldía]:[11. Salud pública y seguridad ciudadana]])</f>
        <v>1694</v>
      </c>
    </row>
    <row r="389" spans="1:13" x14ac:dyDescent="0.25">
      <c r="A389" s="21" t="s">
        <v>333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5000</v>
      </c>
      <c r="M389" s="23">
        <f>SUM(Tabla2[[#This Row],[01. Alcaldía]:[11. Salud pública y seguridad ciudadana]])</f>
        <v>5000</v>
      </c>
    </row>
    <row r="390" spans="1:13" x14ac:dyDescent="0.25">
      <c r="A390" s="21" t="s">
        <v>5402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181.5</v>
      </c>
      <c r="M390" s="23">
        <f>SUM(Tabla2[[#This Row],[01. Alcaldía]:[11. Salud pública y seguridad ciudadana]])</f>
        <v>181.5</v>
      </c>
    </row>
    <row r="391" spans="1:13" x14ac:dyDescent="0.25">
      <c r="A391" s="21" t="s">
        <v>481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>
        <v>429.55</v>
      </c>
      <c r="L391" s="19"/>
      <c r="M391" s="23">
        <f>SUM(Tabla2[[#This Row],[01. Alcaldía]:[11. Salud pública y seguridad ciudadana]])</f>
        <v>429.55</v>
      </c>
    </row>
    <row r="392" spans="1:13" x14ac:dyDescent="0.25">
      <c r="A392" s="21" t="s">
        <v>52</v>
      </c>
      <c r="B392" s="19"/>
      <c r="C392" s="19"/>
      <c r="D392" s="19"/>
      <c r="E392" s="19"/>
      <c r="F392" s="19">
        <v>53.52</v>
      </c>
      <c r="G392" s="19"/>
      <c r="H392" s="19"/>
      <c r="I392" s="19"/>
      <c r="J392" s="19"/>
      <c r="K392" s="19"/>
      <c r="L392" s="19">
        <v>428.04</v>
      </c>
      <c r="M392" s="23">
        <f>SUM(Tabla2[[#This Row],[01. Alcaldía]:[11. Salud pública y seguridad ciudadana]])</f>
        <v>481.56</v>
      </c>
    </row>
    <row r="393" spans="1:13" x14ac:dyDescent="0.25">
      <c r="A393" s="21" t="s">
        <v>411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>
        <v>4235</v>
      </c>
      <c r="L393" s="19"/>
      <c r="M393" s="23">
        <f>SUM(Tabla2[[#This Row],[01. Alcaldía]:[11. Salud pública y seguridad ciudadana]])</f>
        <v>4235</v>
      </c>
    </row>
    <row r="394" spans="1:13" x14ac:dyDescent="0.25">
      <c r="A394" s="21" t="s">
        <v>3007</v>
      </c>
      <c r="B394" s="19"/>
      <c r="C394" s="19"/>
      <c r="D394" s="19"/>
      <c r="E394" s="19"/>
      <c r="F394" s="19"/>
      <c r="G394" s="19">
        <v>3267</v>
      </c>
      <c r="H394" s="19"/>
      <c r="I394" s="19"/>
      <c r="J394" s="19"/>
      <c r="K394" s="19"/>
      <c r="L394" s="19"/>
      <c r="M394" s="23">
        <f>SUM(Tabla2[[#This Row],[01. Alcaldía]:[11. Salud pública y seguridad ciudadana]])</f>
        <v>3267</v>
      </c>
    </row>
    <row r="395" spans="1:13" x14ac:dyDescent="0.25">
      <c r="A395" s="21" t="s">
        <v>62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6226.25</v>
      </c>
      <c r="M395" s="23">
        <f>SUM(Tabla2[[#This Row],[01. Alcaldía]:[11. Salud pública y seguridad ciudadana]])</f>
        <v>6226.25</v>
      </c>
    </row>
    <row r="396" spans="1:13" x14ac:dyDescent="0.25">
      <c r="A396" s="21" t="s">
        <v>3027</v>
      </c>
      <c r="B396" s="19"/>
      <c r="C396" s="19"/>
      <c r="D396" s="19"/>
      <c r="E396" s="19"/>
      <c r="F396" s="19"/>
      <c r="G396" s="19">
        <v>300</v>
      </c>
      <c r="H396" s="19"/>
      <c r="I396" s="19"/>
      <c r="J396" s="19"/>
      <c r="K396" s="19"/>
      <c r="L396" s="19"/>
      <c r="M396" s="23">
        <f>SUM(Tabla2[[#This Row],[01. Alcaldía]:[11. Salud pública y seguridad ciudadana]])</f>
        <v>300</v>
      </c>
    </row>
    <row r="397" spans="1:13" x14ac:dyDescent="0.25">
      <c r="A397" s="21" t="s">
        <v>452</v>
      </c>
      <c r="B397" s="19"/>
      <c r="C397" s="19">
        <v>1452</v>
      </c>
      <c r="D397" s="19">
        <v>5723.3</v>
      </c>
      <c r="E397" s="19"/>
      <c r="F397" s="19">
        <v>8240.1</v>
      </c>
      <c r="G397" s="19"/>
      <c r="H397" s="19"/>
      <c r="I397" s="19"/>
      <c r="J397" s="19"/>
      <c r="K397" s="19"/>
      <c r="L397" s="19"/>
      <c r="M397" s="23">
        <f>SUM(Tabla2[[#This Row],[01. Alcaldía]:[11. Salud pública y seguridad ciudadana]])</f>
        <v>15415.400000000001</v>
      </c>
    </row>
    <row r="398" spans="1:13" x14ac:dyDescent="0.25">
      <c r="A398" s="21" t="s">
        <v>41</v>
      </c>
      <c r="B398" s="19"/>
      <c r="C398" s="19">
        <v>763.51</v>
      </c>
      <c r="D398" s="19">
        <v>850.63</v>
      </c>
      <c r="E398" s="19"/>
      <c r="F398" s="19"/>
      <c r="G398" s="19">
        <v>500</v>
      </c>
      <c r="H398" s="19"/>
      <c r="I398" s="19"/>
      <c r="J398" s="19"/>
      <c r="K398" s="19">
        <v>2997.04</v>
      </c>
      <c r="L398" s="19">
        <v>1482.79</v>
      </c>
      <c r="M398" s="23">
        <f>SUM(Tabla2[[#This Row],[01. Alcaldía]:[11. Salud pública y seguridad ciudadana]])</f>
        <v>6593.97</v>
      </c>
    </row>
    <row r="399" spans="1:13" x14ac:dyDescent="0.25">
      <c r="A399" s="21" t="s">
        <v>3083</v>
      </c>
      <c r="B399" s="19"/>
      <c r="C399" s="19"/>
      <c r="D399" s="19">
        <v>665.5</v>
      </c>
      <c r="E399" s="19"/>
      <c r="F399" s="19"/>
      <c r="G399" s="19"/>
      <c r="H399" s="19"/>
      <c r="I399" s="19"/>
      <c r="J399" s="19"/>
      <c r="K399" s="19"/>
      <c r="L399" s="19"/>
      <c r="M399" s="23">
        <f>SUM(Tabla2[[#This Row],[01. Alcaldía]:[11. Salud pública y seguridad ciudadana]])</f>
        <v>665.5</v>
      </c>
    </row>
    <row r="400" spans="1:13" x14ac:dyDescent="0.25">
      <c r="A400" s="21" t="s">
        <v>404</v>
      </c>
      <c r="B400" s="19"/>
      <c r="C400" s="19"/>
      <c r="D400" s="19"/>
      <c r="E400" s="19"/>
      <c r="F400" s="19"/>
      <c r="G400" s="19">
        <v>626.36</v>
      </c>
      <c r="H400" s="19"/>
      <c r="I400" s="19"/>
      <c r="J400" s="19"/>
      <c r="K400" s="19"/>
      <c r="L400" s="19"/>
      <c r="M400" s="23">
        <f>SUM(Tabla2[[#This Row],[01. Alcaldía]:[11. Salud pública y seguridad ciudadana]])</f>
        <v>626.36</v>
      </c>
    </row>
    <row r="401" spans="1:13" x14ac:dyDescent="0.25">
      <c r="A401" s="21" t="s">
        <v>38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1720</v>
      </c>
      <c r="M401" s="23">
        <f>SUM(Tabla2[[#This Row],[01. Alcaldía]:[11. Salud pública y seguridad ciudadana]])</f>
        <v>1720</v>
      </c>
    </row>
    <row r="402" spans="1:13" x14ac:dyDescent="0.25">
      <c r="A402" s="21" t="s">
        <v>3089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>
        <v>6050</v>
      </c>
      <c r="L402" s="19"/>
      <c r="M402" s="23">
        <f>SUM(Tabla2[[#This Row],[01. Alcaldía]:[11. Salud pública y seguridad ciudadana]])</f>
        <v>6050</v>
      </c>
    </row>
    <row r="403" spans="1:13" x14ac:dyDescent="0.25">
      <c r="A403" s="21" t="s">
        <v>760</v>
      </c>
      <c r="B403" s="19"/>
      <c r="C403" s="19"/>
      <c r="D403" s="19"/>
      <c r="E403" s="19"/>
      <c r="F403" s="19"/>
      <c r="G403" s="19">
        <v>578.79999999999995</v>
      </c>
      <c r="H403" s="19"/>
      <c r="I403" s="19"/>
      <c r="J403" s="19"/>
      <c r="K403" s="19">
        <v>363</v>
      </c>
      <c r="L403" s="19"/>
      <c r="M403" s="23">
        <f>SUM(Tabla2[[#This Row],[01. Alcaldía]:[11. Salud pública y seguridad ciudadana]])</f>
        <v>941.8</v>
      </c>
    </row>
    <row r="404" spans="1:13" x14ac:dyDescent="0.25">
      <c r="A404" s="21" t="s">
        <v>3102</v>
      </c>
      <c r="B404" s="19"/>
      <c r="C404" s="19"/>
      <c r="D404" s="19"/>
      <c r="E404" s="19"/>
      <c r="F404" s="19">
        <v>1210</v>
      </c>
      <c r="G404" s="19">
        <v>935</v>
      </c>
      <c r="H404" s="19"/>
      <c r="I404" s="19"/>
      <c r="J404" s="19"/>
      <c r="K404" s="19"/>
      <c r="L404" s="19"/>
      <c r="M404" s="23">
        <f>SUM(Tabla2[[#This Row],[01. Alcaldía]:[11. Salud pública y seguridad ciudadana]])</f>
        <v>2145</v>
      </c>
    </row>
    <row r="405" spans="1:13" x14ac:dyDescent="0.25">
      <c r="A405" s="21" t="s">
        <v>482</v>
      </c>
      <c r="B405" s="19"/>
      <c r="C405" s="19"/>
      <c r="D405" s="19"/>
      <c r="E405" s="19"/>
      <c r="F405" s="19"/>
      <c r="G405" s="19">
        <v>1720</v>
      </c>
      <c r="H405" s="19"/>
      <c r="I405" s="19"/>
      <c r="J405" s="19"/>
      <c r="K405" s="19"/>
      <c r="L405" s="19"/>
      <c r="M405" s="23">
        <f>SUM(Tabla2[[#This Row],[01. Alcaldía]:[11. Salud pública y seguridad ciudadana]])</f>
        <v>1720</v>
      </c>
    </row>
    <row r="406" spans="1:13" x14ac:dyDescent="0.25">
      <c r="A406" s="21" t="s">
        <v>3105</v>
      </c>
      <c r="B406" s="19"/>
      <c r="C406" s="19"/>
      <c r="D406" s="19"/>
      <c r="E406" s="19"/>
      <c r="F406" s="19">
        <v>13650</v>
      </c>
      <c r="G406" s="19"/>
      <c r="H406" s="19"/>
      <c r="I406" s="19"/>
      <c r="J406" s="19"/>
      <c r="K406" s="19"/>
      <c r="L406" s="19"/>
      <c r="M406" s="23">
        <f>SUM(Tabla2[[#This Row],[01. Alcaldía]:[11. Salud pública y seguridad ciudadana]])</f>
        <v>13650</v>
      </c>
    </row>
    <row r="407" spans="1:13" x14ac:dyDescent="0.25">
      <c r="A407" s="21" t="s">
        <v>72</v>
      </c>
      <c r="B407" s="19"/>
      <c r="C407" s="19"/>
      <c r="D407" s="19"/>
      <c r="E407" s="19"/>
      <c r="F407" s="19">
        <v>4235</v>
      </c>
      <c r="G407" s="19">
        <v>3230.8900000000003</v>
      </c>
      <c r="H407" s="19"/>
      <c r="I407" s="19"/>
      <c r="J407" s="19">
        <v>474.32</v>
      </c>
      <c r="K407" s="19">
        <v>452.73</v>
      </c>
      <c r="L407" s="19"/>
      <c r="M407" s="23">
        <f>SUM(Tabla2[[#This Row],[01. Alcaldía]:[11. Salud pública y seguridad ciudadana]])</f>
        <v>8392.94</v>
      </c>
    </row>
    <row r="408" spans="1:13" x14ac:dyDescent="0.25">
      <c r="A408" s="21" t="s">
        <v>3157</v>
      </c>
      <c r="B408" s="19"/>
      <c r="C408" s="19"/>
      <c r="D408" s="19"/>
      <c r="E408" s="19"/>
      <c r="F408" s="19"/>
      <c r="G408" s="19">
        <v>2974.24</v>
      </c>
      <c r="H408" s="19"/>
      <c r="I408" s="19"/>
      <c r="J408" s="19">
        <v>248.29</v>
      </c>
      <c r="K408" s="19">
        <v>290.39999999999998</v>
      </c>
      <c r="L408" s="19"/>
      <c r="M408" s="23">
        <f>SUM(Tabla2[[#This Row],[01. Alcaldía]:[11. Salud pública y seguridad ciudadana]])</f>
        <v>3512.93</v>
      </c>
    </row>
    <row r="409" spans="1:13" x14ac:dyDescent="0.25">
      <c r="A409" s="21" t="s">
        <v>3175</v>
      </c>
      <c r="B409" s="19"/>
      <c r="C409" s="19"/>
      <c r="D409" s="19"/>
      <c r="E409" s="19"/>
      <c r="F409" s="19"/>
      <c r="G409" s="19"/>
      <c r="H409" s="19"/>
      <c r="I409" s="19">
        <v>825.34</v>
      </c>
      <c r="J409" s="19"/>
      <c r="K409" s="19"/>
      <c r="L409" s="19"/>
      <c r="M409" s="23">
        <f>SUM(Tabla2[[#This Row],[01. Alcaldía]:[11. Salud pública y seguridad ciudadana]])</f>
        <v>825.34</v>
      </c>
    </row>
    <row r="410" spans="1:13" x14ac:dyDescent="0.25">
      <c r="A410" s="21" t="s">
        <v>46</v>
      </c>
      <c r="B410" s="19"/>
      <c r="C410" s="19"/>
      <c r="D410" s="19"/>
      <c r="E410" s="19"/>
      <c r="F410" s="19"/>
      <c r="G410" s="19">
        <v>100</v>
      </c>
      <c r="H410" s="19"/>
      <c r="I410" s="19"/>
      <c r="J410" s="19"/>
      <c r="K410" s="19"/>
      <c r="L410" s="19"/>
      <c r="M410" s="23">
        <f>SUM(Tabla2[[#This Row],[01. Alcaldía]:[11. Salud pública y seguridad ciudadana]])</f>
        <v>100</v>
      </c>
    </row>
    <row r="411" spans="1:13" x14ac:dyDescent="0.25">
      <c r="A411" s="21" t="s">
        <v>495</v>
      </c>
      <c r="B411" s="19"/>
      <c r="C411" s="19"/>
      <c r="D411" s="19"/>
      <c r="E411" s="19"/>
      <c r="F411" s="19">
        <v>4147.0600000000004</v>
      </c>
      <c r="G411" s="19"/>
      <c r="H411" s="19"/>
      <c r="I411" s="19"/>
      <c r="J411" s="19"/>
      <c r="K411" s="19"/>
      <c r="L411" s="19"/>
      <c r="M411" s="23">
        <f>SUM(Tabla2[[#This Row],[01. Alcaldía]:[11. Salud pública y seguridad ciudadana]])</f>
        <v>4147.0600000000004</v>
      </c>
    </row>
    <row r="412" spans="1:13" x14ac:dyDescent="0.25">
      <c r="A412" s="21" t="s">
        <v>3245</v>
      </c>
      <c r="B412" s="19">
        <v>1815</v>
      </c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23">
        <f>SUM(Tabla2[[#This Row],[01. Alcaldía]:[11. Salud pública y seguridad ciudadana]])</f>
        <v>1815</v>
      </c>
    </row>
    <row r="413" spans="1:13" x14ac:dyDescent="0.25">
      <c r="A413" s="21" t="s">
        <v>3249</v>
      </c>
      <c r="B413" s="19"/>
      <c r="C413" s="19"/>
      <c r="D413" s="19"/>
      <c r="E413" s="19"/>
      <c r="F413" s="19"/>
      <c r="G413" s="19"/>
      <c r="H413" s="19"/>
      <c r="I413" s="19">
        <v>11106.59</v>
      </c>
      <c r="J413" s="19"/>
      <c r="K413" s="19"/>
      <c r="L413" s="19"/>
      <c r="M413" s="23">
        <f>SUM(Tabla2[[#This Row],[01. Alcaldía]:[11. Salud pública y seguridad ciudadana]])</f>
        <v>11106.59</v>
      </c>
    </row>
    <row r="414" spans="1:13" x14ac:dyDescent="0.25">
      <c r="A414" s="21" t="s">
        <v>3251</v>
      </c>
      <c r="B414" s="19"/>
      <c r="C414" s="19"/>
      <c r="D414" s="19"/>
      <c r="E414" s="19"/>
      <c r="F414" s="19"/>
      <c r="G414" s="19"/>
      <c r="H414" s="19"/>
      <c r="I414" s="19"/>
      <c r="J414" s="19">
        <v>6655</v>
      </c>
      <c r="K414" s="19"/>
      <c r="L414" s="19"/>
      <c r="M414" s="23">
        <f>SUM(Tabla2[[#This Row],[01. Alcaldía]:[11. Salud pública y seguridad ciudadana]])</f>
        <v>6655</v>
      </c>
    </row>
    <row r="415" spans="1:13" x14ac:dyDescent="0.25">
      <c r="A415" s="21" t="s">
        <v>462</v>
      </c>
      <c r="B415" s="19"/>
      <c r="C415" s="19"/>
      <c r="D415" s="19"/>
      <c r="E415" s="19"/>
      <c r="F415" s="19"/>
      <c r="G415" s="19"/>
      <c r="H415" s="19">
        <v>178.48</v>
      </c>
      <c r="I415" s="19"/>
      <c r="J415" s="19"/>
      <c r="K415" s="19"/>
      <c r="L415" s="19">
        <v>2394.3200000000002</v>
      </c>
      <c r="M415" s="23">
        <f>SUM(Tabla2[[#This Row],[01. Alcaldía]:[11. Salud pública y seguridad ciudadana]])</f>
        <v>2572.8000000000002</v>
      </c>
    </row>
    <row r="416" spans="1:13" x14ac:dyDescent="0.25">
      <c r="A416" s="21" t="s">
        <v>5039</v>
      </c>
      <c r="B416" s="19"/>
      <c r="C416" s="19"/>
      <c r="D416" s="19"/>
      <c r="E416" s="19"/>
      <c r="F416" s="19"/>
      <c r="G416" s="19">
        <v>7258.79</v>
      </c>
      <c r="H416" s="19"/>
      <c r="I416" s="19"/>
      <c r="J416" s="19"/>
      <c r="K416" s="19"/>
      <c r="L416" s="19"/>
      <c r="M416" s="23">
        <f>SUM(Tabla2[[#This Row],[01. Alcaldía]:[11. Salud pública y seguridad ciudadana]])</f>
        <v>7258.79</v>
      </c>
    </row>
    <row r="417" spans="1:13" x14ac:dyDescent="0.25">
      <c r="A417" s="21" t="s">
        <v>22</v>
      </c>
      <c r="B417" s="19"/>
      <c r="C417" s="19"/>
      <c r="D417" s="19">
        <v>157.30000000000001</v>
      </c>
      <c r="E417" s="19">
        <v>5968.81</v>
      </c>
      <c r="F417" s="19"/>
      <c r="G417" s="19"/>
      <c r="H417" s="19"/>
      <c r="I417" s="19"/>
      <c r="J417" s="19"/>
      <c r="K417" s="19"/>
      <c r="L417" s="19"/>
      <c r="M417" s="23">
        <f>SUM(Tabla2[[#This Row],[01. Alcaldía]:[11. Salud pública y seguridad ciudadana]])</f>
        <v>6126.1100000000006</v>
      </c>
    </row>
    <row r="418" spans="1:13" x14ac:dyDescent="0.25">
      <c r="A418" s="21" t="s">
        <v>398</v>
      </c>
      <c r="B418" s="19"/>
      <c r="C418" s="19"/>
      <c r="D418" s="19">
        <v>78.650000000000006</v>
      </c>
      <c r="E418" s="19"/>
      <c r="F418" s="19"/>
      <c r="G418" s="19"/>
      <c r="H418" s="19"/>
      <c r="I418" s="19"/>
      <c r="J418" s="19"/>
      <c r="K418" s="19"/>
      <c r="L418" s="19"/>
      <c r="M418" s="23">
        <f>SUM(Tabla2[[#This Row],[01. Alcaldía]:[11. Salud pública y seguridad ciudadana]])</f>
        <v>78.650000000000006</v>
      </c>
    </row>
    <row r="419" spans="1:13" x14ac:dyDescent="0.25">
      <c r="A419" s="21" t="s">
        <v>4715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>
        <v>1441.11</v>
      </c>
      <c r="L419" s="19"/>
      <c r="M419" s="23">
        <f>SUM(Tabla2[[#This Row],[01. Alcaldía]:[11. Salud pública y seguridad ciudadana]])</f>
        <v>1441.11</v>
      </c>
    </row>
    <row r="420" spans="1:13" x14ac:dyDescent="0.25">
      <c r="A420" s="21" t="s">
        <v>3288</v>
      </c>
      <c r="B420" s="19"/>
      <c r="C420" s="19"/>
      <c r="D420" s="19"/>
      <c r="E420" s="19"/>
      <c r="F420" s="19">
        <v>217.8</v>
      </c>
      <c r="G420" s="19"/>
      <c r="H420" s="19"/>
      <c r="I420" s="19"/>
      <c r="J420" s="19"/>
      <c r="K420" s="19"/>
      <c r="L420" s="19"/>
      <c r="M420" s="23">
        <f>SUM(Tabla2[[#This Row],[01. Alcaldía]:[11. Salud pública y seguridad ciudadana]])</f>
        <v>217.8</v>
      </c>
    </row>
    <row r="421" spans="1:13" x14ac:dyDescent="0.25">
      <c r="A421" s="21" t="s">
        <v>74</v>
      </c>
      <c r="B421" s="19"/>
      <c r="C421" s="19"/>
      <c r="D421" s="19"/>
      <c r="E421" s="19"/>
      <c r="F421" s="19"/>
      <c r="G421" s="19"/>
      <c r="H421" s="19"/>
      <c r="I421" s="19"/>
      <c r="J421" s="19">
        <v>15967.56</v>
      </c>
      <c r="K421" s="19"/>
      <c r="L421" s="19"/>
      <c r="M421" s="23">
        <f>SUM(Tabla2[[#This Row],[01. Alcaldía]:[11. Salud pública y seguridad ciudadana]])</f>
        <v>15967.56</v>
      </c>
    </row>
    <row r="422" spans="1:13" x14ac:dyDescent="0.25">
      <c r="A422" s="21" t="s">
        <v>850</v>
      </c>
      <c r="B422" s="19"/>
      <c r="C422" s="19"/>
      <c r="D422" s="19"/>
      <c r="E422" s="19"/>
      <c r="F422" s="19">
        <v>351.38</v>
      </c>
      <c r="G422" s="19"/>
      <c r="H422" s="19"/>
      <c r="I422" s="19"/>
      <c r="J422" s="19"/>
      <c r="K422" s="19"/>
      <c r="L422" s="19"/>
      <c r="M422" s="23">
        <f>SUM(Tabla2[[#This Row],[01. Alcaldía]:[11. Salud pública y seguridad ciudadana]])</f>
        <v>351.38</v>
      </c>
    </row>
    <row r="423" spans="1:13" x14ac:dyDescent="0.25">
      <c r="A423" s="21" t="s">
        <v>5014</v>
      </c>
      <c r="B423" s="19"/>
      <c r="C423" s="19">
        <v>18089.5</v>
      </c>
      <c r="D423" s="19"/>
      <c r="E423" s="19"/>
      <c r="F423" s="19"/>
      <c r="G423" s="19"/>
      <c r="H423" s="19"/>
      <c r="I423" s="19"/>
      <c r="J423" s="19"/>
      <c r="K423" s="19"/>
      <c r="L423" s="19"/>
      <c r="M423" s="23">
        <f>SUM(Tabla2[[#This Row],[01. Alcaldía]:[11. Salud pública y seguridad ciudadana]])</f>
        <v>18089.5</v>
      </c>
    </row>
    <row r="424" spans="1:13" x14ac:dyDescent="0.25">
      <c r="A424" s="21" t="s">
        <v>3309</v>
      </c>
      <c r="B424" s="19"/>
      <c r="C424" s="19"/>
      <c r="D424" s="19"/>
      <c r="E424" s="19"/>
      <c r="F424" s="19"/>
      <c r="G424" s="19">
        <v>411.4</v>
      </c>
      <c r="H424" s="19"/>
      <c r="I424" s="19"/>
      <c r="J424" s="19"/>
      <c r="K424" s="19"/>
      <c r="L424" s="19"/>
      <c r="M424" s="23">
        <f>SUM(Tabla2[[#This Row],[01. Alcaldía]:[11. Salud pública y seguridad ciudadana]])</f>
        <v>411.4</v>
      </c>
    </row>
    <row r="425" spans="1:13" x14ac:dyDescent="0.25">
      <c r="A425" s="21" t="s">
        <v>3312</v>
      </c>
      <c r="B425" s="19"/>
      <c r="C425" s="19"/>
      <c r="D425" s="19"/>
      <c r="E425" s="19"/>
      <c r="F425" s="19"/>
      <c r="G425" s="19"/>
      <c r="H425" s="19"/>
      <c r="I425" s="19"/>
      <c r="J425" s="19">
        <v>7724.6399999999994</v>
      </c>
      <c r="K425" s="19"/>
      <c r="L425" s="19"/>
      <c r="M425" s="23">
        <f>SUM(Tabla2[[#This Row],[01. Alcaldía]:[11. Salud pública y seguridad ciudadana]])</f>
        <v>7724.6399999999994</v>
      </c>
    </row>
    <row r="426" spans="1:13" x14ac:dyDescent="0.25">
      <c r="A426" s="21" t="s">
        <v>3325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232.32</v>
      </c>
      <c r="L426" s="19"/>
      <c r="M426" s="23">
        <f>SUM(Tabla2[[#This Row],[01. Alcaldía]:[11. Salud pública y seguridad ciudadana]])</f>
        <v>232.32</v>
      </c>
    </row>
    <row r="427" spans="1:13" x14ac:dyDescent="0.25">
      <c r="A427" s="21" t="s">
        <v>3330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>
        <v>2574.88</v>
      </c>
      <c r="L427" s="19"/>
      <c r="M427" s="23">
        <f>SUM(Tabla2[[#This Row],[01. Alcaldía]:[11. Salud pública y seguridad ciudadana]])</f>
        <v>2574.88</v>
      </c>
    </row>
    <row r="428" spans="1:13" x14ac:dyDescent="0.25">
      <c r="A428" s="21" t="s">
        <v>3333</v>
      </c>
      <c r="B428" s="19"/>
      <c r="C428" s="19"/>
      <c r="D428" s="19"/>
      <c r="E428" s="19"/>
      <c r="F428" s="19">
        <v>1815</v>
      </c>
      <c r="G428" s="19"/>
      <c r="H428" s="19"/>
      <c r="I428" s="19"/>
      <c r="J428" s="19"/>
      <c r="K428" s="19"/>
      <c r="L428" s="19"/>
      <c r="M428" s="23">
        <f>SUM(Tabla2[[#This Row],[01. Alcaldía]:[11. Salud pública y seguridad ciudadana]])</f>
        <v>1815</v>
      </c>
    </row>
    <row r="429" spans="1:13" x14ac:dyDescent="0.25">
      <c r="A429" s="21" t="s">
        <v>3337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>
        <v>3736.57</v>
      </c>
      <c r="M429" s="23">
        <f>SUM(Tabla2[[#This Row],[01. Alcaldía]:[11. Salud pública y seguridad ciudadana]])</f>
        <v>3736.57</v>
      </c>
    </row>
    <row r="430" spans="1:13" x14ac:dyDescent="0.25">
      <c r="A430" s="21" t="s">
        <v>349</v>
      </c>
      <c r="B430" s="19"/>
      <c r="C430" s="19"/>
      <c r="D430" s="19">
        <v>9075</v>
      </c>
      <c r="E430" s="19"/>
      <c r="F430" s="19"/>
      <c r="G430" s="19">
        <v>4235</v>
      </c>
      <c r="H430" s="19"/>
      <c r="I430" s="19"/>
      <c r="J430" s="19"/>
      <c r="K430" s="19"/>
      <c r="L430" s="19"/>
      <c r="M430" s="23">
        <f>SUM(Tabla2[[#This Row],[01. Alcaldía]:[11. Salud pública y seguridad ciudadana]])</f>
        <v>13310</v>
      </c>
    </row>
    <row r="431" spans="1:13" x14ac:dyDescent="0.25">
      <c r="A431" s="21" t="s">
        <v>4724</v>
      </c>
      <c r="B431" s="19"/>
      <c r="C431" s="19"/>
      <c r="D431" s="19"/>
      <c r="E431" s="19"/>
      <c r="F431" s="19"/>
      <c r="G431" s="19">
        <v>1000</v>
      </c>
      <c r="H431" s="19"/>
      <c r="I431" s="19"/>
      <c r="J431" s="19"/>
      <c r="K431" s="19"/>
      <c r="L431" s="19"/>
      <c r="M431" s="23">
        <f>SUM(Tabla2[[#This Row],[01. Alcaldía]:[11. Salud pública y seguridad ciudadana]])</f>
        <v>1000</v>
      </c>
    </row>
    <row r="432" spans="1:13" x14ac:dyDescent="0.25">
      <c r="A432" s="21" t="s">
        <v>59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>
        <v>6220.5</v>
      </c>
      <c r="M432" s="23">
        <f>SUM(Tabla2[[#This Row],[01. Alcaldía]:[11. Salud pública y seguridad ciudadana]])</f>
        <v>6220.5</v>
      </c>
    </row>
    <row r="433" spans="1:13" x14ac:dyDescent="0.25">
      <c r="A433" s="21" t="s">
        <v>455</v>
      </c>
      <c r="B433" s="19"/>
      <c r="C433" s="19"/>
      <c r="D433" s="19"/>
      <c r="E433" s="19"/>
      <c r="F433" s="19"/>
      <c r="G433" s="19">
        <v>1260</v>
      </c>
      <c r="H433" s="19"/>
      <c r="I433" s="19"/>
      <c r="J433" s="19"/>
      <c r="K433" s="19"/>
      <c r="L433" s="19"/>
      <c r="M433" s="23">
        <f>SUM(Tabla2[[#This Row],[01. Alcaldía]:[11. Salud pública y seguridad ciudadana]])</f>
        <v>1260</v>
      </c>
    </row>
    <row r="434" spans="1:13" x14ac:dyDescent="0.25">
      <c r="A434" s="21" t="s">
        <v>441</v>
      </c>
      <c r="B434" s="19"/>
      <c r="C434" s="19">
        <v>1597.2</v>
      </c>
      <c r="D434" s="19"/>
      <c r="E434" s="19"/>
      <c r="F434" s="19"/>
      <c r="G434" s="19"/>
      <c r="H434" s="19"/>
      <c r="I434" s="19"/>
      <c r="J434" s="19"/>
      <c r="K434" s="19"/>
      <c r="L434" s="19"/>
      <c r="M434" s="23">
        <f>SUM(Tabla2[[#This Row],[01. Alcaldía]:[11. Salud pública y seguridad ciudadana]])</f>
        <v>1597.2</v>
      </c>
    </row>
    <row r="435" spans="1:13" x14ac:dyDescent="0.25">
      <c r="A435" s="21" t="s">
        <v>3396</v>
      </c>
      <c r="B435" s="19"/>
      <c r="C435" s="19"/>
      <c r="D435" s="19"/>
      <c r="E435" s="19"/>
      <c r="F435" s="19">
        <v>6267.7999999999993</v>
      </c>
      <c r="G435" s="19"/>
      <c r="H435" s="19"/>
      <c r="I435" s="19"/>
      <c r="J435" s="19"/>
      <c r="K435" s="19"/>
      <c r="L435" s="19"/>
      <c r="M435" s="23">
        <f>SUM(Tabla2[[#This Row],[01. Alcaldía]:[11. Salud pública y seguridad ciudadana]])</f>
        <v>6267.7999999999993</v>
      </c>
    </row>
    <row r="436" spans="1:13" x14ac:dyDescent="0.25">
      <c r="A436" s="21" t="s">
        <v>3398</v>
      </c>
      <c r="B436" s="19"/>
      <c r="C436" s="19"/>
      <c r="D436" s="19"/>
      <c r="E436" s="19"/>
      <c r="F436" s="19"/>
      <c r="G436" s="19">
        <v>5900</v>
      </c>
      <c r="H436" s="19"/>
      <c r="I436" s="19"/>
      <c r="J436" s="19"/>
      <c r="K436" s="19"/>
      <c r="L436" s="19"/>
      <c r="M436" s="23">
        <f>SUM(Tabla2[[#This Row],[01. Alcaldía]:[11. Salud pública y seguridad ciudadana]])</f>
        <v>5900</v>
      </c>
    </row>
    <row r="437" spans="1:13" x14ac:dyDescent="0.25">
      <c r="A437" s="21" t="s">
        <v>4757</v>
      </c>
      <c r="B437" s="19"/>
      <c r="C437" s="19"/>
      <c r="D437" s="19"/>
      <c r="E437" s="19"/>
      <c r="F437" s="19"/>
      <c r="G437" s="19">
        <v>17871.7</v>
      </c>
      <c r="H437" s="19"/>
      <c r="I437" s="19"/>
      <c r="J437" s="19"/>
      <c r="K437" s="19"/>
      <c r="L437" s="19"/>
      <c r="M437" s="23">
        <f>SUM(Tabla2[[#This Row],[01. Alcaldía]:[11. Salud pública y seguridad ciudadana]])</f>
        <v>17871.7</v>
      </c>
    </row>
    <row r="438" spans="1:13" x14ac:dyDescent="0.25">
      <c r="A438" s="21" t="s">
        <v>433</v>
      </c>
      <c r="B438" s="19"/>
      <c r="C438" s="19"/>
      <c r="D438" s="19"/>
      <c r="E438" s="19"/>
      <c r="F438" s="19">
        <v>12500</v>
      </c>
      <c r="G438" s="19"/>
      <c r="H438" s="19"/>
      <c r="I438" s="19"/>
      <c r="J438" s="19"/>
      <c r="K438" s="19"/>
      <c r="L438" s="19"/>
      <c r="M438" s="23">
        <f>SUM(Tabla2[[#This Row],[01. Alcaldía]:[11. Salud pública y seguridad ciudadana]])</f>
        <v>12500</v>
      </c>
    </row>
    <row r="439" spans="1:13" x14ac:dyDescent="0.25">
      <c r="A439" s="21" t="s">
        <v>318</v>
      </c>
      <c r="B439" s="19"/>
      <c r="C439" s="19"/>
      <c r="D439" s="19"/>
      <c r="E439" s="19">
        <v>1600</v>
      </c>
      <c r="F439" s="19"/>
      <c r="G439" s="19"/>
      <c r="H439" s="19"/>
      <c r="I439" s="19"/>
      <c r="J439" s="19"/>
      <c r="K439" s="19"/>
      <c r="L439" s="19">
        <v>564.12</v>
      </c>
      <c r="M439" s="23">
        <f>SUM(Tabla2[[#This Row],[01. Alcaldía]:[11. Salud pública y seguridad ciudadana]])</f>
        <v>2164.12</v>
      </c>
    </row>
    <row r="440" spans="1:13" x14ac:dyDescent="0.25">
      <c r="A440" s="21" t="s">
        <v>4762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>
        <v>1149.5</v>
      </c>
      <c r="L440" s="19"/>
      <c r="M440" s="23">
        <f>SUM(Tabla2[[#This Row],[01. Alcaldía]:[11. Salud pública y seguridad ciudadana]])</f>
        <v>1149.5</v>
      </c>
    </row>
    <row r="441" spans="1:13" x14ac:dyDescent="0.25">
      <c r="A441" s="21" t="s">
        <v>5059</v>
      </c>
      <c r="B441" s="19"/>
      <c r="C441" s="19"/>
      <c r="D441" s="19"/>
      <c r="E441" s="19"/>
      <c r="F441" s="19"/>
      <c r="G441" s="19">
        <v>3960</v>
      </c>
      <c r="H441" s="19"/>
      <c r="I441" s="19"/>
      <c r="J441" s="19"/>
      <c r="K441" s="19"/>
      <c r="L441" s="19"/>
      <c r="M441" s="23">
        <f>SUM(Tabla2[[#This Row],[01. Alcaldía]:[11. Salud pública y seguridad ciudadana]])</f>
        <v>3960</v>
      </c>
    </row>
    <row r="442" spans="1:13" x14ac:dyDescent="0.25">
      <c r="A442" s="21" t="s">
        <v>983</v>
      </c>
      <c r="B442" s="19"/>
      <c r="C442" s="19"/>
      <c r="D442" s="19"/>
      <c r="E442" s="19"/>
      <c r="F442" s="19"/>
      <c r="G442" s="19">
        <v>180</v>
      </c>
      <c r="H442" s="19"/>
      <c r="I442" s="19"/>
      <c r="J442" s="19"/>
      <c r="K442" s="19"/>
      <c r="L442" s="19"/>
      <c r="M442" s="23">
        <f>SUM(Tabla2[[#This Row],[01. Alcaldía]:[11. Salud pública y seguridad ciudadana]])</f>
        <v>180</v>
      </c>
    </row>
    <row r="443" spans="1:13" x14ac:dyDescent="0.25">
      <c r="A443" s="21" t="s">
        <v>2436</v>
      </c>
      <c r="B443" s="19"/>
      <c r="C443" s="19"/>
      <c r="D443" s="19"/>
      <c r="E443" s="19"/>
      <c r="F443" s="19"/>
      <c r="G443" s="19">
        <v>13.33</v>
      </c>
      <c r="H443" s="19"/>
      <c r="I443" s="19"/>
      <c r="J443" s="19"/>
      <c r="K443" s="19"/>
      <c r="L443" s="19"/>
      <c r="M443" s="23">
        <f>SUM(Tabla2[[#This Row],[01. Alcaldía]:[11. Salud pública y seguridad ciudadana]])</f>
        <v>13.33</v>
      </c>
    </row>
    <row r="444" spans="1:13" x14ac:dyDescent="0.25">
      <c r="A444" s="21" t="s">
        <v>36</v>
      </c>
      <c r="B444" s="19"/>
      <c r="C444" s="19"/>
      <c r="D444" s="19"/>
      <c r="E444" s="19">
        <v>15776.95</v>
      </c>
      <c r="F444" s="19"/>
      <c r="G444" s="19"/>
      <c r="H444" s="19"/>
      <c r="I444" s="19"/>
      <c r="J444" s="19"/>
      <c r="K444" s="19"/>
      <c r="L444" s="19"/>
      <c r="M444" s="23">
        <f>SUM(Tabla2[[#This Row],[01. Alcaldía]:[11. Salud pública y seguridad ciudadana]])</f>
        <v>15776.95</v>
      </c>
    </row>
    <row r="445" spans="1:13" x14ac:dyDescent="0.25">
      <c r="A445" s="21" t="s">
        <v>3464</v>
      </c>
      <c r="B445" s="19"/>
      <c r="C445" s="19"/>
      <c r="D445" s="19"/>
      <c r="E445" s="19"/>
      <c r="F445" s="19">
        <v>5989.5</v>
      </c>
      <c r="G445" s="19"/>
      <c r="H445" s="19"/>
      <c r="I445" s="19"/>
      <c r="J445" s="19"/>
      <c r="K445" s="19"/>
      <c r="L445" s="19"/>
      <c r="M445" s="23">
        <f>SUM(Tabla2[[#This Row],[01. Alcaldía]:[11. Salud pública y seguridad ciudadana]])</f>
        <v>5989.5</v>
      </c>
    </row>
    <row r="446" spans="1:13" x14ac:dyDescent="0.25">
      <c r="A446" s="21" t="s">
        <v>3467</v>
      </c>
      <c r="B446" s="19"/>
      <c r="C446" s="19"/>
      <c r="D446" s="19"/>
      <c r="E446" s="19"/>
      <c r="F446" s="19">
        <v>2909</v>
      </c>
      <c r="G446" s="19"/>
      <c r="H446" s="19"/>
      <c r="I446" s="19"/>
      <c r="J446" s="19"/>
      <c r="K446" s="19"/>
      <c r="L446" s="19"/>
      <c r="M446" s="23">
        <f>SUM(Tabla2[[#This Row],[01. Alcaldía]:[11. Salud pública y seguridad ciudadana]])</f>
        <v>2909</v>
      </c>
    </row>
    <row r="447" spans="1:13" x14ac:dyDescent="0.25">
      <c r="A447" s="21" t="s">
        <v>57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3000</v>
      </c>
      <c r="M447" s="23">
        <f>SUM(Tabla2[[#This Row],[01. Alcaldía]:[11. Salud pública y seguridad ciudadana]])</f>
        <v>3000</v>
      </c>
    </row>
    <row r="448" spans="1:13" x14ac:dyDescent="0.25">
      <c r="A448" s="21" t="s">
        <v>3479</v>
      </c>
      <c r="B448" s="19"/>
      <c r="C448" s="19"/>
      <c r="D448" s="19"/>
      <c r="E448" s="19"/>
      <c r="F448" s="19"/>
      <c r="G448" s="19"/>
      <c r="H448" s="19"/>
      <c r="I448" s="19">
        <v>1331</v>
      </c>
      <c r="J448" s="19"/>
      <c r="K448" s="19"/>
      <c r="L448" s="19"/>
      <c r="M448" s="23">
        <f>SUM(Tabla2[[#This Row],[01. Alcaldía]:[11. Salud pública y seguridad ciudadana]])</f>
        <v>1331</v>
      </c>
    </row>
    <row r="449" spans="1:13" x14ac:dyDescent="0.25">
      <c r="A449" s="21" t="s">
        <v>3484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>
        <v>19118</v>
      </c>
      <c r="M449" s="23">
        <f>SUM(Tabla2[[#This Row],[01. Alcaldía]:[11. Salud pública y seguridad ciudadana]])</f>
        <v>19118</v>
      </c>
    </row>
    <row r="450" spans="1:13" x14ac:dyDescent="0.25">
      <c r="A450" s="21" t="s">
        <v>4491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>
        <v>822.8</v>
      </c>
      <c r="M450" s="23">
        <f>SUM(Tabla2[[#This Row],[01. Alcaldía]:[11. Salud pública y seguridad ciudadana]])</f>
        <v>822.8</v>
      </c>
    </row>
    <row r="451" spans="1:13" x14ac:dyDescent="0.25">
      <c r="A451" s="21" t="s">
        <v>494</v>
      </c>
      <c r="B451" s="19"/>
      <c r="C451" s="19"/>
      <c r="D451" s="19">
        <v>544.5</v>
      </c>
      <c r="E451" s="19"/>
      <c r="F451" s="19"/>
      <c r="G451" s="19"/>
      <c r="H451" s="19"/>
      <c r="I451" s="19"/>
      <c r="J451" s="19"/>
      <c r="K451" s="19"/>
      <c r="L451" s="19"/>
      <c r="M451" s="23">
        <f>SUM(Tabla2[[#This Row],[01. Alcaldía]:[11. Salud pública y seguridad ciudadana]])</f>
        <v>544.5</v>
      </c>
    </row>
    <row r="452" spans="1:13" x14ac:dyDescent="0.25">
      <c r="A452" s="21" t="s">
        <v>3546</v>
      </c>
      <c r="B452" s="19"/>
      <c r="C452" s="19">
        <v>152</v>
      </c>
      <c r="D452" s="19"/>
      <c r="E452" s="19"/>
      <c r="F452" s="19"/>
      <c r="G452" s="19"/>
      <c r="H452" s="19"/>
      <c r="I452" s="19"/>
      <c r="J452" s="19"/>
      <c r="K452" s="19"/>
      <c r="L452" s="19"/>
      <c r="M452" s="23">
        <f>SUM(Tabla2[[#This Row],[01. Alcaldía]:[11. Salud pública y seguridad ciudadana]])</f>
        <v>152</v>
      </c>
    </row>
    <row r="453" spans="1:13" x14ac:dyDescent="0.25">
      <c r="A453" s="21" t="s">
        <v>335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3400.1</v>
      </c>
      <c r="M453" s="23">
        <f>SUM(Tabla2[[#This Row],[01. Alcaldía]:[11. Salud pública y seguridad ciudadana]])</f>
        <v>3400.1</v>
      </c>
    </row>
    <row r="454" spans="1:13" x14ac:dyDescent="0.25">
      <c r="A454" s="21" t="s">
        <v>4774</v>
      </c>
      <c r="B454" s="19"/>
      <c r="C454" s="19"/>
      <c r="D454" s="19"/>
      <c r="E454" s="19"/>
      <c r="F454" s="19">
        <v>4477</v>
      </c>
      <c r="G454" s="19"/>
      <c r="H454" s="19"/>
      <c r="I454" s="19"/>
      <c r="J454" s="19"/>
      <c r="K454" s="19"/>
      <c r="L454" s="19"/>
      <c r="M454" s="23">
        <f>SUM(Tabla2[[#This Row],[01. Alcaldía]:[11. Salud pública y seguridad ciudadana]])</f>
        <v>4477</v>
      </c>
    </row>
    <row r="455" spans="1:13" x14ac:dyDescent="0.25">
      <c r="A455" s="21" t="s">
        <v>4778</v>
      </c>
      <c r="B455" s="19"/>
      <c r="C455" s="19"/>
      <c r="D455" s="19"/>
      <c r="E455" s="19"/>
      <c r="F455" s="19"/>
      <c r="G455" s="19"/>
      <c r="H455" s="19"/>
      <c r="I455" s="19"/>
      <c r="J455" s="19">
        <v>7139</v>
      </c>
      <c r="K455" s="19"/>
      <c r="L455" s="19"/>
      <c r="M455" s="23">
        <f>SUM(Tabla2[[#This Row],[01. Alcaldía]:[11. Salud pública y seguridad ciudadana]])</f>
        <v>7139</v>
      </c>
    </row>
    <row r="456" spans="1:13" x14ac:dyDescent="0.25">
      <c r="A456" s="21" t="s">
        <v>23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>
        <v>10260.799999999999</v>
      </c>
      <c r="L456" s="19"/>
      <c r="M456" s="23">
        <f>SUM(Tabla2[[#This Row],[01. Alcaldía]:[11. Salud pública y seguridad ciudadana]])</f>
        <v>10260.799999999999</v>
      </c>
    </row>
    <row r="457" spans="1:13" x14ac:dyDescent="0.25">
      <c r="A457" s="21" t="s">
        <v>408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1464.2</v>
      </c>
      <c r="M457" s="23">
        <f>SUM(Tabla2[[#This Row],[01. Alcaldía]:[11. Salud pública y seguridad ciudadana]])</f>
        <v>1464.2</v>
      </c>
    </row>
    <row r="458" spans="1:13" x14ac:dyDescent="0.25">
      <c r="A458" s="21" t="s">
        <v>445</v>
      </c>
      <c r="B458" s="19"/>
      <c r="C458" s="19"/>
      <c r="D458" s="19"/>
      <c r="E458" s="19">
        <v>1304.79</v>
      </c>
      <c r="F458" s="19"/>
      <c r="G458" s="19"/>
      <c r="H458" s="19"/>
      <c r="I458" s="19"/>
      <c r="J458" s="19"/>
      <c r="K458" s="19"/>
      <c r="L458" s="19"/>
      <c r="M458" s="23">
        <f>SUM(Tabla2[[#This Row],[01. Alcaldía]:[11. Salud pública y seguridad ciudadana]])</f>
        <v>1304.79</v>
      </c>
    </row>
    <row r="459" spans="1:13" x14ac:dyDescent="0.25">
      <c r="A459" s="21" t="s">
        <v>4780</v>
      </c>
      <c r="B459" s="19"/>
      <c r="C459" s="19"/>
      <c r="D459" s="19"/>
      <c r="E459" s="19"/>
      <c r="F459" s="19">
        <v>33911.160000000003</v>
      </c>
      <c r="G459" s="19"/>
      <c r="H459" s="19"/>
      <c r="I459" s="19"/>
      <c r="J459" s="19"/>
      <c r="K459" s="19"/>
      <c r="L459" s="19"/>
      <c r="M459" s="23">
        <f>SUM(Tabla2[[#This Row],[01. Alcaldía]:[11. Salud pública y seguridad ciudadana]])</f>
        <v>33911.160000000003</v>
      </c>
    </row>
    <row r="460" spans="1:13" x14ac:dyDescent="0.25">
      <c r="A460" s="21" t="s">
        <v>3561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350</v>
      </c>
      <c r="M460" s="23">
        <f>SUM(Tabla2[[#This Row],[01. Alcaldía]:[11. Salud pública y seguridad ciudadana]])</f>
        <v>350</v>
      </c>
    </row>
    <row r="461" spans="1:13" x14ac:dyDescent="0.25">
      <c r="A461" s="21" t="s">
        <v>5309</v>
      </c>
      <c r="B461" s="19"/>
      <c r="C461" s="19"/>
      <c r="D461" s="19"/>
      <c r="E461" s="19"/>
      <c r="F461" s="19"/>
      <c r="G461" s="19"/>
      <c r="H461" s="19">
        <v>750</v>
      </c>
      <c r="I461" s="19"/>
      <c r="J461" s="19"/>
      <c r="K461" s="19"/>
      <c r="L461" s="19"/>
      <c r="M461" s="23">
        <f>SUM(Tabla2[[#This Row],[01. Alcaldía]:[11. Salud pública y seguridad ciudadana]])</f>
        <v>750</v>
      </c>
    </row>
    <row r="462" spans="1:13" x14ac:dyDescent="0.25">
      <c r="A462" s="21" t="s">
        <v>316</v>
      </c>
      <c r="B462" s="19"/>
      <c r="C462" s="19">
        <v>854.41000000000008</v>
      </c>
      <c r="D462" s="19"/>
      <c r="E462" s="19"/>
      <c r="F462" s="19"/>
      <c r="G462" s="19"/>
      <c r="H462" s="19"/>
      <c r="I462" s="19"/>
      <c r="J462" s="19"/>
      <c r="K462" s="19"/>
      <c r="L462" s="19"/>
      <c r="M462" s="23">
        <f>SUM(Tabla2[[#This Row],[01. Alcaldía]:[11. Salud pública y seguridad ciudadana]])</f>
        <v>854.41000000000008</v>
      </c>
    </row>
    <row r="463" spans="1:13" x14ac:dyDescent="0.25">
      <c r="A463" s="21" t="s">
        <v>399</v>
      </c>
      <c r="B463" s="19">
        <v>89</v>
      </c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23">
        <f>SUM(Tabla2[[#This Row],[01. Alcaldía]:[11. Salud pública y seguridad ciudadana]])</f>
        <v>89</v>
      </c>
    </row>
    <row r="464" spans="1:13" x14ac:dyDescent="0.25">
      <c r="A464" s="21" t="s">
        <v>498</v>
      </c>
      <c r="B464" s="19"/>
      <c r="C464" s="19">
        <v>7260</v>
      </c>
      <c r="D464" s="19"/>
      <c r="E464" s="19"/>
      <c r="F464" s="19"/>
      <c r="G464" s="19"/>
      <c r="H464" s="19"/>
      <c r="I464" s="19"/>
      <c r="J464" s="19"/>
      <c r="K464" s="19"/>
      <c r="L464" s="19"/>
      <c r="M464" s="23">
        <f>SUM(Tabla2[[#This Row],[01. Alcaldía]:[11. Salud pública y seguridad ciudadana]])</f>
        <v>7260</v>
      </c>
    </row>
    <row r="465" spans="1:13" x14ac:dyDescent="0.25">
      <c r="A465" s="21" t="s">
        <v>4794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>
        <v>515.55999999999995</v>
      </c>
      <c r="M465" s="23">
        <f>SUM(Tabla2[[#This Row],[01. Alcaldía]:[11. Salud pública y seguridad ciudadana]])</f>
        <v>515.55999999999995</v>
      </c>
    </row>
    <row r="466" spans="1:13" x14ac:dyDescent="0.25">
      <c r="A466" s="21" t="s">
        <v>584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>
        <v>16494.5</v>
      </c>
      <c r="M466" s="23">
        <f>SUM(Tabla2[[#This Row],[01. Alcaldía]:[11. Salud pública y seguridad ciudadana]])</f>
        <v>16494.5</v>
      </c>
    </row>
    <row r="467" spans="1:13" x14ac:dyDescent="0.25">
      <c r="A467" s="21" t="s">
        <v>4798</v>
      </c>
      <c r="B467" s="19"/>
      <c r="C467" s="19"/>
      <c r="D467" s="19"/>
      <c r="E467" s="19"/>
      <c r="F467" s="19"/>
      <c r="G467" s="19"/>
      <c r="H467" s="19"/>
      <c r="I467" s="19"/>
      <c r="J467" s="19">
        <v>7137.79</v>
      </c>
      <c r="K467" s="19"/>
      <c r="L467" s="19"/>
      <c r="M467" s="23">
        <f>SUM(Tabla2[[#This Row],[01. Alcaldía]:[11. Salud pública y seguridad ciudadana]])</f>
        <v>7137.79</v>
      </c>
    </row>
    <row r="468" spans="1:13" x14ac:dyDescent="0.25">
      <c r="A468" s="21" t="s">
        <v>3568</v>
      </c>
      <c r="B468" s="19"/>
      <c r="C468" s="19"/>
      <c r="D468" s="19"/>
      <c r="E468" s="19"/>
      <c r="F468" s="19"/>
      <c r="G468" s="19"/>
      <c r="H468" s="19">
        <v>586.85</v>
      </c>
      <c r="I468" s="19"/>
      <c r="J468" s="19">
        <v>1790.8</v>
      </c>
      <c r="K468" s="19"/>
      <c r="L468" s="19"/>
      <c r="M468" s="23">
        <f>SUM(Tabla2[[#This Row],[01. Alcaldía]:[11. Salud pública y seguridad ciudadana]])</f>
        <v>2377.65</v>
      </c>
    </row>
    <row r="469" spans="1:13" x14ac:dyDescent="0.25">
      <c r="A469" s="21" t="s">
        <v>3581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>
        <v>1089</v>
      </c>
      <c r="L469" s="19"/>
      <c r="M469" s="23">
        <f>SUM(Tabla2[[#This Row],[01. Alcaldía]:[11. Salud pública y seguridad ciudadana]])</f>
        <v>1089</v>
      </c>
    </row>
    <row r="470" spans="1:13" x14ac:dyDescent="0.25">
      <c r="A470" s="21" t="s">
        <v>88</v>
      </c>
      <c r="B470" s="19"/>
      <c r="C470" s="19"/>
      <c r="D470" s="19"/>
      <c r="E470" s="19"/>
      <c r="F470" s="19"/>
      <c r="G470" s="19"/>
      <c r="H470" s="19">
        <v>968</v>
      </c>
      <c r="I470" s="19"/>
      <c r="J470" s="19">
        <v>16.73</v>
      </c>
      <c r="K470" s="19"/>
      <c r="L470" s="19">
        <v>500</v>
      </c>
      <c r="M470" s="23">
        <f>SUM(Tabla2[[#This Row],[01. Alcaldía]:[11. Salud pública y seguridad ciudadana]])</f>
        <v>1484.73</v>
      </c>
    </row>
    <row r="471" spans="1:13" x14ac:dyDescent="0.25">
      <c r="A471" s="21" t="s">
        <v>449</v>
      </c>
      <c r="B471" s="19"/>
      <c r="C471" s="19"/>
      <c r="D471" s="19">
        <v>500</v>
      </c>
      <c r="E471" s="19"/>
      <c r="F471" s="19"/>
      <c r="G471" s="19"/>
      <c r="H471" s="19"/>
      <c r="I471" s="19"/>
      <c r="J471" s="19"/>
      <c r="K471" s="19"/>
      <c r="L471" s="19"/>
      <c r="M471" s="23">
        <f>SUM(Tabla2[[#This Row],[01. Alcaldía]:[11. Salud pública y seguridad ciudadana]])</f>
        <v>500</v>
      </c>
    </row>
    <row r="472" spans="1:13" x14ac:dyDescent="0.25">
      <c r="A472" s="21" t="s">
        <v>1879</v>
      </c>
      <c r="B472" s="19">
        <v>3025</v>
      </c>
      <c r="C472" s="19"/>
      <c r="D472" s="19"/>
      <c r="E472" s="19">
        <v>726</v>
      </c>
      <c r="F472" s="19"/>
      <c r="G472" s="19"/>
      <c r="H472" s="19"/>
      <c r="I472" s="19"/>
      <c r="J472" s="19"/>
      <c r="K472" s="19"/>
      <c r="L472" s="19"/>
      <c r="M472" s="23">
        <f>SUM(Tabla2[[#This Row],[01. Alcaldía]:[11. Salud pública y seguridad ciudadana]])</f>
        <v>3751</v>
      </c>
    </row>
    <row r="473" spans="1:13" x14ac:dyDescent="0.25">
      <c r="A473" s="21" t="s">
        <v>3602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>
        <v>100</v>
      </c>
      <c r="M473" s="23">
        <f>SUM(Tabla2[[#This Row],[01. Alcaldía]:[11. Salud pública y seguridad ciudadana]])</f>
        <v>100</v>
      </c>
    </row>
    <row r="474" spans="1:13" x14ac:dyDescent="0.25">
      <c r="A474" s="21" t="s">
        <v>493</v>
      </c>
      <c r="B474" s="19"/>
      <c r="C474" s="19"/>
      <c r="D474" s="19"/>
      <c r="E474" s="19">
        <v>1100.32</v>
      </c>
      <c r="F474" s="19"/>
      <c r="G474" s="19"/>
      <c r="H474" s="19"/>
      <c r="I474" s="19"/>
      <c r="J474" s="19"/>
      <c r="K474" s="19"/>
      <c r="L474" s="19"/>
      <c r="M474" s="23">
        <f>SUM(Tabla2[[#This Row],[01. Alcaldía]:[11. Salud pública y seguridad ciudadana]])</f>
        <v>1100.32</v>
      </c>
    </row>
    <row r="475" spans="1:13" x14ac:dyDescent="0.25">
      <c r="A475" s="21" t="s">
        <v>797</v>
      </c>
      <c r="B475" s="19"/>
      <c r="C475" s="19"/>
      <c r="D475" s="19">
        <v>290.39999999999998</v>
      </c>
      <c r="E475" s="19"/>
      <c r="F475" s="19"/>
      <c r="G475" s="19"/>
      <c r="H475" s="19"/>
      <c r="I475" s="19"/>
      <c r="J475" s="19"/>
      <c r="K475" s="19"/>
      <c r="L475" s="19"/>
      <c r="M475" s="23">
        <f>SUM(Tabla2[[#This Row],[01. Alcaldía]:[11. Salud pública y seguridad ciudadana]])</f>
        <v>290.39999999999998</v>
      </c>
    </row>
    <row r="476" spans="1:13" x14ac:dyDescent="0.25">
      <c r="A476" s="21" t="s">
        <v>3656</v>
      </c>
      <c r="B476" s="19"/>
      <c r="C476" s="19"/>
      <c r="D476" s="19"/>
      <c r="E476" s="19">
        <v>89.39</v>
      </c>
      <c r="F476" s="19"/>
      <c r="G476" s="19"/>
      <c r="H476" s="19"/>
      <c r="I476" s="19"/>
      <c r="J476" s="19"/>
      <c r="K476" s="19">
        <v>87</v>
      </c>
      <c r="L476" s="19"/>
      <c r="M476" s="23">
        <f>SUM(Tabla2[[#This Row],[01. Alcaldía]:[11. Salud pública y seguridad ciudadana]])</f>
        <v>176.39</v>
      </c>
    </row>
    <row r="477" spans="1:13" x14ac:dyDescent="0.25">
      <c r="A477" s="21" t="s">
        <v>402</v>
      </c>
      <c r="B477" s="19"/>
      <c r="C477" s="19"/>
      <c r="D477" s="19"/>
      <c r="E477" s="19">
        <v>6918.35</v>
      </c>
      <c r="F477" s="19"/>
      <c r="G477" s="19"/>
      <c r="H477" s="19">
        <v>7647.2</v>
      </c>
      <c r="I477" s="19"/>
      <c r="J477" s="19"/>
      <c r="K477" s="19"/>
      <c r="L477" s="19"/>
      <c r="M477" s="23">
        <f>SUM(Tabla2[[#This Row],[01. Alcaldía]:[11. Salud pública y seguridad ciudadana]])</f>
        <v>14565.55</v>
      </c>
    </row>
    <row r="478" spans="1:13" x14ac:dyDescent="0.25">
      <c r="A478" s="21" t="s">
        <v>575</v>
      </c>
      <c r="B478" s="19"/>
      <c r="C478" s="19"/>
      <c r="D478" s="19"/>
      <c r="E478" s="19"/>
      <c r="F478" s="19">
        <v>5280</v>
      </c>
      <c r="G478" s="19"/>
      <c r="H478" s="19"/>
      <c r="I478" s="19"/>
      <c r="J478" s="19"/>
      <c r="K478" s="19"/>
      <c r="L478" s="19"/>
      <c r="M478" s="23">
        <f>SUM(Tabla2[[#This Row],[01. Alcaldía]:[11. Salud pública y seguridad ciudadana]])</f>
        <v>5280</v>
      </c>
    </row>
    <row r="479" spans="1:13" x14ac:dyDescent="0.25">
      <c r="A479" s="21" t="s">
        <v>3619</v>
      </c>
      <c r="B479" s="19"/>
      <c r="C479" s="19"/>
      <c r="D479" s="19">
        <v>1437.48</v>
      </c>
      <c r="E479" s="19"/>
      <c r="F479" s="19"/>
      <c r="G479" s="19"/>
      <c r="H479" s="19"/>
      <c r="I479" s="19"/>
      <c r="J479" s="19"/>
      <c r="K479" s="19"/>
      <c r="L479" s="19"/>
      <c r="M479" s="23">
        <f>SUM(Tabla2[[#This Row],[01. Alcaldía]:[11. Salud pública y seguridad ciudadana]])</f>
        <v>1437.48</v>
      </c>
    </row>
    <row r="480" spans="1:13" x14ac:dyDescent="0.25">
      <c r="A480" s="21" t="s">
        <v>3626</v>
      </c>
      <c r="B480" s="19"/>
      <c r="C480" s="19"/>
      <c r="D480" s="19"/>
      <c r="E480" s="19"/>
      <c r="F480" s="19"/>
      <c r="G480" s="19">
        <v>305.20999999999998</v>
      </c>
      <c r="H480" s="19"/>
      <c r="I480" s="19"/>
      <c r="J480" s="19"/>
      <c r="K480" s="19"/>
      <c r="L480" s="19"/>
      <c r="M480" s="23">
        <f>SUM(Tabla2[[#This Row],[01. Alcaldía]:[11. Salud pública y seguridad ciudadana]])</f>
        <v>305.20999999999998</v>
      </c>
    </row>
    <row r="481" spans="1:13" x14ac:dyDescent="0.25">
      <c r="A481" s="21" t="s">
        <v>5388</v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>
        <v>225</v>
      </c>
      <c r="L481" s="19"/>
      <c r="M481" s="23">
        <f>SUM(Tabla2[[#This Row],[01. Alcaldía]:[11. Salud pública y seguridad ciudadana]])</f>
        <v>225</v>
      </c>
    </row>
    <row r="482" spans="1:13" x14ac:dyDescent="0.25">
      <c r="A482" s="21" t="s">
        <v>96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>
        <v>900</v>
      </c>
      <c r="L482" s="19"/>
      <c r="M482" s="23">
        <f>SUM(Tabla2[[#This Row],[01. Alcaldía]:[11. Salud pública y seguridad ciudadana]])</f>
        <v>900</v>
      </c>
    </row>
    <row r="483" spans="1:13" x14ac:dyDescent="0.25">
      <c r="A483" s="21" t="s">
        <v>3643</v>
      </c>
      <c r="B483" s="19"/>
      <c r="C483" s="19">
        <v>6292</v>
      </c>
      <c r="D483" s="19"/>
      <c r="E483" s="19"/>
      <c r="F483" s="19"/>
      <c r="G483" s="19"/>
      <c r="H483" s="19"/>
      <c r="I483" s="19"/>
      <c r="J483" s="19"/>
      <c r="K483" s="19"/>
      <c r="L483" s="19"/>
      <c r="M483" s="23">
        <f>SUM(Tabla2[[#This Row],[01. Alcaldía]:[11. Salud pública y seguridad ciudadana]])</f>
        <v>6292</v>
      </c>
    </row>
    <row r="484" spans="1:13" x14ac:dyDescent="0.25">
      <c r="A484" s="21" t="s">
        <v>4814</v>
      </c>
      <c r="B484" s="19"/>
      <c r="C484" s="19"/>
      <c r="D484" s="19"/>
      <c r="E484" s="19"/>
      <c r="F484" s="19">
        <v>61.6</v>
      </c>
      <c r="G484" s="19"/>
      <c r="H484" s="19"/>
      <c r="I484" s="19"/>
      <c r="J484" s="19"/>
      <c r="K484" s="19">
        <v>101.98</v>
      </c>
      <c r="L484" s="19"/>
      <c r="M484" s="23">
        <f>SUM(Tabla2[[#This Row],[01. Alcaldía]:[11. Salud pública y seguridad ciudadana]])</f>
        <v>163.58000000000001</v>
      </c>
    </row>
    <row r="485" spans="1:13" x14ac:dyDescent="0.25">
      <c r="A485" s="21" t="s">
        <v>3650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>
        <v>2100.4</v>
      </c>
      <c r="L485" s="19"/>
      <c r="M485" s="23">
        <f>SUM(Tabla2[[#This Row],[01. Alcaldía]:[11. Salud pública y seguridad ciudadana]])</f>
        <v>2100.4</v>
      </c>
    </row>
    <row r="486" spans="1:13" x14ac:dyDescent="0.25">
      <c r="A486" s="21" t="s">
        <v>3653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>
        <v>7260</v>
      </c>
      <c r="M486" s="23">
        <f>SUM(Tabla2[[#This Row],[01. Alcaldía]:[11. Salud pública y seguridad ciudadana]])</f>
        <v>7260</v>
      </c>
    </row>
    <row r="487" spans="1:13" x14ac:dyDescent="0.25">
      <c r="A487" s="21" t="s">
        <v>3668</v>
      </c>
      <c r="B487" s="19"/>
      <c r="C487" s="19"/>
      <c r="D487" s="19"/>
      <c r="E487" s="19"/>
      <c r="F487" s="19"/>
      <c r="G487" s="19"/>
      <c r="H487" s="19"/>
      <c r="I487" s="19"/>
      <c r="J487" s="19">
        <v>17136.02</v>
      </c>
      <c r="K487" s="19"/>
      <c r="L487" s="19"/>
      <c r="M487" s="23">
        <f>SUM(Tabla2[[#This Row],[01. Alcaldía]:[11. Salud pública y seguridad ciudadana]])</f>
        <v>17136.02</v>
      </c>
    </row>
    <row r="488" spans="1:13" x14ac:dyDescent="0.25">
      <c r="A488" s="21" t="s">
        <v>3670</v>
      </c>
      <c r="B488" s="19"/>
      <c r="C488" s="19"/>
      <c r="D488" s="19"/>
      <c r="E488" s="19"/>
      <c r="F488" s="19">
        <v>2420</v>
      </c>
      <c r="G488" s="19"/>
      <c r="H488" s="19"/>
      <c r="I488" s="19"/>
      <c r="J488" s="19"/>
      <c r="K488" s="19"/>
      <c r="L488" s="19"/>
      <c r="M488" s="23">
        <f>SUM(Tabla2[[#This Row],[01. Alcaldía]:[11. Salud pública y seguridad ciudadana]])</f>
        <v>2420</v>
      </c>
    </row>
    <row r="489" spans="1:13" x14ac:dyDescent="0.25">
      <c r="A489" s="21" t="s">
        <v>415</v>
      </c>
      <c r="B489" s="19">
        <v>7030.32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23">
        <f>SUM(Tabla2[[#This Row],[01. Alcaldía]:[11. Salud pública y seguridad ciudadana]])</f>
        <v>7030.32</v>
      </c>
    </row>
    <row r="490" spans="1:13" x14ac:dyDescent="0.25">
      <c r="A490" s="21" t="s">
        <v>3238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>
        <v>632.25</v>
      </c>
      <c r="L490" s="19"/>
      <c r="M490" s="23">
        <f>SUM(Tabla2[[#This Row],[01. Alcaldía]:[11. Salud pública y seguridad ciudadana]])</f>
        <v>632.25</v>
      </c>
    </row>
    <row r="491" spans="1:13" x14ac:dyDescent="0.25">
      <c r="A491" s="21" t="s">
        <v>4819</v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>
        <v>122.14</v>
      </c>
      <c r="M491" s="23">
        <f>SUM(Tabla2[[#This Row],[01. Alcaldía]:[11. Salud pública y seguridad ciudadana]])</f>
        <v>122.14</v>
      </c>
    </row>
    <row r="492" spans="1:13" x14ac:dyDescent="0.25">
      <c r="A492" s="21" t="s">
        <v>2730</v>
      </c>
      <c r="B492" s="19">
        <v>3630</v>
      </c>
      <c r="C492" s="19"/>
      <c r="D492" s="19">
        <v>3630</v>
      </c>
      <c r="E492" s="19"/>
      <c r="F492" s="19"/>
      <c r="G492" s="19"/>
      <c r="H492" s="19"/>
      <c r="I492" s="19"/>
      <c r="J492" s="19"/>
      <c r="K492" s="19"/>
      <c r="L492" s="19"/>
      <c r="M492" s="23">
        <f>SUM(Tabla2[[#This Row],[01. Alcaldía]:[11. Salud pública y seguridad ciudadana]])</f>
        <v>7260</v>
      </c>
    </row>
    <row r="493" spans="1:13" x14ac:dyDescent="0.25">
      <c r="A493" s="21" t="s">
        <v>409</v>
      </c>
      <c r="B493" s="19"/>
      <c r="C493" s="19"/>
      <c r="D493" s="19"/>
      <c r="E493" s="19"/>
      <c r="F493" s="19"/>
      <c r="G493" s="19"/>
      <c r="H493" s="19">
        <v>0</v>
      </c>
      <c r="I493" s="19"/>
      <c r="J493" s="19"/>
      <c r="K493" s="19"/>
      <c r="L493" s="19">
        <v>1447.75</v>
      </c>
      <c r="M493" s="23">
        <f>SUM(Tabla2[[#This Row],[01. Alcaldía]:[11. Salud pública y seguridad ciudadana]])</f>
        <v>1447.75</v>
      </c>
    </row>
    <row r="494" spans="1:13" x14ac:dyDescent="0.25">
      <c r="A494" s="21" t="s">
        <v>3732</v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>
        <v>1990.4500000000003</v>
      </c>
      <c r="L494" s="19"/>
      <c r="M494" s="23">
        <f>SUM(Tabla2[[#This Row],[01. Alcaldía]:[11. Salud pública y seguridad ciudadana]])</f>
        <v>1990.4500000000003</v>
      </c>
    </row>
    <row r="495" spans="1:13" x14ac:dyDescent="0.25">
      <c r="A495" s="21" t="s">
        <v>3742</v>
      </c>
      <c r="B495" s="19"/>
      <c r="C495" s="19"/>
      <c r="D495" s="19">
        <v>7260</v>
      </c>
      <c r="E495" s="19"/>
      <c r="F495" s="19"/>
      <c r="G495" s="19">
        <v>1161.5999999999999</v>
      </c>
      <c r="H495" s="19"/>
      <c r="I495" s="19"/>
      <c r="J495" s="19"/>
      <c r="K495" s="19"/>
      <c r="L495" s="19"/>
      <c r="M495" s="23">
        <f>SUM(Tabla2[[#This Row],[01. Alcaldía]:[11. Salud pública y seguridad ciudadana]])</f>
        <v>8421.6</v>
      </c>
    </row>
    <row r="496" spans="1:13" x14ac:dyDescent="0.25">
      <c r="A496" s="21" t="s">
        <v>3744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>
        <v>2301</v>
      </c>
      <c r="M496" s="23">
        <f>SUM(Tabla2[[#This Row],[01. Alcaldía]:[11. Salud pública y seguridad ciudadana]])</f>
        <v>2301</v>
      </c>
    </row>
    <row r="497" spans="1:13" x14ac:dyDescent="0.25">
      <c r="A497" s="21" t="s">
        <v>2187</v>
      </c>
      <c r="B497" s="19"/>
      <c r="C497" s="19">
        <v>476.21</v>
      </c>
      <c r="D497" s="19"/>
      <c r="E497" s="19"/>
      <c r="F497" s="19"/>
      <c r="G497" s="19"/>
      <c r="H497" s="19"/>
      <c r="I497" s="19"/>
      <c r="J497" s="19"/>
      <c r="K497" s="19"/>
      <c r="L497" s="19"/>
      <c r="M497" s="23">
        <f>SUM(Tabla2[[#This Row],[01. Alcaldía]:[11. Salud pública y seguridad ciudadana]])</f>
        <v>476.21</v>
      </c>
    </row>
    <row r="498" spans="1:13" x14ac:dyDescent="0.25">
      <c r="A498" s="21" t="s">
        <v>109</v>
      </c>
      <c r="B498" s="19"/>
      <c r="C498" s="19"/>
      <c r="D498" s="19"/>
      <c r="E498" s="19"/>
      <c r="F498" s="19"/>
      <c r="G498" s="19">
        <v>1000</v>
      </c>
      <c r="H498" s="19"/>
      <c r="I498" s="19"/>
      <c r="J498" s="19"/>
      <c r="K498" s="19"/>
      <c r="L498" s="19"/>
      <c r="M498" s="23">
        <f>SUM(Tabla2[[#This Row],[01. Alcaldía]:[11. Salud pública y seguridad ciudadana]])</f>
        <v>1000</v>
      </c>
    </row>
    <row r="499" spans="1:13" x14ac:dyDescent="0.25">
      <c r="A499" s="21" t="s">
        <v>3750</v>
      </c>
      <c r="B499" s="19"/>
      <c r="C499" s="19"/>
      <c r="D499" s="19"/>
      <c r="E499" s="19"/>
      <c r="F499" s="19"/>
      <c r="G499" s="19">
        <v>8640</v>
      </c>
      <c r="H499" s="19"/>
      <c r="I499" s="19"/>
      <c r="J499" s="19"/>
      <c r="K499" s="19"/>
      <c r="L499" s="19"/>
      <c r="M499" s="23">
        <f>SUM(Tabla2[[#This Row],[01. Alcaldía]:[11. Salud pública y seguridad ciudadana]])</f>
        <v>8640</v>
      </c>
    </row>
    <row r="500" spans="1:13" s="24" customFormat="1" x14ac:dyDescent="0.25">
      <c r="A500" s="25" t="s">
        <v>325</v>
      </c>
      <c r="B500" s="23">
        <f>SUBTOTAL(109,Tabla2[01. Alcaldía])</f>
        <v>83263.850000000006</v>
      </c>
      <c r="C500" s="23">
        <f>SUBTOTAL(109,Tabla2[02. Planeamiento urbanístico y vivienda])</f>
        <v>126837.14</v>
      </c>
      <c r="D500" s="23">
        <f>SUBTOTAL(109,Tabla2[03. Participación ciudadana y deportes])</f>
        <v>117123.24</v>
      </c>
      <c r="E500" s="23">
        <f>SUBTOTAL(109,Tabla2[04. Planificación y recursos])</f>
        <v>106497.76000000001</v>
      </c>
      <c r="F500" s="23">
        <f>SUBTOTAL(109,Tabla2[05. Innovación, desarrollo económico, empleo y comercio])</f>
        <v>416429.78999999992</v>
      </c>
      <c r="G500" s="23">
        <f>SUBTOTAL(109,Tabla2[06. Educación, infancia, juventud e igualdad])</f>
        <v>381333.69</v>
      </c>
      <c r="H500" s="23">
        <f>SUBTOTAL(109,Tabla2[07. Medio ambiente y desarrollo sostenible])</f>
        <v>177908.37</v>
      </c>
      <c r="I500" s="23">
        <f>SUBTOTAL(109,Tabla2[08. Movilidad y espacio urbano])</f>
        <v>37491.03</v>
      </c>
      <c r="J500" s="23">
        <f>SUBTOTAL(109,Tabla2[09. Cultura y turismo])</f>
        <v>114209.73</v>
      </c>
      <c r="K500" s="23">
        <f>SUBTOTAL(109,Tabla2[10. Servicios sociales y mediación comunitaria])</f>
        <v>203305.28999999998</v>
      </c>
      <c r="L500" s="23">
        <f>SUBTOTAL(109,Tabla2[11. Salud pública y seguridad ciudadana])</f>
        <v>361348.7099999999</v>
      </c>
      <c r="M500" s="23">
        <f>SUBTOTAL(109,Tabla2[Total general])</f>
        <v>2125748.5999999992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 SEMESTRE 2023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64"/>
  <sheetViews>
    <sheetView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5506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s="16" customFormat="1" x14ac:dyDescent="0.25">
      <c r="A2" s="21" t="s">
        <v>103</v>
      </c>
      <c r="B2" s="19"/>
      <c r="C2" s="19"/>
      <c r="D2" s="19"/>
      <c r="E2" s="19">
        <v>653.4</v>
      </c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653.4</v>
      </c>
    </row>
    <row r="3" spans="1:13" s="16" customFormat="1" x14ac:dyDescent="0.25">
      <c r="A3" s="21" t="s">
        <v>328</v>
      </c>
      <c r="B3" s="19"/>
      <c r="C3" s="19"/>
      <c r="D3" s="19"/>
      <c r="E3" s="19"/>
      <c r="F3" s="19"/>
      <c r="G3" s="19"/>
      <c r="H3" s="19"/>
      <c r="I3" s="19">
        <v>617.98</v>
      </c>
      <c r="J3" s="19"/>
      <c r="K3" s="19"/>
      <c r="L3" s="19"/>
      <c r="M3" s="23">
        <f>SUM(Tabla24[[#This Row],[01. Alcaldía]:[11. Salud pública y seguridad ciudadana]])</f>
        <v>617.98</v>
      </c>
    </row>
    <row r="4" spans="1:13" s="16" customFormat="1" x14ac:dyDescent="0.25">
      <c r="A4" s="21" t="s">
        <v>3120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1452</v>
      </c>
      <c r="M4" s="23">
        <f>SUM(Tabla24[[#This Row],[01. Alcaldía]:[11. Salud pública y seguridad ciudadana]])</f>
        <v>1452</v>
      </c>
    </row>
    <row r="5" spans="1:13" s="16" customFormat="1" x14ac:dyDescent="0.25">
      <c r="A5" s="21" t="s">
        <v>1634</v>
      </c>
      <c r="B5" s="19"/>
      <c r="C5" s="19"/>
      <c r="D5" s="19">
        <v>7139</v>
      </c>
      <c r="E5" s="19"/>
      <c r="F5" s="19"/>
      <c r="G5" s="19"/>
      <c r="H5" s="19"/>
      <c r="I5" s="19"/>
      <c r="J5" s="19"/>
      <c r="K5" s="19"/>
      <c r="L5" s="19"/>
      <c r="M5" s="23">
        <f>SUM(Tabla24[[#This Row],[01. Alcaldía]:[11. Salud pública y seguridad ciudadana]])</f>
        <v>7139</v>
      </c>
    </row>
    <row r="6" spans="1:13" s="16" customFormat="1" x14ac:dyDescent="0.25">
      <c r="A6" s="21" t="s">
        <v>5091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3000</v>
      </c>
      <c r="M6" s="23">
        <f>SUM(Tabla24[[#This Row],[01. Alcaldía]:[11. Salud pública y seguridad ciudadana]])</f>
        <v>3000</v>
      </c>
    </row>
    <row r="7" spans="1:13" s="16" customFormat="1" x14ac:dyDescent="0.25">
      <c r="A7" s="21" t="s">
        <v>51</v>
      </c>
      <c r="B7" s="19"/>
      <c r="C7" s="19"/>
      <c r="D7" s="19"/>
      <c r="E7" s="19"/>
      <c r="F7" s="19">
        <v>477.71</v>
      </c>
      <c r="G7" s="19"/>
      <c r="H7" s="19"/>
      <c r="I7" s="19"/>
      <c r="J7" s="19"/>
      <c r="K7" s="19"/>
      <c r="L7" s="19"/>
      <c r="M7" s="23">
        <f>SUM(Tabla24[[#This Row],[01. Alcaldía]:[11. Salud pública y seguridad ciudadana]])</f>
        <v>477.71</v>
      </c>
    </row>
    <row r="8" spans="1:13" s="16" customFormat="1" x14ac:dyDescent="0.25">
      <c r="A8" s="21" t="s">
        <v>5362</v>
      </c>
      <c r="B8" s="19"/>
      <c r="C8" s="19">
        <v>300.41000000000003</v>
      </c>
      <c r="D8" s="19"/>
      <c r="E8" s="19"/>
      <c r="F8" s="19"/>
      <c r="G8" s="19"/>
      <c r="H8" s="19"/>
      <c r="I8" s="19"/>
      <c r="J8" s="19"/>
      <c r="K8" s="19"/>
      <c r="L8" s="19"/>
      <c r="M8" s="23">
        <f>SUM(Tabla24[[#This Row],[01. Alcaldía]:[11. Salud pública y seguridad ciudadana]])</f>
        <v>300.41000000000003</v>
      </c>
    </row>
    <row r="9" spans="1:13" s="16" customFormat="1" x14ac:dyDescent="0.25">
      <c r="A9" s="21" t="s">
        <v>3805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3542.29</v>
      </c>
      <c r="M9" s="23">
        <f>SUM(Tabla24[[#This Row],[01. Alcaldía]:[11. Salud pública y seguridad ciudadana]])</f>
        <v>3542.29</v>
      </c>
    </row>
    <row r="10" spans="1:13" s="16" customFormat="1" x14ac:dyDescent="0.25">
      <c r="A10" s="21" t="s">
        <v>2210</v>
      </c>
      <c r="B10" s="19"/>
      <c r="C10" s="19"/>
      <c r="D10" s="19"/>
      <c r="E10" s="19"/>
      <c r="F10" s="19"/>
      <c r="G10" s="19"/>
      <c r="H10" s="19">
        <v>5000</v>
      </c>
      <c r="I10" s="19"/>
      <c r="J10" s="19"/>
      <c r="K10" s="19"/>
      <c r="L10" s="19"/>
      <c r="M10" s="23">
        <f>SUM(Tabla24[[#This Row],[01. Alcaldía]:[11. Salud pública y seguridad ciudadana]])</f>
        <v>5000</v>
      </c>
    </row>
    <row r="11" spans="1:13" s="16" customFormat="1" x14ac:dyDescent="0.25">
      <c r="A11" s="21" t="s">
        <v>104</v>
      </c>
      <c r="B11" s="19"/>
      <c r="C11" s="19">
        <v>136.96</v>
      </c>
      <c r="D11" s="19"/>
      <c r="E11" s="19"/>
      <c r="F11" s="19"/>
      <c r="G11" s="19">
        <v>4630</v>
      </c>
      <c r="H11" s="19"/>
      <c r="I11" s="19"/>
      <c r="J11" s="19"/>
      <c r="K11" s="19">
        <v>187.68</v>
      </c>
      <c r="L11" s="19"/>
      <c r="M11" s="23">
        <f>SUM(Tabla24[[#This Row],[01. Alcaldía]:[11. Salud pública y seguridad ciudadana]])</f>
        <v>4954.6400000000003</v>
      </c>
    </row>
    <row r="12" spans="1:13" s="16" customFormat="1" x14ac:dyDescent="0.25">
      <c r="A12" s="21" t="s">
        <v>3812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5257.95</v>
      </c>
      <c r="L12" s="19"/>
      <c r="M12" s="23">
        <f>SUM(Tabla24[[#This Row],[01. Alcaldía]:[11. Salud pública y seguridad ciudadana]])</f>
        <v>5257.95</v>
      </c>
    </row>
    <row r="13" spans="1:13" s="16" customFormat="1" x14ac:dyDescent="0.25">
      <c r="A13" s="21" t="s">
        <v>464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1311.15</v>
      </c>
      <c r="M13" s="23">
        <f>SUM(Tabla24[[#This Row],[01. Alcaldía]:[11. Salud pública y seguridad ciudadana]])</f>
        <v>1311.15</v>
      </c>
    </row>
    <row r="14" spans="1:13" s="16" customFormat="1" x14ac:dyDescent="0.25">
      <c r="A14" s="21" t="s">
        <v>1675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1203.95</v>
      </c>
      <c r="L14" s="19"/>
      <c r="M14" s="23">
        <f>SUM(Tabla24[[#This Row],[01. Alcaldía]:[11. Salud pública y seguridad ciudadana]])</f>
        <v>1203.95</v>
      </c>
    </row>
    <row r="15" spans="1:13" s="16" customFormat="1" x14ac:dyDescent="0.25">
      <c r="A15" s="21" t="s">
        <v>456</v>
      </c>
      <c r="B15" s="19"/>
      <c r="C15" s="19">
        <v>1000</v>
      </c>
      <c r="D15" s="19"/>
      <c r="E15" s="19"/>
      <c r="F15" s="19"/>
      <c r="G15" s="19">
        <v>8722.69</v>
      </c>
      <c r="H15" s="19"/>
      <c r="I15" s="19"/>
      <c r="J15" s="19"/>
      <c r="K15" s="19"/>
      <c r="L15" s="19"/>
      <c r="M15" s="23">
        <f>SUM(Tabla24[[#This Row],[01. Alcaldía]:[11. Salud pública y seguridad ciudadana]])</f>
        <v>9722.69</v>
      </c>
    </row>
    <row r="16" spans="1:13" s="16" customFormat="1" x14ac:dyDescent="0.25">
      <c r="A16" s="21" t="s">
        <v>116</v>
      </c>
      <c r="B16" s="19"/>
      <c r="C16" s="19"/>
      <c r="D16" s="19"/>
      <c r="E16" s="19"/>
      <c r="F16" s="19"/>
      <c r="G16" s="19"/>
      <c r="H16" s="19"/>
      <c r="I16" s="19">
        <v>1100</v>
      </c>
      <c r="J16" s="19"/>
      <c r="K16" s="19"/>
      <c r="L16" s="19"/>
      <c r="M16" s="23">
        <f>SUM(Tabla24[[#This Row],[01. Alcaldía]:[11. Salud pública y seguridad ciudadana]])</f>
        <v>1100</v>
      </c>
    </row>
    <row r="17" spans="1:13" s="16" customFormat="1" x14ac:dyDescent="0.25">
      <c r="A17" s="21" t="s">
        <v>763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1722.72</v>
      </c>
      <c r="M17" s="23">
        <f>SUM(Tabla24[[#This Row],[01. Alcaldía]:[11. Salud pública y seguridad ciudadana]])</f>
        <v>1722.72</v>
      </c>
    </row>
    <row r="18" spans="1:13" s="16" customFormat="1" x14ac:dyDescent="0.25">
      <c r="A18" s="21" t="s">
        <v>342</v>
      </c>
      <c r="B18" s="19"/>
      <c r="C18" s="19"/>
      <c r="D18" s="19"/>
      <c r="E18" s="19"/>
      <c r="F18" s="19"/>
      <c r="G18" s="19">
        <v>196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196</v>
      </c>
    </row>
    <row r="19" spans="1:13" s="16" customFormat="1" x14ac:dyDescent="0.25">
      <c r="A19" s="21" t="s">
        <v>3500</v>
      </c>
      <c r="B19" s="19"/>
      <c r="C19" s="19"/>
      <c r="D19" s="19"/>
      <c r="E19" s="19"/>
      <c r="F19" s="19"/>
      <c r="G19" s="19">
        <v>937.75</v>
      </c>
      <c r="H19" s="19"/>
      <c r="I19" s="19"/>
      <c r="J19" s="19"/>
      <c r="K19" s="19">
        <v>477.95</v>
      </c>
      <c r="L19" s="19"/>
      <c r="M19" s="23">
        <f>SUM(Tabla24[[#This Row],[01. Alcaldía]:[11. Salud pública y seguridad ciudadana]])</f>
        <v>1415.7</v>
      </c>
    </row>
    <row r="20" spans="1:13" s="16" customFormat="1" x14ac:dyDescent="0.25">
      <c r="A20" s="21" t="s">
        <v>94</v>
      </c>
      <c r="B20" s="19"/>
      <c r="C20" s="19"/>
      <c r="D20" s="19"/>
      <c r="E20" s="19"/>
      <c r="F20" s="19"/>
      <c r="G20" s="19"/>
      <c r="H20" s="19"/>
      <c r="I20" s="19">
        <v>2420</v>
      </c>
      <c r="J20" s="19"/>
      <c r="K20" s="19"/>
      <c r="L20" s="19"/>
      <c r="M20" s="23">
        <f>SUM(Tabla24[[#This Row],[01. Alcaldía]:[11. Salud pública y seguridad ciudadana]])</f>
        <v>2420</v>
      </c>
    </row>
    <row r="21" spans="1:13" s="16" customFormat="1" x14ac:dyDescent="0.25">
      <c r="A21" s="21" t="s">
        <v>3830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100</v>
      </c>
      <c r="L21" s="19"/>
      <c r="M21" s="23">
        <f>SUM(Tabla24[[#This Row],[01. Alcaldía]:[11. Salud pública y seguridad ciudadana]])</f>
        <v>100</v>
      </c>
    </row>
    <row r="22" spans="1:13" s="16" customFormat="1" x14ac:dyDescent="0.25">
      <c r="A22" s="21" t="s">
        <v>105</v>
      </c>
      <c r="B22" s="19">
        <v>7211.6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SUM(Tabla24[[#This Row],[01. Alcaldía]:[11. Salud pública y seguridad ciudadana]])</f>
        <v>7211.6</v>
      </c>
    </row>
    <row r="23" spans="1:13" s="16" customFormat="1" x14ac:dyDescent="0.25">
      <c r="A23" s="21" t="s">
        <v>3837</v>
      </c>
      <c r="B23" s="19"/>
      <c r="C23" s="19"/>
      <c r="D23" s="19"/>
      <c r="E23" s="19">
        <v>3972.43</v>
      </c>
      <c r="F23" s="19"/>
      <c r="G23" s="19"/>
      <c r="H23" s="19"/>
      <c r="I23" s="19"/>
      <c r="J23" s="19"/>
      <c r="K23" s="19"/>
      <c r="L23" s="19"/>
      <c r="M23" s="23">
        <f>SUM(Tabla24[[#This Row],[01. Alcaldía]:[11. Salud pública y seguridad ciudadana]])</f>
        <v>3972.43</v>
      </c>
    </row>
    <row r="24" spans="1:13" s="16" customFormat="1" x14ac:dyDescent="0.25">
      <c r="A24" s="21" t="s">
        <v>1094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18150</v>
      </c>
      <c r="M24" s="23">
        <f>SUM(Tabla24[[#This Row],[01. Alcaldía]:[11. Salud pública y seguridad ciudadana]])</f>
        <v>18150</v>
      </c>
    </row>
    <row r="25" spans="1:13" s="16" customFormat="1" x14ac:dyDescent="0.25">
      <c r="A25" s="21" t="s">
        <v>488</v>
      </c>
      <c r="B25" s="19"/>
      <c r="C25" s="19"/>
      <c r="D25" s="19">
        <v>919.6</v>
      </c>
      <c r="E25" s="19"/>
      <c r="F25" s="19"/>
      <c r="G25" s="19">
        <v>7260</v>
      </c>
      <c r="H25" s="19"/>
      <c r="I25" s="19"/>
      <c r="J25" s="19"/>
      <c r="K25" s="19"/>
      <c r="L25" s="19"/>
      <c r="M25" s="23">
        <f>SUM(Tabla24[[#This Row],[01. Alcaldía]:[11. Salud pública y seguridad ciudadana]])</f>
        <v>8179.6</v>
      </c>
    </row>
    <row r="26" spans="1:13" s="16" customFormat="1" x14ac:dyDescent="0.25">
      <c r="A26" s="21" t="s">
        <v>39</v>
      </c>
      <c r="B26" s="19"/>
      <c r="C26" s="19"/>
      <c r="D26" s="19">
        <v>13376.409999999998</v>
      </c>
      <c r="E26" s="19"/>
      <c r="F26" s="19"/>
      <c r="G26" s="19">
        <v>3025</v>
      </c>
      <c r="H26" s="19"/>
      <c r="I26" s="19"/>
      <c r="J26" s="19"/>
      <c r="K26" s="19"/>
      <c r="L26" s="19"/>
      <c r="M26" s="23">
        <f>SUM(Tabla24[[#This Row],[01. Alcaldía]:[11. Salud pública y seguridad ciudadana]])</f>
        <v>16401.409999999996</v>
      </c>
    </row>
    <row r="27" spans="1:13" s="16" customFormat="1" x14ac:dyDescent="0.25">
      <c r="A27" s="21" t="s">
        <v>15</v>
      </c>
      <c r="B27" s="19"/>
      <c r="C27" s="19"/>
      <c r="D27" s="19"/>
      <c r="E27" s="19"/>
      <c r="F27" s="19"/>
      <c r="G27" s="19"/>
      <c r="H27" s="19"/>
      <c r="I27" s="19"/>
      <c r="J27" s="19"/>
      <c r="K27" s="19">
        <v>7315.2</v>
      </c>
      <c r="L27" s="19"/>
      <c r="M27" s="23">
        <f>SUM(Tabla24[[#This Row],[01. Alcaldía]:[11. Salud pública y seguridad ciudadana]])</f>
        <v>7315.2</v>
      </c>
    </row>
    <row r="28" spans="1:13" s="16" customFormat="1" x14ac:dyDescent="0.25">
      <c r="A28" s="21" t="s">
        <v>110</v>
      </c>
      <c r="B28" s="19"/>
      <c r="C28" s="19"/>
      <c r="D28" s="19"/>
      <c r="E28" s="19"/>
      <c r="F28" s="19"/>
      <c r="G28" s="19">
        <v>136</v>
      </c>
      <c r="H28" s="19"/>
      <c r="I28" s="19"/>
      <c r="J28" s="19"/>
      <c r="K28" s="19"/>
      <c r="L28" s="19"/>
      <c r="M28" s="23">
        <f>SUM(Tabla24[[#This Row],[01. Alcaldía]:[11. Salud pública y seguridad ciudadana]])</f>
        <v>136</v>
      </c>
    </row>
    <row r="29" spans="1:13" s="16" customFormat="1" ht="25.5" x14ac:dyDescent="0.25">
      <c r="A29" s="21" t="s">
        <v>3884</v>
      </c>
      <c r="B29" s="19"/>
      <c r="C29" s="19"/>
      <c r="D29" s="19"/>
      <c r="E29" s="19"/>
      <c r="F29" s="19"/>
      <c r="G29" s="19">
        <v>50</v>
      </c>
      <c r="H29" s="19"/>
      <c r="I29" s="19"/>
      <c r="J29" s="19"/>
      <c r="K29" s="19"/>
      <c r="L29" s="19"/>
      <c r="M29" s="23">
        <f>SUM(Tabla24[[#This Row],[01. Alcaldía]:[11. Salud pública y seguridad ciudadana]])</f>
        <v>50</v>
      </c>
    </row>
    <row r="30" spans="1:13" s="16" customFormat="1" x14ac:dyDescent="0.25">
      <c r="A30" s="21" t="s">
        <v>991</v>
      </c>
      <c r="B30" s="19"/>
      <c r="C30" s="19"/>
      <c r="D30" s="19">
        <v>7213.31</v>
      </c>
      <c r="E30" s="19"/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7213.31</v>
      </c>
    </row>
    <row r="31" spans="1:13" s="16" customFormat="1" x14ac:dyDescent="0.25">
      <c r="A31" s="21" t="s">
        <v>386</v>
      </c>
      <c r="B31" s="19"/>
      <c r="C31" s="19"/>
      <c r="D31" s="19"/>
      <c r="E31" s="19"/>
      <c r="F31" s="19">
        <v>800.42</v>
      </c>
      <c r="G31" s="19">
        <v>1210</v>
      </c>
      <c r="H31" s="19"/>
      <c r="I31" s="19"/>
      <c r="J31" s="19"/>
      <c r="K31" s="19"/>
      <c r="L31" s="19">
        <v>5926.58</v>
      </c>
      <c r="M31" s="23">
        <f>SUM(Tabla24[[#This Row],[01. Alcaldía]:[11. Salud pública y seguridad ciudadana]])</f>
        <v>7937</v>
      </c>
    </row>
    <row r="32" spans="1:13" s="16" customFormat="1" x14ac:dyDescent="0.25">
      <c r="A32" s="21" t="s">
        <v>3038</v>
      </c>
      <c r="B32" s="19"/>
      <c r="C32" s="19"/>
      <c r="D32" s="19"/>
      <c r="E32" s="19"/>
      <c r="F32" s="19"/>
      <c r="G32" s="19">
        <v>214.17</v>
      </c>
      <c r="H32" s="19"/>
      <c r="I32" s="19"/>
      <c r="J32" s="19"/>
      <c r="K32" s="19"/>
      <c r="L32" s="19"/>
      <c r="M32" s="23">
        <f>SUM(Tabla24[[#This Row],[01. Alcaldía]:[11. Salud pública y seguridad ciudadana]])</f>
        <v>214.17</v>
      </c>
    </row>
    <row r="33" spans="1:13" s="16" customFormat="1" x14ac:dyDescent="0.25">
      <c r="A33" s="21" t="s">
        <v>3925</v>
      </c>
      <c r="B33" s="19"/>
      <c r="C33" s="19"/>
      <c r="D33" s="19"/>
      <c r="E33" s="19">
        <v>561.59</v>
      </c>
      <c r="F33" s="19"/>
      <c r="G33" s="19"/>
      <c r="H33" s="19"/>
      <c r="I33" s="19"/>
      <c r="J33" s="19"/>
      <c r="K33" s="19"/>
      <c r="L33" s="19"/>
      <c r="M33" s="23">
        <f>SUM(Tabla24[[#This Row],[01. Alcaldía]:[11. Salud pública y seguridad ciudadana]])</f>
        <v>561.59</v>
      </c>
    </row>
    <row r="34" spans="1:13" s="16" customFormat="1" x14ac:dyDescent="0.25">
      <c r="A34" s="21" t="s">
        <v>468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8355.0499999999993</v>
      </c>
      <c r="M34" s="23">
        <f>SUM(Tabla24[[#This Row],[01. Alcaldía]:[11. Salud pública y seguridad ciudadana]])</f>
        <v>8355.0499999999993</v>
      </c>
    </row>
    <row r="35" spans="1:13" s="16" customFormat="1" x14ac:dyDescent="0.25">
      <c r="A35" s="21" t="s">
        <v>460</v>
      </c>
      <c r="B35" s="19"/>
      <c r="C35" s="19"/>
      <c r="D35" s="19"/>
      <c r="E35" s="19"/>
      <c r="F35" s="19"/>
      <c r="G35" s="19">
        <v>401</v>
      </c>
      <c r="H35" s="19"/>
      <c r="I35" s="19"/>
      <c r="J35" s="19"/>
      <c r="K35" s="19"/>
      <c r="L35" s="19"/>
      <c r="M35" s="23">
        <f>SUM(Tabla24[[#This Row],[01. Alcaldía]:[11. Salud pública y seguridad ciudadana]])</f>
        <v>401</v>
      </c>
    </row>
    <row r="36" spans="1:13" s="16" customFormat="1" x14ac:dyDescent="0.25">
      <c r="A36" s="21" t="s">
        <v>387</v>
      </c>
      <c r="B36" s="19"/>
      <c r="C36" s="19"/>
      <c r="D36" s="19"/>
      <c r="E36" s="19">
        <v>18000</v>
      </c>
      <c r="F36" s="19"/>
      <c r="G36" s="19"/>
      <c r="H36" s="19"/>
      <c r="I36" s="19"/>
      <c r="J36" s="19"/>
      <c r="K36" s="19"/>
      <c r="L36" s="19"/>
      <c r="M36" s="23">
        <f>SUM(Tabla24[[#This Row],[01. Alcaldía]:[11. Salud pública y seguridad ciudadana]])</f>
        <v>18000</v>
      </c>
    </row>
    <row r="37" spans="1:13" s="16" customFormat="1" x14ac:dyDescent="0.25">
      <c r="A37" s="21" t="s">
        <v>3927</v>
      </c>
      <c r="B37" s="19"/>
      <c r="C37" s="19"/>
      <c r="D37" s="19"/>
      <c r="E37" s="19"/>
      <c r="F37" s="19"/>
      <c r="G37" s="19">
        <v>1389.08</v>
      </c>
      <c r="H37" s="19"/>
      <c r="I37" s="19"/>
      <c r="J37" s="19"/>
      <c r="K37" s="19"/>
      <c r="L37" s="19"/>
      <c r="M37" s="23">
        <f>SUM(Tabla24[[#This Row],[01. Alcaldía]:[11. Salud pública y seguridad ciudadana]])</f>
        <v>1389.08</v>
      </c>
    </row>
    <row r="38" spans="1:13" s="16" customFormat="1" x14ac:dyDescent="0.25">
      <c r="A38" s="21" t="s">
        <v>1638</v>
      </c>
      <c r="B38" s="19"/>
      <c r="C38" s="19"/>
      <c r="D38" s="19">
        <v>251.68</v>
      </c>
      <c r="E38" s="19"/>
      <c r="F38" s="19"/>
      <c r="G38" s="19"/>
      <c r="H38" s="19"/>
      <c r="I38" s="19"/>
      <c r="J38" s="19"/>
      <c r="K38" s="19"/>
      <c r="L38" s="19"/>
      <c r="M38" s="23">
        <f>SUM(Tabla24[[#This Row],[01. Alcaldía]:[11. Salud pública y seguridad ciudadana]])</f>
        <v>251.68</v>
      </c>
    </row>
    <row r="39" spans="1:13" s="16" customFormat="1" x14ac:dyDescent="0.25">
      <c r="A39" s="21" t="s">
        <v>2266</v>
      </c>
      <c r="B39" s="19"/>
      <c r="C39" s="19"/>
      <c r="D39" s="19"/>
      <c r="E39" s="19"/>
      <c r="F39" s="19"/>
      <c r="G39" s="19">
        <v>4010.47</v>
      </c>
      <c r="H39" s="19"/>
      <c r="I39" s="19"/>
      <c r="J39" s="19"/>
      <c r="K39" s="19"/>
      <c r="L39" s="19"/>
      <c r="M39" s="23">
        <f>SUM(Tabla24[[#This Row],[01. Alcaldía]:[11. Salud pública y seguridad ciudadana]])</f>
        <v>4010.47</v>
      </c>
    </row>
    <row r="40" spans="1:13" s="16" customFormat="1" x14ac:dyDescent="0.25">
      <c r="A40" s="21" t="s">
        <v>489</v>
      </c>
      <c r="B40" s="19"/>
      <c r="C40" s="19"/>
      <c r="D40" s="19">
        <v>705.43</v>
      </c>
      <c r="E40" s="19"/>
      <c r="F40" s="19"/>
      <c r="G40" s="19"/>
      <c r="H40" s="19"/>
      <c r="I40" s="19"/>
      <c r="J40" s="19"/>
      <c r="K40" s="19"/>
      <c r="L40" s="19"/>
      <c r="M40" s="23">
        <f>SUM(Tabla24[[#This Row],[01. Alcaldía]:[11. Salud pública y seguridad ciudadana]])</f>
        <v>705.43</v>
      </c>
    </row>
    <row r="41" spans="1:13" s="16" customFormat="1" x14ac:dyDescent="0.25">
      <c r="A41" s="21" t="s">
        <v>113</v>
      </c>
      <c r="B41" s="19"/>
      <c r="C41" s="19"/>
      <c r="D41" s="19">
        <v>746.66000000000008</v>
      </c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746.66000000000008</v>
      </c>
    </row>
    <row r="42" spans="1:13" s="16" customFormat="1" x14ac:dyDescent="0.25">
      <c r="A42" s="21" t="s">
        <v>2394</v>
      </c>
      <c r="B42" s="19"/>
      <c r="C42" s="19"/>
      <c r="D42" s="19"/>
      <c r="E42" s="19">
        <v>978.72</v>
      </c>
      <c r="F42" s="19"/>
      <c r="G42" s="19">
        <v>2461.14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3439.8599999999997</v>
      </c>
    </row>
    <row r="43" spans="1:13" s="16" customFormat="1" x14ac:dyDescent="0.25">
      <c r="A43" s="21" t="s">
        <v>120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2937.82</v>
      </c>
      <c r="L43" s="19"/>
      <c r="M43" s="23">
        <f>SUM(Tabla24[[#This Row],[01. Alcaldía]:[11. Salud pública y seguridad ciudadana]])</f>
        <v>2937.82</v>
      </c>
    </row>
    <row r="44" spans="1:13" s="16" customFormat="1" x14ac:dyDescent="0.25">
      <c r="A44" s="21" t="s">
        <v>388</v>
      </c>
      <c r="B44" s="19"/>
      <c r="C44" s="19"/>
      <c r="D44" s="19"/>
      <c r="E44" s="19"/>
      <c r="F44" s="19"/>
      <c r="G44" s="19"/>
      <c r="H44" s="19"/>
      <c r="I44" s="19">
        <v>7260</v>
      </c>
      <c r="J44" s="19"/>
      <c r="K44" s="19"/>
      <c r="L44" s="19"/>
      <c r="M44" s="23">
        <f>SUM(Tabla24[[#This Row],[01. Alcaldía]:[11. Salud pública y seguridad ciudadana]])</f>
        <v>7260</v>
      </c>
    </row>
    <row r="45" spans="1:13" s="16" customFormat="1" x14ac:dyDescent="0.25">
      <c r="A45" s="21" t="s">
        <v>102</v>
      </c>
      <c r="B45" s="19"/>
      <c r="C45" s="19"/>
      <c r="D45" s="19"/>
      <c r="E45" s="19"/>
      <c r="F45" s="19"/>
      <c r="G45" s="19"/>
      <c r="H45" s="19"/>
      <c r="I45" s="19">
        <v>5696.6799999999994</v>
      </c>
      <c r="J45" s="19"/>
      <c r="K45" s="19"/>
      <c r="L45" s="19"/>
      <c r="M45" s="23">
        <f>SUM(Tabla24[[#This Row],[01. Alcaldía]:[11. Salud pública y seguridad ciudadana]])</f>
        <v>5696.6799999999994</v>
      </c>
    </row>
    <row r="46" spans="1:13" s="16" customFormat="1" x14ac:dyDescent="0.25">
      <c r="A46" s="21" t="s">
        <v>2443</v>
      </c>
      <c r="B46" s="19"/>
      <c r="C46" s="19">
        <v>1254.3400000000001</v>
      </c>
      <c r="D46" s="19"/>
      <c r="E46" s="19"/>
      <c r="F46" s="19"/>
      <c r="G46" s="19">
        <v>791.34</v>
      </c>
      <c r="H46" s="19"/>
      <c r="I46" s="19">
        <v>786.5</v>
      </c>
      <c r="J46" s="19"/>
      <c r="K46" s="19"/>
      <c r="L46" s="19"/>
      <c r="M46" s="23">
        <f>SUM(Tabla24[[#This Row],[01. Alcaldía]:[11. Salud pública y seguridad ciudadana]])</f>
        <v>2832.1800000000003</v>
      </c>
    </row>
    <row r="47" spans="1:13" s="16" customFormat="1" x14ac:dyDescent="0.25">
      <c r="A47" s="21" t="s">
        <v>419</v>
      </c>
      <c r="B47" s="19"/>
      <c r="C47" s="19"/>
      <c r="D47" s="19"/>
      <c r="E47" s="19"/>
      <c r="F47" s="19"/>
      <c r="G47" s="19">
        <v>145.41999999999999</v>
      </c>
      <c r="H47" s="19"/>
      <c r="I47" s="19"/>
      <c r="J47" s="19"/>
      <c r="K47" s="19"/>
      <c r="L47" s="19"/>
      <c r="M47" s="23">
        <f>SUM(Tabla24[[#This Row],[01. Alcaldía]:[11. Salud pública y seguridad ciudadana]])</f>
        <v>145.41999999999999</v>
      </c>
    </row>
    <row r="48" spans="1:13" s="16" customFormat="1" x14ac:dyDescent="0.25">
      <c r="A48" s="21" t="s">
        <v>5364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300</v>
      </c>
      <c r="M48" s="23">
        <f>SUM(Tabla24[[#This Row],[01. Alcaldía]:[11. Salud pública y seguridad ciudadana]])</f>
        <v>300</v>
      </c>
    </row>
    <row r="49" spans="1:13" s="16" customFormat="1" x14ac:dyDescent="0.25">
      <c r="A49" s="21" t="s">
        <v>3977</v>
      </c>
      <c r="B49" s="19"/>
      <c r="C49" s="19"/>
      <c r="D49" s="19">
        <v>7018</v>
      </c>
      <c r="E49" s="19"/>
      <c r="F49" s="19"/>
      <c r="G49" s="19"/>
      <c r="H49" s="19"/>
      <c r="I49" s="19"/>
      <c r="J49" s="19"/>
      <c r="K49" s="19"/>
      <c r="L49" s="19"/>
      <c r="M49" s="23">
        <f>SUM(Tabla24[[#This Row],[01. Alcaldía]:[11. Salud pública y seguridad ciudadana]])</f>
        <v>7018</v>
      </c>
    </row>
    <row r="50" spans="1:13" s="16" customFormat="1" x14ac:dyDescent="0.25">
      <c r="A50" s="21" t="s">
        <v>421</v>
      </c>
      <c r="B50" s="19"/>
      <c r="C50" s="19"/>
      <c r="D50" s="19"/>
      <c r="E50" s="19"/>
      <c r="F50" s="19"/>
      <c r="G50" s="19"/>
      <c r="H50" s="19"/>
      <c r="I50" s="19">
        <v>13455.199999999999</v>
      </c>
      <c r="J50" s="19"/>
      <c r="K50" s="19"/>
      <c r="L50" s="19"/>
      <c r="M50" s="23">
        <f>SUM(Tabla24[[#This Row],[01. Alcaldía]:[11. Salud pública y seguridad ciudadana]])</f>
        <v>13455.199999999999</v>
      </c>
    </row>
    <row r="51" spans="1:13" s="16" customFormat="1" x14ac:dyDescent="0.25">
      <c r="A51" s="21" t="s">
        <v>1200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>
        <v>3932.55</v>
      </c>
      <c r="M51" s="23">
        <f>SUM(Tabla24[[#This Row],[01. Alcaldía]:[11. Salud pública y seguridad ciudadana]])</f>
        <v>3932.55</v>
      </c>
    </row>
    <row r="52" spans="1:13" s="16" customFormat="1" x14ac:dyDescent="0.25">
      <c r="A52" s="21" t="s">
        <v>1210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17879.560000000001</v>
      </c>
      <c r="M52" s="23">
        <f>SUM(Tabla24[[#This Row],[01. Alcaldía]:[11. Salud pública y seguridad ciudadana]])</f>
        <v>17879.560000000001</v>
      </c>
    </row>
    <row r="53" spans="1:13" s="16" customFormat="1" x14ac:dyDescent="0.25">
      <c r="A53" s="21" t="s">
        <v>390</v>
      </c>
      <c r="B53" s="19"/>
      <c r="C53" s="19"/>
      <c r="D53" s="19"/>
      <c r="E53" s="19"/>
      <c r="F53" s="19"/>
      <c r="G53" s="19">
        <v>33</v>
      </c>
      <c r="H53" s="19"/>
      <c r="I53" s="19"/>
      <c r="J53" s="19"/>
      <c r="K53" s="19"/>
      <c r="L53" s="19"/>
      <c r="M53" s="23">
        <f>SUM(Tabla24[[#This Row],[01. Alcaldía]:[11. Salud pública y seguridad ciudadana]])</f>
        <v>33</v>
      </c>
    </row>
    <row r="54" spans="1:13" s="16" customFormat="1" x14ac:dyDescent="0.25">
      <c r="A54" s="21" t="s">
        <v>17</v>
      </c>
      <c r="B54" s="19">
        <v>1065.77</v>
      </c>
      <c r="C54" s="19"/>
      <c r="D54" s="19"/>
      <c r="E54" s="19"/>
      <c r="F54" s="19">
        <v>1024.7</v>
      </c>
      <c r="G54" s="19"/>
      <c r="H54" s="19"/>
      <c r="I54" s="19">
        <v>18637.949999999997</v>
      </c>
      <c r="J54" s="19"/>
      <c r="K54" s="19"/>
      <c r="L54" s="19"/>
      <c r="M54" s="23">
        <f>SUM(Tabla24[[#This Row],[01. Alcaldía]:[11. Salud pública y seguridad ciudadana]])</f>
        <v>20728.419999999998</v>
      </c>
    </row>
    <row r="55" spans="1:13" s="16" customFormat="1" x14ac:dyDescent="0.25">
      <c r="A55" s="21" t="s">
        <v>78</v>
      </c>
      <c r="B55" s="19">
        <v>3146</v>
      </c>
      <c r="C55" s="19"/>
      <c r="D55" s="19"/>
      <c r="E55" s="19"/>
      <c r="F55" s="19"/>
      <c r="G55" s="19">
        <v>482.79</v>
      </c>
      <c r="H55" s="19"/>
      <c r="I55" s="19"/>
      <c r="J55" s="19"/>
      <c r="K55" s="19">
        <v>6000</v>
      </c>
      <c r="L55" s="19"/>
      <c r="M55" s="23">
        <f>SUM(Tabla24[[#This Row],[01. Alcaldía]:[11. Salud pública y seguridad ciudadana]])</f>
        <v>9628.7900000000009</v>
      </c>
    </row>
    <row r="56" spans="1:13" s="16" customFormat="1" x14ac:dyDescent="0.25">
      <c r="A56" s="21" t="s">
        <v>4002</v>
      </c>
      <c r="B56" s="19"/>
      <c r="C56" s="19"/>
      <c r="D56" s="19"/>
      <c r="E56" s="19"/>
      <c r="F56" s="19"/>
      <c r="G56" s="19">
        <v>50.63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50.63</v>
      </c>
    </row>
    <row r="57" spans="1:13" s="16" customFormat="1" x14ac:dyDescent="0.25">
      <c r="A57" s="21" t="s">
        <v>2477</v>
      </c>
      <c r="B57" s="19"/>
      <c r="C57" s="19"/>
      <c r="D57" s="19">
        <v>208.25</v>
      </c>
      <c r="E57" s="19"/>
      <c r="F57" s="19">
        <v>372.28</v>
      </c>
      <c r="G57" s="19">
        <v>7260</v>
      </c>
      <c r="H57" s="19">
        <v>210.07</v>
      </c>
      <c r="I57" s="19"/>
      <c r="J57" s="19"/>
      <c r="K57" s="19">
        <v>241.98999999999998</v>
      </c>
      <c r="L57" s="19"/>
      <c r="M57" s="23">
        <f>SUM(Tabla24[[#This Row],[01. Alcaldía]:[11. Salud pública y seguridad ciudadana]])</f>
        <v>8292.59</v>
      </c>
    </row>
    <row r="58" spans="1:13" s="16" customFormat="1" x14ac:dyDescent="0.25">
      <c r="A58" s="21" t="s">
        <v>5163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>
        <v>1700</v>
      </c>
      <c r="M58" s="23">
        <f>SUM(Tabla24[[#This Row],[01. Alcaldía]:[11. Salud pública y seguridad ciudadana]])</f>
        <v>1700</v>
      </c>
    </row>
    <row r="59" spans="1:13" s="16" customFormat="1" x14ac:dyDescent="0.25">
      <c r="A59" s="21" t="s">
        <v>4006</v>
      </c>
      <c r="B59" s="19"/>
      <c r="C59" s="19"/>
      <c r="D59" s="19"/>
      <c r="E59" s="19"/>
      <c r="F59" s="19"/>
      <c r="G59" s="19">
        <v>170</v>
      </c>
      <c r="H59" s="19"/>
      <c r="I59" s="19"/>
      <c r="J59" s="19"/>
      <c r="K59" s="19"/>
      <c r="L59" s="19"/>
      <c r="M59" s="23">
        <f>SUM(Tabla24[[#This Row],[01. Alcaldía]:[11. Salud pública y seguridad ciudadana]])</f>
        <v>170</v>
      </c>
    </row>
    <row r="60" spans="1:13" s="16" customFormat="1" x14ac:dyDescent="0.25">
      <c r="A60" s="21" t="s">
        <v>1900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4840</v>
      </c>
      <c r="M60" s="23">
        <f>SUM(Tabla24[[#This Row],[01. Alcaldía]:[11. Salud pública y seguridad ciudadana]])</f>
        <v>4840</v>
      </c>
    </row>
    <row r="61" spans="1:13" s="16" customFormat="1" ht="25.5" x14ac:dyDescent="0.25">
      <c r="A61" s="21" t="s">
        <v>391</v>
      </c>
      <c r="B61" s="19">
        <v>752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3">
        <f>SUM(Tabla24[[#This Row],[01. Alcaldía]:[11. Salud pública y seguridad ciudadana]])</f>
        <v>752</v>
      </c>
    </row>
    <row r="62" spans="1:13" s="16" customFormat="1" x14ac:dyDescent="0.25">
      <c r="A62" s="21" t="s">
        <v>43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3000</v>
      </c>
      <c r="M62" s="23">
        <f>SUM(Tabla24[[#This Row],[01. Alcaldía]:[11. Salud pública y seguridad ciudadana]])</f>
        <v>3000</v>
      </c>
    </row>
    <row r="63" spans="1:13" s="16" customFormat="1" x14ac:dyDescent="0.25">
      <c r="A63" s="21" t="s">
        <v>70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8726.52</v>
      </c>
      <c r="L63" s="19">
        <v>3412.25</v>
      </c>
      <c r="M63" s="23">
        <f>SUM(Tabla24[[#This Row],[01. Alcaldía]:[11. Salud pública y seguridad ciudadana]])</f>
        <v>12138.77</v>
      </c>
    </row>
    <row r="64" spans="1:13" s="16" customFormat="1" x14ac:dyDescent="0.25">
      <c r="A64" s="21" t="s">
        <v>413</v>
      </c>
      <c r="B64" s="19">
        <v>533.61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3">
        <f>SUM(Tabla24[[#This Row],[01. Alcaldía]:[11. Salud pública y seguridad ciudadana]])</f>
        <v>533.61</v>
      </c>
    </row>
    <row r="65" spans="1:13" s="16" customFormat="1" x14ac:dyDescent="0.25">
      <c r="A65" s="21" t="s">
        <v>911</v>
      </c>
      <c r="B65" s="19"/>
      <c r="C65" s="19"/>
      <c r="D65" s="19">
        <v>1604.05</v>
      </c>
      <c r="E65" s="19"/>
      <c r="F65" s="19"/>
      <c r="G65" s="19"/>
      <c r="H65" s="19"/>
      <c r="I65" s="19"/>
      <c r="J65" s="19"/>
      <c r="K65" s="19"/>
      <c r="L65" s="19"/>
      <c r="M65" s="23">
        <f>SUM(Tabla24[[#This Row],[01. Alcaldía]:[11. Salud pública y seguridad ciudadana]])</f>
        <v>1604.05</v>
      </c>
    </row>
    <row r="66" spans="1:13" s="16" customFormat="1" x14ac:dyDescent="0.25">
      <c r="A66" s="21" t="s">
        <v>329</v>
      </c>
      <c r="B66" s="19"/>
      <c r="C66" s="19"/>
      <c r="D66" s="19"/>
      <c r="E66" s="19"/>
      <c r="F66" s="19"/>
      <c r="G66" s="19"/>
      <c r="H66" s="19"/>
      <c r="I66" s="19"/>
      <c r="J66" s="19"/>
      <c r="K66" s="19">
        <v>179.08</v>
      </c>
      <c r="L66" s="19"/>
      <c r="M66" s="23">
        <f>SUM(Tabla24[[#This Row],[01. Alcaldía]:[11. Salud pública y seguridad ciudadana]])</f>
        <v>179.08</v>
      </c>
    </row>
    <row r="67" spans="1:13" s="16" customFormat="1" x14ac:dyDescent="0.25">
      <c r="A67" s="21" t="s">
        <v>115</v>
      </c>
      <c r="B67" s="19"/>
      <c r="C67" s="19"/>
      <c r="D67" s="19"/>
      <c r="E67" s="19"/>
      <c r="F67" s="19"/>
      <c r="G67" s="19">
        <v>7260</v>
      </c>
      <c r="H67" s="19"/>
      <c r="I67" s="19">
        <v>2420</v>
      </c>
      <c r="J67" s="19"/>
      <c r="K67" s="19"/>
      <c r="L67" s="19"/>
      <c r="M67" s="23">
        <f>SUM(Tabla24[[#This Row],[01. Alcaldía]:[11. Salud pública y seguridad ciudadana]])</f>
        <v>9680</v>
      </c>
    </row>
    <row r="68" spans="1:13" s="16" customFormat="1" x14ac:dyDescent="0.25">
      <c r="A68" s="21" t="s">
        <v>58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1542.6399999999999</v>
      </c>
      <c r="M68" s="23">
        <f>SUM(Tabla24[[#This Row],[01. Alcaldía]:[11. Salud pública y seguridad ciudadana]])</f>
        <v>1542.6399999999999</v>
      </c>
    </row>
    <row r="69" spans="1:13" s="16" customFormat="1" x14ac:dyDescent="0.25">
      <c r="A69" s="21" t="s">
        <v>18</v>
      </c>
      <c r="B69" s="19"/>
      <c r="C69" s="19"/>
      <c r="D69" s="19"/>
      <c r="E69" s="19"/>
      <c r="F69" s="19"/>
      <c r="G69" s="19"/>
      <c r="H69" s="19"/>
      <c r="I69" s="19"/>
      <c r="J69" s="19">
        <v>96.8</v>
      </c>
      <c r="K69" s="19"/>
      <c r="L69" s="19">
        <v>401.12</v>
      </c>
      <c r="M69" s="23">
        <f>SUM(Tabla24[[#This Row],[01. Alcaldía]:[11. Salud pública y seguridad ciudadana]])</f>
        <v>497.92</v>
      </c>
    </row>
    <row r="70" spans="1:13" s="16" customFormat="1" x14ac:dyDescent="0.25">
      <c r="A70" s="21" t="s">
        <v>1915</v>
      </c>
      <c r="B70" s="19"/>
      <c r="C70" s="19">
        <v>1500</v>
      </c>
      <c r="D70" s="19">
        <v>2467.92</v>
      </c>
      <c r="E70" s="19"/>
      <c r="F70" s="19"/>
      <c r="G70" s="19">
        <v>1500</v>
      </c>
      <c r="H70" s="19"/>
      <c r="I70" s="19"/>
      <c r="J70" s="19"/>
      <c r="K70" s="19">
        <v>565.72</v>
      </c>
      <c r="L70" s="19"/>
      <c r="M70" s="23">
        <f>SUM(Tabla24[[#This Row],[01. Alcaldía]:[11. Salud pública y seguridad ciudadana]])</f>
        <v>6033.64</v>
      </c>
    </row>
    <row r="71" spans="1:13" s="16" customFormat="1" x14ac:dyDescent="0.25">
      <c r="A71" s="21" t="s">
        <v>435</v>
      </c>
      <c r="B71" s="19"/>
      <c r="C71" s="19">
        <v>94.48</v>
      </c>
      <c r="D71" s="19"/>
      <c r="E71" s="19"/>
      <c r="F71" s="19"/>
      <c r="G71" s="19"/>
      <c r="H71" s="19"/>
      <c r="I71" s="19">
        <v>964.41</v>
      </c>
      <c r="J71" s="19"/>
      <c r="K71" s="19"/>
      <c r="L71" s="19"/>
      <c r="M71" s="23">
        <f>SUM(Tabla24[[#This Row],[01. Alcaldía]:[11. Salud pública y seguridad ciudadana]])</f>
        <v>1058.8899999999999</v>
      </c>
    </row>
    <row r="72" spans="1:13" s="16" customFormat="1" x14ac:dyDescent="0.25">
      <c r="A72" s="21" t="s">
        <v>436</v>
      </c>
      <c r="B72" s="19">
        <v>98</v>
      </c>
      <c r="C72" s="19"/>
      <c r="D72" s="19"/>
      <c r="E72" s="19"/>
      <c r="F72" s="19"/>
      <c r="G72" s="19"/>
      <c r="H72" s="19"/>
      <c r="I72" s="19"/>
      <c r="J72" s="19"/>
      <c r="K72" s="19"/>
      <c r="L72" s="19">
        <v>1400</v>
      </c>
      <c r="M72" s="23">
        <f>SUM(Tabla24[[#This Row],[01. Alcaldía]:[11. Salud pública y seguridad ciudadana]])</f>
        <v>1498</v>
      </c>
    </row>
    <row r="73" spans="1:13" s="16" customFormat="1" x14ac:dyDescent="0.25">
      <c r="A73" s="21" t="s">
        <v>48</v>
      </c>
      <c r="B73" s="19"/>
      <c r="C73" s="19"/>
      <c r="D73" s="19"/>
      <c r="E73" s="19"/>
      <c r="F73" s="19"/>
      <c r="G73" s="19"/>
      <c r="H73" s="19"/>
      <c r="I73" s="19">
        <v>7260</v>
      </c>
      <c r="J73" s="19"/>
      <c r="K73" s="19"/>
      <c r="L73" s="19"/>
      <c r="M73" s="23">
        <f>SUM(Tabla24[[#This Row],[01. Alcaldía]:[11. Salud pública y seguridad ciudadana]])</f>
        <v>7260</v>
      </c>
    </row>
    <row r="74" spans="1:13" s="16" customFormat="1" x14ac:dyDescent="0.25">
      <c r="A74" s="21" t="s">
        <v>2056</v>
      </c>
      <c r="B74" s="19">
        <v>699.95</v>
      </c>
      <c r="C74" s="19"/>
      <c r="D74" s="19"/>
      <c r="E74" s="19"/>
      <c r="F74" s="19"/>
      <c r="G74" s="19">
        <v>4005</v>
      </c>
      <c r="H74" s="19"/>
      <c r="I74" s="19"/>
      <c r="J74" s="19"/>
      <c r="K74" s="19"/>
      <c r="L74" s="19"/>
      <c r="M74" s="23">
        <f>SUM(Tabla24[[#This Row],[01. Alcaldía]:[11. Salud pública y seguridad ciudadana]])</f>
        <v>4704.95</v>
      </c>
    </row>
    <row r="75" spans="1:13" s="16" customFormat="1" x14ac:dyDescent="0.25">
      <c r="A75" s="21" t="s">
        <v>3394</v>
      </c>
      <c r="B75" s="19"/>
      <c r="C75" s="19"/>
      <c r="D75" s="19"/>
      <c r="E75" s="19"/>
      <c r="F75" s="19"/>
      <c r="G75" s="19"/>
      <c r="H75" s="19"/>
      <c r="I75" s="19">
        <v>2005.5</v>
      </c>
      <c r="J75" s="19"/>
      <c r="K75" s="19"/>
      <c r="L75" s="19"/>
      <c r="M75" s="23">
        <f>SUM(Tabla24[[#This Row],[01. Alcaldía]:[11. Salud pública y seguridad ciudadana]])</f>
        <v>2005.5</v>
      </c>
    </row>
    <row r="76" spans="1:13" s="16" customFormat="1" x14ac:dyDescent="0.25">
      <c r="A76" s="21" t="s">
        <v>35</v>
      </c>
      <c r="B76" s="19"/>
      <c r="C76" s="19"/>
      <c r="D76" s="19">
        <v>644.69000000000005</v>
      </c>
      <c r="E76" s="19"/>
      <c r="F76" s="19"/>
      <c r="G76" s="19">
        <v>3150</v>
      </c>
      <c r="H76" s="19"/>
      <c r="I76" s="19">
        <v>5249.7099999999991</v>
      </c>
      <c r="J76" s="19"/>
      <c r="K76" s="19"/>
      <c r="L76" s="19">
        <v>1900</v>
      </c>
      <c r="M76" s="23">
        <f>SUM(Tabla24[[#This Row],[01. Alcaldía]:[11. Salud pública y seguridad ciudadana]])</f>
        <v>10944.4</v>
      </c>
    </row>
    <row r="77" spans="1:13" s="16" customFormat="1" x14ac:dyDescent="0.25">
      <c r="A77" s="21" t="s">
        <v>394</v>
      </c>
      <c r="B77" s="19">
        <v>7120.85</v>
      </c>
      <c r="C77" s="19">
        <v>1473.63</v>
      </c>
      <c r="D77" s="19">
        <v>2553.15</v>
      </c>
      <c r="E77" s="19"/>
      <c r="F77" s="19">
        <v>37.15</v>
      </c>
      <c r="G77" s="19">
        <v>700</v>
      </c>
      <c r="H77" s="19">
        <v>74.290000000000006</v>
      </c>
      <c r="I77" s="19"/>
      <c r="J77" s="19">
        <v>715.55</v>
      </c>
      <c r="K77" s="19">
        <v>2000</v>
      </c>
      <c r="L77" s="19">
        <v>2711.99</v>
      </c>
      <c r="M77" s="23">
        <f>SUM(Tabla24[[#This Row],[01. Alcaldía]:[11. Salud pública y seguridad ciudadana]])</f>
        <v>17386.61</v>
      </c>
    </row>
    <row r="78" spans="1:13" s="16" customFormat="1" x14ac:dyDescent="0.25">
      <c r="A78" s="21" t="s">
        <v>4055</v>
      </c>
      <c r="B78" s="19"/>
      <c r="C78" s="19"/>
      <c r="D78" s="19"/>
      <c r="E78" s="19"/>
      <c r="F78" s="19"/>
      <c r="G78" s="19">
        <v>258.08999999999997</v>
      </c>
      <c r="H78" s="19"/>
      <c r="I78" s="19"/>
      <c r="J78" s="19"/>
      <c r="K78" s="19"/>
      <c r="L78" s="19"/>
      <c r="M78" s="23">
        <f>SUM(Tabla24[[#This Row],[01. Alcaldía]:[11. Salud pública y seguridad ciudadana]])</f>
        <v>258.08999999999997</v>
      </c>
    </row>
    <row r="79" spans="1:13" s="16" customFormat="1" x14ac:dyDescent="0.25">
      <c r="A79" s="21" t="s">
        <v>1286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>
        <v>102.82</v>
      </c>
      <c r="M79" s="23">
        <f>SUM(Tabla24[[#This Row],[01. Alcaldía]:[11. Salud pública y seguridad ciudadana]])</f>
        <v>102.82</v>
      </c>
    </row>
    <row r="80" spans="1:13" s="16" customFormat="1" x14ac:dyDescent="0.25">
      <c r="A80" s="21" t="s">
        <v>4058</v>
      </c>
      <c r="B80" s="19"/>
      <c r="C80" s="19"/>
      <c r="D80" s="19"/>
      <c r="E80" s="19"/>
      <c r="F80" s="19">
        <v>3485.01</v>
      </c>
      <c r="G80" s="19"/>
      <c r="H80" s="19"/>
      <c r="I80" s="19"/>
      <c r="J80" s="19"/>
      <c r="K80" s="19"/>
      <c r="L80" s="19"/>
      <c r="M80" s="23">
        <f>SUM(Tabla24[[#This Row],[01. Alcaldía]:[11. Salud pública y seguridad ciudadana]])</f>
        <v>3485.01</v>
      </c>
    </row>
    <row r="81" spans="1:13" s="16" customFormat="1" x14ac:dyDescent="0.25">
      <c r="A81" s="21" t="s">
        <v>4060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338.16</v>
      </c>
      <c r="M81" s="23">
        <f>SUM(Tabla24[[#This Row],[01. Alcaldía]:[11. Salud pública y seguridad ciudadana]])</f>
        <v>338.16</v>
      </c>
    </row>
    <row r="82" spans="1:13" s="16" customFormat="1" x14ac:dyDescent="0.25">
      <c r="A82" s="21" t="s">
        <v>2868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16761.75</v>
      </c>
      <c r="M82" s="23">
        <f>SUM(Tabla24[[#This Row],[01. Alcaldía]:[11. Salud pública y seguridad ciudadana]])</f>
        <v>16761.75</v>
      </c>
    </row>
    <row r="83" spans="1:13" s="16" customFormat="1" x14ac:dyDescent="0.25">
      <c r="A83" s="21" t="s">
        <v>1300</v>
      </c>
      <c r="B83" s="19"/>
      <c r="C83" s="19"/>
      <c r="D83" s="19"/>
      <c r="E83" s="19"/>
      <c r="F83" s="19"/>
      <c r="G83" s="19">
        <v>16</v>
      </c>
      <c r="H83" s="19"/>
      <c r="I83" s="19"/>
      <c r="J83" s="19"/>
      <c r="K83" s="19"/>
      <c r="L83" s="19"/>
      <c r="M83" s="23">
        <f>SUM(Tabla24[[#This Row],[01. Alcaldía]:[11. Salud pública y seguridad ciudadana]])</f>
        <v>16</v>
      </c>
    </row>
    <row r="84" spans="1:13" s="16" customFormat="1" x14ac:dyDescent="0.25">
      <c r="A84" s="21" t="s">
        <v>395</v>
      </c>
      <c r="B84" s="19"/>
      <c r="C84" s="19"/>
      <c r="D84" s="19"/>
      <c r="E84" s="19"/>
      <c r="F84" s="19"/>
      <c r="G84" s="19">
        <v>494.37</v>
      </c>
      <c r="H84" s="19"/>
      <c r="I84" s="19"/>
      <c r="J84" s="19"/>
      <c r="K84" s="19"/>
      <c r="L84" s="19"/>
      <c r="M84" s="23">
        <f>SUM(Tabla24[[#This Row],[01. Alcaldía]:[11. Salud pública y seguridad ciudadana]])</f>
        <v>494.37</v>
      </c>
    </row>
    <row r="85" spans="1:13" s="16" customFormat="1" x14ac:dyDescent="0.25">
      <c r="A85" s="21" t="s">
        <v>1310</v>
      </c>
      <c r="B85" s="19"/>
      <c r="C85" s="19"/>
      <c r="D85" s="19"/>
      <c r="E85" s="19"/>
      <c r="F85" s="19"/>
      <c r="G85" s="19"/>
      <c r="H85" s="19"/>
      <c r="I85" s="19">
        <v>212.36</v>
      </c>
      <c r="J85" s="19"/>
      <c r="K85" s="19"/>
      <c r="L85" s="19">
        <v>7260</v>
      </c>
      <c r="M85" s="23">
        <f>SUM(Tabla24[[#This Row],[01. Alcaldía]:[11. Salud pública y seguridad ciudadana]])</f>
        <v>7472.36</v>
      </c>
    </row>
    <row r="86" spans="1:13" s="16" customFormat="1" x14ac:dyDescent="0.25">
      <c r="A86" s="21" t="s">
        <v>1319</v>
      </c>
      <c r="B86" s="19"/>
      <c r="C86" s="19"/>
      <c r="D86" s="19"/>
      <c r="E86" s="19"/>
      <c r="F86" s="19">
        <v>3751</v>
      </c>
      <c r="G86" s="19"/>
      <c r="H86" s="19"/>
      <c r="I86" s="19"/>
      <c r="J86" s="19"/>
      <c r="K86" s="19"/>
      <c r="L86" s="19"/>
      <c r="M86" s="23">
        <f>SUM(Tabla24[[#This Row],[01. Alcaldía]:[11. Salud pública y seguridad ciudadana]])</f>
        <v>3751</v>
      </c>
    </row>
    <row r="87" spans="1:13" s="16" customFormat="1" x14ac:dyDescent="0.25">
      <c r="A87" s="21" t="s">
        <v>108</v>
      </c>
      <c r="B87" s="19"/>
      <c r="C87" s="19"/>
      <c r="D87" s="19"/>
      <c r="E87" s="19"/>
      <c r="F87" s="19"/>
      <c r="G87" s="19">
        <v>84.01</v>
      </c>
      <c r="H87" s="19"/>
      <c r="I87" s="19"/>
      <c r="J87" s="19"/>
      <c r="K87" s="19"/>
      <c r="L87" s="19"/>
      <c r="M87" s="23">
        <f>SUM(Tabla24[[#This Row],[01. Alcaldía]:[11. Salud pública y seguridad ciudadana]])</f>
        <v>84.01</v>
      </c>
    </row>
    <row r="88" spans="1:13" s="16" customFormat="1" x14ac:dyDescent="0.25">
      <c r="A88" s="21" t="s">
        <v>1339</v>
      </c>
      <c r="B88" s="19"/>
      <c r="C88" s="19"/>
      <c r="D88" s="19"/>
      <c r="E88" s="19"/>
      <c r="F88" s="19"/>
      <c r="G88" s="19">
        <v>42</v>
      </c>
      <c r="H88" s="19"/>
      <c r="I88" s="19"/>
      <c r="J88" s="19"/>
      <c r="K88" s="19"/>
      <c r="L88" s="19"/>
      <c r="M88" s="23">
        <f>SUM(Tabla24[[#This Row],[01. Alcaldía]:[11. Salud pública y seguridad ciudadana]])</f>
        <v>42</v>
      </c>
    </row>
    <row r="89" spans="1:13" s="16" customFormat="1" x14ac:dyDescent="0.25">
      <c r="A89" s="21" t="s">
        <v>4063</v>
      </c>
      <c r="B89" s="19">
        <v>1166</v>
      </c>
      <c r="C89" s="19"/>
      <c r="D89" s="19"/>
      <c r="E89" s="19"/>
      <c r="F89" s="19"/>
      <c r="G89" s="19">
        <v>6311</v>
      </c>
      <c r="H89" s="19"/>
      <c r="I89" s="19"/>
      <c r="J89" s="19"/>
      <c r="K89" s="19"/>
      <c r="L89" s="19"/>
      <c r="M89" s="23">
        <f>SUM(Tabla24[[#This Row],[01. Alcaldía]:[11. Salud pública y seguridad ciudadana]])</f>
        <v>7477</v>
      </c>
    </row>
    <row r="90" spans="1:13" s="16" customFormat="1" x14ac:dyDescent="0.25">
      <c r="A90" s="21" t="s">
        <v>1345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397.96</v>
      </c>
      <c r="L90" s="19"/>
      <c r="M90" s="23">
        <f>SUM(Tabla24[[#This Row],[01. Alcaldía]:[11. Salud pública y seguridad ciudadana]])</f>
        <v>397.96</v>
      </c>
    </row>
    <row r="91" spans="1:13" s="16" customFormat="1" x14ac:dyDescent="0.25">
      <c r="A91" s="21" t="s">
        <v>465</v>
      </c>
      <c r="B91" s="19"/>
      <c r="C91" s="19"/>
      <c r="D91" s="19"/>
      <c r="E91" s="19"/>
      <c r="F91" s="19"/>
      <c r="G91" s="19">
        <v>501.9</v>
      </c>
      <c r="H91" s="19"/>
      <c r="I91" s="19"/>
      <c r="J91" s="19"/>
      <c r="K91" s="19"/>
      <c r="L91" s="19"/>
      <c r="M91" s="23">
        <f>SUM(Tabla24[[#This Row],[01. Alcaldía]:[11. Salud pública y seguridad ciudadana]])</f>
        <v>501.9</v>
      </c>
    </row>
    <row r="92" spans="1:13" s="16" customFormat="1" x14ac:dyDescent="0.25">
      <c r="A92" s="21" t="s">
        <v>87</v>
      </c>
      <c r="B92" s="19"/>
      <c r="C92" s="19"/>
      <c r="D92" s="19"/>
      <c r="E92" s="19"/>
      <c r="F92" s="19"/>
      <c r="G92" s="19">
        <v>300.02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300.02</v>
      </c>
    </row>
    <row r="93" spans="1:13" s="16" customFormat="1" x14ac:dyDescent="0.25">
      <c r="A93" s="21" t="s">
        <v>1353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1452</v>
      </c>
      <c r="M93" s="23">
        <f>SUM(Tabla24[[#This Row],[01. Alcaldía]:[11. Salud pública y seguridad ciudadana]])</f>
        <v>1452</v>
      </c>
    </row>
    <row r="94" spans="1:13" s="16" customFormat="1" x14ac:dyDescent="0.25">
      <c r="A94" s="21" t="s">
        <v>1372</v>
      </c>
      <c r="B94" s="19"/>
      <c r="C94" s="19"/>
      <c r="D94" s="19"/>
      <c r="E94" s="19"/>
      <c r="F94" s="19"/>
      <c r="G94" s="19"/>
      <c r="H94" s="19"/>
      <c r="I94" s="19">
        <v>6953.45</v>
      </c>
      <c r="J94" s="19"/>
      <c r="K94" s="19">
        <v>1718.3400000000001</v>
      </c>
      <c r="L94" s="19"/>
      <c r="M94" s="23">
        <f>SUM(Tabla24[[#This Row],[01. Alcaldía]:[11. Salud pública y seguridad ciudadana]])</f>
        <v>8671.7900000000009</v>
      </c>
    </row>
    <row r="95" spans="1:13" s="16" customFormat="1" x14ac:dyDescent="0.25">
      <c r="A95" s="21" t="s">
        <v>68</v>
      </c>
      <c r="B95" s="19"/>
      <c r="C95" s="19">
        <v>403.99</v>
      </c>
      <c r="D95" s="19">
        <v>889.94</v>
      </c>
      <c r="E95" s="19"/>
      <c r="F95" s="19"/>
      <c r="G95" s="19"/>
      <c r="H95" s="19"/>
      <c r="I95" s="19"/>
      <c r="J95" s="19"/>
      <c r="K95" s="19"/>
      <c r="L95" s="19">
        <v>17182</v>
      </c>
      <c r="M95" s="23">
        <f>SUM(Tabla24[[#This Row],[01. Alcaldía]:[11. Salud pública y seguridad ciudadana]])</f>
        <v>18475.93</v>
      </c>
    </row>
    <row r="96" spans="1:13" s="16" customFormat="1" x14ac:dyDescent="0.25">
      <c r="A96" s="21" t="s">
        <v>95</v>
      </c>
      <c r="B96" s="19">
        <v>1838.79</v>
      </c>
      <c r="C96" s="19"/>
      <c r="D96" s="19"/>
      <c r="E96" s="19"/>
      <c r="F96" s="19">
        <v>628.16</v>
      </c>
      <c r="G96" s="19">
        <v>13893.74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16360.689999999999</v>
      </c>
    </row>
    <row r="97" spans="1:13" s="16" customFormat="1" x14ac:dyDescent="0.25">
      <c r="A97" s="21" t="s">
        <v>29</v>
      </c>
      <c r="B97" s="19">
        <v>12982</v>
      </c>
      <c r="C97" s="19"/>
      <c r="D97" s="19"/>
      <c r="E97" s="19"/>
      <c r="F97" s="19">
        <v>1320</v>
      </c>
      <c r="G97" s="19">
        <v>9425.5399999999991</v>
      </c>
      <c r="H97" s="19"/>
      <c r="I97" s="19"/>
      <c r="J97" s="19"/>
      <c r="K97" s="19">
        <v>344.7</v>
      </c>
      <c r="L97" s="19"/>
      <c r="M97" s="23">
        <f>SUM(Tabla24[[#This Row],[01. Alcaldía]:[11. Salud pública y seguridad ciudadana]])</f>
        <v>24072.240000000002</v>
      </c>
    </row>
    <row r="98" spans="1:13" s="16" customFormat="1" x14ac:dyDescent="0.25">
      <c r="A98" s="21" t="s">
        <v>469</v>
      </c>
      <c r="B98" s="19"/>
      <c r="C98" s="19"/>
      <c r="D98" s="19"/>
      <c r="E98" s="19"/>
      <c r="F98" s="19"/>
      <c r="G98" s="19"/>
      <c r="H98" s="19">
        <v>3500</v>
      </c>
      <c r="I98" s="19"/>
      <c r="J98" s="19"/>
      <c r="K98" s="19"/>
      <c r="L98" s="19"/>
      <c r="M98" s="23">
        <f>SUM(Tabla24[[#This Row],[01. Alcaldía]:[11. Salud pública y seguridad ciudadana]])</f>
        <v>3500</v>
      </c>
    </row>
    <row r="99" spans="1:13" s="16" customFormat="1" x14ac:dyDescent="0.25">
      <c r="A99" s="21" t="s">
        <v>320</v>
      </c>
      <c r="B99" s="19"/>
      <c r="C99" s="19"/>
      <c r="D99" s="19">
        <v>1730</v>
      </c>
      <c r="E99" s="19"/>
      <c r="F99" s="19"/>
      <c r="G99" s="19"/>
      <c r="H99" s="19"/>
      <c r="I99" s="19"/>
      <c r="J99" s="19"/>
      <c r="K99" s="19"/>
      <c r="L99" s="19"/>
      <c r="M99" s="23">
        <f>SUM(Tabla24[[#This Row],[01. Alcaldía]:[11. Salud pública y seguridad ciudadana]])</f>
        <v>1730</v>
      </c>
    </row>
    <row r="100" spans="1:13" s="16" customFormat="1" x14ac:dyDescent="0.25">
      <c r="A100" s="21" t="s">
        <v>4073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17914.8</v>
      </c>
      <c r="M100" s="23">
        <f>SUM(Tabla24[[#This Row],[01. Alcaldía]:[11. Salud pública y seguridad ciudadana]])</f>
        <v>17914.8</v>
      </c>
    </row>
    <row r="101" spans="1:13" s="16" customFormat="1" x14ac:dyDescent="0.25">
      <c r="A101" s="21" t="s">
        <v>347</v>
      </c>
      <c r="B101" s="19"/>
      <c r="C101" s="19"/>
      <c r="D101" s="19"/>
      <c r="E101" s="19"/>
      <c r="F101" s="19"/>
      <c r="G101" s="19"/>
      <c r="H101" s="19">
        <v>4390.3599999999997</v>
      </c>
      <c r="I101" s="19"/>
      <c r="J101" s="19"/>
      <c r="K101" s="19"/>
      <c r="L101" s="19"/>
      <c r="M101" s="23">
        <f>SUM(Tabla24[[#This Row],[01. Alcaldía]:[11. Salud pública y seguridad ciudadana]])</f>
        <v>4390.3599999999997</v>
      </c>
    </row>
    <row r="102" spans="1:13" s="16" customFormat="1" x14ac:dyDescent="0.25">
      <c r="A102" s="21" t="s">
        <v>4075</v>
      </c>
      <c r="B102" s="19">
        <v>941.11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23">
        <f>SUM(Tabla24[[#This Row],[01. Alcaldía]:[11. Salud pública y seguridad ciudadana]])</f>
        <v>941.11</v>
      </c>
    </row>
    <row r="103" spans="1:13" s="16" customFormat="1" x14ac:dyDescent="0.25">
      <c r="A103" s="21" t="s">
        <v>1409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546.85</v>
      </c>
      <c r="M103" s="23">
        <f>SUM(Tabla24[[#This Row],[01. Alcaldía]:[11. Salud pública y seguridad ciudadana]])</f>
        <v>546.85</v>
      </c>
    </row>
    <row r="104" spans="1:13" s="16" customFormat="1" x14ac:dyDescent="0.25">
      <c r="A104" s="21" t="s">
        <v>1440</v>
      </c>
      <c r="B104" s="19"/>
      <c r="C104" s="19"/>
      <c r="D104" s="19"/>
      <c r="E104" s="19"/>
      <c r="F104" s="19"/>
      <c r="G104" s="19"/>
      <c r="H104" s="19"/>
      <c r="I104" s="19">
        <v>7061.56</v>
      </c>
      <c r="J104" s="19"/>
      <c r="K104" s="19"/>
      <c r="L104" s="19"/>
      <c r="M104" s="23">
        <f>SUM(Tabla24[[#This Row],[01. Alcaldía]:[11. Salud pública y seguridad ciudadana]])</f>
        <v>7061.56</v>
      </c>
    </row>
    <row r="105" spans="1:13" s="16" customFormat="1" x14ac:dyDescent="0.25">
      <c r="A105" s="21" t="s">
        <v>442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1436.02</v>
      </c>
      <c r="L105" s="19"/>
      <c r="M105" s="23">
        <f>SUM(Tabla24[[#This Row],[01. Alcaldía]:[11. Salud pública y seguridad ciudadana]])</f>
        <v>1436.02</v>
      </c>
    </row>
    <row r="106" spans="1:13" s="16" customFormat="1" x14ac:dyDescent="0.25">
      <c r="A106" s="21" t="s">
        <v>1458</v>
      </c>
      <c r="B106" s="19"/>
      <c r="C106" s="19"/>
      <c r="D106" s="19">
        <v>9388.24</v>
      </c>
      <c r="E106" s="19"/>
      <c r="F106" s="19"/>
      <c r="G106" s="19"/>
      <c r="H106" s="19"/>
      <c r="I106" s="19"/>
      <c r="J106" s="19"/>
      <c r="K106" s="19"/>
      <c r="L106" s="19"/>
      <c r="M106" s="23">
        <f>SUM(Tabla24[[#This Row],[01. Alcaldía]:[11. Salud pública y seguridad ciudadana]])</f>
        <v>9388.24</v>
      </c>
    </row>
    <row r="107" spans="1:13" s="16" customFormat="1" x14ac:dyDescent="0.25">
      <c r="A107" s="21" t="s">
        <v>4089</v>
      </c>
      <c r="B107" s="19"/>
      <c r="C107" s="19"/>
      <c r="D107" s="19"/>
      <c r="E107" s="19"/>
      <c r="F107" s="19"/>
      <c r="G107" s="19">
        <v>692.12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692.12</v>
      </c>
    </row>
    <row r="108" spans="1:13" s="16" customFormat="1" x14ac:dyDescent="0.25">
      <c r="A108" s="21" t="s">
        <v>65</v>
      </c>
      <c r="B108" s="19"/>
      <c r="C108" s="19"/>
      <c r="D108" s="19">
        <v>60.38</v>
      </c>
      <c r="E108" s="19"/>
      <c r="F108" s="19"/>
      <c r="G108" s="19"/>
      <c r="H108" s="19"/>
      <c r="I108" s="19"/>
      <c r="J108" s="19"/>
      <c r="K108" s="19">
        <v>3148.01</v>
      </c>
      <c r="L108" s="19"/>
      <c r="M108" s="23">
        <f>SUM(Tabla24[[#This Row],[01. Alcaldía]:[11. Salud pública y seguridad ciudadana]])</f>
        <v>3208.3900000000003</v>
      </c>
    </row>
    <row r="109" spans="1:13" s="16" customFormat="1" x14ac:dyDescent="0.25">
      <c r="A109" s="21" t="s">
        <v>5380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264.05</v>
      </c>
      <c r="M109" s="23">
        <f>SUM(Tabla24[[#This Row],[01. Alcaldía]:[11. Salud pública y seguridad ciudadana]])</f>
        <v>264.05</v>
      </c>
    </row>
    <row r="110" spans="1:13" s="16" customFormat="1" x14ac:dyDescent="0.25">
      <c r="A110" s="21" t="s">
        <v>2115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>
        <v>752.64</v>
      </c>
      <c r="L110" s="19"/>
      <c r="M110" s="23">
        <f>SUM(Tabla24[[#This Row],[01. Alcaldía]:[11. Salud pública y seguridad ciudadana]])</f>
        <v>752.64</v>
      </c>
    </row>
    <row r="111" spans="1:13" s="16" customFormat="1" x14ac:dyDescent="0.25">
      <c r="A111" s="21" t="s">
        <v>4111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500</v>
      </c>
      <c r="M111" s="23">
        <f>SUM(Tabla24[[#This Row],[01. Alcaldía]:[11. Salud pública y seguridad ciudadana]])</f>
        <v>500</v>
      </c>
    </row>
    <row r="112" spans="1:13" s="16" customFormat="1" x14ac:dyDescent="0.25">
      <c r="A112" s="21" t="s">
        <v>499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>
        <v>3119.44</v>
      </c>
      <c r="L112" s="19"/>
      <c r="M112" s="23">
        <f>SUM(Tabla24[[#This Row],[01. Alcaldía]:[11. Salud pública y seguridad ciudadana]])</f>
        <v>3119.44</v>
      </c>
    </row>
    <row r="113" spans="1:13" s="16" customFormat="1" x14ac:dyDescent="0.25">
      <c r="A113" s="21" t="s">
        <v>1507</v>
      </c>
      <c r="B113" s="19"/>
      <c r="C113" s="19"/>
      <c r="D113" s="19">
        <v>112.7</v>
      </c>
      <c r="E113" s="19"/>
      <c r="F113" s="19">
        <v>22.65</v>
      </c>
      <c r="G113" s="19"/>
      <c r="H113" s="19">
        <v>229.56</v>
      </c>
      <c r="I113" s="19"/>
      <c r="J113" s="19"/>
      <c r="K113" s="19">
        <v>48.660000000000004</v>
      </c>
      <c r="L113" s="19"/>
      <c r="M113" s="23">
        <f>SUM(Tabla24[[#This Row],[01. Alcaldía]:[11. Salud pública y seguridad ciudadana]])</f>
        <v>413.57</v>
      </c>
    </row>
    <row r="114" spans="1:13" s="16" customFormat="1" x14ac:dyDescent="0.25">
      <c r="A114" s="21" t="s">
        <v>92</v>
      </c>
      <c r="B114" s="19">
        <v>473.2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23">
        <f>SUM(Tabla24[[#This Row],[01. Alcaldía]:[11. Salud pública y seguridad ciudadana]])</f>
        <v>473.2</v>
      </c>
    </row>
    <row r="115" spans="1:13" s="16" customFormat="1" x14ac:dyDescent="0.25">
      <c r="A115" s="21" t="s">
        <v>1523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1105.76</v>
      </c>
      <c r="M115" s="23">
        <f>SUM(Tabla24[[#This Row],[01. Alcaldía]:[11. Salud pública y seguridad ciudadana]])</f>
        <v>1105.76</v>
      </c>
    </row>
    <row r="116" spans="1:13" s="16" customFormat="1" x14ac:dyDescent="0.25">
      <c r="A116" s="21" t="s">
        <v>4118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>
        <v>2874.72</v>
      </c>
      <c r="M116" s="23">
        <f>SUM(Tabla24[[#This Row],[01. Alcaldía]:[11. Salud pública y seguridad ciudadana]])</f>
        <v>2874.72</v>
      </c>
    </row>
    <row r="117" spans="1:13" s="16" customFormat="1" x14ac:dyDescent="0.25">
      <c r="A117" s="21" t="s">
        <v>111</v>
      </c>
      <c r="B117" s="19"/>
      <c r="C117" s="19">
        <v>728.63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23">
        <f>SUM(Tabla24[[#This Row],[01. Alcaldía]:[11. Salud pública y seguridad ciudadana]])</f>
        <v>728.63</v>
      </c>
    </row>
    <row r="118" spans="1:13" s="16" customFormat="1" x14ac:dyDescent="0.25">
      <c r="A118" s="21" t="s">
        <v>4474</v>
      </c>
      <c r="B118" s="19"/>
      <c r="C118" s="19"/>
      <c r="D118" s="19"/>
      <c r="E118" s="19"/>
      <c r="F118" s="19">
        <v>14613.5</v>
      </c>
      <c r="G118" s="19"/>
      <c r="H118" s="19"/>
      <c r="I118" s="19"/>
      <c r="J118" s="19"/>
      <c r="K118" s="19"/>
      <c r="L118" s="19"/>
      <c r="M118" s="23">
        <f>SUM(Tabla24[[#This Row],[01. Alcaldía]:[11. Salud pública y seguridad ciudadana]])</f>
        <v>14613.5</v>
      </c>
    </row>
    <row r="119" spans="1:13" s="16" customFormat="1" x14ac:dyDescent="0.25">
      <c r="A119" s="21" t="s">
        <v>1562</v>
      </c>
      <c r="B119" s="19"/>
      <c r="C119" s="19"/>
      <c r="D119" s="19">
        <v>358.28</v>
      </c>
      <c r="E119" s="19"/>
      <c r="F119" s="19"/>
      <c r="G119" s="19"/>
      <c r="H119" s="19"/>
      <c r="I119" s="19"/>
      <c r="J119" s="19"/>
      <c r="K119" s="19"/>
      <c r="L119" s="19"/>
      <c r="M119" s="23">
        <f>SUM(Tabla24[[#This Row],[01. Alcaldía]:[11. Salud pública y seguridad ciudadana]])</f>
        <v>358.28</v>
      </c>
    </row>
    <row r="120" spans="1:13" s="16" customFormat="1" x14ac:dyDescent="0.25">
      <c r="A120" s="21" t="s">
        <v>1599</v>
      </c>
      <c r="B120" s="19"/>
      <c r="C120" s="19"/>
      <c r="D120" s="19">
        <v>246.38</v>
      </c>
      <c r="E120" s="19"/>
      <c r="F120" s="19"/>
      <c r="G120" s="19">
        <v>3000</v>
      </c>
      <c r="H120" s="19"/>
      <c r="I120" s="19">
        <v>253.68</v>
      </c>
      <c r="J120" s="19"/>
      <c r="K120" s="19"/>
      <c r="L120" s="19">
        <v>815.75999999999988</v>
      </c>
      <c r="M120" s="23">
        <f>SUM(Tabla24[[#This Row],[01. Alcaldía]:[11. Salud pública y seguridad ciudadana]])</f>
        <v>4315.82</v>
      </c>
    </row>
    <row r="121" spans="1:13" s="16" customFormat="1" x14ac:dyDescent="0.25">
      <c r="A121" s="21" t="s">
        <v>60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4000</v>
      </c>
      <c r="M121" s="23">
        <f>SUM(Tabla24[[#This Row],[01. Alcaldía]:[11. Salud pública y seguridad ciudadana]])</f>
        <v>4000</v>
      </c>
    </row>
    <row r="122" spans="1:13" s="16" customFormat="1" x14ac:dyDescent="0.25">
      <c r="A122" s="21" t="s">
        <v>319</v>
      </c>
      <c r="B122" s="19"/>
      <c r="C122" s="19"/>
      <c r="D122" s="19"/>
      <c r="E122" s="19">
        <v>4500</v>
      </c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4500</v>
      </c>
    </row>
    <row r="123" spans="1:13" s="16" customFormat="1" x14ac:dyDescent="0.25">
      <c r="A123" s="21" t="s">
        <v>106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1020.03</v>
      </c>
      <c r="M123" s="23">
        <f>SUM(Tabla24[[#This Row],[01. Alcaldía]:[11. Salud pública y seguridad ciudadana]])</f>
        <v>1020.03</v>
      </c>
    </row>
    <row r="124" spans="1:13" s="16" customFormat="1" x14ac:dyDescent="0.25">
      <c r="A124" s="21" t="s">
        <v>446</v>
      </c>
      <c r="B124" s="19"/>
      <c r="C124" s="19"/>
      <c r="D124" s="19"/>
      <c r="E124" s="19"/>
      <c r="F124" s="19"/>
      <c r="G124" s="19">
        <v>186</v>
      </c>
      <c r="H124" s="19"/>
      <c r="I124" s="19"/>
      <c r="J124" s="19"/>
      <c r="K124" s="19">
        <v>696.23</v>
      </c>
      <c r="L124" s="19"/>
      <c r="M124" s="23">
        <f>SUM(Tabla24[[#This Row],[01. Alcaldía]:[11. Salud pública y seguridad ciudadana]])</f>
        <v>882.23</v>
      </c>
    </row>
    <row r="125" spans="1:13" s="16" customFormat="1" x14ac:dyDescent="0.25">
      <c r="A125" s="21" t="s">
        <v>480</v>
      </c>
      <c r="B125" s="19"/>
      <c r="C125" s="19"/>
      <c r="D125" s="19">
        <v>52.24</v>
      </c>
      <c r="E125" s="19"/>
      <c r="F125" s="19"/>
      <c r="G125" s="19"/>
      <c r="H125" s="19"/>
      <c r="I125" s="19"/>
      <c r="J125" s="19"/>
      <c r="K125" s="19"/>
      <c r="L125" s="19"/>
      <c r="M125" s="23">
        <f>SUM(Tabla24[[#This Row],[01. Alcaldía]:[11. Salud pública y seguridad ciudadana]])</f>
        <v>52.24</v>
      </c>
    </row>
    <row r="126" spans="1:13" s="16" customFormat="1" x14ac:dyDescent="0.25">
      <c r="A126" s="21" t="s">
        <v>1750</v>
      </c>
      <c r="B126" s="19">
        <v>364.6</v>
      </c>
      <c r="C126" s="19"/>
      <c r="D126" s="19">
        <v>114.95</v>
      </c>
      <c r="E126" s="19"/>
      <c r="F126" s="19"/>
      <c r="G126" s="19">
        <v>7253.95</v>
      </c>
      <c r="H126" s="19"/>
      <c r="I126" s="19"/>
      <c r="J126" s="19"/>
      <c r="K126" s="19">
        <v>427.25</v>
      </c>
      <c r="L126" s="19"/>
      <c r="M126" s="23">
        <f>SUM(Tabla24[[#This Row],[01. Alcaldía]:[11. Salud pública y seguridad ciudadana]])</f>
        <v>8160.75</v>
      </c>
    </row>
    <row r="127" spans="1:13" s="16" customFormat="1" x14ac:dyDescent="0.25">
      <c r="A127" s="21" t="s">
        <v>4151</v>
      </c>
      <c r="B127" s="19"/>
      <c r="C127" s="19"/>
      <c r="D127" s="19"/>
      <c r="E127" s="19"/>
      <c r="F127" s="19"/>
      <c r="G127" s="19">
        <v>145.19999999999999</v>
      </c>
      <c r="H127" s="19"/>
      <c r="I127" s="19"/>
      <c r="J127" s="19"/>
      <c r="K127" s="19"/>
      <c r="L127" s="19"/>
      <c r="M127" s="23">
        <f>SUM(Tabla24[[#This Row],[01. Alcaldía]:[11. Salud pública y seguridad ciudadana]])</f>
        <v>145.19999999999999</v>
      </c>
    </row>
    <row r="128" spans="1:13" s="16" customFormat="1" x14ac:dyDescent="0.25">
      <c r="A128" s="21" t="s">
        <v>53</v>
      </c>
      <c r="B128" s="19"/>
      <c r="C128" s="19"/>
      <c r="D128" s="19">
        <v>2664.25</v>
      </c>
      <c r="E128" s="19"/>
      <c r="F128" s="19"/>
      <c r="G128" s="19"/>
      <c r="H128" s="19"/>
      <c r="I128" s="19"/>
      <c r="J128" s="19"/>
      <c r="K128" s="19"/>
      <c r="L128" s="19"/>
      <c r="M128" s="23">
        <f>SUM(Tabla24[[#This Row],[01. Alcaldía]:[11. Salud pública y seguridad ciudadana]])</f>
        <v>2664.25</v>
      </c>
    </row>
    <row r="129" spans="1:13" s="16" customFormat="1" x14ac:dyDescent="0.25">
      <c r="A129" s="21" t="s">
        <v>1800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1267.92</v>
      </c>
      <c r="L129" s="19"/>
      <c r="M129" s="23">
        <f>SUM(Tabla24[[#This Row],[01. Alcaldía]:[11. Salud pública y seguridad ciudadana]])</f>
        <v>1267.92</v>
      </c>
    </row>
    <row r="130" spans="1:13" s="16" customFormat="1" x14ac:dyDescent="0.25">
      <c r="A130" s="21" t="s">
        <v>1807</v>
      </c>
      <c r="B130" s="19"/>
      <c r="C130" s="19"/>
      <c r="D130" s="19"/>
      <c r="E130" s="19"/>
      <c r="F130" s="19"/>
      <c r="G130" s="19">
        <v>114.66</v>
      </c>
      <c r="H130" s="19"/>
      <c r="I130" s="19"/>
      <c r="J130" s="19"/>
      <c r="K130" s="19"/>
      <c r="L130" s="19"/>
      <c r="M130" s="23">
        <f>SUM(Tabla24[[#This Row],[01. Alcaldía]:[11. Salud pública y seguridad ciudadana]])</f>
        <v>114.66</v>
      </c>
    </row>
    <row r="131" spans="1:13" s="16" customFormat="1" x14ac:dyDescent="0.25">
      <c r="A131" s="21" t="s">
        <v>1810</v>
      </c>
      <c r="B131" s="19"/>
      <c r="C131" s="19">
        <v>18148.73</v>
      </c>
      <c r="D131" s="19"/>
      <c r="E131" s="19"/>
      <c r="F131" s="19"/>
      <c r="G131" s="19"/>
      <c r="H131" s="19"/>
      <c r="I131" s="19"/>
      <c r="J131" s="19"/>
      <c r="K131" s="19"/>
      <c r="L131" s="19"/>
      <c r="M131" s="23">
        <f>SUM(Tabla24[[#This Row],[01. Alcaldía]:[11. Salud pública y seguridad ciudadana]])</f>
        <v>18148.73</v>
      </c>
    </row>
    <row r="132" spans="1:13" s="16" customFormat="1" x14ac:dyDescent="0.25">
      <c r="A132" s="21" t="s">
        <v>4292</v>
      </c>
      <c r="B132" s="19"/>
      <c r="C132" s="19"/>
      <c r="D132" s="19"/>
      <c r="E132" s="19">
        <v>2669.14</v>
      </c>
      <c r="F132" s="19"/>
      <c r="G132" s="19"/>
      <c r="H132" s="19"/>
      <c r="I132" s="19"/>
      <c r="J132" s="19"/>
      <c r="K132" s="19"/>
      <c r="L132" s="19"/>
      <c r="M132" s="23">
        <f>SUM(Tabla24[[#This Row],[01. Alcaldía]:[11. Salud pública y seguridad ciudadana]])</f>
        <v>2669.14</v>
      </c>
    </row>
    <row r="133" spans="1:13" s="16" customFormat="1" x14ac:dyDescent="0.25">
      <c r="A133" s="21" t="s">
        <v>4294</v>
      </c>
      <c r="B133" s="19"/>
      <c r="C133" s="19"/>
      <c r="D133" s="19"/>
      <c r="E133" s="19"/>
      <c r="F133" s="19"/>
      <c r="G133" s="19">
        <v>450.01</v>
      </c>
      <c r="H133" s="19"/>
      <c r="I133" s="19"/>
      <c r="J133" s="19"/>
      <c r="K133" s="19"/>
      <c r="L133" s="19"/>
      <c r="M133" s="23">
        <f>SUM(Tabla24[[#This Row],[01. Alcaldía]:[11. Salud pública y seguridad ciudadana]])</f>
        <v>450.01</v>
      </c>
    </row>
    <row r="134" spans="1:13" s="16" customFormat="1" x14ac:dyDescent="0.25">
      <c r="A134" s="21" t="s">
        <v>432</v>
      </c>
      <c r="B134" s="19"/>
      <c r="C134" s="19"/>
      <c r="D134" s="19">
        <v>528.77</v>
      </c>
      <c r="E134" s="19"/>
      <c r="F134" s="19"/>
      <c r="G134" s="19"/>
      <c r="H134" s="19"/>
      <c r="I134" s="19"/>
      <c r="J134" s="19"/>
      <c r="K134" s="19"/>
      <c r="L134" s="19"/>
      <c r="M134" s="23">
        <f>SUM(Tabla24[[#This Row],[01. Alcaldía]:[11. Salud pública y seguridad ciudadana]])</f>
        <v>528.77</v>
      </c>
    </row>
    <row r="135" spans="1:13" s="16" customFormat="1" x14ac:dyDescent="0.25">
      <c r="A135" s="21" t="s">
        <v>5053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5711.2</v>
      </c>
      <c r="M135" s="23">
        <f>SUM(Tabla24[[#This Row],[01. Alcaldía]:[11. Salud pública y seguridad ciudadana]])</f>
        <v>5711.2</v>
      </c>
    </row>
    <row r="136" spans="1:13" s="16" customFormat="1" x14ac:dyDescent="0.25">
      <c r="A136" s="21" t="s">
        <v>5400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190.78</v>
      </c>
      <c r="L136" s="19"/>
      <c r="M136" s="23">
        <f>SUM(Tabla24[[#This Row],[01. Alcaldía]:[11. Salud pública y seguridad ciudadana]])</f>
        <v>190.78</v>
      </c>
    </row>
    <row r="137" spans="1:13" s="16" customFormat="1" x14ac:dyDescent="0.25">
      <c r="A137" s="21" t="s">
        <v>1825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12939.6</v>
      </c>
      <c r="M137" s="23">
        <f>SUM(Tabla24[[#This Row],[01. Alcaldía]:[11. Salud pública y seguridad ciudadana]])</f>
        <v>12939.6</v>
      </c>
    </row>
    <row r="138" spans="1:13" s="16" customFormat="1" x14ac:dyDescent="0.25">
      <c r="A138" s="21" t="s">
        <v>444</v>
      </c>
      <c r="B138" s="19"/>
      <c r="C138" s="19">
        <v>1564.05</v>
      </c>
      <c r="D138" s="19"/>
      <c r="E138" s="19"/>
      <c r="F138" s="19"/>
      <c r="G138" s="19"/>
      <c r="H138" s="19"/>
      <c r="I138" s="19"/>
      <c r="J138" s="19"/>
      <c r="K138" s="19"/>
      <c r="L138" s="19"/>
      <c r="M138" s="23">
        <f>SUM(Tabla24[[#This Row],[01. Alcaldía]:[11. Salud pública y seguridad ciudadana]])</f>
        <v>1564.05</v>
      </c>
    </row>
    <row r="139" spans="1:13" s="16" customFormat="1" x14ac:dyDescent="0.25">
      <c r="A139" s="21" t="s">
        <v>397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249.97</v>
      </c>
      <c r="M139" s="23">
        <f>SUM(Tabla24[[#This Row],[01. Alcaldía]:[11. Salud pública y seguridad ciudadana]])</f>
        <v>249.97</v>
      </c>
    </row>
    <row r="140" spans="1:13" s="16" customFormat="1" x14ac:dyDescent="0.25">
      <c r="A140" s="21" t="s">
        <v>4306</v>
      </c>
      <c r="B140" s="19"/>
      <c r="C140" s="19"/>
      <c r="D140" s="19"/>
      <c r="E140" s="19"/>
      <c r="F140" s="19"/>
      <c r="G140" s="19"/>
      <c r="H140" s="19"/>
      <c r="I140" s="19">
        <v>119.77</v>
      </c>
      <c r="J140" s="19"/>
      <c r="K140" s="19"/>
      <c r="L140" s="19">
        <v>145.65</v>
      </c>
      <c r="M140" s="23">
        <f>SUM(Tabla24[[#This Row],[01. Alcaldía]:[11. Salud pública y seguridad ciudadana]])</f>
        <v>265.42</v>
      </c>
    </row>
    <row r="141" spans="1:13" s="16" customFormat="1" x14ac:dyDescent="0.25">
      <c r="A141" s="21" t="s">
        <v>1871</v>
      </c>
      <c r="B141" s="19"/>
      <c r="C141" s="19"/>
      <c r="D141" s="19">
        <v>1136.2600000000002</v>
      </c>
      <c r="E141" s="19"/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1136.2600000000002</v>
      </c>
    </row>
    <row r="142" spans="1:13" s="16" customFormat="1" x14ac:dyDescent="0.25">
      <c r="A142" s="21" t="s">
        <v>107</v>
      </c>
      <c r="B142" s="19"/>
      <c r="C142" s="19"/>
      <c r="D142" s="19"/>
      <c r="E142" s="19"/>
      <c r="F142" s="19"/>
      <c r="G142" s="19">
        <v>807.07</v>
      </c>
      <c r="H142" s="19"/>
      <c r="I142" s="19"/>
      <c r="J142" s="19"/>
      <c r="K142" s="19">
        <v>242</v>
      </c>
      <c r="L142" s="19"/>
      <c r="M142" s="23">
        <f>SUM(Tabla24[[#This Row],[01. Alcaldía]:[11. Salud pública y seguridad ciudadana]])</f>
        <v>1049.0700000000002</v>
      </c>
    </row>
    <row r="143" spans="1:13" s="16" customFormat="1" x14ac:dyDescent="0.25">
      <c r="A143" s="21" t="s">
        <v>1928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726</v>
      </c>
      <c r="M143" s="23">
        <f>SUM(Tabla24[[#This Row],[01. Alcaldía]:[11. Salud pública y seguridad ciudadana]])</f>
        <v>726</v>
      </c>
    </row>
    <row r="144" spans="1:13" s="16" customFormat="1" x14ac:dyDescent="0.25">
      <c r="A144" s="21" t="s">
        <v>4325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0</v>
      </c>
      <c r="M144" s="23">
        <f>SUM(Tabla24[[#This Row],[01. Alcaldía]:[11. Salud pública y seguridad ciudadana]])</f>
        <v>0</v>
      </c>
    </row>
    <row r="145" spans="1:13" s="16" customFormat="1" x14ac:dyDescent="0.25">
      <c r="A145" s="21" t="s">
        <v>1934</v>
      </c>
      <c r="B145" s="19"/>
      <c r="C145" s="19"/>
      <c r="D145" s="19"/>
      <c r="E145" s="19"/>
      <c r="F145" s="19"/>
      <c r="G145" s="19">
        <v>822.87</v>
      </c>
      <c r="H145" s="19"/>
      <c r="I145" s="19"/>
      <c r="J145" s="19"/>
      <c r="K145" s="19"/>
      <c r="L145" s="19"/>
      <c r="M145" s="23">
        <f>SUM(Tabla24[[#This Row],[01. Alcaldía]:[11. Salud pública y seguridad ciudadana]])</f>
        <v>822.87</v>
      </c>
    </row>
    <row r="146" spans="1:13" s="16" customFormat="1" x14ac:dyDescent="0.25">
      <c r="A146" s="21" t="s">
        <v>30</v>
      </c>
      <c r="B146" s="19"/>
      <c r="C146" s="19"/>
      <c r="D146" s="19"/>
      <c r="E146" s="19"/>
      <c r="F146" s="19"/>
      <c r="G146" s="19">
        <v>393.25</v>
      </c>
      <c r="H146" s="19">
        <v>2323.1999999999998</v>
      </c>
      <c r="I146" s="19"/>
      <c r="J146" s="19"/>
      <c r="K146" s="19"/>
      <c r="L146" s="19"/>
      <c r="M146" s="23">
        <f>SUM(Tabla24[[#This Row],[01. Alcaldía]:[11. Salud pública y seguridad ciudadana]])</f>
        <v>2716.45</v>
      </c>
    </row>
    <row r="147" spans="1:13" s="16" customFormat="1" x14ac:dyDescent="0.25">
      <c r="A147" s="21" t="s">
        <v>20</v>
      </c>
      <c r="B147" s="19"/>
      <c r="C147" s="19"/>
      <c r="D147" s="19">
        <v>7117.69</v>
      </c>
      <c r="E147" s="19"/>
      <c r="F147" s="19"/>
      <c r="G147" s="19">
        <v>33.82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7151.5099999999993</v>
      </c>
    </row>
    <row r="148" spans="1:13" s="16" customFormat="1" x14ac:dyDescent="0.25">
      <c r="A148" s="21" t="s">
        <v>2161</v>
      </c>
      <c r="B148" s="19"/>
      <c r="C148" s="19"/>
      <c r="D148" s="19">
        <v>1655.2800000000002</v>
      </c>
      <c r="E148" s="19"/>
      <c r="F148" s="19"/>
      <c r="G148" s="19"/>
      <c r="H148" s="19"/>
      <c r="I148" s="19"/>
      <c r="J148" s="19"/>
      <c r="K148" s="19"/>
      <c r="L148" s="19"/>
      <c r="M148" s="23">
        <f>SUM(Tabla24[[#This Row],[01. Alcaldía]:[11. Salud pública y seguridad ciudadana]])</f>
        <v>1655.2800000000002</v>
      </c>
    </row>
    <row r="149" spans="1:13" s="16" customFormat="1" x14ac:dyDescent="0.25">
      <c r="A149" s="21" t="s">
        <v>2166</v>
      </c>
      <c r="B149" s="19"/>
      <c r="C149" s="19"/>
      <c r="D149" s="19"/>
      <c r="E149" s="19"/>
      <c r="F149" s="19"/>
      <c r="G149" s="19"/>
      <c r="H149" s="19"/>
      <c r="I149" s="19"/>
      <c r="J149" s="19">
        <v>6050</v>
      </c>
      <c r="K149" s="19"/>
      <c r="L149" s="19"/>
      <c r="M149" s="23">
        <f>SUM(Tabla24[[#This Row],[01. Alcaldía]:[11. Salud pública y seguridad ciudadana]])</f>
        <v>6050</v>
      </c>
    </row>
    <row r="150" spans="1:13" s="16" customFormat="1" x14ac:dyDescent="0.25">
      <c r="A150" s="21" t="s">
        <v>2174</v>
      </c>
      <c r="B150" s="19"/>
      <c r="C150" s="19"/>
      <c r="D150" s="19"/>
      <c r="E150" s="19"/>
      <c r="F150" s="19"/>
      <c r="G150" s="19">
        <v>20</v>
      </c>
      <c r="H150" s="19"/>
      <c r="I150" s="19"/>
      <c r="J150" s="19"/>
      <c r="K150" s="19"/>
      <c r="L150" s="19"/>
      <c r="M150" s="23">
        <f>SUM(Tabla24[[#This Row],[01. Alcaldía]:[11. Salud pública y seguridad ciudadana]])</f>
        <v>20</v>
      </c>
    </row>
    <row r="151" spans="1:13" s="16" customFormat="1" x14ac:dyDescent="0.25">
      <c r="A151" s="21" t="s">
        <v>4353</v>
      </c>
      <c r="B151" s="19"/>
      <c r="C151" s="19"/>
      <c r="D151" s="19"/>
      <c r="E151" s="19"/>
      <c r="F151" s="19"/>
      <c r="G151" s="19">
        <v>38</v>
      </c>
      <c r="H151" s="19"/>
      <c r="I151" s="19"/>
      <c r="J151" s="19"/>
      <c r="K151" s="19"/>
      <c r="L151" s="19"/>
      <c r="M151" s="23">
        <f>SUM(Tabla24[[#This Row],[01. Alcaldía]:[11. Salud pública y seguridad ciudadana]])</f>
        <v>38</v>
      </c>
    </row>
    <row r="152" spans="1:13" s="16" customFormat="1" x14ac:dyDescent="0.25">
      <c r="A152" s="21" t="s">
        <v>1621</v>
      </c>
      <c r="B152" s="19"/>
      <c r="C152" s="19"/>
      <c r="D152" s="19">
        <v>3680.09</v>
      </c>
      <c r="E152" s="19"/>
      <c r="F152" s="19"/>
      <c r="G152" s="19"/>
      <c r="H152" s="19"/>
      <c r="I152" s="19"/>
      <c r="J152" s="19"/>
      <c r="K152" s="19">
        <v>1441.9</v>
      </c>
      <c r="L152" s="19"/>
      <c r="M152" s="23">
        <f>SUM(Tabla24[[#This Row],[01. Alcaldía]:[11. Salud pública y seguridad ciudadana]])</f>
        <v>5121.99</v>
      </c>
    </row>
    <row r="153" spans="1:13" s="16" customFormat="1" x14ac:dyDescent="0.25">
      <c r="A153" s="21" t="s">
        <v>2424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8772.5</v>
      </c>
      <c r="M153" s="23">
        <f>SUM(Tabla24[[#This Row],[01. Alcaldía]:[11. Salud pública y seguridad ciudadana]])</f>
        <v>8772.5</v>
      </c>
    </row>
    <row r="154" spans="1:13" s="16" customFormat="1" x14ac:dyDescent="0.25">
      <c r="A154" s="21" t="s">
        <v>4375</v>
      </c>
      <c r="B154" s="19"/>
      <c r="C154" s="19"/>
      <c r="D154" s="19"/>
      <c r="E154" s="19"/>
      <c r="F154" s="19"/>
      <c r="G154" s="19">
        <v>1986.34</v>
      </c>
      <c r="H154" s="19"/>
      <c r="I154" s="19"/>
      <c r="J154" s="19"/>
      <c r="K154" s="19"/>
      <c r="L154" s="19"/>
      <c r="M154" s="23">
        <f>SUM(Tabla24[[#This Row],[01. Alcaldía]:[11. Salud pública y seguridad ciudadana]])</f>
        <v>1986.34</v>
      </c>
    </row>
    <row r="155" spans="1:13" s="16" customFormat="1" x14ac:dyDescent="0.25">
      <c r="A155" s="21" t="s">
        <v>4785</v>
      </c>
      <c r="B155" s="19"/>
      <c r="C155" s="19"/>
      <c r="D155" s="19"/>
      <c r="E155" s="19">
        <v>6190.0300000000007</v>
      </c>
      <c r="F155" s="19"/>
      <c r="G155" s="19"/>
      <c r="H155" s="19"/>
      <c r="I155" s="19"/>
      <c r="J155" s="19"/>
      <c r="K155" s="19"/>
      <c r="L155" s="19"/>
      <c r="M155" s="23">
        <f>SUM(Tabla24[[#This Row],[01. Alcaldía]:[11. Salud pública y seguridad ciudadana]])</f>
        <v>6190.0300000000007</v>
      </c>
    </row>
    <row r="156" spans="1:13" s="16" customFormat="1" x14ac:dyDescent="0.25">
      <c r="A156" s="21" t="s">
        <v>4377</v>
      </c>
      <c r="B156" s="19"/>
      <c r="C156" s="19"/>
      <c r="D156" s="19"/>
      <c r="E156" s="19"/>
      <c r="F156" s="19"/>
      <c r="G156" s="19"/>
      <c r="H156" s="19"/>
      <c r="I156" s="19">
        <v>1437.01</v>
      </c>
      <c r="J156" s="19"/>
      <c r="K156" s="19"/>
      <c r="L156" s="19"/>
      <c r="M156" s="23">
        <f>SUM(Tabla24[[#This Row],[01. Alcaldía]:[11. Salud pública y seguridad ciudadana]])</f>
        <v>1437.01</v>
      </c>
    </row>
    <row r="157" spans="1:13" s="16" customFormat="1" x14ac:dyDescent="0.25">
      <c r="A157" s="21" t="s">
        <v>4379</v>
      </c>
      <c r="B157" s="19"/>
      <c r="C157" s="19"/>
      <c r="D157" s="19">
        <v>956.47</v>
      </c>
      <c r="E157" s="19"/>
      <c r="F157" s="19"/>
      <c r="G157" s="19"/>
      <c r="H157" s="19"/>
      <c r="I157" s="19"/>
      <c r="J157" s="19"/>
      <c r="K157" s="19"/>
      <c r="L157" s="19"/>
      <c r="M157" s="23">
        <f>SUM(Tabla24[[#This Row],[01. Alcaldía]:[11. Salud pública y seguridad ciudadana]])</f>
        <v>956.47</v>
      </c>
    </row>
    <row r="158" spans="1:13" s="16" customFormat="1" x14ac:dyDescent="0.25">
      <c r="A158" s="21" t="s">
        <v>4381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946.26</v>
      </c>
      <c r="M158" s="23">
        <f>SUM(Tabla24[[#This Row],[01. Alcaldía]:[11. Salud pública y seguridad ciudadana]])</f>
        <v>946.26</v>
      </c>
    </row>
    <row r="159" spans="1:13" s="16" customFormat="1" x14ac:dyDescent="0.25">
      <c r="A159" s="21" t="s">
        <v>506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38</v>
      </c>
      <c r="M159" s="23">
        <f>SUM(Tabla24[[#This Row],[01. Alcaldía]:[11. Salud pública y seguridad ciudadana]])</f>
        <v>38</v>
      </c>
    </row>
    <row r="160" spans="1:13" s="16" customFormat="1" x14ac:dyDescent="0.25">
      <c r="A160" s="21" t="s">
        <v>2318</v>
      </c>
      <c r="B160" s="19"/>
      <c r="C160" s="19"/>
      <c r="D160" s="19">
        <v>412.5</v>
      </c>
      <c r="E160" s="19"/>
      <c r="F160" s="19"/>
      <c r="G160" s="19"/>
      <c r="H160" s="19"/>
      <c r="I160" s="19"/>
      <c r="J160" s="19"/>
      <c r="K160" s="19"/>
      <c r="L160" s="19"/>
      <c r="M160" s="23">
        <f>SUM(Tabla24[[#This Row],[01. Alcaldía]:[11. Salud pública y seguridad ciudadana]])</f>
        <v>412.5</v>
      </c>
    </row>
    <row r="161" spans="1:13" s="16" customFormat="1" x14ac:dyDescent="0.25">
      <c r="A161" s="21" t="s">
        <v>2328</v>
      </c>
      <c r="B161" s="19"/>
      <c r="C161" s="19"/>
      <c r="D161" s="19"/>
      <c r="E161" s="19"/>
      <c r="F161" s="19"/>
      <c r="G161" s="19"/>
      <c r="H161" s="19">
        <v>2009.04</v>
      </c>
      <c r="I161" s="19"/>
      <c r="J161" s="19"/>
      <c r="K161" s="19"/>
      <c r="L161" s="19"/>
      <c r="M161" s="23">
        <f>SUM(Tabla24[[#This Row],[01. Alcaldía]:[11. Salud pública y seguridad ciudadana]])</f>
        <v>2009.04</v>
      </c>
    </row>
    <row r="162" spans="1:13" s="16" customFormat="1" x14ac:dyDescent="0.25">
      <c r="A162" s="21" t="s">
        <v>114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600</v>
      </c>
      <c r="M162" s="23">
        <f>SUM(Tabla24[[#This Row],[01. Alcaldía]:[11. Salud pública y seguridad ciudadana]])</f>
        <v>600</v>
      </c>
    </row>
    <row r="163" spans="1:13" s="16" customFormat="1" x14ac:dyDescent="0.25">
      <c r="A163" s="21" t="s">
        <v>4396</v>
      </c>
      <c r="B163" s="19"/>
      <c r="C163" s="19"/>
      <c r="D163" s="19"/>
      <c r="E163" s="19"/>
      <c r="F163" s="19"/>
      <c r="G163" s="19"/>
      <c r="H163" s="19"/>
      <c r="I163" s="19">
        <v>2028</v>
      </c>
      <c r="J163" s="19"/>
      <c r="K163" s="19"/>
      <c r="L163" s="19"/>
      <c r="M163" s="23">
        <f>SUM(Tabla24[[#This Row],[01. Alcaldía]:[11. Salud pública y seguridad ciudadana]])</f>
        <v>2028</v>
      </c>
    </row>
    <row r="164" spans="1:13" s="16" customFormat="1" x14ac:dyDescent="0.25">
      <c r="A164" s="21" t="s">
        <v>93</v>
      </c>
      <c r="B164" s="19"/>
      <c r="C164" s="19"/>
      <c r="D164" s="19">
        <v>564.53</v>
      </c>
      <c r="E164" s="19"/>
      <c r="F164" s="19"/>
      <c r="G164" s="19"/>
      <c r="H164" s="19">
        <v>1500</v>
      </c>
      <c r="I164" s="19"/>
      <c r="J164" s="19"/>
      <c r="K164" s="19"/>
      <c r="L164" s="19"/>
      <c r="M164" s="23">
        <f>SUM(Tabla24[[#This Row],[01. Alcaldía]:[11. Salud pública y seguridad ciudadana]])</f>
        <v>2064.5299999999997</v>
      </c>
    </row>
    <row r="165" spans="1:13" s="16" customFormat="1" x14ac:dyDescent="0.25">
      <c r="A165" s="21" t="s">
        <v>5037</v>
      </c>
      <c r="B165" s="19"/>
      <c r="C165" s="19"/>
      <c r="D165" s="19"/>
      <c r="E165" s="19"/>
      <c r="F165" s="19"/>
      <c r="G165" s="19">
        <v>7260</v>
      </c>
      <c r="H165" s="19"/>
      <c r="I165" s="19"/>
      <c r="J165" s="19"/>
      <c r="K165" s="19"/>
      <c r="L165" s="19"/>
      <c r="M165" s="23">
        <f>SUM(Tabla24[[#This Row],[01. Alcaldía]:[11. Salud pública y seguridad ciudadana]])</f>
        <v>7260</v>
      </c>
    </row>
    <row r="166" spans="1:13" s="16" customFormat="1" x14ac:dyDescent="0.25">
      <c r="A166" s="21" t="s">
        <v>63</v>
      </c>
      <c r="B166" s="19"/>
      <c r="C166" s="19"/>
      <c r="D166" s="19"/>
      <c r="E166" s="19"/>
      <c r="F166" s="19"/>
      <c r="G166" s="19"/>
      <c r="H166" s="19">
        <v>4911</v>
      </c>
      <c r="I166" s="19"/>
      <c r="J166" s="19"/>
      <c r="K166" s="19"/>
      <c r="L166" s="19"/>
      <c r="M166" s="23">
        <f>SUM(Tabla24[[#This Row],[01. Alcaldía]:[11. Salud pública y seguridad ciudadana]])</f>
        <v>4911</v>
      </c>
    </row>
    <row r="167" spans="1:13" s="16" customFormat="1" x14ac:dyDescent="0.25">
      <c r="A167" s="21" t="s">
        <v>2385</v>
      </c>
      <c r="B167" s="19"/>
      <c r="C167" s="19"/>
      <c r="D167" s="19"/>
      <c r="E167" s="19">
        <v>3496.9</v>
      </c>
      <c r="F167" s="19"/>
      <c r="G167" s="19"/>
      <c r="H167" s="19"/>
      <c r="I167" s="19"/>
      <c r="J167" s="19"/>
      <c r="K167" s="19"/>
      <c r="L167" s="19"/>
      <c r="M167" s="23">
        <f>SUM(Tabla24[[#This Row],[01. Alcaldía]:[11. Salud pública y seguridad ciudadana]])</f>
        <v>3496.9</v>
      </c>
    </row>
    <row r="168" spans="1:13" s="16" customFormat="1" x14ac:dyDescent="0.25">
      <c r="A168" s="21" t="s">
        <v>4495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3155.4399999999996</v>
      </c>
      <c r="M168" s="23">
        <f>SUM(Tabla24[[#This Row],[01. Alcaldía]:[11. Salud pública y seguridad ciudadana]])</f>
        <v>3155.4399999999996</v>
      </c>
    </row>
    <row r="169" spans="1:13" s="16" customFormat="1" x14ac:dyDescent="0.25">
      <c r="A169" s="21" t="s">
        <v>2576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200</v>
      </c>
      <c r="L169" s="19"/>
      <c r="M169" s="23">
        <f>SUM(Tabla24[[#This Row],[01. Alcaldía]:[11. Salud pública y seguridad ciudadana]])</f>
        <v>200</v>
      </c>
    </row>
    <row r="170" spans="1:13" s="16" customFormat="1" x14ac:dyDescent="0.25">
      <c r="A170" s="21" t="s">
        <v>2583</v>
      </c>
      <c r="B170" s="19"/>
      <c r="C170" s="19"/>
      <c r="D170" s="19"/>
      <c r="E170" s="19"/>
      <c r="F170" s="19"/>
      <c r="G170" s="19">
        <v>609.48</v>
      </c>
      <c r="H170" s="19"/>
      <c r="I170" s="19"/>
      <c r="J170" s="19"/>
      <c r="K170" s="19"/>
      <c r="L170" s="19"/>
      <c r="M170" s="23">
        <f>SUM(Tabla24[[#This Row],[01. Alcaldía]:[11. Salud pública y seguridad ciudadana]])</f>
        <v>609.48</v>
      </c>
    </row>
    <row r="171" spans="1:13" s="16" customFormat="1" x14ac:dyDescent="0.25">
      <c r="A171" s="21" t="s">
        <v>112</v>
      </c>
      <c r="B171" s="19"/>
      <c r="C171" s="19"/>
      <c r="D171" s="19">
        <v>1459.69</v>
      </c>
      <c r="E171" s="19"/>
      <c r="F171" s="19">
        <v>290.39999999999998</v>
      </c>
      <c r="G171" s="19">
        <v>5570.869999999999</v>
      </c>
      <c r="H171" s="19"/>
      <c r="I171" s="19"/>
      <c r="J171" s="19"/>
      <c r="K171" s="19">
        <v>358.15</v>
      </c>
      <c r="L171" s="19">
        <v>302.99</v>
      </c>
      <c r="M171" s="23">
        <f>SUM(Tabla24[[#This Row],[01. Alcaldía]:[11. Salud pública y seguridad ciudadana]])</f>
        <v>7982.0999999999985</v>
      </c>
    </row>
    <row r="172" spans="1:13" s="16" customFormat="1" x14ac:dyDescent="0.25">
      <c r="A172" s="21" t="s">
        <v>5329</v>
      </c>
      <c r="B172" s="19"/>
      <c r="C172" s="19">
        <v>1246.3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23">
        <f>SUM(Tabla24[[#This Row],[01. Alcaldía]:[11. Salud pública y seguridad ciudadana]])</f>
        <v>1246.3</v>
      </c>
    </row>
    <row r="173" spans="1:13" s="16" customFormat="1" x14ac:dyDescent="0.25">
      <c r="A173" s="21" t="s">
        <v>485</v>
      </c>
      <c r="B173" s="19"/>
      <c r="C173" s="19"/>
      <c r="D173" s="19"/>
      <c r="E173" s="19"/>
      <c r="F173" s="19"/>
      <c r="G173" s="19"/>
      <c r="H173" s="19">
        <v>6292</v>
      </c>
      <c r="I173" s="19"/>
      <c r="J173" s="19"/>
      <c r="K173" s="19"/>
      <c r="L173" s="19"/>
      <c r="M173" s="23">
        <f>SUM(Tabla24[[#This Row],[01. Alcaldía]:[11. Salud pública y seguridad ciudadana]])</f>
        <v>6292</v>
      </c>
    </row>
    <row r="174" spans="1:13" s="16" customFormat="1" x14ac:dyDescent="0.25">
      <c r="A174" s="21" t="s">
        <v>79</v>
      </c>
      <c r="B174" s="19"/>
      <c r="C174" s="19"/>
      <c r="D174" s="19"/>
      <c r="E174" s="19">
        <v>16000</v>
      </c>
      <c r="F174" s="19"/>
      <c r="G174" s="19"/>
      <c r="H174" s="19">
        <v>600</v>
      </c>
      <c r="I174" s="19"/>
      <c r="J174" s="19"/>
      <c r="K174" s="19"/>
      <c r="L174" s="19">
        <v>5978</v>
      </c>
      <c r="M174" s="23">
        <f>SUM(Tabla24[[#This Row],[01. Alcaldía]:[11. Salud pública y seguridad ciudadana]])</f>
        <v>22578</v>
      </c>
    </row>
    <row r="175" spans="1:13" s="16" customFormat="1" x14ac:dyDescent="0.25">
      <c r="A175" s="21" t="s">
        <v>91</v>
      </c>
      <c r="B175" s="19">
        <v>7253.95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23">
        <f>SUM(Tabla24[[#This Row],[01. Alcaldía]:[11. Salud pública y seguridad ciudadana]])</f>
        <v>7253.95</v>
      </c>
    </row>
    <row r="176" spans="1:13" s="16" customFormat="1" x14ac:dyDescent="0.25">
      <c r="A176" s="21" t="s">
        <v>4558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2178</v>
      </c>
      <c r="M176" s="23">
        <f>SUM(Tabla24[[#This Row],[01. Alcaldía]:[11. Salud pública y seguridad ciudadana]])</f>
        <v>2178</v>
      </c>
    </row>
    <row r="177" spans="1:13" s="16" customFormat="1" x14ac:dyDescent="0.25">
      <c r="A177" s="21" t="s">
        <v>73</v>
      </c>
      <c r="B177" s="19"/>
      <c r="C177" s="19"/>
      <c r="D177" s="19">
        <v>17478.71</v>
      </c>
      <c r="E177" s="19"/>
      <c r="F177" s="19"/>
      <c r="G177" s="19"/>
      <c r="H177" s="19"/>
      <c r="I177" s="19"/>
      <c r="J177" s="19"/>
      <c r="K177" s="19"/>
      <c r="L177" s="19"/>
      <c r="M177" s="23">
        <f>SUM(Tabla24[[#This Row],[01. Alcaldía]:[11. Salud pública y seguridad ciudadana]])</f>
        <v>17478.71</v>
      </c>
    </row>
    <row r="178" spans="1:13" s="16" customFormat="1" x14ac:dyDescent="0.25">
      <c r="A178" s="21" t="s">
        <v>2965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691.76</v>
      </c>
      <c r="L178" s="19"/>
      <c r="M178" s="23">
        <f>SUM(Tabla24[[#This Row],[01. Alcaldía]:[11. Salud pública y seguridad ciudadana]])</f>
        <v>691.76</v>
      </c>
    </row>
    <row r="179" spans="1:13" s="16" customFormat="1" x14ac:dyDescent="0.25">
      <c r="A179" s="21" t="s">
        <v>505</v>
      </c>
      <c r="B179" s="19"/>
      <c r="C179" s="19"/>
      <c r="D179" s="19">
        <v>37.82</v>
      </c>
      <c r="E179" s="19"/>
      <c r="F179" s="19"/>
      <c r="G179" s="19"/>
      <c r="H179" s="19"/>
      <c r="I179" s="19"/>
      <c r="J179" s="19"/>
      <c r="K179" s="19"/>
      <c r="L179" s="19">
        <v>275</v>
      </c>
      <c r="M179" s="23">
        <f>SUM(Tabla24[[#This Row],[01. Alcaldía]:[11. Salud pública y seguridad ciudadana]])</f>
        <v>312.82</v>
      </c>
    </row>
    <row r="180" spans="1:13" s="16" customFormat="1" x14ac:dyDescent="0.25">
      <c r="A180" s="21" t="s">
        <v>472</v>
      </c>
      <c r="B180" s="19"/>
      <c r="C180" s="19"/>
      <c r="D180" s="19"/>
      <c r="E180" s="19"/>
      <c r="F180" s="19"/>
      <c r="G180" s="19">
        <v>40.5</v>
      </c>
      <c r="H180" s="19"/>
      <c r="I180" s="19"/>
      <c r="J180" s="19"/>
      <c r="K180" s="19"/>
      <c r="L180" s="19"/>
      <c r="M180" s="23">
        <f>SUM(Tabla24[[#This Row],[01. Alcaldía]:[11. Salud pública y seguridad ciudadana]])</f>
        <v>40.5</v>
      </c>
    </row>
    <row r="181" spans="1:13" s="16" customFormat="1" x14ac:dyDescent="0.25">
      <c r="A181" s="21" t="s">
        <v>2743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33.6</v>
      </c>
      <c r="M181" s="23">
        <f>SUM(Tabla24[[#This Row],[01. Alcaldía]:[11. Salud pública y seguridad ciudadana]])</f>
        <v>33.6</v>
      </c>
    </row>
    <row r="182" spans="1:13" s="16" customFormat="1" x14ac:dyDescent="0.25">
      <c r="A182" s="21" t="s">
        <v>2746</v>
      </c>
      <c r="B182" s="19"/>
      <c r="C182" s="19"/>
      <c r="D182" s="19"/>
      <c r="E182" s="19"/>
      <c r="F182" s="19"/>
      <c r="G182" s="19">
        <v>27.55</v>
      </c>
      <c r="H182" s="19"/>
      <c r="I182" s="19"/>
      <c r="J182" s="19"/>
      <c r="K182" s="19"/>
      <c r="L182" s="19">
        <v>2497.4</v>
      </c>
      <c r="M182" s="23">
        <f>SUM(Tabla24[[#This Row],[01. Alcaldía]:[11. Salud pública y seguridad ciudadana]])</f>
        <v>2524.9500000000003</v>
      </c>
    </row>
    <row r="183" spans="1:13" s="16" customFormat="1" x14ac:dyDescent="0.25">
      <c r="A183" s="21" t="s">
        <v>2748</v>
      </c>
      <c r="B183" s="19"/>
      <c r="C183" s="19"/>
      <c r="D183" s="19"/>
      <c r="E183" s="19"/>
      <c r="F183" s="19"/>
      <c r="G183" s="19">
        <v>14.17</v>
      </c>
      <c r="H183" s="19"/>
      <c r="I183" s="19"/>
      <c r="J183" s="19"/>
      <c r="K183" s="19"/>
      <c r="L183" s="19"/>
      <c r="M183" s="23">
        <f>SUM(Tabla24[[#This Row],[01. Alcaldía]:[11. Salud pública y seguridad ciudadana]])</f>
        <v>14.17</v>
      </c>
    </row>
    <row r="184" spans="1:13" s="16" customFormat="1" x14ac:dyDescent="0.25">
      <c r="A184" s="21" t="s">
        <v>64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1500</v>
      </c>
      <c r="M184" s="23">
        <f>SUM(Tabla24[[#This Row],[01. Alcaldía]:[11. Salud pública y seguridad ciudadana]])</f>
        <v>1500</v>
      </c>
    </row>
    <row r="185" spans="1:13" s="16" customFormat="1" x14ac:dyDescent="0.25">
      <c r="A185" s="21" t="s">
        <v>2752</v>
      </c>
      <c r="B185" s="19"/>
      <c r="C185" s="19"/>
      <c r="D185" s="19">
        <v>5148.55</v>
      </c>
      <c r="E185" s="19"/>
      <c r="F185" s="19"/>
      <c r="G185" s="19"/>
      <c r="H185" s="19"/>
      <c r="I185" s="19"/>
      <c r="J185" s="19"/>
      <c r="K185" s="19"/>
      <c r="L185" s="19"/>
      <c r="M185" s="23">
        <f>SUM(Tabla24[[#This Row],[01. Alcaldía]:[11. Salud pública y seguridad ciudadana]])</f>
        <v>5148.55</v>
      </c>
    </row>
    <row r="186" spans="1:13" s="16" customFormat="1" x14ac:dyDescent="0.25">
      <c r="A186" s="21" t="s">
        <v>473</v>
      </c>
      <c r="B186" s="19"/>
      <c r="C186" s="19"/>
      <c r="D186" s="19"/>
      <c r="E186" s="19"/>
      <c r="F186" s="19"/>
      <c r="G186" s="19"/>
      <c r="H186" s="19"/>
      <c r="I186" s="19">
        <v>5445</v>
      </c>
      <c r="J186" s="19"/>
      <c r="K186" s="19"/>
      <c r="L186" s="19"/>
      <c r="M186" s="23">
        <f>SUM(Tabla24[[#This Row],[01. Alcaldía]:[11. Salud pública y seguridad ciudadana]])</f>
        <v>5445</v>
      </c>
    </row>
    <row r="187" spans="1:13" s="16" customFormat="1" x14ac:dyDescent="0.25">
      <c r="A187" s="21" t="s">
        <v>4576</v>
      </c>
      <c r="B187" s="19"/>
      <c r="C187" s="19"/>
      <c r="D187" s="19"/>
      <c r="E187" s="19"/>
      <c r="F187" s="19"/>
      <c r="G187" s="19">
        <v>2750</v>
      </c>
      <c r="H187" s="19"/>
      <c r="I187" s="19"/>
      <c r="J187" s="19"/>
      <c r="K187" s="19"/>
      <c r="L187" s="19"/>
      <c r="M187" s="23">
        <f>SUM(Tabla24[[#This Row],[01. Alcaldía]:[11. Salud pública y seguridad ciudadana]])</f>
        <v>2750</v>
      </c>
    </row>
    <row r="188" spans="1:13" s="16" customFormat="1" x14ac:dyDescent="0.25">
      <c r="A188" s="21" t="s">
        <v>351</v>
      </c>
      <c r="B188" s="19"/>
      <c r="C188" s="19"/>
      <c r="D188" s="19"/>
      <c r="E188" s="19"/>
      <c r="F188" s="19"/>
      <c r="G188" s="19">
        <v>1658.68</v>
      </c>
      <c r="H188" s="19"/>
      <c r="I188" s="19"/>
      <c r="J188" s="19"/>
      <c r="K188" s="19"/>
      <c r="L188" s="19"/>
      <c r="M188" s="23">
        <f>SUM(Tabla24[[#This Row],[01. Alcaldía]:[11. Salud pública y seguridad ciudadana]])</f>
        <v>1658.68</v>
      </c>
    </row>
    <row r="189" spans="1:13" s="16" customFormat="1" x14ac:dyDescent="0.25">
      <c r="A189" s="21" t="s">
        <v>33</v>
      </c>
      <c r="B189" s="19"/>
      <c r="C189" s="19"/>
      <c r="D189" s="19"/>
      <c r="E189" s="19"/>
      <c r="F189" s="19"/>
      <c r="G189" s="19">
        <v>1210</v>
      </c>
      <c r="H189" s="19"/>
      <c r="I189" s="19"/>
      <c r="J189" s="19"/>
      <c r="K189" s="19"/>
      <c r="L189" s="19"/>
      <c r="M189" s="23">
        <f>SUM(Tabla24[[#This Row],[01. Alcaldía]:[11. Salud pública y seguridad ciudadana]])</f>
        <v>1210</v>
      </c>
    </row>
    <row r="190" spans="1:13" s="16" customFormat="1" x14ac:dyDescent="0.25">
      <c r="A190" s="21" t="s">
        <v>336</v>
      </c>
      <c r="B190" s="19"/>
      <c r="C190" s="19"/>
      <c r="D190" s="19"/>
      <c r="E190" s="19"/>
      <c r="F190" s="19"/>
      <c r="G190" s="19">
        <v>653.4</v>
      </c>
      <c r="H190" s="19"/>
      <c r="I190" s="19"/>
      <c r="J190" s="19"/>
      <c r="K190" s="19"/>
      <c r="L190" s="19"/>
      <c r="M190" s="23">
        <f>SUM(Tabla24[[#This Row],[01. Alcaldía]:[11. Salud pública y seguridad ciudadana]])</f>
        <v>653.4</v>
      </c>
    </row>
    <row r="191" spans="1:13" s="16" customFormat="1" x14ac:dyDescent="0.25">
      <c r="A191" s="21" t="s">
        <v>2828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7.56</v>
      </c>
      <c r="M191" s="23">
        <f>SUM(Tabla24[[#This Row],[01. Alcaldía]:[11. Salud pública y seguridad ciudadana]])</f>
        <v>7.56</v>
      </c>
    </row>
    <row r="192" spans="1:13" s="16" customFormat="1" x14ac:dyDescent="0.25">
      <c r="A192" s="21" t="s">
        <v>56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5000</v>
      </c>
      <c r="M192" s="23">
        <f>SUM(Tabla24[[#This Row],[01. Alcaldía]:[11. Salud pública y seguridad ciudadana]])</f>
        <v>5000</v>
      </c>
    </row>
    <row r="193" spans="1:13" s="16" customFormat="1" x14ac:dyDescent="0.25">
      <c r="A193" s="21" t="s">
        <v>2836</v>
      </c>
      <c r="B193" s="19">
        <v>1185.8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23">
        <f>SUM(Tabla24[[#This Row],[01. Alcaldía]:[11. Salud pública y seguridad ciudadana]])</f>
        <v>1185.8</v>
      </c>
    </row>
    <row r="194" spans="1:13" s="16" customFormat="1" x14ac:dyDescent="0.25">
      <c r="A194" s="21" t="s">
        <v>5463</v>
      </c>
      <c r="B194" s="19">
        <v>64.13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64.13</v>
      </c>
    </row>
    <row r="195" spans="1:13" s="16" customFormat="1" x14ac:dyDescent="0.25">
      <c r="A195" s="21" t="s">
        <v>5138</v>
      </c>
      <c r="B195" s="19"/>
      <c r="C195" s="19">
        <v>2480.5</v>
      </c>
      <c r="D195" s="19"/>
      <c r="E195" s="19"/>
      <c r="F195" s="19"/>
      <c r="G195" s="19"/>
      <c r="H195" s="19"/>
      <c r="I195" s="19"/>
      <c r="J195" s="19"/>
      <c r="K195" s="19"/>
      <c r="L195" s="19"/>
      <c r="M195" s="23">
        <f>SUM(Tabla24[[#This Row],[01. Alcaldía]:[11. Salud pública y seguridad ciudadana]])</f>
        <v>2480.5</v>
      </c>
    </row>
    <row r="196" spans="1:13" s="16" customFormat="1" x14ac:dyDescent="0.25">
      <c r="A196" s="21" t="s">
        <v>425</v>
      </c>
      <c r="B196" s="19"/>
      <c r="C196" s="19"/>
      <c r="D196" s="19"/>
      <c r="E196" s="19"/>
      <c r="F196" s="19"/>
      <c r="G196" s="19">
        <v>462.71</v>
      </c>
      <c r="H196" s="19"/>
      <c r="I196" s="19"/>
      <c r="J196" s="19"/>
      <c r="K196" s="19"/>
      <c r="L196" s="19"/>
      <c r="M196" s="23">
        <f>SUM(Tabla24[[#This Row],[01. Alcaldía]:[11. Salud pública y seguridad ciudadana]])</f>
        <v>462.71</v>
      </c>
    </row>
    <row r="197" spans="1:13" s="16" customFormat="1" x14ac:dyDescent="0.25">
      <c r="A197" s="21" t="s">
        <v>437</v>
      </c>
      <c r="B197" s="19">
        <v>2773.32</v>
      </c>
      <c r="C197" s="19"/>
      <c r="D197" s="19">
        <v>119.19</v>
      </c>
      <c r="E197" s="19">
        <v>2500</v>
      </c>
      <c r="F197" s="19"/>
      <c r="G197" s="19">
        <v>75.02</v>
      </c>
      <c r="H197" s="19"/>
      <c r="I197" s="19"/>
      <c r="J197" s="19"/>
      <c r="K197" s="19">
        <v>102.85</v>
      </c>
      <c r="L197" s="19"/>
      <c r="M197" s="23">
        <f>SUM(Tabla24[[#This Row],[01. Alcaldía]:[11. Salud pública y seguridad ciudadana]])</f>
        <v>5570.380000000001</v>
      </c>
    </row>
    <row r="198" spans="1:13" s="16" customFormat="1" x14ac:dyDescent="0.25">
      <c r="A198" s="21" t="s">
        <v>4595</v>
      </c>
      <c r="B198" s="19">
        <v>1247.5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1247.5</v>
      </c>
    </row>
    <row r="199" spans="1:13" s="16" customFormat="1" x14ac:dyDescent="0.25">
      <c r="A199" s="21" t="s">
        <v>100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1860</v>
      </c>
      <c r="L199" s="19"/>
      <c r="M199" s="23">
        <f>SUM(Tabla24[[#This Row],[01. Alcaldía]:[11. Salud pública y seguridad ciudadana]])</f>
        <v>1860</v>
      </c>
    </row>
    <row r="200" spans="1:13" s="16" customFormat="1" x14ac:dyDescent="0.25">
      <c r="A200" s="21" t="s">
        <v>2900</v>
      </c>
      <c r="B200" s="19"/>
      <c r="C200" s="19"/>
      <c r="D200" s="19"/>
      <c r="E200" s="19"/>
      <c r="F200" s="19"/>
      <c r="G200" s="19"/>
      <c r="H200" s="19"/>
      <c r="I200" s="19"/>
      <c r="J200" s="19">
        <v>968.06</v>
      </c>
      <c r="K200" s="19"/>
      <c r="L200" s="19"/>
      <c r="M200" s="23">
        <f>SUM(Tabla24[[#This Row],[01. Alcaldía]:[11. Salud pública y seguridad ciudadana]])</f>
        <v>968.06</v>
      </c>
    </row>
    <row r="201" spans="1:13" s="16" customFormat="1" x14ac:dyDescent="0.25">
      <c r="A201" s="21" t="s">
        <v>2904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3668.12</v>
      </c>
      <c r="M201" s="23">
        <f>SUM(Tabla24[[#This Row],[01. Alcaldía]:[11. Salud pública y seguridad ciudadana]])</f>
        <v>3668.12</v>
      </c>
    </row>
    <row r="202" spans="1:13" s="16" customFormat="1" x14ac:dyDescent="0.25">
      <c r="A202" s="21" t="s">
        <v>4602</v>
      </c>
      <c r="B202" s="19"/>
      <c r="C202" s="19"/>
      <c r="D202" s="19"/>
      <c r="E202" s="19"/>
      <c r="F202" s="19"/>
      <c r="G202" s="19"/>
      <c r="H202" s="19">
        <v>1207.3399999999999</v>
      </c>
      <c r="I202" s="19"/>
      <c r="J202" s="19"/>
      <c r="K202" s="19"/>
      <c r="L202" s="19"/>
      <c r="M202" s="23">
        <f>SUM(Tabla24[[#This Row],[01. Alcaldía]:[11. Salud pública y seguridad ciudadana]])</f>
        <v>1207.3399999999999</v>
      </c>
    </row>
    <row r="203" spans="1:13" s="16" customFormat="1" x14ac:dyDescent="0.25">
      <c r="A203" s="21" t="s">
        <v>429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5617.79</v>
      </c>
      <c r="M203" s="23">
        <f>SUM(Tabla24[[#This Row],[01. Alcaldía]:[11. Salud pública y seguridad ciudadana]])</f>
        <v>5617.79</v>
      </c>
    </row>
    <row r="204" spans="1:13" s="16" customFormat="1" x14ac:dyDescent="0.25">
      <c r="A204" s="21" t="s">
        <v>2919</v>
      </c>
      <c r="B204" s="19"/>
      <c r="C204" s="19"/>
      <c r="D204" s="19"/>
      <c r="E204" s="19"/>
      <c r="F204" s="19"/>
      <c r="G204" s="19">
        <v>2199.1799999999998</v>
      </c>
      <c r="H204" s="19"/>
      <c r="I204" s="19"/>
      <c r="J204" s="19"/>
      <c r="K204" s="19"/>
      <c r="L204" s="19"/>
      <c r="M204" s="23">
        <f>SUM(Tabla24[[#This Row],[01. Alcaldía]:[11. Salud pública y seguridad ciudadana]])</f>
        <v>2199.1799999999998</v>
      </c>
    </row>
    <row r="205" spans="1:13" s="16" customFormat="1" x14ac:dyDescent="0.25">
      <c r="A205" s="21" t="s">
        <v>2924</v>
      </c>
      <c r="B205" s="19">
        <v>611.04999999999995</v>
      </c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23">
        <f>SUM(Tabla24[[#This Row],[01. Alcaldía]:[11. Salud pública y seguridad ciudadana]])</f>
        <v>611.04999999999995</v>
      </c>
    </row>
    <row r="206" spans="1:13" s="16" customFormat="1" x14ac:dyDescent="0.25">
      <c r="A206" s="21" t="s">
        <v>431</v>
      </c>
      <c r="B206" s="19"/>
      <c r="C206" s="19"/>
      <c r="D206" s="19"/>
      <c r="E206" s="19"/>
      <c r="F206" s="19"/>
      <c r="G206" s="19">
        <v>6217.13</v>
      </c>
      <c r="H206" s="19"/>
      <c r="I206" s="19"/>
      <c r="J206" s="19"/>
      <c r="K206" s="19"/>
      <c r="L206" s="19"/>
      <c r="M206" s="23">
        <f>SUM(Tabla24[[#This Row],[01. Alcaldía]:[11. Salud pública y seguridad ciudadana]])</f>
        <v>6217.13</v>
      </c>
    </row>
    <row r="207" spans="1:13" s="16" customFormat="1" x14ac:dyDescent="0.25">
      <c r="A207" s="21" t="s">
        <v>333</v>
      </c>
      <c r="B207" s="19"/>
      <c r="C207" s="19"/>
      <c r="D207" s="19"/>
      <c r="E207" s="19"/>
      <c r="F207" s="19"/>
      <c r="G207" s="19"/>
      <c r="H207" s="19"/>
      <c r="I207" s="19">
        <v>4950</v>
      </c>
      <c r="J207" s="19"/>
      <c r="K207" s="19"/>
      <c r="L207" s="19"/>
      <c r="M207" s="23">
        <f>SUM(Tabla24[[#This Row],[01. Alcaldía]:[11. Salud pública y seguridad ciudadana]])</f>
        <v>4950</v>
      </c>
    </row>
    <row r="208" spans="1:13" s="16" customFormat="1" x14ac:dyDescent="0.25">
      <c r="A208" s="21" t="s">
        <v>405</v>
      </c>
      <c r="B208" s="19">
        <v>912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23">
        <f>SUM(Tabla24[[#This Row],[01. Alcaldía]:[11. Salud pública y seguridad ciudadana]])</f>
        <v>912</v>
      </c>
    </row>
    <row r="209" spans="1:13" s="16" customFormat="1" x14ac:dyDescent="0.25">
      <c r="A209" s="21" t="s">
        <v>401</v>
      </c>
      <c r="B209" s="19">
        <v>305.76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23">
        <f>SUM(Tabla24[[#This Row],[01. Alcaldía]:[11. Salud pública y seguridad ciudadana]])</f>
        <v>305.76</v>
      </c>
    </row>
    <row r="210" spans="1:13" s="16" customFormat="1" x14ac:dyDescent="0.25">
      <c r="A210" s="21" t="s">
        <v>454</v>
      </c>
      <c r="B210" s="19"/>
      <c r="C210" s="19"/>
      <c r="D210" s="19"/>
      <c r="E210" s="19"/>
      <c r="F210" s="19"/>
      <c r="G210" s="19">
        <v>175</v>
      </c>
      <c r="H210" s="19"/>
      <c r="I210" s="19"/>
      <c r="J210" s="19"/>
      <c r="K210" s="19"/>
      <c r="L210" s="19"/>
      <c r="M210" s="23">
        <f>SUM(Tabla24[[#This Row],[01. Alcaldía]:[11. Salud pública y seguridad ciudadana]])</f>
        <v>175</v>
      </c>
    </row>
    <row r="211" spans="1:13" s="16" customFormat="1" x14ac:dyDescent="0.25">
      <c r="A211" s="21" t="s">
        <v>3005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>
        <v>105.27</v>
      </c>
      <c r="M211" s="23">
        <f>SUM(Tabla24[[#This Row],[01. Alcaldía]:[11. Salud pública y seguridad ciudadana]])</f>
        <v>105.27</v>
      </c>
    </row>
    <row r="212" spans="1:13" s="16" customFormat="1" x14ac:dyDescent="0.25">
      <c r="A212" s="21" t="s">
        <v>3010</v>
      </c>
      <c r="B212" s="19"/>
      <c r="C212" s="19"/>
      <c r="D212" s="19"/>
      <c r="E212" s="19"/>
      <c r="F212" s="19"/>
      <c r="G212" s="19"/>
      <c r="H212" s="19"/>
      <c r="I212" s="19"/>
      <c r="J212" s="19">
        <v>260.14999999999998</v>
      </c>
      <c r="K212" s="19"/>
      <c r="L212" s="19"/>
      <c r="M212" s="23">
        <f>SUM(Tabla24[[#This Row],[01. Alcaldía]:[11. Salud pública y seguridad ciudadana]])</f>
        <v>260.14999999999998</v>
      </c>
    </row>
    <row r="213" spans="1:13" s="16" customFormat="1" x14ac:dyDescent="0.25">
      <c r="A213" s="21" t="s">
        <v>5333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490.05</v>
      </c>
      <c r="L213" s="19"/>
      <c r="M213" s="23">
        <f>SUM(Tabla24[[#This Row],[01. Alcaldía]:[11. Salud pública y seguridad ciudadana]])</f>
        <v>490.05</v>
      </c>
    </row>
    <row r="214" spans="1:13" s="16" customFormat="1" x14ac:dyDescent="0.25">
      <c r="A214" s="21" t="s">
        <v>3030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323.98</v>
      </c>
      <c r="M214" s="23">
        <f>SUM(Tabla24[[#This Row],[01. Alcaldía]:[11. Salud pública y seguridad ciudadana]])</f>
        <v>323.98</v>
      </c>
    </row>
    <row r="215" spans="1:13" s="16" customFormat="1" x14ac:dyDescent="0.25">
      <c r="A215" s="21" t="s">
        <v>3032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562.83000000000004</v>
      </c>
      <c r="M215" s="23">
        <f>SUM(Tabla24[[#This Row],[01. Alcaldía]:[11. Salud pública y seguridad ciudadana]])</f>
        <v>562.83000000000004</v>
      </c>
    </row>
    <row r="216" spans="1:13" s="16" customFormat="1" x14ac:dyDescent="0.25">
      <c r="A216" s="21" t="s">
        <v>452</v>
      </c>
      <c r="B216" s="19"/>
      <c r="C216" s="19"/>
      <c r="D216" s="19"/>
      <c r="E216" s="19"/>
      <c r="F216" s="19">
        <v>242</v>
      </c>
      <c r="G216" s="19"/>
      <c r="H216" s="19"/>
      <c r="I216" s="19"/>
      <c r="J216" s="19"/>
      <c r="K216" s="19"/>
      <c r="L216" s="19"/>
      <c r="M216" s="23">
        <f>SUM(Tabla24[[#This Row],[01. Alcaldía]:[11. Salud pública y seguridad ciudadana]])</f>
        <v>242</v>
      </c>
    </row>
    <row r="217" spans="1:13" s="16" customFormat="1" x14ac:dyDescent="0.25">
      <c r="A217" s="21" t="s">
        <v>34</v>
      </c>
      <c r="B217" s="19">
        <v>2142.91</v>
      </c>
      <c r="C217" s="19"/>
      <c r="D217" s="19"/>
      <c r="E217" s="19"/>
      <c r="F217" s="19"/>
      <c r="G217" s="19">
        <v>1100</v>
      </c>
      <c r="H217" s="19"/>
      <c r="I217" s="19"/>
      <c r="J217" s="19"/>
      <c r="K217" s="19"/>
      <c r="L217" s="19"/>
      <c r="M217" s="23">
        <f>SUM(Tabla24[[#This Row],[01. Alcaldía]:[11. Salud pública y seguridad ciudadana]])</f>
        <v>3242.91</v>
      </c>
    </row>
    <row r="218" spans="1:13" s="16" customFormat="1" x14ac:dyDescent="0.25">
      <c r="A218" s="21" t="s">
        <v>3071</v>
      </c>
      <c r="B218" s="19"/>
      <c r="C218" s="19"/>
      <c r="D218" s="19">
        <v>1354.72</v>
      </c>
      <c r="E218" s="19"/>
      <c r="F218" s="19"/>
      <c r="G218" s="19">
        <v>399.3</v>
      </c>
      <c r="H218" s="19"/>
      <c r="I218" s="19"/>
      <c r="J218" s="19"/>
      <c r="K218" s="19"/>
      <c r="L218" s="19">
        <v>353.93</v>
      </c>
      <c r="M218" s="23">
        <f>SUM(Tabla24[[#This Row],[01. Alcaldía]:[11. Salud pública y seguridad ciudadana]])</f>
        <v>2107.9499999999998</v>
      </c>
    </row>
    <row r="219" spans="1:13" s="16" customFormat="1" x14ac:dyDescent="0.25">
      <c r="A219" s="21" t="s">
        <v>41</v>
      </c>
      <c r="B219" s="19">
        <v>7210.39</v>
      </c>
      <c r="C219" s="19"/>
      <c r="D219" s="19">
        <v>343.64</v>
      </c>
      <c r="E219" s="19"/>
      <c r="F219" s="19"/>
      <c r="G219" s="19">
        <v>1500</v>
      </c>
      <c r="H219" s="19"/>
      <c r="I219" s="19"/>
      <c r="J219" s="19">
        <v>302.5</v>
      </c>
      <c r="K219" s="19"/>
      <c r="L219" s="19">
        <v>1700</v>
      </c>
      <c r="M219" s="23">
        <f>SUM(Tabla24[[#This Row],[01. Alcaldía]:[11. Salud pública y seguridad ciudadana]])</f>
        <v>11056.53</v>
      </c>
    </row>
    <row r="220" spans="1:13" s="16" customFormat="1" x14ac:dyDescent="0.25">
      <c r="A220" s="21" t="s">
        <v>496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6110.5</v>
      </c>
      <c r="M220" s="23">
        <f>SUM(Tabla24[[#This Row],[01. Alcaldía]:[11. Salud pública y seguridad ciudadana]])</f>
        <v>6110.5</v>
      </c>
    </row>
    <row r="221" spans="1:13" s="16" customFormat="1" x14ac:dyDescent="0.25">
      <c r="A221" s="21" t="s">
        <v>4705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617.1</v>
      </c>
      <c r="M221" s="23">
        <f>SUM(Tabla24[[#This Row],[01. Alcaldía]:[11. Salud pública y seguridad ciudadana]])</f>
        <v>617.1</v>
      </c>
    </row>
    <row r="222" spans="1:13" s="16" customFormat="1" x14ac:dyDescent="0.25">
      <c r="A222" s="21" t="s">
        <v>345</v>
      </c>
      <c r="B222" s="19"/>
      <c r="C222" s="19"/>
      <c r="D222" s="19"/>
      <c r="E222" s="19"/>
      <c r="F222" s="19"/>
      <c r="G222" s="19"/>
      <c r="H222" s="19">
        <v>3000</v>
      </c>
      <c r="I222" s="19"/>
      <c r="J222" s="19"/>
      <c r="K222" s="19"/>
      <c r="L222" s="19"/>
      <c r="M222" s="23">
        <f>SUM(Tabla24[[#This Row],[01. Alcaldía]:[11. Salud pública y seguridad ciudadana]])</f>
        <v>3000</v>
      </c>
    </row>
    <row r="223" spans="1:13" s="16" customFormat="1" x14ac:dyDescent="0.25">
      <c r="A223" s="21" t="s">
        <v>89</v>
      </c>
      <c r="B223" s="19"/>
      <c r="C223" s="19"/>
      <c r="D223" s="19"/>
      <c r="E223" s="19"/>
      <c r="F223" s="19"/>
      <c r="G223" s="19"/>
      <c r="H223" s="19"/>
      <c r="I223" s="19">
        <v>1210</v>
      </c>
      <c r="J223" s="19"/>
      <c r="K223" s="19"/>
      <c r="L223" s="19">
        <v>399.13</v>
      </c>
      <c r="M223" s="23">
        <f>SUM(Tabla24[[#This Row],[01. Alcaldía]:[11. Salud pública y seguridad ciudadana]])</f>
        <v>1609.13</v>
      </c>
    </row>
    <row r="224" spans="1:13" s="16" customFormat="1" x14ac:dyDescent="0.25">
      <c r="A224" s="21" t="s">
        <v>46</v>
      </c>
      <c r="B224" s="19"/>
      <c r="C224" s="19">
        <v>2000</v>
      </c>
      <c r="D224" s="19">
        <v>542.82000000000005</v>
      </c>
      <c r="E224" s="19"/>
      <c r="F224" s="19">
        <v>9</v>
      </c>
      <c r="G224" s="19">
        <v>9760</v>
      </c>
      <c r="H224" s="19"/>
      <c r="I224" s="19">
        <v>126.2</v>
      </c>
      <c r="J224" s="19"/>
      <c r="K224" s="19">
        <v>2305.9700000000003</v>
      </c>
      <c r="L224" s="19">
        <v>3500</v>
      </c>
      <c r="M224" s="23">
        <f>SUM(Tabla24[[#This Row],[01. Alcaldía]:[11. Salud pública y seguridad ciudadana]])</f>
        <v>18243.990000000002</v>
      </c>
    </row>
    <row r="225" spans="1:13" s="16" customFormat="1" x14ac:dyDescent="0.25">
      <c r="A225" s="21" t="s">
        <v>3243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>
        <v>300</v>
      </c>
      <c r="M225" s="23">
        <f>SUM(Tabla24[[#This Row],[01. Alcaldía]:[11. Salud pública y seguridad ciudadana]])</f>
        <v>300</v>
      </c>
    </row>
    <row r="226" spans="1:13" s="16" customFormat="1" x14ac:dyDescent="0.25">
      <c r="A226" s="21" t="s">
        <v>4711</v>
      </c>
      <c r="B226" s="19">
        <v>1936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SUM(Tabla24[[#This Row],[01. Alcaldía]:[11. Salud pública y seguridad ciudadana]])</f>
        <v>1936</v>
      </c>
    </row>
    <row r="227" spans="1:13" s="16" customFormat="1" x14ac:dyDescent="0.25">
      <c r="A227" s="21" t="s">
        <v>341</v>
      </c>
      <c r="B227" s="19">
        <v>108.16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23">
        <f>SUM(Tabla24[[#This Row],[01. Alcaldía]:[11. Salud pública y seguridad ciudadana]])</f>
        <v>108.16</v>
      </c>
    </row>
    <row r="228" spans="1:13" s="16" customFormat="1" x14ac:dyDescent="0.25">
      <c r="A228" s="21" t="s">
        <v>3327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>
        <v>846.76</v>
      </c>
      <c r="M228" s="23">
        <f>SUM(Tabla24[[#This Row],[01. Alcaldía]:[11. Salud pública y seguridad ciudadana]])</f>
        <v>846.76</v>
      </c>
    </row>
    <row r="229" spans="1:13" s="16" customFormat="1" x14ac:dyDescent="0.25">
      <c r="A229" s="21" t="s">
        <v>349</v>
      </c>
      <c r="B229" s="19"/>
      <c r="C229" s="19"/>
      <c r="D229" s="19">
        <v>121</v>
      </c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121</v>
      </c>
    </row>
    <row r="230" spans="1:13" s="16" customFormat="1" x14ac:dyDescent="0.25">
      <c r="A230" s="21" t="s">
        <v>4727</v>
      </c>
      <c r="B230" s="19">
        <v>4191.22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23">
        <f>SUM(Tabla24[[#This Row],[01. Alcaldía]:[11. Salud pública y seguridad ciudadana]])</f>
        <v>4191.22</v>
      </c>
    </row>
    <row r="231" spans="1:13" s="16" customFormat="1" x14ac:dyDescent="0.25">
      <c r="A231" s="21" t="s">
        <v>3347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1137.4000000000001</v>
      </c>
      <c r="L231" s="19"/>
      <c r="M231" s="23">
        <f>SUM(Tabla24[[#This Row],[01. Alcaldía]:[11. Salud pública y seguridad ciudadana]])</f>
        <v>1137.4000000000001</v>
      </c>
    </row>
    <row r="232" spans="1:13" s="16" customFormat="1" x14ac:dyDescent="0.25">
      <c r="A232" s="21" t="s">
        <v>4730</v>
      </c>
      <c r="B232" s="19"/>
      <c r="C232" s="19"/>
      <c r="D232" s="19"/>
      <c r="E232" s="19"/>
      <c r="F232" s="19"/>
      <c r="G232" s="19"/>
      <c r="H232" s="19"/>
      <c r="I232" s="19">
        <v>4066.88</v>
      </c>
      <c r="J232" s="19"/>
      <c r="K232" s="19"/>
      <c r="L232" s="19"/>
      <c r="M232" s="23">
        <f>SUM(Tabla24[[#This Row],[01. Alcaldía]:[11. Salud pública y seguridad ciudadana]])</f>
        <v>4066.88</v>
      </c>
    </row>
    <row r="233" spans="1:13" s="16" customFormat="1" x14ac:dyDescent="0.25">
      <c r="A233" s="21" t="s">
        <v>12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250</v>
      </c>
      <c r="M233" s="23">
        <f>SUM(Tabla24[[#This Row],[01. Alcaldía]:[11. Salud pública y seguridad ciudadana]])</f>
        <v>250</v>
      </c>
    </row>
    <row r="234" spans="1:13" s="16" customFormat="1" x14ac:dyDescent="0.25">
      <c r="A234" s="21" t="s">
        <v>1631</v>
      </c>
      <c r="B234" s="19"/>
      <c r="C234" s="19"/>
      <c r="D234" s="19">
        <v>11509.52</v>
      </c>
      <c r="E234" s="19">
        <v>4544.88</v>
      </c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16054.400000000001</v>
      </c>
    </row>
    <row r="235" spans="1:13" s="16" customFormat="1" x14ac:dyDescent="0.25">
      <c r="A235" s="21" t="s">
        <v>318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>
        <v>2138.1</v>
      </c>
      <c r="M235" s="23">
        <f>SUM(Tabla24[[#This Row],[01. Alcaldía]:[11. Salud pública y seguridad ciudadana]])</f>
        <v>2138.1</v>
      </c>
    </row>
    <row r="236" spans="1:13" s="16" customFormat="1" x14ac:dyDescent="0.25">
      <c r="A236" s="21" t="s">
        <v>3405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341.31</v>
      </c>
      <c r="M236" s="23">
        <f>SUM(Tabla24[[#This Row],[01. Alcaldía]:[11. Salud pública y seguridad ciudadana]])</f>
        <v>341.31</v>
      </c>
    </row>
    <row r="237" spans="1:13" s="16" customFormat="1" x14ac:dyDescent="0.25">
      <c r="A237" s="21" t="s">
        <v>2436</v>
      </c>
      <c r="B237" s="19"/>
      <c r="C237" s="19"/>
      <c r="D237" s="19">
        <v>244.2</v>
      </c>
      <c r="E237" s="19"/>
      <c r="F237" s="19"/>
      <c r="G237" s="19">
        <v>9746</v>
      </c>
      <c r="H237" s="19"/>
      <c r="I237" s="19"/>
      <c r="J237" s="19"/>
      <c r="K237" s="19">
        <v>40.680000000000007</v>
      </c>
      <c r="L237" s="19"/>
      <c r="M237" s="23">
        <f>SUM(Tabla24[[#This Row],[01. Alcaldía]:[11. Salud pública y seguridad ciudadana]])</f>
        <v>10030.880000000001</v>
      </c>
    </row>
    <row r="238" spans="1:13" s="16" customFormat="1" x14ac:dyDescent="0.25">
      <c r="A238" s="21" t="s">
        <v>323</v>
      </c>
      <c r="B238" s="19">
        <v>6322.25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23">
        <f>SUM(Tabla24[[#This Row],[01. Alcaldía]:[11. Salud pública y seguridad ciudadana]])</f>
        <v>6322.25</v>
      </c>
    </row>
    <row r="239" spans="1:13" s="16" customFormat="1" x14ac:dyDescent="0.25">
      <c r="A239" s="21" t="s">
        <v>4766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>
        <v>1000</v>
      </c>
      <c r="L239" s="19"/>
      <c r="M239" s="23">
        <f>SUM(Tabla24[[#This Row],[01. Alcaldía]:[11. Salud pública y seguridad ciudadana]])</f>
        <v>1000</v>
      </c>
    </row>
    <row r="240" spans="1:13" s="16" customFormat="1" x14ac:dyDescent="0.25">
      <c r="A240" s="21" t="s">
        <v>3467</v>
      </c>
      <c r="B240" s="19"/>
      <c r="C240" s="19"/>
      <c r="D240" s="19"/>
      <c r="E240" s="19"/>
      <c r="F240" s="19">
        <v>4427.0200000000004</v>
      </c>
      <c r="G240" s="19"/>
      <c r="H240" s="19"/>
      <c r="I240" s="19"/>
      <c r="J240" s="19"/>
      <c r="K240" s="19"/>
      <c r="L240" s="19"/>
      <c r="M240" s="23">
        <f>SUM(Tabla24[[#This Row],[01. Alcaldía]:[11. Salud pública y seguridad ciudadana]])</f>
        <v>4427.0200000000004</v>
      </c>
    </row>
    <row r="241" spans="1:13" s="16" customFormat="1" x14ac:dyDescent="0.25">
      <c r="A241" s="21" t="s">
        <v>4491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3864</v>
      </c>
      <c r="M241" s="23">
        <f>SUM(Tabla24[[#This Row],[01. Alcaldía]:[11. Salud pública y seguridad ciudadana]])</f>
        <v>3864</v>
      </c>
    </row>
    <row r="242" spans="1:13" s="16" customFormat="1" x14ac:dyDescent="0.25">
      <c r="A242" s="21" t="s">
        <v>4771</v>
      </c>
      <c r="B242" s="19"/>
      <c r="C242" s="19"/>
      <c r="D242" s="19"/>
      <c r="E242" s="19"/>
      <c r="F242" s="19"/>
      <c r="G242" s="19">
        <v>1353.32</v>
      </c>
      <c r="H242" s="19"/>
      <c r="I242" s="19"/>
      <c r="J242" s="19"/>
      <c r="K242" s="19"/>
      <c r="L242" s="19"/>
      <c r="M242" s="23">
        <f>SUM(Tabla24[[#This Row],[01. Alcaldía]:[11. Salud pública y seguridad ciudadana]])</f>
        <v>1353.32</v>
      </c>
    </row>
    <row r="243" spans="1:13" s="16" customFormat="1" x14ac:dyDescent="0.25">
      <c r="A243" s="21" t="s">
        <v>23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2894.32</v>
      </c>
      <c r="L243" s="19"/>
      <c r="M243" s="23">
        <f>SUM(Tabla24[[#This Row],[01. Alcaldía]:[11. Salud pública y seguridad ciudadana]])</f>
        <v>2894.32</v>
      </c>
    </row>
    <row r="244" spans="1:13" s="16" customFormat="1" x14ac:dyDescent="0.25">
      <c r="A244" s="21" t="s">
        <v>410</v>
      </c>
      <c r="B244" s="19"/>
      <c r="C244" s="19"/>
      <c r="D244" s="19"/>
      <c r="E244" s="19"/>
      <c r="F244" s="19"/>
      <c r="G244" s="19"/>
      <c r="H244" s="19">
        <v>994.62</v>
      </c>
      <c r="I244" s="19"/>
      <c r="J244" s="19"/>
      <c r="K244" s="19"/>
      <c r="L244" s="19"/>
      <c r="M244" s="23">
        <f>SUM(Tabla24[[#This Row],[01. Alcaldía]:[11. Salud pública y seguridad ciudadana]])</f>
        <v>994.62</v>
      </c>
    </row>
    <row r="245" spans="1:13" s="16" customFormat="1" ht="25.5" x14ac:dyDescent="0.25">
      <c r="A245" s="21" t="s">
        <v>434</v>
      </c>
      <c r="B245" s="19"/>
      <c r="C245" s="19"/>
      <c r="D245" s="19"/>
      <c r="E245" s="19">
        <v>2321.29</v>
      </c>
      <c r="F245" s="19"/>
      <c r="G245" s="19"/>
      <c r="H245" s="19"/>
      <c r="I245" s="19"/>
      <c r="J245" s="19"/>
      <c r="K245" s="19"/>
      <c r="L245" s="19"/>
      <c r="M245" s="23">
        <f>SUM(Tabla24[[#This Row],[01. Alcaldía]:[11. Salud pública y seguridad ciudadana]])</f>
        <v>2321.29</v>
      </c>
    </row>
    <row r="246" spans="1:13" s="16" customFormat="1" x14ac:dyDescent="0.25">
      <c r="A246" s="21" t="s">
        <v>4788</v>
      </c>
      <c r="B246" s="19"/>
      <c r="C246" s="19"/>
      <c r="D246" s="19"/>
      <c r="E246" s="19"/>
      <c r="F246" s="19"/>
      <c r="G246" s="19"/>
      <c r="H246" s="19"/>
      <c r="I246" s="19">
        <v>6050</v>
      </c>
      <c r="J246" s="19"/>
      <c r="K246" s="19"/>
      <c r="L246" s="19"/>
      <c r="M246" s="23">
        <f>SUM(Tabla24[[#This Row],[01. Alcaldía]:[11. Salud pública y seguridad ciudadana]])</f>
        <v>6050</v>
      </c>
    </row>
    <row r="247" spans="1:13" s="16" customFormat="1" x14ac:dyDescent="0.25">
      <c r="A247" s="21" t="s">
        <v>3566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>
        <v>2359.5</v>
      </c>
      <c r="M247" s="23">
        <f>SUM(Tabla24[[#This Row],[01. Alcaldía]:[11. Salud pública y seguridad ciudadana]])</f>
        <v>2359.5</v>
      </c>
    </row>
    <row r="248" spans="1:13" s="16" customFormat="1" x14ac:dyDescent="0.25">
      <c r="A248" s="21" t="s">
        <v>61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3500</v>
      </c>
      <c r="M248" s="23">
        <f>SUM(Tabla24[[#This Row],[01. Alcaldía]:[11. Salud pública y seguridad ciudadana]])</f>
        <v>3500</v>
      </c>
    </row>
    <row r="249" spans="1:13" s="16" customFormat="1" x14ac:dyDescent="0.25">
      <c r="A249" s="21" t="s">
        <v>3588</v>
      </c>
      <c r="B249" s="19"/>
      <c r="C249" s="19"/>
      <c r="D249" s="19"/>
      <c r="E249" s="19"/>
      <c r="F249" s="19"/>
      <c r="G249" s="19"/>
      <c r="H249" s="19">
        <v>7200</v>
      </c>
      <c r="I249" s="19"/>
      <c r="J249" s="19"/>
      <c r="K249" s="19"/>
      <c r="L249" s="19"/>
      <c r="M249" s="23">
        <f>SUM(Tabla24[[#This Row],[01. Alcaldía]:[11. Salud pública y seguridad ciudadana]])</f>
        <v>7200</v>
      </c>
    </row>
    <row r="250" spans="1:13" s="16" customFormat="1" x14ac:dyDescent="0.25">
      <c r="A250" s="21" t="s">
        <v>3609</v>
      </c>
      <c r="B250" s="19"/>
      <c r="C250" s="19"/>
      <c r="D250" s="19"/>
      <c r="E250" s="19"/>
      <c r="F250" s="19">
        <v>169.4</v>
      </c>
      <c r="G250" s="19"/>
      <c r="H250" s="19"/>
      <c r="I250" s="19"/>
      <c r="J250" s="19"/>
      <c r="K250" s="19"/>
      <c r="L250" s="19"/>
      <c r="M250" s="23">
        <f>SUM(Tabla24[[#This Row],[01. Alcaldía]:[11. Salud pública y seguridad ciudadana]])</f>
        <v>169.4</v>
      </c>
    </row>
    <row r="251" spans="1:13" s="16" customFormat="1" x14ac:dyDescent="0.25">
      <c r="A251" s="21" t="s">
        <v>492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1452.02</v>
      </c>
      <c r="M251" s="23">
        <f>SUM(Tabla24[[#This Row],[01. Alcaldía]:[11. Salud pública y seguridad ciudadana]])</f>
        <v>1452.02</v>
      </c>
    </row>
    <row r="252" spans="1:13" s="16" customFormat="1" x14ac:dyDescent="0.25">
      <c r="A252" s="21" t="s">
        <v>4808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>
        <v>4393.3900000000003</v>
      </c>
      <c r="M252" s="23">
        <f>SUM(Tabla24[[#This Row],[01. Alcaldía]:[11. Salud pública y seguridad ciudadana]])</f>
        <v>4393.3900000000003</v>
      </c>
    </row>
    <row r="253" spans="1:13" s="16" customFormat="1" x14ac:dyDescent="0.25">
      <c r="A253" s="21" t="s">
        <v>317</v>
      </c>
      <c r="B253" s="19"/>
      <c r="C253" s="19"/>
      <c r="D253" s="19"/>
      <c r="E253" s="19"/>
      <c r="F253" s="19">
        <v>676.36</v>
      </c>
      <c r="G253" s="19"/>
      <c r="H253" s="19"/>
      <c r="I253" s="19"/>
      <c r="J253" s="19"/>
      <c r="K253" s="19"/>
      <c r="L253" s="19"/>
      <c r="M253" s="23">
        <f>SUM(Tabla24[[#This Row],[01. Alcaldía]:[11. Salud pública y seguridad ciudadana]])</f>
        <v>676.36</v>
      </c>
    </row>
    <row r="254" spans="1:13" s="16" customFormat="1" x14ac:dyDescent="0.25">
      <c r="A254" s="21" t="s">
        <v>96</v>
      </c>
      <c r="B254" s="19">
        <v>7253.95</v>
      </c>
      <c r="C254" s="19"/>
      <c r="D254" s="19">
        <v>37.090000000000003</v>
      </c>
      <c r="E254" s="19"/>
      <c r="F254" s="19"/>
      <c r="G254" s="19">
        <v>500</v>
      </c>
      <c r="H254" s="19"/>
      <c r="I254" s="19"/>
      <c r="J254" s="19">
        <v>454.96000000000004</v>
      </c>
      <c r="K254" s="19"/>
      <c r="L254" s="19">
        <v>6570.55</v>
      </c>
      <c r="M254" s="23">
        <f>SUM(Tabla24[[#This Row],[01. Alcaldía]:[11. Salud pública y seguridad ciudadana]])</f>
        <v>14816.55</v>
      </c>
    </row>
    <row r="255" spans="1:13" s="16" customFormat="1" x14ac:dyDescent="0.25">
      <c r="A255" s="21" t="s">
        <v>3646</v>
      </c>
      <c r="B255" s="19">
        <v>5541.8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23">
        <f>SUM(Tabla24[[#This Row],[01. Alcaldía]:[11. Salud pública y seguridad ciudadana]])</f>
        <v>5541.8</v>
      </c>
    </row>
    <row r="256" spans="1:13" s="16" customFormat="1" x14ac:dyDescent="0.25">
      <c r="A256" s="21" t="s">
        <v>3648</v>
      </c>
      <c r="B256" s="19">
        <v>150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150</v>
      </c>
    </row>
    <row r="257" spans="1:13" s="16" customFormat="1" x14ac:dyDescent="0.25">
      <c r="A257" s="21" t="s">
        <v>344</v>
      </c>
      <c r="B257" s="19"/>
      <c r="C257" s="19"/>
      <c r="D257" s="19"/>
      <c r="E257" s="19"/>
      <c r="F257" s="19"/>
      <c r="G257" s="19"/>
      <c r="H257" s="19">
        <v>7260</v>
      </c>
      <c r="I257" s="19"/>
      <c r="J257" s="19"/>
      <c r="K257" s="19"/>
      <c r="L257" s="19"/>
      <c r="M257" s="23">
        <f>SUM(Tabla24[[#This Row],[01. Alcaldía]:[11. Salud pública y seguridad ciudadana]])</f>
        <v>7260</v>
      </c>
    </row>
    <row r="258" spans="1:13" s="16" customFormat="1" x14ac:dyDescent="0.25">
      <c r="A258" s="21" t="s">
        <v>3677</v>
      </c>
      <c r="B258" s="19"/>
      <c r="C258" s="19"/>
      <c r="D258" s="19"/>
      <c r="E258" s="19"/>
      <c r="F258" s="19"/>
      <c r="G258" s="19"/>
      <c r="H258" s="19"/>
      <c r="I258" s="19"/>
      <c r="J258" s="19">
        <v>2204.62</v>
      </c>
      <c r="K258" s="19"/>
      <c r="L258" s="19"/>
      <c r="M258" s="23">
        <f>SUM(Tabla24[[#This Row],[01. Alcaldía]:[11. Salud pública y seguridad ciudadana]])</f>
        <v>2204.62</v>
      </c>
    </row>
    <row r="259" spans="1:13" s="16" customFormat="1" x14ac:dyDescent="0.25">
      <c r="A259" s="21" t="s">
        <v>463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>
        <v>1911.8</v>
      </c>
      <c r="L259" s="19"/>
      <c r="M259" s="23">
        <f>SUM(Tabla24[[#This Row],[01. Alcaldía]:[11. Salud pública y seguridad ciudadana]])</f>
        <v>1911.8</v>
      </c>
    </row>
    <row r="260" spans="1:13" s="16" customFormat="1" x14ac:dyDescent="0.25">
      <c r="A260" s="21" t="s">
        <v>322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2000</v>
      </c>
      <c r="M260" s="23">
        <f>SUM(Tabla24[[#This Row],[01. Alcaldía]:[11. Salud pública y seguridad ciudadana]])</f>
        <v>2000</v>
      </c>
    </row>
    <row r="261" spans="1:13" s="16" customFormat="1" x14ac:dyDescent="0.25">
      <c r="A261" s="21" t="s">
        <v>3732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>
        <v>72.599999999999994</v>
      </c>
      <c r="L261" s="19"/>
      <c r="M261" s="23">
        <f>SUM(Tabla24[[#This Row],[01. Alcaldía]:[11. Salud pública y seguridad ciudadana]])</f>
        <v>72.599999999999994</v>
      </c>
    </row>
    <row r="262" spans="1:13" s="16" customFormat="1" x14ac:dyDescent="0.25">
      <c r="A262" s="21" t="s">
        <v>3739</v>
      </c>
      <c r="B262" s="19">
        <v>32474.47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23">
        <f>SUM(Tabla24[[#This Row],[01. Alcaldía]:[11. Salud pública y seguridad ciudadana]])</f>
        <v>32474.47</v>
      </c>
    </row>
    <row r="263" spans="1:13" s="16" customFormat="1" x14ac:dyDescent="0.25">
      <c r="A263" s="21" t="s">
        <v>86</v>
      </c>
      <c r="B263" s="19"/>
      <c r="C263" s="19"/>
      <c r="D263" s="19"/>
      <c r="E263" s="19"/>
      <c r="F263" s="19"/>
      <c r="G263" s="19">
        <v>1004.4</v>
      </c>
      <c r="H263" s="19"/>
      <c r="I263" s="19"/>
      <c r="J263" s="19"/>
      <c r="K263" s="19"/>
      <c r="L263" s="19"/>
      <c r="M263" s="23">
        <f>SUM(Tabla24[[#This Row],[01. Alcaldía]:[11. Salud pública y seguridad ciudadana]])</f>
        <v>1004.4</v>
      </c>
    </row>
    <row r="264" spans="1:13" s="24" customFormat="1" x14ac:dyDescent="0.25">
      <c r="A264" s="25" t="s">
        <v>338</v>
      </c>
      <c r="B264" s="23">
        <f>SUBTOTAL(109,Tabla24[01. Alcaldía])</f>
        <v>120078.14000000001</v>
      </c>
      <c r="C264" s="23">
        <f>SUBTOTAL(109,Tabla24[02. Planeamiento urbanístico y vivienda])</f>
        <v>32332.019999999997</v>
      </c>
      <c r="D264" s="23">
        <f>SUBTOTAL(109,Tabla24[03. Participación ciudadana y deportes])</f>
        <v>114914.04999999999</v>
      </c>
      <c r="E264" s="23">
        <f>SUBTOTAL(109,Tabla24[04. Planificación y recursos])</f>
        <v>66388.37999999999</v>
      </c>
      <c r="F264" s="23">
        <f>SUBTOTAL(109,Tabla24[05. Innovación, desarrollo económico, empleo y comercio])</f>
        <v>32346.760000000006</v>
      </c>
      <c r="G264" s="23">
        <f>SUBTOTAL(109,Tabla24[06. Educación, infancia, juventud e igualdad])</f>
        <v>161748.14999999997</v>
      </c>
      <c r="H264" s="23">
        <f>SUBTOTAL(109,Tabla24[07. Medio ambiente y desarrollo sostenible])</f>
        <v>50701.48</v>
      </c>
      <c r="I264" s="23">
        <f>SUBTOTAL(109,Tabla24[08. Movilidad y espacio urbano])</f>
        <v>107787.83999999998</v>
      </c>
      <c r="J264" s="23">
        <f>SUBTOTAL(109,Tabla24[09. Cultura y turismo])</f>
        <v>11052.64</v>
      </c>
      <c r="K264" s="23">
        <f>SUBTOTAL(109,Tabla24[10. Servicios sociales y mediación comunitaria])</f>
        <v>63491.290000000015</v>
      </c>
      <c r="L264" s="23">
        <f>SUBTOTAL(109,Tabla24[11. Salud pública y seguridad ciudadana])</f>
        <v>260650.05000000002</v>
      </c>
      <c r="M264" s="23">
        <f>SUBTOTAL(109,Tabla24[Total general])</f>
        <v>1021490.8000000005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 SEMESTRE 2023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25"/>
  <sheetViews>
    <sheetView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5507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ht="12.75" customHeight="1" x14ac:dyDescent="0.25">
      <c r="A2" s="21" t="s">
        <v>346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149.31</v>
      </c>
      <c r="M2" s="23">
        <f>SUM(Tabla245[[#This Row],[01. Alcaldía]:[11. Salud pública y seguridad ciudadana]])</f>
        <v>149.31</v>
      </c>
    </row>
    <row r="3" spans="1:13" ht="12.75" customHeight="1" x14ac:dyDescent="0.25">
      <c r="A3" s="21" t="s">
        <v>981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32104.98</v>
      </c>
      <c r="M3" s="23">
        <f>SUM(Tabla245[[#This Row],[01. Alcaldía]:[11. Salud pública y seguridad ciudadana]])</f>
        <v>32104.98</v>
      </c>
    </row>
    <row r="4" spans="1:13" ht="12.75" customHeight="1" x14ac:dyDescent="0.25">
      <c r="A4" s="21" t="s">
        <v>3490</v>
      </c>
      <c r="B4" s="19"/>
      <c r="C4" s="19">
        <v>49733.91</v>
      </c>
      <c r="D4" s="19"/>
      <c r="E4" s="19"/>
      <c r="F4" s="19"/>
      <c r="G4" s="19"/>
      <c r="H4" s="19"/>
      <c r="I4" s="19"/>
      <c r="J4" s="19"/>
      <c r="K4" s="19"/>
      <c r="L4" s="19"/>
      <c r="M4" s="23">
        <f>SUM(Tabla245[[#This Row],[01. Alcaldía]:[11. Salud pública y seguridad ciudadana]])</f>
        <v>49733.91</v>
      </c>
    </row>
    <row r="5" spans="1:13" ht="12.75" customHeight="1" x14ac:dyDescent="0.25">
      <c r="A5" s="21" t="s">
        <v>3904</v>
      </c>
      <c r="B5" s="19"/>
      <c r="C5" s="19"/>
      <c r="D5" s="19"/>
      <c r="E5" s="19"/>
      <c r="F5" s="19">
        <v>653.4</v>
      </c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653.4</v>
      </c>
    </row>
    <row r="6" spans="1:13" ht="12.75" customHeight="1" x14ac:dyDescent="0.25">
      <c r="A6" s="21" t="s">
        <v>4042</v>
      </c>
      <c r="B6" s="19"/>
      <c r="C6" s="19"/>
      <c r="D6" s="19"/>
      <c r="E6" s="19"/>
      <c r="F6" s="19"/>
      <c r="G6" s="19">
        <v>47161.27</v>
      </c>
      <c r="H6" s="19"/>
      <c r="I6" s="19"/>
      <c r="J6" s="19"/>
      <c r="K6" s="19"/>
      <c r="L6" s="19"/>
      <c r="M6" s="23">
        <f>SUM(Tabla245[[#This Row],[01. Alcaldía]:[11. Salud pública y seguridad ciudadana]])</f>
        <v>47161.27</v>
      </c>
    </row>
    <row r="7" spans="1:13" ht="12.75" customHeight="1" x14ac:dyDescent="0.25">
      <c r="A7" s="21" t="s">
        <v>329</v>
      </c>
      <c r="B7" s="19"/>
      <c r="C7" s="19"/>
      <c r="D7" s="19">
        <v>26186.11</v>
      </c>
      <c r="E7" s="19"/>
      <c r="F7" s="19"/>
      <c r="G7" s="19">
        <v>38205.79</v>
      </c>
      <c r="H7" s="19"/>
      <c r="I7" s="19"/>
      <c r="J7" s="19"/>
      <c r="K7" s="19">
        <v>38404.31</v>
      </c>
      <c r="L7" s="19"/>
      <c r="M7" s="23">
        <f>SUM(Tabla245[[#This Row],[01. Alcaldía]:[11. Salud pública y seguridad ciudadana]])</f>
        <v>102796.20999999999</v>
      </c>
    </row>
    <row r="8" spans="1:13" ht="12.75" customHeight="1" x14ac:dyDescent="0.25">
      <c r="A8" s="21" t="s">
        <v>1730</v>
      </c>
      <c r="B8" s="19"/>
      <c r="C8" s="19"/>
      <c r="D8" s="19"/>
      <c r="E8" s="19"/>
      <c r="F8" s="19"/>
      <c r="G8" s="19"/>
      <c r="H8" s="19"/>
      <c r="I8" s="19"/>
      <c r="J8" s="19"/>
      <c r="K8" s="19">
        <v>1391.5</v>
      </c>
      <c r="L8" s="19"/>
      <c r="M8" s="23">
        <f>SUM(Tabla245[[#This Row],[01. Alcaldía]:[11. Salud pública y seguridad ciudadana]])</f>
        <v>1391.5</v>
      </c>
    </row>
    <row r="9" spans="1:13" ht="12.75" customHeight="1" x14ac:dyDescent="0.25">
      <c r="A9" s="21" t="s">
        <v>4948</v>
      </c>
      <c r="B9" s="19"/>
      <c r="C9" s="19"/>
      <c r="D9" s="19"/>
      <c r="E9" s="19"/>
      <c r="F9" s="19"/>
      <c r="G9" s="19">
        <v>45939.28</v>
      </c>
      <c r="H9" s="19"/>
      <c r="I9" s="19"/>
      <c r="J9" s="19"/>
      <c r="K9" s="19"/>
      <c r="L9" s="19"/>
      <c r="M9" s="23">
        <f>SUM(Tabla245[[#This Row],[01. Alcaldía]:[11. Salud pública y seguridad ciudadana]])</f>
        <v>45939.28</v>
      </c>
    </row>
    <row r="10" spans="1:13" ht="12.75" customHeight="1" x14ac:dyDescent="0.25">
      <c r="A10" s="21" t="s">
        <v>424</v>
      </c>
      <c r="B10" s="19"/>
      <c r="C10" s="19">
        <v>1016.41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SUM(Tabla245[[#This Row],[01. Alcaldía]:[11. Salud pública y seguridad ciudadana]])</f>
        <v>1016.41</v>
      </c>
    </row>
    <row r="11" spans="1:13" ht="12.75" customHeight="1" x14ac:dyDescent="0.25">
      <c r="A11" s="21" t="s">
        <v>3457</v>
      </c>
      <c r="B11" s="19"/>
      <c r="C11" s="19">
        <v>48237.86</v>
      </c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SUM(Tabla245[[#This Row],[01. Alcaldía]:[11. Salud pública y seguridad ciudadana]])</f>
        <v>48237.86</v>
      </c>
    </row>
    <row r="12" spans="1:13" ht="12.75" customHeight="1" x14ac:dyDescent="0.25">
      <c r="A12" s="21" t="s">
        <v>1539</v>
      </c>
      <c r="B12" s="19"/>
      <c r="C12" s="19">
        <v>7151.1</v>
      </c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7151.1</v>
      </c>
    </row>
    <row r="13" spans="1:13" ht="12.75" customHeight="1" x14ac:dyDescent="0.25">
      <c r="A13" s="21" t="s">
        <v>4123</v>
      </c>
      <c r="B13" s="19"/>
      <c r="C13" s="19"/>
      <c r="D13" s="19"/>
      <c r="E13" s="19"/>
      <c r="F13" s="19"/>
      <c r="G13" s="19">
        <v>6655</v>
      </c>
      <c r="H13" s="19"/>
      <c r="I13" s="19"/>
      <c r="J13" s="19"/>
      <c r="K13" s="19"/>
      <c r="L13" s="19"/>
      <c r="M13" s="23">
        <f>SUM(Tabla245[[#This Row],[01. Alcaldía]:[11. Salud pública y seguridad ciudadana]])</f>
        <v>6655</v>
      </c>
    </row>
    <row r="14" spans="1:13" ht="12.75" customHeight="1" x14ac:dyDescent="0.25">
      <c r="A14" s="21" t="s">
        <v>4125</v>
      </c>
      <c r="B14" s="19"/>
      <c r="C14" s="19"/>
      <c r="D14" s="19"/>
      <c r="E14" s="19"/>
      <c r="F14" s="19">
        <v>10127.700000000001</v>
      </c>
      <c r="G14" s="19"/>
      <c r="H14" s="19"/>
      <c r="I14" s="19"/>
      <c r="J14" s="19"/>
      <c r="K14" s="19"/>
      <c r="L14" s="19"/>
      <c r="M14" s="23">
        <f>SUM(Tabla245[[#This Row],[01. Alcaldía]:[11. Salud pública y seguridad ciudadana]])</f>
        <v>10127.700000000001</v>
      </c>
    </row>
    <row r="15" spans="1:13" ht="12.75" customHeight="1" x14ac:dyDescent="0.25">
      <c r="A15" s="21" t="s">
        <v>786</v>
      </c>
      <c r="B15" s="19"/>
      <c r="C15" s="19"/>
      <c r="D15" s="19"/>
      <c r="E15" s="19"/>
      <c r="F15" s="19"/>
      <c r="G15" s="19"/>
      <c r="H15" s="19"/>
      <c r="I15" s="19">
        <v>48311.67</v>
      </c>
      <c r="J15" s="19"/>
      <c r="K15" s="19"/>
      <c r="L15" s="19"/>
      <c r="M15" s="23">
        <f>SUM(Tabla245[[#This Row],[01. Alcaldía]:[11. Salud pública y seguridad ciudadana]])</f>
        <v>48311.67</v>
      </c>
    </row>
    <row r="16" spans="1:13" ht="12.75" customHeight="1" x14ac:dyDescent="0.25">
      <c r="A16" s="21" t="s">
        <v>4956</v>
      </c>
      <c r="B16" s="19"/>
      <c r="C16" s="19"/>
      <c r="D16" s="19"/>
      <c r="E16" s="19"/>
      <c r="F16" s="19"/>
      <c r="G16" s="19">
        <v>45361.31</v>
      </c>
      <c r="H16" s="19"/>
      <c r="I16" s="19"/>
      <c r="J16" s="19"/>
      <c r="K16" s="19"/>
      <c r="L16" s="19"/>
      <c r="M16" s="23">
        <f>SUM(Tabla245[[#This Row],[01. Alcaldía]:[11. Salud pública y seguridad ciudadana]])</f>
        <v>45361.31</v>
      </c>
    </row>
    <row r="17" spans="1:13" s="16" customFormat="1" ht="12.75" customHeight="1" x14ac:dyDescent="0.25">
      <c r="A17" s="21" t="s">
        <v>5035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7525.5</v>
      </c>
      <c r="M17" s="23">
        <f>SUM(Tabla245[[#This Row],[01. Alcaldía]:[11. Salud pública y seguridad ciudadana]])</f>
        <v>7525.5</v>
      </c>
    </row>
    <row r="18" spans="1:13" ht="12.75" customHeight="1" x14ac:dyDescent="0.25">
      <c r="A18" s="21" t="s">
        <v>3774</v>
      </c>
      <c r="B18" s="19"/>
      <c r="C18" s="19"/>
      <c r="D18" s="19"/>
      <c r="E18" s="19"/>
      <c r="F18" s="19"/>
      <c r="G18" s="19">
        <v>47872.44</v>
      </c>
      <c r="H18" s="19"/>
      <c r="I18" s="19"/>
      <c r="J18" s="19"/>
      <c r="K18" s="19"/>
      <c r="L18" s="19"/>
      <c r="M18" s="23">
        <f>SUM(Tabla245[[#This Row],[01. Alcaldía]:[11. Salud pública y seguridad ciudadana]])</f>
        <v>47872.44</v>
      </c>
    </row>
    <row r="19" spans="1:13" ht="12.75" customHeight="1" x14ac:dyDescent="0.25">
      <c r="A19" s="21" t="s">
        <v>4597</v>
      </c>
      <c r="B19" s="19"/>
      <c r="C19" s="19">
        <v>6050</v>
      </c>
      <c r="D19" s="19"/>
      <c r="E19" s="19"/>
      <c r="F19" s="19"/>
      <c r="G19" s="19"/>
      <c r="H19" s="19"/>
      <c r="I19" s="19"/>
      <c r="J19" s="19"/>
      <c r="K19" s="19"/>
      <c r="L19" s="19"/>
      <c r="M19" s="23">
        <f>SUM(Tabla245[[#This Row],[01. Alcaldía]:[11. Salud pública y seguridad ciudadana]])</f>
        <v>6050</v>
      </c>
    </row>
    <row r="20" spans="1:13" ht="12.75" customHeight="1" x14ac:dyDescent="0.25">
      <c r="A20" s="21" t="s">
        <v>461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>
        <v>35175.519999999997</v>
      </c>
      <c r="M20" s="23">
        <f>SUM(Tabla245[[#This Row],[01. Alcaldía]:[11. Salud pública y seguridad ciudadana]])</f>
        <v>35175.519999999997</v>
      </c>
    </row>
    <row r="21" spans="1:13" ht="12.75" customHeight="1" x14ac:dyDescent="0.25">
      <c r="A21" s="21" t="s">
        <v>411</v>
      </c>
      <c r="B21" s="19"/>
      <c r="C21" s="19">
        <v>847</v>
      </c>
      <c r="D21" s="19"/>
      <c r="E21" s="19"/>
      <c r="F21" s="19"/>
      <c r="G21" s="19"/>
      <c r="H21" s="19"/>
      <c r="I21" s="19"/>
      <c r="J21" s="19"/>
      <c r="K21" s="19"/>
      <c r="L21" s="19"/>
      <c r="M21" s="23">
        <f>SUM(Tabla245[[#This Row],[01. Alcaldía]:[11. Salud pública y seguridad ciudadana]])</f>
        <v>847</v>
      </c>
    </row>
    <row r="22" spans="1:13" ht="12.75" customHeight="1" x14ac:dyDescent="0.25">
      <c r="A22" s="21" t="s">
        <v>2240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45189.81</v>
      </c>
      <c r="M22" s="23">
        <f>SUM(Tabla245[[#This Row],[01. Alcaldía]:[11. Salud pública y seguridad ciudadana]])</f>
        <v>45189.81</v>
      </c>
    </row>
    <row r="23" spans="1:13" ht="12.75" customHeight="1" x14ac:dyDescent="0.25">
      <c r="A23" s="21" t="s">
        <v>4792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38236</v>
      </c>
      <c r="M23" s="23">
        <f>SUM(Tabla245[[#This Row],[01. Alcaldía]:[11. Salud pública y seguridad ciudadana]])</f>
        <v>38236</v>
      </c>
    </row>
    <row r="24" spans="1:13" ht="12.75" customHeight="1" x14ac:dyDescent="0.25">
      <c r="A24" s="21" t="s">
        <v>5503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330</v>
      </c>
      <c r="M24" s="23">
        <f>SUM(Tabla245[[#This Row],[01. Alcaldía]:[11. Salud pública y seguridad ciudadana]])</f>
        <v>330</v>
      </c>
    </row>
    <row r="25" spans="1:13" s="24" customFormat="1" ht="12.75" customHeight="1" x14ac:dyDescent="0.25">
      <c r="A25" s="25" t="s">
        <v>326</v>
      </c>
      <c r="B25" s="23">
        <f>SUBTOTAL(109,Tabla245[01. Alcaldía])</f>
        <v>0</v>
      </c>
      <c r="C25" s="23">
        <f>SUBTOTAL(109,Tabla245[02. Planeamiento urbanístico y vivienda])</f>
        <v>113036.28000000001</v>
      </c>
      <c r="D25" s="23">
        <f>SUBTOTAL(109,Tabla245[03. Participación ciudadana y deportes])</f>
        <v>26186.11</v>
      </c>
      <c r="E25" s="23">
        <f>SUBTOTAL(109,Tabla245[04. Planificación y recursos])</f>
        <v>0</v>
      </c>
      <c r="F25" s="23">
        <f>SUBTOTAL(109,Tabla245[05. Innovación, desarrollo económico, empleo y comercio])</f>
        <v>10781.1</v>
      </c>
      <c r="G25" s="23">
        <f>SUBTOTAL(109,Tabla245[06. Educación, infancia, juventud e igualdad])</f>
        <v>231195.09</v>
      </c>
      <c r="H25" s="23">
        <f>SUBTOTAL(109,Tabla245[07. Medio ambiente y desarrollo sostenible])</f>
        <v>0</v>
      </c>
      <c r="I25" s="23">
        <f>SUBTOTAL(109,Tabla245[08. Movilidad y espacio urbano])</f>
        <v>48311.67</v>
      </c>
      <c r="J25" s="23">
        <f>SUBTOTAL(109,Tabla245[09. Cultura y turismo])</f>
        <v>0</v>
      </c>
      <c r="K25" s="23">
        <f>SUBTOTAL(109,Tabla245[10. Servicios sociales y mediación comunitaria])</f>
        <v>39795.81</v>
      </c>
      <c r="L25" s="23">
        <f>SUBTOTAL(109,Tabla245[11. Salud pública y seguridad ciudadana])</f>
        <v>158711.12</v>
      </c>
      <c r="M25" s="23">
        <f>SUBTOTAL(109,Tabla245[Total general])</f>
        <v>628017.17999999993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 SEMESTRE 2023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5508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66" t="s">
        <v>4333</v>
      </c>
      <c r="B2" s="19"/>
      <c r="C2" s="19"/>
      <c r="D2" s="19"/>
      <c r="E2" s="19"/>
      <c r="F2" s="19"/>
      <c r="G2" s="42"/>
      <c r="H2" s="19"/>
      <c r="I2" s="19"/>
      <c r="J2" s="19"/>
      <c r="K2" s="19">
        <v>186.91</v>
      </c>
      <c r="L2" s="42"/>
      <c r="M2" s="23">
        <f>SUM(Tabla27[[#This Row],[01. Alcaldía]:[11. Salud pública y seguridad ciudadana]])</f>
        <v>186.91</v>
      </c>
    </row>
    <row r="3" spans="1:13" s="24" customFormat="1" x14ac:dyDescent="0.25">
      <c r="A3" s="25" t="s">
        <v>325</v>
      </c>
      <c r="B3" s="23">
        <f>SUBTOTAL(109,Tabla27[01. Alcaldía])</f>
        <v>0</v>
      </c>
      <c r="C3" s="23">
        <f>SUBTOTAL(109,Tabla27[02. Planeamiento urbanístico y vivienda])</f>
        <v>0</v>
      </c>
      <c r="D3" s="23">
        <f>SUBTOTAL(109,Tabla27[03. Participación ciudadana y deportes])</f>
        <v>0</v>
      </c>
      <c r="E3" s="23">
        <f>SUBTOTAL(109,Tabla27[04. Planificación y recursos])</f>
        <v>0</v>
      </c>
      <c r="F3" s="23">
        <f>SUBTOTAL(109,Tabla27[05. Innovación, desarrollo económico, empleo y comercio])</f>
        <v>0</v>
      </c>
      <c r="G3" s="23">
        <f>SUBTOTAL(109,Tabla27[06. Educación, infancia, juventud e igualdad])</f>
        <v>0</v>
      </c>
      <c r="H3" s="23">
        <f>SUBTOTAL(109,Tabla27[07. Medio ambiente y desarrollo sostenible])</f>
        <v>0</v>
      </c>
      <c r="I3" s="23">
        <f>SUBTOTAL(109,Tabla27[08. Movilidad y espacio urbano])</f>
        <v>0</v>
      </c>
      <c r="J3" s="23">
        <f>SUBTOTAL(109,Tabla27[09. Cultura y turismo])</f>
        <v>0</v>
      </c>
      <c r="K3" s="23">
        <f>SUBTOTAL(109,Tabla27[10. Servicios sociales y mediación comunitaria])</f>
        <v>186.91</v>
      </c>
      <c r="L3" s="23">
        <f>SUBTOTAL(109,Tabla27[11. Salud pública y seguridad ciudadana])</f>
        <v>0</v>
      </c>
      <c r="M3" s="23">
        <f>SUBTOTAL(109,Tabla27[Total general])</f>
        <v>186.91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 SEMESTRE 2023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2023-08-10T09:53:07Z</cp:lastPrinted>
  <dcterms:created xsi:type="dcterms:W3CDTF">2019-04-05T07:39:46Z</dcterms:created>
  <dcterms:modified xsi:type="dcterms:W3CDTF">2023-10-18T10:45:26Z</dcterms:modified>
</cp:coreProperties>
</file>